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inGecko Token API List" sheetId="1" r:id="rId4"/>
    <sheet state="hidden" name="doNotDelete" sheetId="2" r:id="rId5"/>
  </sheets>
  <definedNames/>
  <calcPr/>
</workbook>
</file>

<file path=xl/sharedStrings.xml><?xml version="1.0" encoding="utf-8"?>
<sst xmlns="http://schemas.openxmlformats.org/spreadsheetml/2006/main" count="4" uniqueCount="4">
  <si>
    <r>
      <rPr>
        <rFont val="Inconsolata, monospace, arial, sans, sans-serif"/>
        <b/>
        <color rgb="FF000000"/>
        <sz val="11.0"/>
      </rPr>
      <t xml:space="preserve">If you're unable to view the details below, please visit here to get the full list: </t>
    </r>
    <r>
      <rPr>
        <rFont val="Inconsolata, monospace, arial, sans, sans-serif"/>
        <b/>
        <color rgb="FF1155CC"/>
        <sz val="11.0"/>
        <u/>
      </rPr>
      <t>https://api.coingecko.com/api/v3/coins/list</t>
    </r>
  </si>
  <si>
    <r>
      <rPr>
        <rFont val="Inconsolata, monospace, arial, sans, sans-serif"/>
        <b/>
        <color rgb="FF000000"/>
        <sz val="11.0"/>
      </rPr>
      <t xml:space="preserve">Id </t>
    </r>
    <r>
      <rPr>
        <rFont val="Inconsolata, monospace, arial, sans, sans-serif"/>
        <b/>
        <color rgb="FF93C47D"/>
        <sz val="11.0"/>
      </rPr>
      <t>(API id)</t>
    </r>
  </si>
  <si>
    <t>Symbol</t>
  </si>
  <si>
    <t>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</si>
</sst>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u/>
      <sz val="11.0"/>
      <color rgb="FF000000"/>
      <name val="Inconsolata"/>
    </font>
    <font>
      <b/>
      <color theme="1"/>
      <name val="Arial"/>
      <scheme val="minor"/>
    </font>
    <font>
      <b/>
      <sz val="11.0"/>
      <color rgb="FF000000"/>
      <name val="Inconsolata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2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magikal.ai" TargetMode="External"/><Relationship Id="rId42" Type="http://schemas.openxmlformats.org/officeDocument/2006/relationships/hyperlink" Target="http://minergold.io" TargetMode="External"/><Relationship Id="rId41" Type="http://schemas.openxmlformats.org/officeDocument/2006/relationships/hyperlink" Target="http://memedao.ai" TargetMode="External"/><Relationship Id="rId44" Type="http://schemas.openxmlformats.org/officeDocument/2006/relationships/hyperlink" Target="http://moonwolf.io" TargetMode="External"/><Relationship Id="rId43" Type="http://schemas.openxmlformats.org/officeDocument/2006/relationships/hyperlink" Target="http://monk.gg" TargetMode="External"/><Relationship Id="rId46" Type="http://schemas.openxmlformats.org/officeDocument/2006/relationships/hyperlink" Target="http://petshop.io" TargetMode="External"/><Relationship Id="rId45" Type="http://schemas.openxmlformats.org/officeDocument/2006/relationships/hyperlink" Target="http://pad.fi" TargetMode="External"/><Relationship Id="rId1" Type="http://schemas.openxmlformats.org/officeDocument/2006/relationships/hyperlink" Target="https://api.coingecko.com/api/v3/coins/list" TargetMode="External"/><Relationship Id="rId2" Type="http://schemas.openxmlformats.org/officeDocument/2006/relationships/hyperlink" Target="http://0xgpu.ai" TargetMode="External"/><Relationship Id="rId3" Type="http://schemas.openxmlformats.org/officeDocument/2006/relationships/hyperlink" Target="http://2dai.io" TargetMode="External"/><Relationship Id="rId4" Type="http://schemas.openxmlformats.org/officeDocument/2006/relationships/hyperlink" Target="http://acquire.fi" TargetMode="External"/><Relationship Id="rId9" Type="http://schemas.openxmlformats.org/officeDocument/2006/relationships/hyperlink" Target="http://alphakek.ai" TargetMode="External"/><Relationship Id="rId48" Type="http://schemas.openxmlformats.org/officeDocument/2006/relationships/hyperlink" Target="http://precipitate.ai" TargetMode="External"/><Relationship Id="rId47" Type="http://schemas.openxmlformats.org/officeDocument/2006/relationships/hyperlink" Target="http://po.et" TargetMode="External"/><Relationship Id="rId49" Type="http://schemas.openxmlformats.org/officeDocument/2006/relationships/hyperlink" Target="http://qna3.ai" TargetMode="External"/><Relationship Id="rId5" Type="http://schemas.openxmlformats.org/officeDocument/2006/relationships/hyperlink" Target="http://acria.ai" TargetMode="External"/><Relationship Id="rId6" Type="http://schemas.openxmlformats.org/officeDocument/2006/relationships/hyperlink" Target="http://ai.com" TargetMode="External"/><Relationship Id="rId7" Type="http://schemas.openxmlformats.org/officeDocument/2006/relationships/hyperlink" Target="http://ai.com" TargetMode="External"/><Relationship Id="rId8" Type="http://schemas.openxmlformats.org/officeDocument/2006/relationships/hyperlink" Target="http://aleph.im" TargetMode="External"/><Relationship Id="rId31" Type="http://schemas.openxmlformats.org/officeDocument/2006/relationships/hyperlink" Target="http://ghostdag.org" TargetMode="External"/><Relationship Id="rId30" Type="http://schemas.openxmlformats.org/officeDocument/2006/relationships/hyperlink" Target="http://gamefi.org" TargetMode="External"/><Relationship Id="rId33" Type="http://schemas.openxmlformats.org/officeDocument/2006/relationships/hyperlink" Target="http://her.ai" TargetMode="External"/><Relationship Id="rId32" Type="http://schemas.openxmlformats.org/officeDocument/2006/relationships/hyperlink" Target="http://handle.fi" TargetMode="External"/><Relationship Id="rId35" Type="http://schemas.openxmlformats.org/officeDocument/2006/relationships/hyperlink" Target="http://holygrails.io" TargetMode="External"/><Relationship Id="rId34" Type="http://schemas.openxmlformats.org/officeDocument/2006/relationships/hyperlink" Target="http://hodooi.com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://carb0n.fi" TargetMode="External"/><Relationship Id="rId37" Type="http://schemas.openxmlformats.org/officeDocument/2006/relationships/hyperlink" Target="http://husky.ai" TargetMode="External"/><Relationship Id="rId36" Type="http://schemas.openxmlformats.org/officeDocument/2006/relationships/hyperlink" Target="http://humans.ai" TargetMode="External"/><Relationship Id="rId39" Type="http://schemas.openxmlformats.org/officeDocument/2006/relationships/hyperlink" Target="http://love.io" TargetMode="External"/><Relationship Id="rId38" Type="http://schemas.openxmlformats.org/officeDocument/2006/relationships/hyperlink" Target="http://ide.x.ai" TargetMode="External"/><Relationship Id="rId62" Type="http://schemas.openxmlformats.org/officeDocument/2006/relationships/hyperlink" Target="http://tune.fm" TargetMode="External"/><Relationship Id="rId61" Type="http://schemas.openxmlformats.org/officeDocument/2006/relationships/hyperlink" Target="http://trendingtool.io" TargetMode="External"/><Relationship Id="rId20" Type="http://schemas.openxmlformats.org/officeDocument/2006/relationships/hyperlink" Target="http://dgnapp.ai" TargetMode="External"/><Relationship Id="rId64" Type="http://schemas.openxmlformats.org/officeDocument/2006/relationships/hyperlink" Target="http://vectorchat.ai" TargetMode="External"/><Relationship Id="rId63" Type="http://schemas.openxmlformats.org/officeDocument/2006/relationships/hyperlink" Target="http://unibets.ai" TargetMode="External"/><Relationship Id="rId22" Type="http://schemas.openxmlformats.org/officeDocument/2006/relationships/hyperlink" Target="http://elondoge.io" TargetMode="External"/><Relationship Id="rId66" Type="http://schemas.openxmlformats.org/officeDocument/2006/relationships/hyperlink" Target="http://woofwork.io" TargetMode="External"/><Relationship Id="rId21" Type="http://schemas.openxmlformats.org/officeDocument/2006/relationships/hyperlink" Target="http://dolz.io" TargetMode="External"/><Relationship Id="rId65" Type="http://schemas.openxmlformats.org/officeDocument/2006/relationships/hyperlink" Target="http://whalescandypls.com" TargetMode="External"/><Relationship Id="rId24" Type="http://schemas.openxmlformats.org/officeDocument/2006/relationships/hyperlink" Target="http://fetch.ai" TargetMode="External"/><Relationship Id="rId68" Type="http://schemas.openxmlformats.org/officeDocument/2006/relationships/hyperlink" Target="http://xt.com" TargetMode="External"/><Relationship Id="rId23" Type="http://schemas.openxmlformats.org/officeDocument/2006/relationships/hyperlink" Target="http://ether.fi" TargetMode="External"/><Relationship Id="rId67" Type="http://schemas.openxmlformats.org/officeDocument/2006/relationships/hyperlink" Target="http://xalpha.ai" TargetMode="External"/><Relationship Id="rId60" Type="http://schemas.openxmlformats.org/officeDocument/2006/relationships/hyperlink" Target="http://cantosino.com" TargetMode="External"/><Relationship Id="rId26" Type="http://schemas.openxmlformats.org/officeDocument/2006/relationships/hyperlink" Target="http://fnk.com" TargetMode="External"/><Relationship Id="rId25" Type="http://schemas.openxmlformats.org/officeDocument/2006/relationships/hyperlink" Target="http://fimarkcoin.com" TargetMode="External"/><Relationship Id="rId69" Type="http://schemas.openxmlformats.org/officeDocument/2006/relationships/hyperlink" Target="http://zam.io" TargetMode="External"/><Relationship Id="rId28" Type="http://schemas.openxmlformats.org/officeDocument/2006/relationships/hyperlink" Target="http://fxbox.io" TargetMode="External"/><Relationship Id="rId27" Type="http://schemas.openxmlformats.org/officeDocument/2006/relationships/hyperlink" Target="http://frok.ai" TargetMode="External"/><Relationship Id="rId29" Type="http://schemas.openxmlformats.org/officeDocument/2006/relationships/hyperlink" Target="http://gam3s.gg" TargetMode="External"/><Relationship Id="rId51" Type="http://schemas.openxmlformats.org/officeDocument/2006/relationships/hyperlink" Target="http://rake.in" TargetMode="External"/><Relationship Id="rId50" Type="http://schemas.openxmlformats.org/officeDocument/2006/relationships/hyperlink" Target="http://rake.com" TargetMode="External"/><Relationship Id="rId53" Type="http://schemas.openxmlformats.org/officeDocument/2006/relationships/hyperlink" Target="http://rejuve.ai" TargetMode="External"/><Relationship Id="rId52" Type="http://schemas.openxmlformats.org/officeDocument/2006/relationships/hyperlink" Target="http://rasper.ai" TargetMode="External"/><Relationship Id="rId11" Type="http://schemas.openxmlformats.org/officeDocument/2006/relationships/hyperlink" Target="http://b-cube.ai" TargetMode="External"/><Relationship Id="rId55" Type="http://schemas.openxmlformats.org/officeDocument/2006/relationships/hyperlink" Target="http://rod.ai" TargetMode="External"/><Relationship Id="rId10" Type="http://schemas.openxmlformats.org/officeDocument/2006/relationships/hyperlink" Target="http://astrospaces.io" TargetMode="External"/><Relationship Id="rId54" Type="http://schemas.openxmlformats.org/officeDocument/2006/relationships/hyperlink" Target="http://rhino.fi" TargetMode="External"/><Relationship Id="rId13" Type="http://schemas.openxmlformats.org/officeDocument/2006/relationships/hyperlink" Target="http://betswap.gg" TargetMode="External"/><Relationship Id="rId57" Type="http://schemas.openxmlformats.org/officeDocument/2006/relationships/hyperlink" Target="http://sharky.fi" TargetMode="External"/><Relationship Id="rId12" Type="http://schemas.openxmlformats.org/officeDocument/2006/relationships/hyperlink" Target="http://beluga.fi" TargetMode="External"/><Relationship Id="rId56" Type="http://schemas.openxmlformats.org/officeDocument/2006/relationships/hyperlink" Target="http://scry.info" TargetMode="External"/><Relationship Id="rId15" Type="http://schemas.openxmlformats.org/officeDocument/2006/relationships/hyperlink" Target="http://buying.com" TargetMode="External"/><Relationship Id="rId59" Type="http://schemas.openxmlformats.org/officeDocument/2006/relationships/hyperlink" Target="http://shopping.io" TargetMode="External"/><Relationship Id="rId14" Type="http://schemas.openxmlformats.org/officeDocument/2006/relationships/hyperlink" Target="http://bowled.io" TargetMode="External"/><Relationship Id="rId58" Type="http://schemas.openxmlformats.org/officeDocument/2006/relationships/hyperlink" Target="http://shoppingfriend.ai" TargetMode="External"/><Relationship Id="rId17" Type="http://schemas.openxmlformats.org/officeDocument/2006/relationships/hyperlink" Target="http://clickart.ai" TargetMode="External"/><Relationship Id="rId16" Type="http://schemas.openxmlformats.org/officeDocument/2006/relationships/hyperlink" Target="http://choise.com" TargetMode="External"/><Relationship Id="rId19" Type="http://schemas.openxmlformats.org/officeDocument/2006/relationships/hyperlink" Target="http://cryptoart.ai" TargetMode="External"/><Relationship Id="rId18" Type="http://schemas.openxmlformats.org/officeDocument/2006/relationships/hyperlink" Target="http://clore.a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6.0"/>
    <col customWidth="1" min="3" max="3" width="43.0"/>
  </cols>
  <sheetData>
    <row r="1">
      <c r="A1" s="1" t="s">
        <v>0</v>
      </c>
      <c r="B1" s="2"/>
      <c r="C1" s="2"/>
    </row>
    <row r="2">
      <c r="A2" s="3" t="s">
        <v>1</v>
      </c>
      <c r="B2" s="2" t="s">
        <v>2</v>
      </c>
      <c r="C2" s="2" t="s">
        <v>3</v>
      </c>
    </row>
    <row r="3">
      <c r="A3" s="4" t="str">
        <f>IFERROR(__xludf.DUMMYFUNCTION("IMPORTRANGE(""https://docs.google.com/spreadsheets/d/13-DY4mXjr8z_Vdm6t1IN_gDGJ34mze78xlYuNXbBxeo"",""sheet1!A2:C50000"")"),"01coin")</f>
        <v>01coin</v>
      </c>
      <c r="B3" s="4" t="str">
        <f>IFERROR(__xludf.DUMMYFUNCTION("""COMPUTED_VALUE"""),"zoc")</f>
        <v>zoc</v>
      </c>
      <c r="C3" s="4" t="str">
        <f>IFERROR(__xludf.DUMMYFUNCTION("""COMPUTED_VALUE"""),"01coin")</f>
        <v>01coin</v>
      </c>
    </row>
    <row r="4">
      <c r="A4" s="4" t="str">
        <f>IFERROR(__xludf.DUMMYFUNCTION("""COMPUTED_VALUE"""),"0chain")</f>
        <v>0chain</v>
      </c>
      <c r="B4" s="4" t="str">
        <f>IFERROR(__xludf.DUMMYFUNCTION("""COMPUTED_VALUE"""),"zcn")</f>
        <v>zcn</v>
      </c>
      <c r="C4" s="4" t="str">
        <f>IFERROR(__xludf.DUMMYFUNCTION("""COMPUTED_VALUE"""),"Zus")</f>
        <v>Zus</v>
      </c>
    </row>
    <row r="5">
      <c r="A5" s="4" t="str">
        <f>IFERROR(__xludf.DUMMYFUNCTION("""COMPUTED_VALUE"""),"0-knowledge-network")</f>
        <v>0-knowledge-network</v>
      </c>
      <c r="B5" s="4" t="str">
        <f>IFERROR(__xludf.DUMMYFUNCTION("""COMPUTED_VALUE"""),"0kn")</f>
        <v>0kn</v>
      </c>
      <c r="C5" s="4" t="str">
        <f>IFERROR(__xludf.DUMMYFUNCTION("""COMPUTED_VALUE"""),"0 Knowledge Network")</f>
        <v>0 Knowledge Network</v>
      </c>
    </row>
    <row r="6">
      <c r="A6" s="4" t="str">
        <f>IFERROR(__xludf.DUMMYFUNCTION("""COMPUTED_VALUE"""),"0-mee")</f>
        <v>0-mee</v>
      </c>
      <c r="B6" s="4" t="str">
        <f>IFERROR(__xludf.DUMMYFUNCTION("""COMPUTED_VALUE"""),"ome")</f>
        <v>ome</v>
      </c>
      <c r="C6" s="4" t="str">
        <f>IFERROR(__xludf.DUMMYFUNCTION("""COMPUTED_VALUE"""),"O-MEE")</f>
        <v>O-MEE</v>
      </c>
    </row>
    <row r="7">
      <c r="A7" s="4" t="str">
        <f>IFERROR(__xludf.DUMMYFUNCTION("""COMPUTED_VALUE"""),"0vix-protocol")</f>
        <v>0vix-protocol</v>
      </c>
      <c r="B7" s="4" t="str">
        <f>IFERROR(__xludf.DUMMYFUNCTION("""COMPUTED_VALUE"""),"vix")</f>
        <v>vix</v>
      </c>
      <c r="C7" s="4" t="str">
        <f>IFERROR(__xludf.DUMMYFUNCTION("""COMPUTED_VALUE"""),"0VIX Protocol")</f>
        <v>0VIX Protocol</v>
      </c>
    </row>
    <row r="8">
      <c r="A8" s="4" t="str">
        <f>IFERROR(__xludf.DUMMYFUNCTION("""COMPUTED_VALUE"""),"0vm")</f>
        <v>0vm</v>
      </c>
      <c r="B8" s="4" t="str">
        <f>IFERROR(__xludf.DUMMYFUNCTION("""COMPUTED_VALUE"""),"zerovm")</f>
        <v>zerovm</v>
      </c>
      <c r="C8" s="4" t="str">
        <f>IFERROR(__xludf.DUMMYFUNCTION("""COMPUTED_VALUE"""),"0VM")</f>
        <v>0VM</v>
      </c>
    </row>
    <row r="9">
      <c r="A9" s="4" t="str">
        <f>IFERROR(__xludf.DUMMYFUNCTION("""COMPUTED_VALUE"""),"0x")</f>
        <v>0x</v>
      </c>
      <c r="B9" s="4" t="str">
        <f>IFERROR(__xludf.DUMMYFUNCTION("""COMPUTED_VALUE"""),"zrx")</f>
        <v>zrx</v>
      </c>
      <c r="C9" s="4" t="str">
        <f>IFERROR(__xludf.DUMMYFUNCTION("""COMPUTED_VALUE"""),"0x Protocol")</f>
        <v>0x Protocol</v>
      </c>
    </row>
    <row r="10">
      <c r="A10" s="4" t="str">
        <f>IFERROR(__xludf.DUMMYFUNCTION("""COMPUTED_VALUE"""),"0x0-ai-ai-smart-contract")</f>
        <v>0x0-ai-ai-smart-contract</v>
      </c>
      <c r="B10" s="4" t="str">
        <f>IFERROR(__xludf.DUMMYFUNCTION("""COMPUTED_VALUE"""),"0x0")</f>
        <v>0x0</v>
      </c>
      <c r="C10" s="4" t="str">
        <f>IFERROR(__xludf.DUMMYFUNCTION("""COMPUTED_VALUE"""),"0x0.ai: AI Smart Contract")</f>
        <v>0x0.ai: AI Smart Contract</v>
      </c>
    </row>
    <row r="11">
      <c r="A11" s="4" t="str">
        <f>IFERROR(__xludf.DUMMYFUNCTION("""COMPUTED_VALUE"""),"0x1-tools-ai-multi-tool")</f>
        <v>0x1-tools-ai-multi-tool</v>
      </c>
      <c r="B11" s="4" t="str">
        <f>IFERROR(__xludf.DUMMYFUNCTION("""COMPUTED_VALUE"""),"0x1")</f>
        <v>0x1</v>
      </c>
      <c r="C11" s="4" t="str">
        <f>IFERROR(__xludf.DUMMYFUNCTION("""COMPUTED_VALUE"""),"0x1.tools: AI Multi-tool")</f>
        <v>0x1.tools: AI Multi-tool</v>
      </c>
    </row>
    <row r="12">
      <c r="A12" s="4" t="str">
        <f>IFERROR(__xludf.DUMMYFUNCTION("""COMPUTED_VALUE"""),"0x404")</f>
        <v>0x404</v>
      </c>
      <c r="B12" s="4" t="str">
        <f>IFERROR(__xludf.DUMMYFUNCTION("""COMPUTED_VALUE"""),"xfour")</f>
        <v>xfour</v>
      </c>
      <c r="C12" s="4" t="str">
        <f>IFERROR(__xludf.DUMMYFUNCTION("""COMPUTED_VALUE"""),"0x404")</f>
        <v>0x404</v>
      </c>
    </row>
    <row r="13">
      <c r="A13" s="4" t="str">
        <f>IFERROR(__xludf.DUMMYFUNCTION("""COMPUTED_VALUE"""),"0xaiswap")</f>
        <v>0xaiswap</v>
      </c>
      <c r="B13" s="4" t="str">
        <f>IFERROR(__xludf.DUMMYFUNCTION("""COMPUTED_VALUE"""),"0xaiswap")</f>
        <v>0xaiswap</v>
      </c>
      <c r="C13" s="4" t="str">
        <f>IFERROR(__xludf.DUMMYFUNCTION("""COMPUTED_VALUE"""),"0xAISwap")</f>
        <v>0xAISwap</v>
      </c>
    </row>
    <row r="14">
      <c r="A14" s="4" t="str">
        <f>IFERROR(__xludf.DUMMYFUNCTION("""COMPUTED_VALUE"""),"0xanon")</f>
        <v>0xanon</v>
      </c>
      <c r="B14" s="4" t="str">
        <f>IFERROR(__xludf.DUMMYFUNCTION("""COMPUTED_VALUE"""),"0xanon")</f>
        <v>0xanon</v>
      </c>
      <c r="C14" s="4" t="str">
        <f>IFERROR(__xludf.DUMMYFUNCTION("""COMPUTED_VALUE"""),"0xAnon")</f>
        <v>0xAnon</v>
      </c>
    </row>
    <row r="15">
      <c r="A15" s="4" t="str">
        <f>IFERROR(__xludf.DUMMYFUNCTION("""COMPUTED_VALUE"""),"0xbet")</f>
        <v>0xbet</v>
      </c>
      <c r="B15" s="4" t="str">
        <f>IFERROR(__xludf.DUMMYFUNCTION("""COMPUTED_VALUE"""),"0xbet")</f>
        <v>0xbet</v>
      </c>
      <c r="C15" s="4" t="str">
        <f>IFERROR(__xludf.DUMMYFUNCTION("""COMPUTED_VALUE"""),"0xBET")</f>
        <v>0xBET</v>
      </c>
    </row>
    <row r="16">
      <c r="A16" s="4" t="str">
        <f>IFERROR(__xludf.DUMMYFUNCTION("""COMPUTED_VALUE"""),"0xblack")</f>
        <v>0xblack</v>
      </c>
      <c r="B16" s="4" t="str">
        <f>IFERROR(__xludf.DUMMYFUNCTION("""COMPUTED_VALUE"""),"0xb")</f>
        <v>0xb</v>
      </c>
      <c r="C16" s="4" t="str">
        <f>IFERROR(__xludf.DUMMYFUNCTION("""COMPUTED_VALUE"""),"0xBlack")</f>
        <v>0xBlack</v>
      </c>
    </row>
    <row r="17">
      <c r="A17" s="4" t="str">
        <f>IFERROR(__xludf.DUMMYFUNCTION("""COMPUTED_VALUE"""),"0xcoco")</f>
        <v>0xcoco</v>
      </c>
      <c r="B17" s="4" t="str">
        <f>IFERROR(__xludf.DUMMYFUNCTION("""COMPUTED_VALUE"""),"coco")</f>
        <v>coco</v>
      </c>
      <c r="C17" s="4" t="str">
        <f>IFERROR(__xludf.DUMMYFUNCTION("""COMPUTED_VALUE"""),"0xCoco")</f>
        <v>0xCoco</v>
      </c>
    </row>
    <row r="18">
      <c r="A18" s="4" t="str">
        <f>IFERROR(__xludf.DUMMYFUNCTION("""COMPUTED_VALUE"""),"0xconnect")</f>
        <v>0xconnect</v>
      </c>
      <c r="B18" s="4" t="str">
        <f>IFERROR(__xludf.DUMMYFUNCTION("""COMPUTED_VALUE"""),"0xcon")</f>
        <v>0xcon</v>
      </c>
      <c r="C18" s="4" t="str">
        <f>IFERROR(__xludf.DUMMYFUNCTION("""COMPUTED_VALUE"""),"0xConnect")</f>
        <v>0xConnect</v>
      </c>
    </row>
    <row r="19">
      <c r="A19" s="4" t="str">
        <f>IFERROR(__xludf.DUMMYFUNCTION("""COMPUTED_VALUE"""),"0xdao")</f>
        <v>0xdao</v>
      </c>
      <c r="B19" s="4" t="str">
        <f>IFERROR(__xludf.DUMMYFUNCTION("""COMPUTED_VALUE"""),"oxd")</f>
        <v>oxd</v>
      </c>
      <c r="C19" s="4" t="str">
        <f>IFERROR(__xludf.DUMMYFUNCTION("""COMPUTED_VALUE"""),"0xDAO")</f>
        <v>0xDAO</v>
      </c>
    </row>
    <row r="20">
      <c r="A20" s="4" t="str">
        <f>IFERROR(__xludf.DUMMYFUNCTION("""COMPUTED_VALUE"""),"0xdefcafe")</f>
        <v>0xdefcafe</v>
      </c>
      <c r="B20" s="4" t="str">
        <f>IFERROR(__xludf.DUMMYFUNCTION("""COMPUTED_VALUE"""),"cafe")</f>
        <v>cafe</v>
      </c>
      <c r="C20" s="4" t="str">
        <f>IFERROR(__xludf.DUMMYFUNCTION("""COMPUTED_VALUE"""),"0xDEFCAFE")</f>
        <v>0xDEFCAFE</v>
      </c>
    </row>
    <row r="21">
      <c r="A21" s="4" t="str">
        <f>IFERROR(__xludf.DUMMYFUNCTION("""COMPUTED_VALUE"""),"0xengage")</f>
        <v>0xengage</v>
      </c>
      <c r="B21" s="4" t="str">
        <f>IFERROR(__xludf.DUMMYFUNCTION("""COMPUTED_VALUE"""),"engage")</f>
        <v>engage</v>
      </c>
      <c r="C21" s="4" t="str">
        <f>IFERROR(__xludf.DUMMYFUNCTION("""COMPUTED_VALUE"""),"0xEngage")</f>
        <v>0xEngage</v>
      </c>
    </row>
    <row r="22">
      <c r="A22" s="4" t="str">
        <f>IFERROR(__xludf.DUMMYFUNCTION("""COMPUTED_VALUE"""),"0xfair")</f>
        <v>0xfair</v>
      </c>
      <c r="B22" s="4" t="str">
        <f>IFERROR(__xludf.DUMMYFUNCTION("""COMPUTED_VALUE"""),"fair")</f>
        <v>fair</v>
      </c>
      <c r="C22" s="4" t="str">
        <f>IFERROR(__xludf.DUMMYFUNCTION("""COMPUTED_VALUE"""),"0xFair")</f>
        <v>0xFair</v>
      </c>
    </row>
    <row r="23">
      <c r="A23" s="4" t="str">
        <f>IFERROR(__xludf.DUMMYFUNCTION("""COMPUTED_VALUE"""),"0xfreelance")</f>
        <v>0xfreelance</v>
      </c>
      <c r="B23" s="4" t="str">
        <f>IFERROR(__xludf.DUMMYFUNCTION("""COMPUTED_VALUE"""),"0xfree")</f>
        <v>0xfree</v>
      </c>
      <c r="C23" s="4" t="str">
        <f>IFERROR(__xludf.DUMMYFUNCTION("""COMPUTED_VALUE"""),"0xFreelance")</f>
        <v>0xFreelance</v>
      </c>
    </row>
    <row r="24">
      <c r="A24" s="4" t="str">
        <f>IFERROR(__xludf.DUMMYFUNCTION("""COMPUTED_VALUE"""),"0xgambit")</f>
        <v>0xgambit</v>
      </c>
      <c r="B24" s="4" t="str">
        <f>IFERROR(__xludf.DUMMYFUNCTION("""COMPUTED_VALUE"""),"0xg")</f>
        <v>0xg</v>
      </c>
      <c r="C24" s="4" t="str">
        <f>IFERROR(__xludf.DUMMYFUNCTION("""COMPUTED_VALUE"""),"0xgambit")</f>
        <v>0xgambit</v>
      </c>
    </row>
    <row r="25">
      <c r="A25" s="4" t="str">
        <f>IFERROR(__xludf.DUMMYFUNCTION("""COMPUTED_VALUE"""),"0xgasless")</f>
        <v>0xgasless</v>
      </c>
      <c r="B25" s="4" t="str">
        <f>IFERROR(__xludf.DUMMYFUNCTION("""COMPUTED_VALUE"""),"0xgas")</f>
        <v>0xgas</v>
      </c>
      <c r="C25" s="4" t="str">
        <f>IFERROR(__xludf.DUMMYFUNCTION("""COMPUTED_VALUE"""),"0xGasless (OLD)")</f>
        <v>0xGasless (OLD)</v>
      </c>
    </row>
    <row r="26">
      <c r="A26" s="4" t="str">
        <f>IFERROR(__xludf.DUMMYFUNCTION("""COMPUTED_VALUE"""),"0xgasless-2")</f>
        <v>0xgasless-2</v>
      </c>
      <c r="B26" s="4" t="str">
        <f>IFERROR(__xludf.DUMMYFUNCTION("""COMPUTED_VALUE"""),"0xgas")</f>
        <v>0xgas</v>
      </c>
      <c r="C26" s="4" t="str">
        <f>IFERROR(__xludf.DUMMYFUNCTION("""COMPUTED_VALUE"""),"0xGasless")</f>
        <v>0xGasless</v>
      </c>
    </row>
    <row r="27">
      <c r="A27" s="4" t="str">
        <f>IFERROR(__xludf.DUMMYFUNCTION("""COMPUTED_VALUE"""),"0xgpu-ai")</f>
        <v>0xgpu-ai</v>
      </c>
      <c r="B27" s="4" t="str">
        <f>IFERROR(__xludf.DUMMYFUNCTION("""COMPUTED_VALUE"""),"0xg")</f>
        <v>0xg</v>
      </c>
      <c r="C27" s="5" t="str">
        <f>IFERROR(__xludf.DUMMYFUNCTION("""COMPUTED_VALUE"""),"0xGPU.ai")</f>
        <v>0xGPU.ai</v>
      </c>
    </row>
    <row r="28">
      <c r="A28" s="4" t="str">
        <f>IFERROR(__xludf.DUMMYFUNCTION("""COMPUTED_VALUE"""),"0x-leverage")</f>
        <v>0x-leverage</v>
      </c>
      <c r="B28" s="4" t="str">
        <f>IFERROR(__xludf.DUMMYFUNCTION("""COMPUTED_VALUE"""),"oxl")</f>
        <v>oxl</v>
      </c>
      <c r="C28" s="4" t="str">
        <f>IFERROR(__xludf.DUMMYFUNCTION("""COMPUTED_VALUE"""),"0x Leverage")</f>
        <v>0x Leverage</v>
      </c>
    </row>
    <row r="29">
      <c r="A29" s="4" t="str">
        <f>IFERROR(__xludf.DUMMYFUNCTION("""COMPUTED_VALUE"""),"0xliquidity")</f>
        <v>0xliquidity</v>
      </c>
      <c r="B29" s="4" t="str">
        <f>IFERROR(__xludf.DUMMYFUNCTION("""COMPUTED_VALUE"""),"0xlp")</f>
        <v>0xlp</v>
      </c>
      <c r="C29" s="4" t="str">
        <f>IFERROR(__xludf.DUMMYFUNCTION("""COMPUTED_VALUE"""),"0xLiquidity")</f>
        <v>0xLiquidity</v>
      </c>
    </row>
    <row r="30">
      <c r="A30" s="4" t="str">
        <f>IFERROR(__xludf.DUMMYFUNCTION("""COMPUTED_VALUE"""),"0xlsd")</f>
        <v>0xlsd</v>
      </c>
      <c r="B30" s="4" t="str">
        <f>IFERROR(__xludf.DUMMYFUNCTION("""COMPUTED_VALUE"""),"0xlsd")</f>
        <v>0xlsd</v>
      </c>
      <c r="C30" s="4" t="str">
        <f>IFERROR(__xludf.DUMMYFUNCTION("""COMPUTED_VALUE"""),"0xLSD")</f>
        <v>0xLSD</v>
      </c>
    </row>
    <row r="31">
      <c r="A31" s="4" t="str">
        <f>IFERROR(__xludf.DUMMYFUNCTION("""COMPUTED_VALUE"""),"0xmonero")</f>
        <v>0xmonero</v>
      </c>
      <c r="B31" s="4" t="str">
        <f>IFERROR(__xludf.DUMMYFUNCTION("""COMPUTED_VALUE"""),"0xmr")</f>
        <v>0xmr</v>
      </c>
      <c r="C31" s="4" t="str">
        <f>IFERROR(__xludf.DUMMYFUNCTION("""COMPUTED_VALUE"""),"0xMonero")</f>
        <v>0xMonero</v>
      </c>
    </row>
    <row r="32">
      <c r="A32" s="4" t="str">
        <f>IFERROR(__xludf.DUMMYFUNCTION("""COMPUTED_VALUE"""),"0xnude")</f>
        <v>0xnude</v>
      </c>
      <c r="B32" s="4" t="str">
        <f>IFERROR(__xludf.DUMMYFUNCTION("""COMPUTED_VALUE"""),"nude")</f>
        <v>nude</v>
      </c>
      <c r="C32" s="4" t="str">
        <f>IFERROR(__xludf.DUMMYFUNCTION("""COMPUTED_VALUE"""),"0xNude")</f>
        <v>0xNude</v>
      </c>
    </row>
    <row r="33">
      <c r="A33" s="4" t="str">
        <f>IFERROR(__xludf.DUMMYFUNCTION("""COMPUTED_VALUE"""),"0xnumber")</f>
        <v>0xnumber</v>
      </c>
      <c r="B33" s="4" t="str">
        <f>IFERROR(__xludf.DUMMYFUNCTION("""COMPUTED_VALUE"""),"oxn")</f>
        <v>oxn</v>
      </c>
      <c r="C33" s="4" t="str">
        <f>IFERROR(__xludf.DUMMYFUNCTION("""COMPUTED_VALUE"""),"0xNumber")</f>
        <v>0xNumber</v>
      </c>
    </row>
    <row r="34">
      <c r="A34" s="4" t="str">
        <f>IFERROR(__xludf.DUMMYFUNCTION("""COMPUTED_VALUE"""),"0xos-ai")</f>
        <v>0xos-ai</v>
      </c>
      <c r="B34" s="4" t="str">
        <f>IFERROR(__xludf.DUMMYFUNCTION("""COMPUTED_VALUE"""),"0xos")</f>
        <v>0xos</v>
      </c>
      <c r="C34" s="4" t="str">
        <f>IFERROR(__xludf.DUMMYFUNCTION("""COMPUTED_VALUE"""),"0xOS AI")</f>
        <v>0xOS AI</v>
      </c>
    </row>
    <row r="35">
      <c r="A35" s="4" t="str">
        <f>IFERROR(__xludf.DUMMYFUNCTION("""COMPUTED_VALUE"""),"0xs")</f>
        <v>0xs</v>
      </c>
      <c r="B35" s="4" t="str">
        <f>IFERROR(__xludf.DUMMYFUNCTION("""COMPUTED_VALUE"""),"$0xs")</f>
        <v>$0xs</v>
      </c>
      <c r="C35" s="4" t="str">
        <f>IFERROR(__xludf.DUMMYFUNCTION("""COMPUTED_VALUE"""),"0xS")</f>
        <v>0xS</v>
      </c>
    </row>
    <row r="36">
      <c r="A36" s="4" t="str">
        <f>IFERROR(__xludf.DUMMYFUNCTION("""COMPUTED_VALUE"""),"0xscans")</f>
        <v>0xscans</v>
      </c>
      <c r="B36" s="4" t="str">
        <f>IFERROR(__xludf.DUMMYFUNCTION("""COMPUTED_VALUE"""),"scan")</f>
        <v>scan</v>
      </c>
      <c r="C36" s="4" t="str">
        <f>IFERROR(__xludf.DUMMYFUNCTION("""COMPUTED_VALUE"""),"0xScans")</f>
        <v>0xScans</v>
      </c>
    </row>
    <row r="37">
      <c r="A37" s="4" t="str">
        <f>IFERROR(__xludf.DUMMYFUNCTION("""COMPUTED_VALUE"""),"0xsnipeproai")</f>
        <v>0xsnipeproai</v>
      </c>
      <c r="B37" s="4" t="str">
        <f>IFERROR(__xludf.DUMMYFUNCTION("""COMPUTED_VALUE"""),"0xspai")</f>
        <v>0xspai</v>
      </c>
      <c r="C37" s="4" t="str">
        <f>IFERROR(__xludf.DUMMYFUNCTION("""COMPUTED_VALUE"""),"0xSnipeProAi")</f>
        <v>0xSnipeProAi</v>
      </c>
    </row>
    <row r="38">
      <c r="A38" s="4" t="str">
        <f>IFERROR(__xludf.DUMMYFUNCTION("""COMPUTED_VALUE"""),"0xtools")</f>
        <v>0xtools</v>
      </c>
      <c r="B38" s="4" t="str">
        <f>IFERROR(__xludf.DUMMYFUNCTION("""COMPUTED_VALUE"""),"0xt")</f>
        <v>0xt</v>
      </c>
      <c r="C38" s="4" t="str">
        <f>IFERROR(__xludf.DUMMYFUNCTION("""COMPUTED_VALUE"""),"0xTools")</f>
        <v>0xTools</v>
      </c>
    </row>
    <row r="39">
      <c r="A39" s="4" t="str">
        <f>IFERROR(__xludf.DUMMYFUNCTION("""COMPUTED_VALUE"""),"0xvault")</f>
        <v>0xvault</v>
      </c>
      <c r="B39" s="4" t="str">
        <f>IFERROR(__xludf.DUMMYFUNCTION("""COMPUTED_VALUE"""),"vault")</f>
        <v>vault</v>
      </c>
      <c r="C39" s="4" t="str">
        <f>IFERROR(__xludf.DUMMYFUNCTION("""COMPUTED_VALUE"""),"0xVault")</f>
        <v>0xVault</v>
      </c>
    </row>
    <row r="40">
      <c r="A40" s="4" t="str">
        <f>IFERROR(__xludf.DUMMYFUNCTION("""COMPUTED_VALUE"""),"1000bonk")</f>
        <v>1000bonk</v>
      </c>
      <c r="B40" s="4" t="str">
        <f>IFERROR(__xludf.DUMMYFUNCTION("""COMPUTED_VALUE"""),"1000bonk")</f>
        <v>1000bonk</v>
      </c>
      <c r="C40" s="4" t="str">
        <f>IFERROR(__xludf.DUMMYFUNCTION("""COMPUTED_VALUE"""),"1000BONK")</f>
        <v>1000BONK</v>
      </c>
    </row>
    <row r="41">
      <c r="A41" s="4" t="str">
        <f>IFERROR(__xludf.DUMMYFUNCTION("""COMPUTED_VALUE"""),"1000btt")</f>
        <v>1000btt</v>
      </c>
      <c r="B41" s="4" t="str">
        <f>IFERROR(__xludf.DUMMYFUNCTION("""COMPUTED_VALUE"""),"1000btt")</f>
        <v>1000btt</v>
      </c>
      <c r="C41" s="4" t="str">
        <f>IFERROR(__xludf.DUMMYFUNCTION("""COMPUTED_VALUE"""),"1000BTT")</f>
        <v>1000BTT</v>
      </c>
    </row>
    <row r="42">
      <c r="A42" s="4" t="str">
        <f>IFERROR(__xludf.DUMMYFUNCTION("""COMPUTED_VALUE"""),"1000rats")</f>
        <v>1000rats</v>
      </c>
      <c r="B42" s="4" t="str">
        <f>IFERROR(__xludf.DUMMYFUNCTION("""COMPUTED_VALUE"""),"1000rats")</f>
        <v>1000rats</v>
      </c>
      <c r="C42" s="4" t="str">
        <f>IFERROR(__xludf.DUMMYFUNCTION("""COMPUTED_VALUE"""),"1000RATS")</f>
        <v>1000RATS</v>
      </c>
    </row>
    <row r="43">
      <c r="A43" s="4" t="str">
        <f>IFERROR(__xludf.DUMMYFUNCTION("""COMPUTED_VALUE"""),"1000sats-ordinals")</f>
        <v>1000sats-ordinals</v>
      </c>
      <c r="B43" s="4" t="str">
        <f>IFERROR(__xludf.DUMMYFUNCTION("""COMPUTED_VALUE"""),"1000sats")</f>
        <v>1000sats</v>
      </c>
      <c r="C43" s="4" t="str">
        <f>IFERROR(__xludf.DUMMYFUNCTION("""COMPUTED_VALUE"""),"1000SATS (Ordinals)")</f>
        <v>1000SATS (Ordinals)</v>
      </c>
    </row>
    <row r="44">
      <c r="A44" s="4" t="str">
        <f>IFERROR(__xludf.DUMMYFUNCTION("""COMPUTED_VALUE"""),"1000shib")</f>
        <v>1000shib</v>
      </c>
      <c r="B44" s="4" t="str">
        <f>IFERROR(__xludf.DUMMYFUNCTION("""COMPUTED_VALUE"""),"1000shib")</f>
        <v>1000shib</v>
      </c>
      <c r="C44" s="4" t="str">
        <f>IFERROR(__xludf.DUMMYFUNCTION("""COMPUTED_VALUE"""),"1000SHIB")</f>
        <v>1000SHIB</v>
      </c>
    </row>
    <row r="45">
      <c r="A45" s="4" t="str">
        <f>IFERROR(__xludf.DUMMYFUNCTION("""COMPUTED_VALUE"""),"1000troll")</f>
        <v>1000troll</v>
      </c>
      <c r="B45" s="4" t="str">
        <f>IFERROR(__xludf.DUMMYFUNCTION("""COMPUTED_VALUE"""),"1000troll")</f>
        <v>1000troll</v>
      </c>
      <c r="C45" s="4" t="str">
        <f>IFERROR(__xludf.DUMMYFUNCTION("""COMPUTED_VALUE"""),"1000TROLL")</f>
        <v>1000TROLL</v>
      </c>
    </row>
    <row r="46">
      <c r="A46" s="4" t="str">
        <f>IFERROR(__xludf.DUMMYFUNCTION("""COMPUTED_VALUE"""),"12ships")</f>
        <v>12ships</v>
      </c>
      <c r="B46" s="4" t="str">
        <f>IFERROR(__xludf.DUMMYFUNCTION("""COMPUTED_VALUE"""),"tshp")</f>
        <v>tshp</v>
      </c>
      <c r="C46" s="4" t="str">
        <f>IFERROR(__xludf.DUMMYFUNCTION("""COMPUTED_VALUE"""),"12Ships")</f>
        <v>12Ships</v>
      </c>
    </row>
    <row r="47">
      <c r="A47" s="4" t="str">
        <f>IFERROR(__xludf.DUMMYFUNCTION("""COMPUTED_VALUE"""),"16dao")</f>
        <v>16dao</v>
      </c>
      <c r="B47" s="4" t="str">
        <f>IFERROR(__xludf.DUMMYFUNCTION("""COMPUTED_VALUE"""),"16dao")</f>
        <v>16dao</v>
      </c>
      <c r="C47" s="4" t="str">
        <f>IFERROR(__xludf.DUMMYFUNCTION("""COMPUTED_VALUE"""),"16DAO")</f>
        <v>16DAO</v>
      </c>
    </row>
    <row r="48">
      <c r="A48" s="4" t="str">
        <f>IFERROR(__xludf.DUMMYFUNCTION("""COMPUTED_VALUE"""),"1art")</f>
        <v>1art</v>
      </c>
      <c r="B48" s="4" t="str">
        <f>IFERROR(__xludf.DUMMYFUNCTION("""COMPUTED_VALUE"""),"1art")</f>
        <v>1art</v>
      </c>
      <c r="C48" s="4" t="str">
        <f>IFERROR(__xludf.DUMMYFUNCTION("""COMPUTED_VALUE"""),"OneArt")</f>
        <v>OneArt</v>
      </c>
    </row>
    <row r="49">
      <c r="A49" s="4" t="str">
        <f>IFERROR(__xludf.DUMMYFUNCTION("""COMPUTED_VALUE"""),"1ex")</f>
        <v>1ex</v>
      </c>
      <c r="B49" s="4" t="str">
        <f>IFERROR(__xludf.DUMMYFUNCTION("""COMPUTED_VALUE"""),"1ex")</f>
        <v>1ex</v>
      </c>
      <c r="C49" s="4" t="str">
        <f>IFERROR(__xludf.DUMMYFUNCTION("""COMPUTED_VALUE"""),"1ex")</f>
        <v>1ex</v>
      </c>
    </row>
    <row r="50">
      <c r="A50" s="4" t="str">
        <f>IFERROR(__xludf.DUMMYFUNCTION("""COMPUTED_VALUE"""),"1hive-water")</f>
        <v>1hive-water</v>
      </c>
      <c r="B50" s="4" t="str">
        <f>IFERROR(__xludf.DUMMYFUNCTION("""COMPUTED_VALUE"""),"water")</f>
        <v>water</v>
      </c>
      <c r="C50" s="4" t="str">
        <f>IFERROR(__xludf.DUMMYFUNCTION("""COMPUTED_VALUE"""),"1Hive Water")</f>
        <v>1Hive Water</v>
      </c>
    </row>
    <row r="51">
      <c r="A51" s="4" t="str">
        <f>IFERROR(__xludf.DUMMYFUNCTION("""COMPUTED_VALUE"""),"1inch")</f>
        <v>1inch</v>
      </c>
      <c r="B51" s="4" t="str">
        <f>IFERROR(__xludf.DUMMYFUNCTION("""COMPUTED_VALUE"""),"1inch")</f>
        <v>1inch</v>
      </c>
      <c r="C51" s="4" t="str">
        <f>IFERROR(__xludf.DUMMYFUNCTION("""COMPUTED_VALUE"""),"1inch")</f>
        <v>1inch</v>
      </c>
    </row>
    <row r="52">
      <c r="A52" s="4" t="str">
        <f>IFERROR(__xludf.DUMMYFUNCTION("""COMPUTED_VALUE"""),"1inch-yvault")</f>
        <v>1inch-yvault</v>
      </c>
      <c r="B52" s="4" t="str">
        <f>IFERROR(__xludf.DUMMYFUNCTION("""COMPUTED_VALUE"""),"yv1inch")</f>
        <v>yv1inch</v>
      </c>
      <c r="C52" s="4" t="str">
        <f>IFERROR(__xludf.DUMMYFUNCTION("""COMPUTED_VALUE"""),"1INCH yVault")</f>
        <v>1INCH yVault</v>
      </c>
    </row>
    <row r="53">
      <c r="A53" s="4" t="str">
        <f>IFERROR(__xludf.DUMMYFUNCTION("""COMPUTED_VALUE"""),"1long")</f>
        <v>1long</v>
      </c>
      <c r="B53" s="4" t="str">
        <f>IFERROR(__xludf.DUMMYFUNCTION("""COMPUTED_VALUE"""),"1long")</f>
        <v>1long</v>
      </c>
      <c r="C53" s="4" t="str">
        <f>IFERROR(__xludf.DUMMYFUNCTION("""COMPUTED_VALUE"""),"1LONG")</f>
        <v>1LONG</v>
      </c>
    </row>
    <row r="54">
      <c r="A54" s="4" t="str">
        <f>IFERROR(__xludf.DUMMYFUNCTION("""COMPUTED_VALUE"""),"1million-nfts")</f>
        <v>1million-nfts</v>
      </c>
      <c r="B54" s="4" t="str">
        <f>IFERROR(__xludf.DUMMYFUNCTION("""COMPUTED_VALUE"""),"1mil")</f>
        <v>1mil</v>
      </c>
      <c r="C54" s="4" t="str">
        <f>IFERROR(__xludf.DUMMYFUNCTION("""COMPUTED_VALUE"""),"1MillionNFTs")</f>
        <v>1MillionNFTs</v>
      </c>
    </row>
    <row r="55">
      <c r="A55" s="4" t="str">
        <f>IFERROR(__xludf.DUMMYFUNCTION("""COMPUTED_VALUE"""),"1minbet")</f>
        <v>1minbet</v>
      </c>
      <c r="B55" s="4" t="str">
        <f>IFERROR(__xludf.DUMMYFUNCTION("""COMPUTED_VALUE"""),"1mb")</f>
        <v>1mb</v>
      </c>
      <c r="C55" s="4" t="str">
        <f>IFERROR(__xludf.DUMMYFUNCTION("""COMPUTED_VALUE"""),"1minBET")</f>
        <v>1minBET</v>
      </c>
    </row>
    <row r="56">
      <c r="A56" s="4" t="str">
        <f>IFERROR(__xludf.DUMMYFUNCTION("""COMPUTED_VALUE"""),"1move token")</f>
        <v>1move token</v>
      </c>
      <c r="B56" s="4" t="str">
        <f>IFERROR(__xludf.DUMMYFUNCTION("""COMPUTED_VALUE"""),"1mt")</f>
        <v>1mt</v>
      </c>
      <c r="C56" s="4" t="str">
        <f>IFERROR(__xludf.DUMMYFUNCTION("""COMPUTED_VALUE"""),"1Move Token")</f>
        <v>1Move Token</v>
      </c>
    </row>
    <row r="57">
      <c r="A57" s="4" t="str">
        <f>IFERROR(__xludf.DUMMYFUNCTION("""COMPUTED_VALUE"""),"1reward-token")</f>
        <v>1reward-token</v>
      </c>
      <c r="B57" s="4" t="str">
        <f>IFERROR(__xludf.DUMMYFUNCTION("""COMPUTED_VALUE"""),"1rt")</f>
        <v>1rt</v>
      </c>
      <c r="C57" s="4" t="str">
        <f>IFERROR(__xludf.DUMMYFUNCTION("""COMPUTED_VALUE"""),"1Reward Token")</f>
        <v>1Reward Token</v>
      </c>
    </row>
    <row r="58">
      <c r="A58" s="4" t="str">
        <f>IFERROR(__xludf.DUMMYFUNCTION("""COMPUTED_VALUE"""),"1safu")</f>
        <v>1safu</v>
      </c>
      <c r="B58" s="4" t="str">
        <f>IFERROR(__xludf.DUMMYFUNCTION("""COMPUTED_VALUE"""),"safu")</f>
        <v>safu</v>
      </c>
      <c r="C58" s="4" t="str">
        <f>IFERROR(__xludf.DUMMYFUNCTION("""COMPUTED_VALUE"""),"1SAFU")</f>
        <v>1SAFU</v>
      </c>
    </row>
    <row r="59">
      <c r="A59" s="4" t="str">
        <f>IFERROR(__xludf.DUMMYFUNCTION("""COMPUTED_VALUE"""),"1sol")</f>
        <v>1sol</v>
      </c>
      <c r="B59" s="4" t="str">
        <f>IFERROR(__xludf.DUMMYFUNCTION("""COMPUTED_VALUE"""),"1sol")</f>
        <v>1sol</v>
      </c>
      <c r="C59" s="4" t="str">
        <f>IFERROR(__xludf.DUMMYFUNCTION("""COMPUTED_VALUE"""),"1Sol")</f>
        <v>1Sol</v>
      </c>
    </row>
    <row r="60">
      <c r="A60" s="4" t="str">
        <f>IFERROR(__xludf.DUMMYFUNCTION("""COMPUTED_VALUE"""),"-2")</f>
        <v>-2</v>
      </c>
      <c r="B60" s="4" t="str">
        <f>IFERROR(__xludf.DUMMYFUNCTION("""COMPUTED_VALUE"""),"₿")</f>
        <v>₿</v>
      </c>
      <c r="C60" s="4" t="str">
        <f>IFERROR(__xludf.DUMMYFUNCTION("""COMPUTED_VALUE"""),"₿")</f>
        <v>₿</v>
      </c>
    </row>
    <row r="61">
      <c r="A61" s="4" t="str">
        <f>IFERROR(__xludf.DUMMYFUNCTION("""COMPUTED_VALUE"""),"2024")</f>
        <v>2024</v>
      </c>
      <c r="B61" s="4" t="str">
        <f>IFERROR(__xludf.DUMMYFUNCTION("""COMPUTED_VALUE"""),"2024")</f>
        <v>2024</v>
      </c>
      <c r="C61" s="4" t="str">
        <f>IFERROR(__xludf.DUMMYFUNCTION("""COMPUTED_VALUE"""),"2024")</f>
        <v>2024</v>
      </c>
    </row>
    <row r="62">
      <c r="A62" s="4" t="str">
        <f>IFERROR(__xludf.DUMMYFUNCTION("""COMPUTED_VALUE"""),"2024pump")</f>
        <v>2024pump</v>
      </c>
      <c r="B62" s="4" t="str">
        <f>IFERROR(__xludf.DUMMYFUNCTION("""COMPUTED_VALUE"""),"pump")</f>
        <v>pump</v>
      </c>
      <c r="C62" s="4" t="str">
        <f>IFERROR(__xludf.DUMMYFUNCTION("""COMPUTED_VALUE"""),"2024PUMP")</f>
        <v>2024PUMP</v>
      </c>
    </row>
    <row r="63">
      <c r="A63" s="4" t="str">
        <f>IFERROR(__xludf.DUMMYFUNCTION("""COMPUTED_VALUE"""),"2049")</f>
        <v>2049</v>
      </c>
      <c r="B63" s="4" t="str">
        <f>IFERROR(__xludf.DUMMYFUNCTION("""COMPUTED_VALUE"""),"2049")</f>
        <v>2049</v>
      </c>
      <c r="C63" s="4" t="str">
        <f>IFERROR(__xludf.DUMMYFUNCTION("""COMPUTED_VALUE"""),"2049")</f>
        <v>2049</v>
      </c>
    </row>
    <row r="64">
      <c r="A64" s="4" t="str">
        <f>IFERROR(__xludf.DUMMYFUNCTION("""COMPUTED_VALUE"""),"2080")</f>
        <v>2080</v>
      </c>
      <c r="B64" s="4" t="str">
        <f>IFERROR(__xludf.DUMMYFUNCTION("""COMPUTED_VALUE"""),"2080")</f>
        <v>2080</v>
      </c>
      <c r="C64" s="4" t="str">
        <f>IFERROR(__xludf.DUMMYFUNCTION("""COMPUTED_VALUE"""),"2080")</f>
        <v>2080</v>
      </c>
    </row>
    <row r="65">
      <c r="A65" s="4" t="str">
        <f>IFERROR(__xludf.DUMMYFUNCTION("""COMPUTED_VALUE"""),"20weth-80bal")</f>
        <v>20weth-80bal</v>
      </c>
      <c r="B65" s="4" t="str">
        <f>IFERROR(__xludf.DUMMYFUNCTION("""COMPUTED_VALUE"""),"20weth-80bal")</f>
        <v>20weth-80bal</v>
      </c>
      <c r="C65" s="4" t="str">
        <f>IFERROR(__xludf.DUMMYFUNCTION("""COMPUTED_VALUE"""),"20WETH-80BAL")</f>
        <v>20WETH-80BAL</v>
      </c>
    </row>
    <row r="66">
      <c r="A66" s="4" t="str">
        <f>IFERROR(__xludf.DUMMYFUNCTION("""COMPUTED_VALUE"""),"21million")</f>
        <v>21million</v>
      </c>
      <c r="B66" s="4" t="str">
        <f>IFERROR(__xludf.DUMMYFUNCTION("""COMPUTED_VALUE"""),"21m")</f>
        <v>21m</v>
      </c>
      <c r="C66" s="4" t="str">
        <f>IFERROR(__xludf.DUMMYFUNCTION("""COMPUTED_VALUE"""),"21Million")</f>
        <v>21Million</v>
      </c>
    </row>
    <row r="67">
      <c r="A67" s="4" t="str">
        <f>IFERROR(__xludf.DUMMYFUNCTION("""COMPUTED_VALUE"""),"28")</f>
        <v>28</v>
      </c>
      <c r="B67" s="4" t="str">
        <f>IFERROR(__xludf.DUMMYFUNCTION("""COMPUTED_VALUE"""),"28")</f>
        <v>28</v>
      </c>
      <c r="C67" s="4" t="str">
        <f>IFERROR(__xludf.DUMMYFUNCTION("""COMPUTED_VALUE"""),"28")</f>
        <v>28</v>
      </c>
    </row>
    <row r="68">
      <c r="A68" s="4" t="str">
        <f>IFERROR(__xludf.DUMMYFUNCTION("""COMPUTED_VALUE"""),"28vck")</f>
        <v>28vck</v>
      </c>
      <c r="B68" s="4" t="str">
        <f>IFERROR(__xludf.DUMMYFUNCTION("""COMPUTED_VALUE"""),"vck")</f>
        <v>vck</v>
      </c>
      <c r="C68" s="4" t="str">
        <f>IFERROR(__xludf.DUMMYFUNCTION("""COMPUTED_VALUE"""),"28VCK")</f>
        <v>28VCK</v>
      </c>
    </row>
    <row r="69">
      <c r="A69" s="4" t="str">
        <f>IFERROR(__xludf.DUMMYFUNCTION("""COMPUTED_VALUE"""),"2acoin")</f>
        <v>2acoin</v>
      </c>
      <c r="B69" s="4" t="str">
        <f>IFERROR(__xludf.DUMMYFUNCTION("""COMPUTED_VALUE"""),"arms")</f>
        <v>arms</v>
      </c>
      <c r="C69" s="4" t="str">
        <f>IFERROR(__xludf.DUMMYFUNCTION("""COMPUTED_VALUE"""),"2ACoin")</f>
        <v>2ACoin</v>
      </c>
    </row>
    <row r="70">
      <c r="A70" s="4" t="str">
        <f>IFERROR(__xludf.DUMMYFUNCTION("""COMPUTED_VALUE"""),"2dai-io")</f>
        <v>2dai-io</v>
      </c>
      <c r="B70" s="4" t="str">
        <f>IFERROR(__xludf.DUMMYFUNCTION("""COMPUTED_VALUE"""),"2dai")</f>
        <v>2dai</v>
      </c>
      <c r="C70" s="5" t="str">
        <f>IFERROR(__xludf.DUMMYFUNCTION("""COMPUTED_VALUE"""),"2DAI.io")</f>
        <v>2DAI.io</v>
      </c>
    </row>
    <row r="71">
      <c r="A71" s="4" t="str">
        <f>IFERROR(__xludf.DUMMYFUNCTION("""COMPUTED_VALUE"""),"2fai")</f>
        <v>2fai</v>
      </c>
      <c r="B71" s="4" t="str">
        <f>IFERROR(__xludf.DUMMYFUNCTION("""COMPUTED_VALUE"""),"2fai")</f>
        <v>2fai</v>
      </c>
      <c r="C71" s="4" t="str">
        <f>IFERROR(__xludf.DUMMYFUNCTION("""COMPUTED_VALUE"""),"2FAI")</f>
        <v>2FAI</v>
      </c>
    </row>
    <row r="72">
      <c r="A72" s="4" t="str">
        <f>IFERROR(__xludf.DUMMYFUNCTION("""COMPUTED_VALUE"""),"2g-carbon-coin")</f>
        <v>2g-carbon-coin</v>
      </c>
      <c r="B72" s="4" t="str">
        <f>IFERROR(__xludf.DUMMYFUNCTION("""COMPUTED_VALUE"""),"2gcc")</f>
        <v>2gcc</v>
      </c>
      <c r="C72" s="4" t="str">
        <f>IFERROR(__xludf.DUMMYFUNCTION("""COMPUTED_VALUE"""),"2G Carbon Coin")</f>
        <v>2G Carbon Coin</v>
      </c>
    </row>
    <row r="73">
      <c r="A73" s="4" t="str">
        <f>IFERROR(__xludf.DUMMYFUNCTION("""COMPUTED_VALUE"""),"2moon")</f>
        <v>2moon</v>
      </c>
      <c r="B73" s="4" t="str">
        <f>IFERROR(__xludf.DUMMYFUNCTION("""COMPUTED_VALUE"""),"moon")</f>
        <v>moon</v>
      </c>
      <c r="C73" s="4" t="str">
        <f>IFERROR(__xludf.DUMMYFUNCTION("""COMPUTED_VALUE"""),"2MOON")</f>
        <v>2MOON</v>
      </c>
    </row>
    <row r="74">
      <c r="A74" s="4" t="str">
        <f>IFERROR(__xludf.DUMMYFUNCTION("""COMPUTED_VALUE"""),"2omb-finance")</f>
        <v>2omb-finance</v>
      </c>
      <c r="B74" s="4" t="str">
        <f>IFERROR(__xludf.DUMMYFUNCTION("""COMPUTED_VALUE"""),"2omb")</f>
        <v>2omb</v>
      </c>
      <c r="C74" s="4" t="str">
        <f>IFERROR(__xludf.DUMMYFUNCTION("""COMPUTED_VALUE"""),"2omb")</f>
        <v>2omb</v>
      </c>
    </row>
    <row r="75">
      <c r="A75" s="4" t="str">
        <f>IFERROR(__xludf.DUMMYFUNCTION("""COMPUTED_VALUE"""),"2share")</f>
        <v>2share</v>
      </c>
      <c r="B75" s="4" t="str">
        <f>IFERROR(__xludf.DUMMYFUNCTION("""COMPUTED_VALUE"""),"2shares")</f>
        <v>2shares</v>
      </c>
      <c r="C75" s="4" t="str">
        <f>IFERROR(__xludf.DUMMYFUNCTION("""COMPUTED_VALUE"""),"2SHARE")</f>
        <v>2SHARE</v>
      </c>
    </row>
    <row r="76">
      <c r="A76" s="4" t="str">
        <f>IFERROR(__xludf.DUMMYFUNCTION("""COMPUTED_VALUE"""),"-3")</f>
        <v>-3</v>
      </c>
      <c r="B76" s="4" t="str">
        <f>IFERROR(__xludf.DUMMYFUNCTION("""COMPUTED_VALUE"""),"meow")</f>
        <v>meow</v>
      </c>
      <c r="C76" s="4" t="str">
        <f>IFERROR(__xludf.DUMMYFUNCTION("""COMPUTED_VALUE"""),"Meow Meow Coin")</f>
        <v>Meow Meow Coin</v>
      </c>
    </row>
    <row r="77">
      <c r="A77" s="4" t="str">
        <f>IFERROR(__xludf.DUMMYFUNCTION("""COMPUTED_VALUE"""),"300fit")</f>
        <v>300fit</v>
      </c>
      <c r="B77" s="4" t="str">
        <f>IFERROR(__xludf.DUMMYFUNCTION("""COMPUTED_VALUE"""),"fit")</f>
        <v>fit</v>
      </c>
      <c r="C77" s="4" t="str">
        <f>IFERROR(__xludf.DUMMYFUNCTION("""COMPUTED_VALUE"""),"300FIT")</f>
        <v>300FIT</v>
      </c>
    </row>
    <row r="78">
      <c r="A78" s="4" t="str">
        <f>IFERROR(__xludf.DUMMYFUNCTION("""COMPUTED_VALUE"""),"3a-lending-protocol")</f>
        <v>3a-lending-protocol</v>
      </c>
      <c r="B78" s="4" t="str">
        <f>IFERROR(__xludf.DUMMYFUNCTION("""COMPUTED_VALUE"""),"a3a")</f>
        <v>a3a</v>
      </c>
      <c r="C78" s="4" t="str">
        <f>IFERROR(__xludf.DUMMYFUNCTION("""COMPUTED_VALUE"""),"3A")</f>
        <v>3A</v>
      </c>
    </row>
    <row r="79">
      <c r="A79" s="4" t="str">
        <f>IFERROR(__xludf.DUMMYFUNCTION("""COMPUTED_VALUE"""),"3d3d")</f>
        <v>3d3d</v>
      </c>
      <c r="B79" s="4" t="str">
        <f>IFERROR(__xludf.DUMMYFUNCTION("""COMPUTED_VALUE"""),"3d3d")</f>
        <v>3d3d</v>
      </c>
      <c r="C79" s="4" t="str">
        <f>IFERROR(__xludf.DUMMYFUNCTION("""COMPUTED_VALUE"""),"3d3d")</f>
        <v>3d3d</v>
      </c>
    </row>
    <row r="80">
      <c r="A80" s="4" t="str">
        <f>IFERROR(__xludf.DUMMYFUNCTION("""COMPUTED_VALUE"""),"3dpass")</f>
        <v>3dpass</v>
      </c>
      <c r="B80" s="4" t="str">
        <f>IFERROR(__xludf.DUMMYFUNCTION("""COMPUTED_VALUE"""),"p3d")</f>
        <v>p3d</v>
      </c>
      <c r="C80" s="4" t="str">
        <f>IFERROR(__xludf.DUMMYFUNCTION("""COMPUTED_VALUE"""),"3DPass")</f>
        <v>3DPass</v>
      </c>
    </row>
    <row r="81">
      <c r="A81" s="4" t="str">
        <f>IFERROR(__xludf.DUMMYFUNCTION("""COMPUTED_VALUE"""),"3-kingdoms-multiverse")</f>
        <v>3-kingdoms-multiverse</v>
      </c>
      <c r="B81" s="4" t="str">
        <f>IFERROR(__xludf.DUMMYFUNCTION("""COMPUTED_VALUE"""),"3km")</f>
        <v>3km</v>
      </c>
      <c r="C81" s="4" t="str">
        <f>IFERROR(__xludf.DUMMYFUNCTION("""COMPUTED_VALUE"""),"3 Kingdoms Multiverse")</f>
        <v>3 Kingdoms Multiverse</v>
      </c>
    </row>
    <row r="82">
      <c r="A82" s="4" t="str">
        <f>IFERROR(__xludf.DUMMYFUNCTION("""COMPUTED_VALUE"""),"3space-art")</f>
        <v>3space-art</v>
      </c>
      <c r="B82" s="4" t="str">
        <f>IFERROR(__xludf.DUMMYFUNCTION("""COMPUTED_VALUE"""),"pace")</f>
        <v>pace</v>
      </c>
      <c r="C82" s="4" t="str">
        <f>IFERROR(__xludf.DUMMYFUNCTION("""COMPUTED_VALUE"""),"3SPACE ART")</f>
        <v>3SPACE ART</v>
      </c>
    </row>
    <row r="83">
      <c r="A83" s="4" t="str">
        <f>IFERROR(__xludf.DUMMYFUNCTION("""COMPUTED_VALUE"""),"3wild")</f>
        <v>3wild</v>
      </c>
      <c r="B83" s="4" t="str">
        <f>IFERROR(__xludf.DUMMYFUNCTION("""COMPUTED_VALUE"""),"3wild")</f>
        <v>3wild</v>
      </c>
      <c r="C83" s="4" t="str">
        <f>IFERROR(__xludf.DUMMYFUNCTION("""COMPUTED_VALUE"""),"3WILD")</f>
        <v>3WILD</v>
      </c>
    </row>
    <row r="84">
      <c r="A84" s="4" t="str">
        <f>IFERROR(__xludf.DUMMYFUNCTION("""COMPUTED_VALUE"""),"404aliens")</f>
        <v>404aliens</v>
      </c>
      <c r="B84" s="4" t="str">
        <f>IFERROR(__xludf.DUMMYFUNCTION("""COMPUTED_VALUE"""),"404a")</f>
        <v>404a</v>
      </c>
      <c r="C84" s="4" t="str">
        <f>IFERROR(__xludf.DUMMYFUNCTION("""COMPUTED_VALUE"""),"404Aliens")</f>
        <v>404Aliens</v>
      </c>
    </row>
    <row r="85">
      <c r="A85" s="4" t="str">
        <f>IFERROR(__xludf.DUMMYFUNCTION("""COMPUTED_VALUE"""),"404-bakery")</f>
        <v>404-bakery</v>
      </c>
      <c r="B85" s="4" t="str">
        <f>IFERROR(__xludf.DUMMYFUNCTION("""COMPUTED_VALUE"""),"bake")</f>
        <v>bake</v>
      </c>
      <c r="C85" s="4" t="str">
        <f>IFERROR(__xludf.DUMMYFUNCTION("""COMPUTED_VALUE"""),"404 Bakery")</f>
        <v>404 Bakery</v>
      </c>
    </row>
    <row r="86">
      <c r="A86" s="4" t="str">
        <f>IFERROR(__xludf.DUMMYFUNCTION("""COMPUTED_VALUE"""),"404blocks")</f>
        <v>404blocks</v>
      </c>
      <c r="B86" s="4" t="str">
        <f>IFERROR(__xludf.DUMMYFUNCTION("""COMPUTED_VALUE"""),"404blocks")</f>
        <v>404blocks</v>
      </c>
      <c r="C86" s="4" t="str">
        <f>IFERROR(__xludf.DUMMYFUNCTION("""COMPUTED_VALUE"""),"404Blocks")</f>
        <v>404Blocks</v>
      </c>
    </row>
    <row r="87">
      <c r="A87" s="4" t="str">
        <f>IFERROR(__xludf.DUMMYFUNCTION("""COMPUTED_VALUE"""),"404wheels")</f>
        <v>404wheels</v>
      </c>
      <c r="B87" s="4" t="str">
        <f>IFERROR(__xludf.DUMMYFUNCTION("""COMPUTED_VALUE"""),"404wheels")</f>
        <v>404wheels</v>
      </c>
      <c r="C87" s="4" t="str">
        <f>IFERROR(__xludf.DUMMYFUNCTION("""COMPUTED_VALUE"""),"404WHEELS")</f>
        <v>404WHEELS</v>
      </c>
    </row>
    <row r="88">
      <c r="A88" s="4" t="str">
        <f>IFERROR(__xludf.DUMMYFUNCTION("""COMPUTED_VALUE"""),"4096")</f>
        <v>4096</v>
      </c>
      <c r="B88" s="4" t="str">
        <f>IFERROR(__xludf.DUMMYFUNCTION("""COMPUTED_VALUE"""),"4096")</f>
        <v>4096</v>
      </c>
      <c r="C88" s="4" t="str">
        <f>IFERROR(__xludf.DUMMYFUNCTION("""COMPUTED_VALUE"""),"4096")</f>
        <v>4096</v>
      </c>
    </row>
    <row r="89">
      <c r="A89" s="4" t="str">
        <f>IFERROR(__xludf.DUMMYFUNCTION("""COMPUTED_VALUE"""),"42-coin")</f>
        <v>42-coin</v>
      </c>
      <c r="B89" s="4" t="str">
        <f>IFERROR(__xludf.DUMMYFUNCTION("""COMPUTED_VALUE"""),"42")</f>
        <v>42</v>
      </c>
      <c r="C89" s="4" t="str">
        <f>IFERROR(__xludf.DUMMYFUNCTION("""COMPUTED_VALUE"""),"42-coin")</f>
        <v>42-coin</v>
      </c>
    </row>
    <row r="90">
      <c r="A90" s="4" t="str">
        <f>IFERROR(__xludf.DUMMYFUNCTION("""COMPUTED_VALUE"""),"4chan")</f>
        <v>4chan</v>
      </c>
      <c r="B90" s="4" t="str">
        <f>IFERROR(__xludf.DUMMYFUNCTION("""COMPUTED_VALUE"""),"4chan")</f>
        <v>4chan</v>
      </c>
      <c r="C90" s="4" t="str">
        <f>IFERROR(__xludf.DUMMYFUNCTION("""COMPUTED_VALUE"""),"4Chan")</f>
        <v>4Chan</v>
      </c>
    </row>
    <row r="91">
      <c r="A91" s="4" t="str">
        <f>IFERROR(__xludf.DUMMYFUNCTION("""COMPUTED_VALUE"""),"4dcoin")</f>
        <v>4dcoin</v>
      </c>
      <c r="B91" s="4" t="str">
        <f>IFERROR(__xludf.DUMMYFUNCTION("""COMPUTED_VALUE"""),"4dc")</f>
        <v>4dc</v>
      </c>
      <c r="C91" s="4" t="str">
        <f>IFERROR(__xludf.DUMMYFUNCTION("""COMPUTED_VALUE"""),"4DCoin")</f>
        <v>4DCoin</v>
      </c>
    </row>
    <row r="92">
      <c r="A92" s="4" t="str">
        <f>IFERROR(__xludf.DUMMYFUNCTION("""COMPUTED_VALUE"""),"4d-twin-maps-2")</f>
        <v>4d-twin-maps-2</v>
      </c>
      <c r="B92" s="4" t="str">
        <f>IFERROR(__xludf.DUMMYFUNCTION("""COMPUTED_VALUE"""),"4dmaps")</f>
        <v>4dmaps</v>
      </c>
      <c r="C92" s="4" t="str">
        <f>IFERROR(__xludf.DUMMYFUNCTION("""COMPUTED_VALUE"""),"4D Twin Maps")</f>
        <v>4D Twin Maps</v>
      </c>
    </row>
    <row r="93">
      <c r="A93" s="4" t="str">
        <f>IFERROR(__xludf.DUMMYFUNCTION("""COMPUTED_VALUE"""),"4int")</f>
        <v>4int</v>
      </c>
      <c r="B93" s="4" t="str">
        <f>IFERROR(__xludf.DUMMYFUNCTION("""COMPUTED_VALUE"""),"4int")</f>
        <v>4int</v>
      </c>
      <c r="C93" s="4" t="str">
        <f>IFERROR(__xludf.DUMMYFUNCTION("""COMPUTED_VALUE"""),"4INT")</f>
        <v>4INT</v>
      </c>
    </row>
    <row r="94">
      <c r="A94" s="4" t="str">
        <f>IFERROR(__xludf.DUMMYFUNCTION("""COMPUTED_VALUE"""),"4jnet")</f>
        <v>4jnet</v>
      </c>
      <c r="B94" s="4" t="str">
        <f>IFERROR(__xludf.DUMMYFUNCTION("""COMPUTED_VALUE"""),"4jnet")</f>
        <v>4jnet</v>
      </c>
      <c r="C94" s="4" t="str">
        <f>IFERROR(__xludf.DUMMYFUNCTION("""COMPUTED_VALUE"""),"4JNET")</f>
        <v>4JNET</v>
      </c>
    </row>
    <row r="95">
      <c r="A95" s="4" t="str">
        <f>IFERROR(__xludf.DUMMYFUNCTION("""COMPUTED_VALUE"""),"4-next-unicorn")</f>
        <v>4-next-unicorn</v>
      </c>
      <c r="B95" s="4" t="str">
        <f>IFERROR(__xludf.DUMMYFUNCTION("""COMPUTED_VALUE"""),"nxtu")</f>
        <v>nxtu</v>
      </c>
      <c r="C95" s="4" t="str">
        <f>IFERROR(__xludf.DUMMYFUNCTION("""COMPUTED_VALUE"""),"4 Next Unicorn")</f>
        <v>4 Next Unicorn</v>
      </c>
    </row>
    <row r="96">
      <c r="A96" s="4" t="str">
        <f>IFERROR(__xludf.DUMMYFUNCTION("""COMPUTED_VALUE"""),"50cal")</f>
        <v>50cal</v>
      </c>
      <c r="B96" s="4" t="str">
        <f>IFERROR(__xludf.DUMMYFUNCTION("""COMPUTED_VALUE"""),"50cal")</f>
        <v>50cal</v>
      </c>
      <c r="C96" s="4" t="str">
        <f>IFERROR(__xludf.DUMMYFUNCTION("""COMPUTED_VALUE"""),"50cal")</f>
        <v>50cal</v>
      </c>
    </row>
    <row r="97">
      <c r="A97" s="4" t="str">
        <f>IFERROR(__xludf.DUMMYFUNCTION("""COMPUTED_VALUE"""),"50cent")</f>
        <v>50cent</v>
      </c>
      <c r="B97" s="4" t="str">
        <f>IFERROR(__xludf.DUMMYFUNCTION("""COMPUTED_VALUE"""),"50c")</f>
        <v>50c</v>
      </c>
      <c r="C97" s="4" t="str">
        <f>IFERROR(__xludf.DUMMYFUNCTION("""COMPUTED_VALUE"""),"50Cent")</f>
        <v>50Cent</v>
      </c>
    </row>
    <row r="98">
      <c r="A98" s="4" t="str">
        <f>IFERROR(__xludf.DUMMYFUNCTION("""COMPUTED_VALUE"""),"5g-cash")</f>
        <v>5g-cash</v>
      </c>
      <c r="B98" s="4" t="str">
        <f>IFERROR(__xludf.DUMMYFUNCTION("""COMPUTED_VALUE"""),"vgc")</f>
        <v>vgc</v>
      </c>
      <c r="C98" s="4" t="str">
        <f>IFERROR(__xludf.DUMMYFUNCTION("""COMPUTED_VALUE"""),"5G-CASH")</f>
        <v>5G-CASH</v>
      </c>
    </row>
    <row r="99">
      <c r="A99" s="4" t="str">
        <f>IFERROR(__xludf.DUMMYFUNCTION("""COMPUTED_VALUE"""),"5ire")</f>
        <v>5ire</v>
      </c>
      <c r="B99" s="4" t="str">
        <f>IFERROR(__xludf.DUMMYFUNCTION("""COMPUTED_VALUE"""),"5ire")</f>
        <v>5ire</v>
      </c>
      <c r="C99" s="4" t="str">
        <f>IFERROR(__xludf.DUMMYFUNCTION("""COMPUTED_VALUE"""),"5ire")</f>
        <v>5ire</v>
      </c>
    </row>
    <row r="100">
      <c r="A100" s="4" t="str">
        <f>IFERROR(__xludf.DUMMYFUNCTION("""COMPUTED_VALUE"""),"5mc")</f>
        <v>5mc</v>
      </c>
      <c r="B100" s="4" t="str">
        <f>IFERROR(__xludf.DUMMYFUNCTION("""COMPUTED_VALUE"""),"5mc")</f>
        <v>5mc</v>
      </c>
      <c r="C100" s="4" t="str">
        <f>IFERROR(__xludf.DUMMYFUNCTION("""COMPUTED_VALUE"""),"5mc")</f>
        <v>5mc</v>
      </c>
    </row>
    <row r="101">
      <c r="A101" s="4" t="str">
        <f>IFERROR(__xludf.DUMMYFUNCTION("""COMPUTED_VALUE"""),"69420")</f>
        <v>69420</v>
      </c>
      <c r="B101" s="4" t="str">
        <f>IFERROR(__xludf.DUMMYFUNCTION("""COMPUTED_VALUE"""),"69420")</f>
        <v>69420</v>
      </c>
      <c r="C101" s="4" t="str">
        <f>IFERROR(__xludf.DUMMYFUNCTION("""COMPUTED_VALUE"""),"69420")</f>
        <v>69420</v>
      </c>
    </row>
    <row r="102">
      <c r="A102" s="4" t="str">
        <f>IFERROR(__xludf.DUMMYFUNCTION("""COMPUTED_VALUE"""),"777")</f>
        <v>777</v>
      </c>
      <c r="B102" s="4" t="str">
        <f>IFERROR(__xludf.DUMMYFUNCTION("""COMPUTED_VALUE"""),"777")</f>
        <v>777</v>
      </c>
      <c r="C102" s="4" t="str">
        <f>IFERROR(__xludf.DUMMYFUNCTION("""COMPUTED_VALUE"""),"777")</f>
        <v>777</v>
      </c>
    </row>
    <row r="103">
      <c r="A103" s="4" t="str">
        <f>IFERROR(__xludf.DUMMYFUNCTION("""COMPUTED_VALUE"""),"888tron")</f>
        <v>888tron</v>
      </c>
      <c r="B103" s="4" t="str">
        <f>IFERROR(__xludf.DUMMYFUNCTION("""COMPUTED_VALUE"""),"888")</f>
        <v>888</v>
      </c>
      <c r="C103" s="4" t="str">
        <f>IFERROR(__xludf.DUMMYFUNCTION("""COMPUTED_VALUE"""),"888tron")</f>
        <v>888tron</v>
      </c>
    </row>
    <row r="104">
      <c r="A104" s="4" t="str">
        <f>IFERROR(__xludf.DUMMYFUNCTION("""COMPUTED_VALUE"""),"88mph")</f>
        <v>88mph</v>
      </c>
      <c r="B104" s="4" t="str">
        <f>IFERROR(__xludf.DUMMYFUNCTION("""COMPUTED_VALUE"""),"mph")</f>
        <v>mph</v>
      </c>
      <c r="C104" s="4" t="str">
        <f>IFERROR(__xludf.DUMMYFUNCTION("""COMPUTED_VALUE"""),"88mph")</f>
        <v>88mph</v>
      </c>
    </row>
    <row r="105">
      <c r="A105" s="4" t="str">
        <f>IFERROR(__xludf.DUMMYFUNCTION("""COMPUTED_VALUE"""),"8bit-chain")</f>
        <v>8bit-chain</v>
      </c>
      <c r="B105" s="4" t="str">
        <f>IFERROR(__xludf.DUMMYFUNCTION("""COMPUTED_VALUE"""),"w8bit")</f>
        <v>w8bit</v>
      </c>
      <c r="C105" s="4" t="str">
        <f>IFERROR(__xludf.DUMMYFUNCTION("""COMPUTED_VALUE"""),"8Bit Chain")</f>
        <v>8Bit Chain</v>
      </c>
    </row>
    <row r="106">
      <c r="A106" s="4" t="str">
        <f>IFERROR(__xludf.DUMMYFUNCTION("""COMPUTED_VALUE"""),"8bitearn")</f>
        <v>8bitearn</v>
      </c>
      <c r="B106" s="4" t="str">
        <f>IFERROR(__xludf.DUMMYFUNCTION("""COMPUTED_VALUE"""),"8bit")</f>
        <v>8bit</v>
      </c>
      <c r="C106" s="4" t="str">
        <f>IFERROR(__xludf.DUMMYFUNCTION("""COMPUTED_VALUE"""),"8BITEARN")</f>
        <v>8BITEARN</v>
      </c>
    </row>
    <row r="107">
      <c r="A107" s="4" t="str">
        <f>IFERROR(__xludf.DUMMYFUNCTION("""COMPUTED_VALUE"""),"8pay")</f>
        <v>8pay</v>
      </c>
      <c r="B107" s="4" t="str">
        <f>IFERROR(__xludf.DUMMYFUNCTION("""COMPUTED_VALUE"""),"8pay")</f>
        <v>8pay</v>
      </c>
      <c r="C107" s="4" t="str">
        <f>IFERROR(__xludf.DUMMYFUNCTION("""COMPUTED_VALUE"""),"8Pay")</f>
        <v>8Pay</v>
      </c>
    </row>
    <row r="108">
      <c r="A108" s="4" t="str">
        <f>IFERROR(__xludf.DUMMYFUNCTION("""COMPUTED_VALUE"""),"90s-crypto-exchange")</f>
        <v>90s-crypto-exchange</v>
      </c>
      <c r="B108" s="4" t="str">
        <f>IFERROR(__xludf.DUMMYFUNCTION("""COMPUTED_VALUE"""),"90s")</f>
        <v>90s</v>
      </c>
      <c r="C108" s="4" t="str">
        <f>IFERROR(__xludf.DUMMYFUNCTION("""COMPUTED_VALUE"""),"90s Crypto Exchange")</f>
        <v>90s Crypto Exchange</v>
      </c>
    </row>
    <row r="109">
      <c r="A109" s="4" t="str">
        <f>IFERROR(__xludf.DUMMYFUNCTION("""COMPUTED_VALUE"""),"99starz")</f>
        <v>99starz</v>
      </c>
      <c r="B109" s="4" t="str">
        <f>IFERROR(__xludf.DUMMYFUNCTION("""COMPUTED_VALUE"""),"stz")</f>
        <v>stz</v>
      </c>
      <c r="C109" s="4" t="str">
        <f>IFERROR(__xludf.DUMMYFUNCTION("""COMPUTED_VALUE"""),"99Starz")</f>
        <v>99Starz</v>
      </c>
    </row>
    <row r="110">
      <c r="A110" s="4" t="str">
        <f>IFERROR(__xludf.DUMMYFUNCTION("""COMPUTED_VALUE"""),"9inch")</f>
        <v>9inch</v>
      </c>
      <c r="B110" s="4" t="str">
        <f>IFERROR(__xludf.DUMMYFUNCTION("""COMPUTED_VALUE"""),"9inch")</f>
        <v>9inch</v>
      </c>
      <c r="C110" s="4" t="str">
        <f>IFERROR(__xludf.DUMMYFUNCTION("""COMPUTED_VALUE"""),"9inch")</f>
        <v>9inch</v>
      </c>
    </row>
    <row r="111">
      <c r="A111" s="4" t="str">
        <f>IFERROR(__xludf.DUMMYFUNCTION("""COMPUTED_VALUE"""),"9inch-eth")</f>
        <v>9inch-eth</v>
      </c>
      <c r="B111" s="4" t="str">
        <f>IFERROR(__xludf.DUMMYFUNCTION("""COMPUTED_VALUE"""),"9inch")</f>
        <v>9inch</v>
      </c>
      <c r="C111" s="4" t="str">
        <f>IFERROR(__xludf.DUMMYFUNCTION("""COMPUTED_VALUE"""),"9inch ETH")</f>
        <v>9inch ETH</v>
      </c>
    </row>
    <row r="112">
      <c r="A112" s="4" t="str">
        <f>IFERROR(__xludf.DUMMYFUNCTION("""COMPUTED_VALUE"""),"a3s")</f>
        <v>a3s</v>
      </c>
      <c r="B112" s="4" t="str">
        <f>IFERROR(__xludf.DUMMYFUNCTION("""COMPUTED_VALUE"""),"aa")</f>
        <v>aa</v>
      </c>
      <c r="C112" s="4" t="str">
        <f>IFERROR(__xludf.DUMMYFUNCTION("""COMPUTED_VALUE"""),"A3S")</f>
        <v>A3S</v>
      </c>
    </row>
    <row r="113">
      <c r="A113" s="4" t="str">
        <f>IFERROR(__xludf.DUMMYFUNCTION("""COMPUTED_VALUE"""),"a4-finance")</f>
        <v>a4-finance</v>
      </c>
      <c r="B113" s="4" t="str">
        <f>IFERROR(__xludf.DUMMYFUNCTION("""COMPUTED_VALUE"""),"a4")</f>
        <v>a4</v>
      </c>
      <c r="C113" s="4" t="str">
        <f>IFERROR(__xludf.DUMMYFUNCTION("""COMPUTED_VALUE"""),"A4 Finance")</f>
        <v>A4 Finance</v>
      </c>
    </row>
    <row r="114">
      <c r="A114" s="4" t="str">
        <f>IFERROR(__xludf.DUMMYFUNCTION("""COMPUTED_VALUE"""),"a51-finance")</f>
        <v>a51-finance</v>
      </c>
      <c r="B114" s="4" t="str">
        <f>IFERROR(__xludf.DUMMYFUNCTION("""COMPUTED_VALUE"""),"a51")</f>
        <v>a51</v>
      </c>
      <c r="C114" s="4" t="str">
        <f>IFERROR(__xludf.DUMMYFUNCTION("""COMPUTED_VALUE"""),"A51 Finance")</f>
        <v>A51 Finance</v>
      </c>
    </row>
    <row r="115">
      <c r="A115" s="4" t="str">
        <f>IFERROR(__xludf.DUMMYFUNCTION("""COMPUTED_VALUE"""),"aada-finance")</f>
        <v>aada-finance</v>
      </c>
      <c r="B115" s="4" t="str">
        <f>IFERROR(__xludf.DUMMYFUNCTION("""COMPUTED_VALUE"""),"lenfi")</f>
        <v>lenfi</v>
      </c>
      <c r="C115" s="4" t="str">
        <f>IFERROR(__xludf.DUMMYFUNCTION("""COMPUTED_VALUE"""),"Lenfi")</f>
        <v>Lenfi</v>
      </c>
    </row>
    <row r="116">
      <c r="A116" s="4" t="str">
        <f>IFERROR(__xludf.DUMMYFUNCTION("""COMPUTED_VALUE"""),"aag-ventures")</f>
        <v>aag-ventures</v>
      </c>
      <c r="B116" s="4" t="str">
        <f>IFERROR(__xludf.DUMMYFUNCTION("""COMPUTED_VALUE"""),"aag")</f>
        <v>aag</v>
      </c>
      <c r="C116" s="4" t="str">
        <f>IFERROR(__xludf.DUMMYFUNCTION("""COMPUTED_VALUE"""),"AAG")</f>
        <v>AAG</v>
      </c>
    </row>
    <row r="117">
      <c r="A117" s="4" t="str">
        <f>IFERROR(__xludf.DUMMYFUNCTION("""COMPUTED_VALUE"""),"aardvark")</f>
        <v>aardvark</v>
      </c>
      <c r="B117" s="4" t="str">
        <f>IFERROR(__xludf.DUMMYFUNCTION("""COMPUTED_VALUE"""),"ardvrk")</f>
        <v>ardvrk</v>
      </c>
      <c r="C117" s="4" t="str">
        <f>IFERROR(__xludf.DUMMYFUNCTION("""COMPUTED_VALUE"""),"Aardvark [OLD]")</f>
        <v>Aardvark [OLD]</v>
      </c>
    </row>
    <row r="118">
      <c r="A118" s="4" t="str">
        <f>IFERROR(__xludf.DUMMYFUNCTION("""COMPUTED_VALUE"""),"aardvark-2")</f>
        <v>aardvark-2</v>
      </c>
      <c r="B118" s="4" t="str">
        <f>IFERROR(__xludf.DUMMYFUNCTION("""COMPUTED_VALUE"""),"vark")</f>
        <v>vark</v>
      </c>
      <c r="C118" s="4" t="str">
        <f>IFERROR(__xludf.DUMMYFUNCTION("""COMPUTED_VALUE"""),"Aardvark")</f>
        <v>Aardvark</v>
      </c>
    </row>
    <row r="119">
      <c r="A119" s="4" t="str">
        <f>IFERROR(__xludf.DUMMYFUNCTION("""COMPUTED_VALUE"""),"aarma")</f>
        <v>aarma</v>
      </c>
      <c r="B119" s="4" t="str">
        <f>IFERROR(__xludf.DUMMYFUNCTION("""COMPUTED_VALUE"""),"arma")</f>
        <v>arma</v>
      </c>
      <c r="C119" s="4" t="str">
        <f>IFERROR(__xludf.DUMMYFUNCTION("""COMPUTED_VALUE"""),"Aarma")</f>
        <v>Aarma</v>
      </c>
    </row>
    <row r="120">
      <c r="A120" s="4" t="str">
        <f>IFERROR(__xludf.DUMMYFUNCTION("""COMPUTED_VALUE"""),"aastoken")</f>
        <v>aastoken</v>
      </c>
      <c r="B120" s="4" t="str">
        <f>IFERROR(__xludf.DUMMYFUNCTION("""COMPUTED_VALUE"""),"aast")</f>
        <v>aast</v>
      </c>
      <c r="C120" s="4" t="str">
        <f>IFERROR(__xludf.DUMMYFUNCTION("""COMPUTED_VALUE"""),"AASToken")</f>
        <v>AASToken</v>
      </c>
    </row>
    <row r="121">
      <c r="A121" s="4" t="str">
        <f>IFERROR(__xludf.DUMMYFUNCTION("""COMPUTED_VALUE"""),"aave")</f>
        <v>aave</v>
      </c>
      <c r="B121" s="4" t="str">
        <f>IFERROR(__xludf.DUMMYFUNCTION("""COMPUTED_VALUE"""),"aave")</f>
        <v>aave</v>
      </c>
      <c r="C121" s="4" t="str">
        <f>IFERROR(__xludf.DUMMYFUNCTION("""COMPUTED_VALUE"""),"Aave")</f>
        <v>Aave</v>
      </c>
    </row>
    <row r="122">
      <c r="A122" s="4" t="str">
        <f>IFERROR(__xludf.DUMMYFUNCTION("""COMPUTED_VALUE"""),"aave-aave")</f>
        <v>aave-aave</v>
      </c>
      <c r="B122" s="4" t="str">
        <f>IFERROR(__xludf.DUMMYFUNCTION("""COMPUTED_VALUE"""),"aaave")</f>
        <v>aaave</v>
      </c>
      <c r="C122" s="4" t="str">
        <f>IFERROR(__xludf.DUMMYFUNCTION("""COMPUTED_VALUE"""),"Aave AAVE")</f>
        <v>Aave AAVE</v>
      </c>
    </row>
    <row r="123">
      <c r="A123" s="4" t="str">
        <f>IFERROR(__xludf.DUMMYFUNCTION("""COMPUTED_VALUE"""),"aave-amm-bptbalweth")</f>
        <v>aave-amm-bptbalweth</v>
      </c>
      <c r="B123" s="4" t="str">
        <f>IFERROR(__xludf.DUMMYFUNCTION("""COMPUTED_VALUE"""),"aammbptbalweth")</f>
        <v>aammbptbalweth</v>
      </c>
      <c r="C123" s="4" t="str">
        <f>IFERROR(__xludf.DUMMYFUNCTION("""COMPUTED_VALUE"""),"Aave AMM BptBALWETH")</f>
        <v>Aave AMM BptBALWETH</v>
      </c>
    </row>
    <row r="124">
      <c r="A124" s="4" t="str">
        <f>IFERROR(__xludf.DUMMYFUNCTION("""COMPUTED_VALUE"""),"aave-amm-bptwbtcweth")</f>
        <v>aave-amm-bptwbtcweth</v>
      </c>
      <c r="B124" s="4" t="str">
        <f>IFERROR(__xludf.DUMMYFUNCTION("""COMPUTED_VALUE"""),"aammbptwbtcweth")</f>
        <v>aammbptwbtcweth</v>
      </c>
      <c r="C124" s="4" t="str">
        <f>IFERROR(__xludf.DUMMYFUNCTION("""COMPUTED_VALUE"""),"Aave AMM BptWBTCWETH")</f>
        <v>Aave AMM BptWBTCWETH</v>
      </c>
    </row>
    <row r="125">
      <c r="A125" s="4" t="str">
        <f>IFERROR(__xludf.DUMMYFUNCTION("""COMPUTED_VALUE"""),"aave-amm-dai")</f>
        <v>aave-amm-dai</v>
      </c>
      <c r="B125" s="4" t="str">
        <f>IFERROR(__xludf.DUMMYFUNCTION("""COMPUTED_VALUE"""),"aammdai")</f>
        <v>aammdai</v>
      </c>
      <c r="C125" s="4" t="str">
        <f>IFERROR(__xludf.DUMMYFUNCTION("""COMPUTED_VALUE"""),"Aave AMM DAI")</f>
        <v>Aave AMM DAI</v>
      </c>
    </row>
    <row r="126">
      <c r="A126" s="4" t="str">
        <f>IFERROR(__xludf.DUMMYFUNCTION("""COMPUTED_VALUE"""),"aave-amm-uniaaveweth")</f>
        <v>aave-amm-uniaaveweth</v>
      </c>
      <c r="B126" s="4" t="str">
        <f>IFERROR(__xludf.DUMMYFUNCTION("""COMPUTED_VALUE"""),"aammuniaaveweth")</f>
        <v>aammuniaaveweth</v>
      </c>
      <c r="C126" s="4" t="str">
        <f>IFERROR(__xludf.DUMMYFUNCTION("""COMPUTED_VALUE"""),"Aave AMM UniAAVEWETH")</f>
        <v>Aave AMM UniAAVEWETH</v>
      </c>
    </row>
    <row r="127">
      <c r="A127" s="4" t="str">
        <f>IFERROR(__xludf.DUMMYFUNCTION("""COMPUTED_VALUE"""),"aave-amm-unibatweth")</f>
        <v>aave-amm-unibatweth</v>
      </c>
      <c r="B127" s="4" t="str">
        <f>IFERROR(__xludf.DUMMYFUNCTION("""COMPUTED_VALUE"""),"aammunibatweth")</f>
        <v>aammunibatweth</v>
      </c>
      <c r="C127" s="4" t="str">
        <f>IFERROR(__xludf.DUMMYFUNCTION("""COMPUTED_VALUE"""),"Aave AMM UniBATWETH")</f>
        <v>Aave AMM UniBATWETH</v>
      </c>
    </row>
    <row r="128">
      <c r="A128" s="4" t="str">
        <f>IFERROR(__xludf.DUMMYFUNCTION("""COMPUTED_VALUE"""),"aave-amm-unicrvweth")</f>
        <v>aave-amm-unicrvweth</v>
      </c>
      <c r="B128" s="4" t="str">
        <f>IFERROR(__xludf.DUMMYFUNCTION("""COMPUTED_VALUE"""),"aammunicrvweth")</f>
        <v>aammunicrvweth</v>
      </c>
      <c r="C128" s="4" t="str">
        <f>IFERROR(__xludf.DUMMYFUNCTION("""COMPUTED_VALUE"""),"Aave AMM UniCRVWETH")</f>
        <v>Aave AMM UniCRVWETH</v>
      </c>
    </row>
    <row r="129">
      <c r="A129" s="4" t="str">
        <f>IFERROR(__xludf.DUMMYFUNCTION("""COMPUTED_VALUE"""),"aave-amm-unidaiusdc")</f>
        <v>aave-amm-unidaiusdc</v>
      </c>
      <c r="B129" s="4" t="str">
        <f>IFERROR(__xludf.DUMMYFUNCTION("""COMPUTED_VALUE"""),"aammunidaiusdc")</f>
        <v>aammunidaiusdc</v>
      </c>
      <c r="C129" s="4" t="str">
        <f>IFERROR(__xludf.DUMMYFUNCTION("""COMPUTED_VALUE"""),"Aave AMM UniDAIUSDC")</f>
        <v>Aave AMM UniDAIUSDC</v>
      </c>
    </row>
    <row r="130">
      <c r="A130" s="4" t="str">
        <f>IFERROR(__xludf.DUMMYFUNCTION("""COMPUTED_VALUE"""),"aave-amm-unidaiweth")</f>
        <v>aave-amm-unidaiweth</v>
      </c>
      <c r="B130" s="4" t="str">
        <f>IFERROR(__xludf.DUMMYFUNCTION("""COMPUTED_VALUE"""),"aammunidaiweth")</f>
        <v>aammunidaiweth</v>
      </c>
      <c r="C130" s="4" t="str">
        <f>IFERROR(__xludf.DUMMYFUNCTION("""COMPUTED_VALUE"""),"Aave AMM UniDAIWETH")</f>
        <v>Aave AMM UniDAIWETH</v>
      </c>
    </row>
    <row r="131">
      <c r="A131" s="4" t="str">
        <f>IFERROR(__xludf.DUMMYFUNCTION("""COMPUTED_VALUE"""),"aave-amm-unilinkweth")</f>
        <v>aave-amm-unilinkweth</v>
      </c>
      <c r="B131" s="4" t="str">
        <f>IFERROR(__xludf.DUMMYFUNCTION("""COMPUTED_VALUE"""),"aammunilinkweth")</f>
        <v>aammunilinkweth</v>
      </c>
      <c r="C131" s="4" t="str">
        <f>IFERROR(__xludf.DUMMYFUNCTION("""COMPUTED_VALUE"""),"Aave AMM UniLINKWETH")</f>
        <v>Aave AMM UniLINKWETH</v>
      </c>
    </row>
    <row r="132">
      <c r="A132" s="4" t="str">
        <f>IFERROR(__xludf.DUMMYFUNCTION("""COMPUTED_VALUE"""),"aave-amm-unimkrweth")</f>
        <v>aave-amm-unimkrweth</v>
      </c>
      <c r="B132" s="4" t="str">
        <f>IFERROR(__xludf.DUMMYFUNCTION("""COMPUTED_VALUE"""),"aammunimkrweth")</f>
        <v>aammunimkrweth</v>
      </c>
      <c r="C132" s="4" t="str">
        <f>IFERROR(__xludf.DUMMYFUNCTION("""COMPUTED_VALUE"""),"Aave AMM UniMKRWETH")</f>
        <v>Aave AMM UniMKRWETH</v>
      </c>
    </row>
    <row r="133">
      <c r="A133" s="4" t="str">
        <f>IFERROR(__xludf.DUMMYFUNCTION("""COMPUTED_VALUE"""),"aave-amm-unirenweth")</f>
        <v>aave-amm-unirenweth</v>
      </c>
      <c r="B133" s="4" t="str">
        <f>IFERROR(__xludf.DUMMYFUNCTION("""COMPUTED_VALUE"""),"aammunirenweth")</f>
        <v>aammunirenweth</v>
      </c>
      <c r="C133" s="4" t="str">
        <f>IFERROR(__xludf.DUMMYFUNCTION("""COMPUTED_VALUE"""),"Aave AMM UniRENWETH")</f>
        <v>Aave AMM UniRENWETH</v>
      </c>
    </row>
    <row r="134">
      <c r="A134" s="4" t="str">
        <f>IFERROR(__xludf.DUMMYFUNCTION("""COMPUTED_VALUE"""),"aave-amm-unisnxweth")</f>
        <v>aave-amm-unisnxweth</v>
      </c>
      <c r="B134" s="4" t="str">
        <f>IFERROR(__xludf.DUMMYFUNCTION("""COMPUTED_VALUE"""),"aammunisnxweth")</f>
        <v>aammunisnxweth</v>
      </c>
      <c r="C134" s="4" t="str">
        <f>IFERROR(__xludf.DUMMYFUNCTION("""COMPUTED_VALUE"""),"Aave AMM UniSNXWETH")</f>
        <v>Aave AMM UniSNXWETH</v>
      </c>
    </row>
    <row r="135">
      <c r="A135" s="4" t="str">
        <f>IFERROR(__xludf.DUMMYFUNCTION("""COMPUTED_VALUE"""),"aave-amm-uniuniweth")</f>
        <v>aave-amm-uniuniweth</v>
      </c>
      <c r="B135" s="4" t="str">
        <f>IFERROR(__xludf.DUMMYFUNCTION("""COMPUTED_VALUE"""),"aammuniuniweth")</f>
        <v>aammuniuniweth</v>
      </c>
      <c r="C135" s="4" t="str">
        <f>IFERROR(__xludf.DUMMYFUNCTION("""COMPUTED_VALUE"""),"Aave AMM UniUNIWETH")</f>
        <v>Aave AMM UniUNIWETH</v>
      </c>
    </row>
    <row r="136">
      <c r="A136" s="4" t="str">
        <f>IFERROR(__xludf.DUMMYFUNCTION("""COMPUTED_VALUE"""),"aave-amm-uniusdcweth")</f>
        <v>aave-amm-uniusdcweth</v>
      </c>
      <c r="B136" s="4" t="str">
        <f>IFERROR(__xludf.DUMMYFUNCTION("""COMPUTED_VALUE"""),"aammuniusdcweth")</f>
        <v>aammuniusdcweth</v>
      </c>
      <c r="C136" s="4" t="str">
        <f>IFERROR(__xludf.DUMMYFUNCTION("""COMPUTED_VALUE"""),"Aave AMM UniUSDCWETH")</f>
        <v>Aave AMM UniUSDCWETH</v>
      </c>
    </row>
    <row r="137">
      <c r="A137" s="4" t="str">
        <f>IFERROR(__xludf.DUMMYFUNCTION("""COMPUTED_VALUE"""),"aave-amm-uniwbtcusdc")</f>
        <v>aave-amm-uniwbtcusdc</v>
      </c>
      <c r="B137" s="4" t="str">
        <f>IFERROR(__xludf.DUMMYFUNCTION("""COMPUTED_VALUE"""),"aammuniwbtcusdc")</f>
        <v>aammuniwbtcusdc</v>
      </c>
      <c r="C137" s="4" t="str">
        <f>IFERROR(__xludf.DUMMYFUNCTION("""COMPUTED_VALUE"""),"Aave AMM UniWBTCUSDC")</f>
        <v>Aave AMM UniWBTCUSDC</v>
      </c>
    </row>
    <row r="138">
      <c r="A138" s="4" t="str">
        <f>IFERROR(__xludf.DUMMYFUNCTION("""COMPUTED_VALUE"""),"aave-amm-uniwbtcweth")</f>
        <v>aave-amm-uniwbtcweth</v>
      </c>
      <c r="B138" s="4" t="str">
        <f>IFERROR(__xludf.DUMMYFUNCTION("""COMPUTED_VALUE"""),"aammuniwbtcweth")</f>
        <v>aammuniwbtcweth</v>
      </c>
      <c r="C138" s="4" t="str">
        <f>IFERROR(__xludf.DUMMYFUNCTION("""COMPUTED_VALUE"""),"Aave AMM UniWBTCWETH")</f>
        <v>Aave AMM UniWBTCWETH</v>
      </c>
    </row>
    <row r="139">
      <c r="A139" s="4" t="str">
        <f>IFERROR(__xludf.DUMMYFUNCTION("""COMPUTED_VALUE"""),"aave-amm-uniyfiweth")</f>
        <v>aave-amm-uniyfiweth</v>
      </c>
      <c r="B139" s="4" t="str">
        <f>IFERROR(__xludf.DUMMYFUNCTION("""COMPUTED_VALUE"""),"aammuniyfiweth")</f>
        <v>aammuniyfiweth</v>
      </c>
      <c r="C139" s="4" t="str">
        <f>IFERROR(__xludf.DUMMYFUNCTION("""COMPUTED_VALUE"""),"Aave AMM UniYFIWETH")</f>
        <v>Aave AMM UniYFIWETH</v>
      </c>
    </row>
    <row r="140">
      <c r="A140" s="4" t="str">
        <f>IFERROR(__xludf.DUMMYFUNCTION("""COMPUTED_VALUE"""),"aave-amm-usdc")</f>
        <v>aave-amm-usdc</v>
      </c>
      <c r="B140" s="4" t="str">
        <f>IFERROR(__xludf.DUMMYFUNCTION("""COMPUTED_VALUE"""),"aammusdc")</f>
        <v>aammusdc</v>
      </c>
      <c r="C140" s="4" t="str">
        <f>IFERROR(__xludf.DUMMYFUNCTION("""COMPUTED_VALUE"""),"Aave AMM USDC")</f>
        <v>Aave AMM USDC</v>
      </c>
    </row>
    <row r="141">
      <c r="A141" s="4" t="str">
        <f>IFERROR(__xludf.DUMMYFUNCTION("""COMPUTED_VALUE"""),"aave-amm-usdt")</f>
        <v>aave-amm-usdt</v>
      </c>
      <c r="B141" s="4" t="str">
        <f>IFERROR(__xludf.DUMMYFUNCTION("""COMPUTED_VALUE"""),"aammusdt")</f>
        <v>aammusdt</v>
      </c>
      <c r="C141" s="4" t="str">
        <f>IFERROR(__xludf.DUMMYFUNCTION("""COMPUTED_VALUE"""),"Aave AMM USDT")</f>
        <v>Aave AMM USDT</v>
      </c>
    </row>
    <row r="142">
      <c r="A142" s="4" t="str">
        <f>IFERROR(__xludf.DUMMYFUNCTION("""COMPUTED_VALUE"""),"aave-amm-wbtc")</f>
        <v>aave-amm-wbtc</v>
      </c>
      <c r="B142" s="4" t="str">
        <f>IFERROR(__xludf.DUMMYFUNCTION("""COMPUTED_VALUE"""),"aammwbtc")</f>
        <v>aammwbtc</v>
      </c>
      <c r="C142" s="4" t="str">
        <f>IFERROR(__xludf.DUMMYFUNCTION("""COMPUTED_VALUE"""),"Aave AMM WBTC")</f>
        <v>Aave AMM WBTC</v>
      </c>
    </row>
    <row r="143">
      <c r="A143" s="4" t="str">
        <f>IFERROR(__xludf.DUMMYFUNCTION("""COMPUTED_VALUE"""),"aave-amm-weth")</f>
        <v>aave-amm-weth</v>
      </c>
      <c r="B143" s="4" t="str">
        <f>IFERROR(__xludf.DUMMYFUNCTION("""COMPUTED_VALUE"""),"aammweth")</f>
        <v>aammweth</v>
      </c>
      <c r="C143" s="4" t="str">
        <f>IFERROR(__xludf.DUMMYFUNCTION("""COMPUTED_VALUE"""),"Aave AMM WETH")</f>
        <v>Aave AMM WETH</v>
      </c>
    </row>
    <row r="144">
      <c r="A144" s="4" t="str">
        <f>IFERROR(__xludf.DUMMYFUNCTION("""COMPUTED_VALUE"""),"aave-bal")</f>
        <v>aave-bal</v>
      </c>
      <c r="B144" s="4" t="str">
        <f>IFERROR(__xludf.DUMMYFUNCTION("""COMPUTED_VALUE"""),"abal")</f>
        <v>abal</v>
      </c>
      <c r="C144" s="4" t="str">
        <f>IFERROR(__xludf.DUMMYFUNCTION("""COMPUTED_VALUE"""),"Aave BAL")</f>
        <v>Aave BAL</v>
      </c>
    </row>
    <row r="145">
      <c r="A145" s="4" t="str">
        <f>IFERROR(__xludf.DUMMYFUNCTION("""COMPUTED_VALUE"""),"aave-balancer-pool-token")</f>
        <v>aave-balancer-pool-token</v>
      </c>
      <c r="B145" s="4" t="str">
        <f>IFERROR(__xludf.DUMMYFUNCTION("""COMPUTED_VALUE"""),"abpt")</f>
        <v>abpt</v>
      </c>
      <c r="C145" s="4" t="str">
        <f>IFERROR(__xludf.DUMMYFUNCTION("""COMPUTED_VALUE"""),"Aave Balancer Pool Token")</f>
        <v>Aave Balancer Pool Token</v>
      </c>
    </row>
    <row r="146">
      <c r="A146" s="4" t="str">
        <f>IFERROR(__xludf.DUMMYFUNCTION("""COMPUTED_VALUE"""),"aave-bat")</f>
        <v>aave-bat</v>
      </c>
      <c r="B146" s="4" t="str">
        <f>IFERROR(__xludf.DUMMYFUNCTION("""COMPUTED_VALUE"""),"abat")</f>
        <v>abat</v>
      </c>
      <c r="C146" s="4" t="str">
        <f>IFERROR(__xludf.DUMMYFUNCTION("""COMPUTED_VALUE"""),"Aave BAT")</f>
        <v>Aave BAT</v>
      </c>
    </row>
    <row r="147">
      <c r="A147" s="4" t="str">
        <f>IFERROR(__xludf.DUMMYFUNCTION("""COMPUTED_VALUE"""),"aave-bat-v1")</f>
        <v>aave-bat-v1</v>
      </c>
      <c r="B147" s="4" t="str">
        <f>IFERROR(__xludf.DUMMYFUNCTION("""COMPUTED_VALUE"""),"abat")</f>
        <v>abat</v>
      </c>
      <c r="C147" s="4" t="str">
        <f>IFERROR(__xludf.DUMMYFUNCTION("""COMPUTED_VALUE"""),"Aave BAT v1")</f>
        <v>Aave BAT v1</v>
      </c>
    </row>
    <row r="148">
      <c r="A148" s="4" t="str">
        <f>IFERROR(__xludf.DUMMYFUNCTION("""COMPUTED_VALUE"""),"aave-busd")</f>
        <v>aave-busd</v>
      </c>
      <c r="B148" s="4" t="str">
        <f>IFERROR(__xludf.DUMMYFUNCTION("""COMPUTED_VALUE"""),"abusd")</f>
        <v>abusd</v>
      </c>
      <c r="C148" s="4" t="str">
        <f>IFERROR(__xludf.DUMMYFUNCTION("""COMPUTED_VALUE"""),"Aave BUSD")</f>
        <v>Aave BUSD</v>
      </c>
    </row>
    <row r="149">
      <c r="A149" s="4" t="str">
        <f>IFERROR(__xludf.DUMMYFUNCTION("""COMPUTED_VALUE"""),"aave-busd-v1")</f>
        <v>aave-busd-v1</v>
      </c>
      <c r="B149" s="4" t="str">
        <f>IFERROR(__xludf.DUMMYFUNCTION("""COMPUTED_VALUE"""),"abusd")</f>
        <v>abusd</v>
      </c>
      <c r="C149" s="4" t="str">
        <f>IFERROR(__xludf.DUMMYFUNCTION("""COMPUTED_VALUE"""),"Aave BUSD v1")</f>
        <v>Aave BUSD v1</v>
      </c>
    </row>
    <row r="150">
      <c r="A150" s="4" t="str">
        <f>IFERROR(__xludf.DUMMYFUNCTION("""COMPUTED_VALUE"""),"aave-crv")</f>
        <v>aave-crv</v>
      </c>
      <c r="B150" s="4" t="str">
        <f>IFERROR(__xludf.DUMMYFUNCTION("""COMPUTED_VALUE"""),"acrv")</f>
        <v>acrv</v>
      </c>
      <c r="C150" s="4" t="str">
        <f>IFERROR(__xludf.DUMMYFUNCTION("""COMPUTED_VALUE"""),"Aave CRV")</f>
        <v>Aave CRV</v>
      </c>
    </row>
    <row r="151">
      <c r="A151" s="4" t="str">
        <f>IFERROR(__xludf.DUMMYFUNCTION("""COMPUTED_VALUE"""),"aave-dai")</f>
        <v>aave-dai</v>
      </c>
      <c r="B151" s="4" t="str">
        <f>IFERROR(__xludf.DUMMYFUNCTION("""COMPUTED_VALUE"""),"adai")</f>
        <v>adai</v>
      </c>
      <c r="C151" s="4" t="str">
        <f>IFERROR(__xludf.DUMMYFUNCTION("""COMPUTED_VALUE"""),"Aave DAI")</f>
        <v>Aave DAI</v>
      </c>
    </row>
    <row r="152">
      <c r="A152" s="4" t="str">
        <f>IFERROR(__xludf.DUMMYFUNCTION("""COMPUTED_VALUE"""),"aave-dai-v1")</f>
        <v>aave-dai-v1</v>
      </c>
      <c r="B152" s="4" t="str">
        <f>IFERROR(__xludf.DUMMYFUNCTION("""COMPUTED_VALUE"""),"adai")</f>
        <v>adai</v>
      </c>
      <c r="C152" s="4" t="str">
        <f>IFERROR(__xludf.DUMMYFUNCTION("""COMPUTED_VALUE"""),"Aave DAI v1")</f>
        <v>Aave DAI v1</v>
      </c>
    </row>
    <row r="153">
      <c r="A153" s="4" t="str">
        <f>IFERROR(__xludf.DUMMYFUNCTION("""COMPUTED_VALUE"""),"aave-enj")</f>
        <v>aave-enj</v>
      </c>
      <c r="B153" s="4" t="str">
        <f>IFERROR(__xludf.DUMMYFUNCTION("""COMPUTED_VALUE"""),"aenj")</f>
        <v>aenj</v>
      </c>
      <c r="C153" s="4" t="str">
        <f>IFERROR(__xludf.DUMMYFUNCTION("""COMPUTED_VALUE"""),"Aave ENJ")</f>
        <v>Aave ENJ</v>
      </c>
    </row>
    <row r="154">
      <c r="A154" s="4" t="str">
        <f>IFERROR(__xludf.DUMMYFUNCTION("""COMPUTED_VALUE"""),"aave-enj-v1")</f>
        <v>aave-enj-v1</v>
      </c>
      <c r="B154" s="4" t="str">
        <f>IFERROR(__xludf.DUMMYFUNCTION("""COMPUTED_VALUE"""),"aenj")</f>
        <v>aenj</v>
      </c>
      <c r="C154" s="4" t="str">
        <f>IFERROR(__xludf.DUMMYFUNCTION("""COMPUTED_VALUE"""),"Aave ENJ v1")</f>
        <v>Aave ENJ v1</v>
      </c>
    </row>
    <row r="155">
      <c r="A155" s="4" t="str">
        <f>IFERROR(__xludf.DUMMYFUNCTION("""COMPUTED_VALUE"""),"aave-eth-v1")</f>
        <v>aave-eth-v1</v>
      </c>
      <c r="B155" s="4" t="str">
        <f>IFERROR(__xludf.DUMMYFUNCTION("""COMPUTED_VALUE"""),"aeth")</f>
        <v>aeth</v>
      </c>
      <c r="C155" s="4" t="str">
        <f>IFERROR(__xludf.DUMMYFUNCTION("""COMPUTED_VALUE"""),"Aave ETH v1")</f>
        <v>Aave ETH v1</v>
      </c>
    </row>
    <row r="156">
      <c r="A156" s="4" t="str">
        <f>IFERROR(__xludf.DUMMYFUNCTION("""COMPUTED_VALUE"""),"aavegotchi")</f>
        <v>aavegotchi</v>
      </c>
      <c r="B156" s="4" t="str">
        <f>IFERROR(__xludf.DUMMYFUNCTION("""COMPUTED_VALUE"""),"ghst")</f>
        <v>ghst</v>
      </c>
      <c r="C156" s="4" t="str">
        <f>IFERROR(__xludf.DUMMYFUNCTION("""COMPUTED_VALUE"""),"Aavegotchi")</f>
        <v>Aavegotchi</v>
      </c>
    </row>
    <row r="157">
      <c r="A157" s="4" t="str">
        <f>IFERROR(__xludf.DUMMYFUNCTION("""COMPUTED_VALUE"""),"aavegotchi-alpha")</f>
        <v>aavegotchi-alpha</v>
      </c>
      <c r="B157" s="4" t="str">
        <f>IFERROR(__xludf.DUMMYFUNCTION("""COMPUTED_VALUE"""),"alpha")</f>
        <v>alpha</v>
      </c>
      <c r="C157" s="4" t="str">
        <f>IFERROR(__xludf.DUMMYFUNCTION("""COMPUTED_VALUE"""),"Aavegotchi ALPHA")</f>
        <v>Aavegotchi ALPHA</v>
      </c>
    </row>
    <row r="158">
      <c r="A158" s="4" t="str">
        <f>IFERROR(__xludf.DUMMYFUNCTION("""COMPUTED_VALUE"""),"aavegotchi-fomo")</f>
        <v>aavegotchi-fomo</v>
      </c>
      <c r="B158" s="4" t="str">
        <f>IFERROR(__xludf.DUMMYFUNCTION("""COMPUTED_VALUE"""),"fomo")</f>
        <v>fomo</v>
      </c>
      <c r="C158" s="4" t="str">
        <f>IFERROR(__xludf.DUMMYFUNCTION("""COMPUTED_VALUE"""),"Aavegotchi FOMO")</f>
        <v>Aavegotchi FOMO</v>
      </c>
    </row>
    <row r="159">
      <c r="A159" s="4" t="str">
        <f>IFERROR(__xludf.DUMMYFUNCTION("""COMPUTED_VALUE"""),"aavegotchi-fud")</f>
        <v>aavegotchi-fud</v>
      </c>
      <c r="B159" s="4" t="str">
        <f>IFERROR(__xludf.DUMMYFUNCTION("""COMPUTED_VALUE"""),"fud")</f>
        <v>fud</v>
      </c>
      <c r="C159" s="4" t="str">
        <f>IFERROR(__xludf.DUMMYFUNCTION("""COMPUTED_VALUE"""),"Aavegotchi FUD")</f>
        <v>Aavegotchi FUD</v>
      </c>
    </row>
    <row r="160">
      <c r="A160" s="4" t="str">
        <f>IFERROR(__xludf.DUMMYFUNCTION("""COMPUTED_VALUE"""),"aavegotchi-kek")</f>
        <v>aavegotchi-kek</v>
      </c>
      <c r="B160" s="4" t="str">
        <f>IFERROR(__xludf.DUMMYFUNCTION("""COMPUTED_VALUE"""),"kek")</f>
        <v>kek</v>
      </c>
      <c r="C160" s="4" t="str">
        <f>IFERROR(__xludf.DUMMYFUNCTION("""COMPUTED_VALUE"""),"Aavegotchi KEK")</f>
        <v>Aavegotchi KEK</v>
      </c>
    </row>
    <row r="161">
      <c r="A161" s="4" t="str">
        <f>IFERROR(__xludf.DUMMYFUNCTION("""COMPUTED_VALUE"""),"aave-gusd")</f>
        <v>aave-gusd</v>
      </c>
      <c r="B161" s="4" t="str">
        <f>IFERROR(__xludf.DUMMYFUNCTION("""COMPUTED_VALUE"""),"agusd")</f>
        <v>agusd</v>
      </c>
      <c r="C161" s="4" t="str">
        <f>IFERROR(__xludf.DUMMYFUNCTION("""COMPUTED_VALUE"""),"Aave GUSD")</f>
        <v>Aave GUSD</v>
      </c>
    </row>
    <row r="162">
      <c r="A162" s="4" t="str">
        <f>IFERROR(__xludf.DUMMYFUNCTION("""COMPUTED_VALUE"""),"aave-interest-bearing-steth")</f>
        <v>aave-interest-bearing-steth</v>
      </c>
      <c r="B162" s="4" t="str">
        <f>IFERROR(__xludf.DUMMYFUNCTION("""COMPUTED_VALUE"""),"asteth")</f>
        <v>asteth</v>
      </c>
      <c r="C162" s="4" t="str">
        <f>IFERROR(__xludf.DUMMYFUNCTION("""COMPUTED_VALUE"""),"Aave Interest Bearing STETH")</f>
        <v>Aave Interest Bearing STETH</v>
      </c>
    </row>
    <row r="163">
      <c r="A163" s="4" t="str">
        <f>IFERROR(__xludf.DUMMYFUNCTION("""COMPUTED_VALUE"""),"aave-knc")</f>
        <v>aave-knc</v>
      </c>
      <c r="B163" s="4" t="str">
        <f>IFERROR(__xludf.DUMMYFUNCTION("""COMPUTED_VALUE"""),"aknc")</f>
        <v>aknc</v>
      </c>
      <c r="C163" s="4" t="str">
        <f>IFERROR(__xludf.DUMMYFUNCTION("""COMPUTED_VALUE"""),"Aave KNC")</f>
        <v>Aave KNC</v>
      </c>
    </row>
    <row r="164">
      <c r="A164" s="4" t="str">
        <f>IFERROR(__xludf.DUMMYFUNCTION("""COMPUTED_VALUE"""),"aave-knc-v1")</f>
        <v>aave-knc-v1</v>
      </c>
      <c r="B164" s="4" t="str">
        <f>IFERROR(__xludf.DUMMYFUNCTION("""COMPUTED_VALUE"""),"aknc")</f>
        <v>aknc</v>
      </c>
      <c r="C164" s="4" t="str">
        <f>IFERROR(__xludf.DUMMYFUNCTION("""COMPUTED_VALUE"""),"Aave KNC v1")</f>
        <v>Aave KNC v1</v>
      </c>
    </row>
    <row r="165">
      <c r="A165" s="4" t="str">
        <f>IFERROR(__xludf.DUMMYFUNCTION("""COMPUTED_VALUE"""),"aave-link")</f>
        <v>aave-link</v>
      </c>
      <c r="B165" s="4" t="str">
        <f>IFERROR(__xludf.DUMMYFUNCTION("""COMPUTED_VALUE"""),"alink")</f>
        <v>alink</v>
      </c>
      <c r="C165" s="4" t="str">
        <f>IFERROR(__xludf.DUMMYFUNCTION("""COMPUTED_VALUE"""),"Aave LINK")</f>
        <v>Aave LINK</v>
      </c>
    </row>
    <row r="166">
      <c r="A166" s="4" t="str">
        <f>IFERROR(__xludf.DUMMYFUNCTION("""COMPUTED_VALUE"""),"aave-link-v1")</f>
        <v>aave-link-v1</v>
      </c>
      <c r="B166" s="4" t="str">
        <f>IFERROR(__xludf.DUMMYFUNCTION("""COMPUTED_VALUE"""),"alink")</f>
        <v>alink</v>
      </c>
      <c r="C166" s="4" t="str">
        <f>IFERROR(__xludf.DUMMYFUNCTION("""COMPUTED_VALUE"""),"Aave LINK v1")</f>
        <v>Aave LINK v1</v>
      </c>
    </row>
    <row r="167">
      <c r="A167" s="4" t="str">
        <f>IFERROR(__xludf.DUMMYFUNCTION("""COMPUTED_VALUE"""),"aave-mana")</f>
        <v>aave-mana</v>
      </c>
      <c r="B167" s="4" t="str">
        <f>IFERROR(__xludf.DUMMYFUNCTION("""COMPUTED_VALUE"""),"amana")</f>
        <v>amana</v>
      </c>
      <c r="C167" s="4" t="str">
        <f>IFERROR(__xludf.DUMMYFUNCTION("""COMPUTED_VALUE"""),"Aave MANA")</f>
        <v>Aave MANA</v>
      </c>
    </row>
    <row r="168">
      <c r="A168" s="4" t="str">
        <f>IFERROR(__xludf.DUMMYFUNCTION("""COMPUTED_VALUE"""),"aave-mana-v1")</f>
        <v>aave-mana-v1</v>
      </c>
      <c r="B168" s="4" t="str">
        <f>IFERROR(__xludf.DUMMYFUNCTION("""COMPUTED_VALUE"""),"amana")</f>
        <v>amana</v>
      </c>
      <c r="C168" s="4" t="str">
        <f>IFERROR(__xludf.DUMMYFUNCTION("""COMPUTED_VALUE"""),"Aave MANA v1")</f>
        <v>Aave MANA v1</v>
      </c>
    </row>
    <row r="169">
      <c r="A169" s="4" t="str">
        <f>IFERROR(__xludf.DUMMYFUNCTION("""COMPUTED_VALUE"""),"aave-mkr")</f>
        <v>aave-mkr</v>
      </c>
      <c r="B169" s="4" t="str">
        <f>IFERROR(__xludf.DUMMYFUNCTION("""COMPUTED_VALUE"""),"amkr")</f>
        <v>amkr</v>
      </c>
      <c r="C169" s="4" t="str">
        <f>IFERROR(__xludf.DUMMYFUNCTION("""COMPUTED_VALUE"""),"Aave MKR")</f>
        <v>Aave MKR</v>
      </c>
    </row>
    <row r="170">
      <c r="A170" s="4" t="str">
        <f>IFERROR(__xludf.DUMMYFUNCTION("""COMPUTED_VALUE"""),"aave-mkr-v1")</f>
        <v>aave-mkr-v1</v>
      </c>
      <c r="B170" s="4" t="str">
        <f>IFERROR(__xludf.DUMMYFUNCTION("""COMPUTED_VALUE"""),"amkr")</f>
        <v>amkr</v>
      </c>
      <c r="C170" s="4" t="str">
        <f>IFERROR(__xludf.DUMMYFUNCTION("""COMPUTED_VALUE"""),"Aave MKR v1")</f>
        <v>Aave MKR v1</v>
      </c>
    </row>
    <row r="171">
      <c r="A171" s="4" t="str">
        <f>IFERROR(__xludf.DUMMYFUNCTION("""COMPUTED_VALUE"""),"aave-polygon-aave")</f>
        <v>aave-polygon-aave</v>
      </c>
      <c r="B171" s="4" t="str">
        <f>IFERROR(__xludf.DUMMYFUNCTION("""COMPUTED_VALUE"""),"amaave")</f>
        <v>amaave</v>
      </c>
      <c r="C171" s="4" t="str">
        <f>IFERROR(__xludf.DUMMYFUNCTION("""COMPUTED_VALUE"""),"Aave Polygon AAVE")</f>
        <v>Aave Polygon AAVE</v>
      </c>
    </row>
    <row r="172">
      <c r="A172" s="4" t="str">
        <f>IFERROR(__xludf.DUMMYFUNCTION("""COMPUTED_VALUE"""),"aave-polygon-dai")</f>
        <v>aave-polygon-dai</v>
      </c>
      <c r="B172" s="4" t="str">
        <f>IFERROR(__xludf.DUMMYFUNCTION("""COMPUTED_VALUE"""),"amdai")</f>
        <v>amdai</v>
      </c>
      <c r="C172" s="4" t="str">
        <f>IFERROR(__xludf.DUMMYFUNCTION("""COMPUTED_VALUE"""),"Aave Polygon DAI")</f>
        <v>Aave Polygon DAI</v>
      </c>
    </row>
    <row r="173">
      <c r="A173" s="4" t="str">
        <f>IFERROR(__xludf.DUMMYFUNCTION("""COMPUTED_VALUE"""),"aave-polygon-usdc")</f>
        <v>aave-polygon-usdc</v>
      </c>
      <c r="B173" s="4" t="str">
        <f>IFERROR(__xludf.DUMMYFUNCTION("""COMPUTED_VALUE"""),"amusdc")</f>
        <v>amusdc</v>
      </c>
      <c r="C173" s="4" t="str">
        <f>IFERROR(__xludf.DUMMYFUNCTION("""COMPUTED_VALUE"""),"Aave Polygon USDC")</f>
        <v>Aave Polygon USDC</v>
      </c>
    </row>
    <row r="174">
      <c r="A174" s="4" t="str">
        <f>IFERROR(__xludf.DUMMYFUNCTION("""COMPUTED_VALUE"""),"aave-polygon-usdt")</f>
        <v>aave-polygon-usdt</v>
      </c>
      <c r="B174" s="4" t="str">
        <f>IFERROR(__xludf.DUMMYFUNCTION("""COMPUTED_VALUE"""),"amusdt")</f>
        <v>amusdt</v>
      </c>
      <c r="C174" s="4" t="str">
        <f>IFERROR(__xludf.DUMMYFUNCTION("""COMPUTED_VALUE"""),"Aave Polygon USDT")</f>
        <v>Aave Polygon USDT</v>
      </c>
    </row>
    <row r="175">
      <c r="A175" s="4" t="str">
        <f>IFERROR(__xludf.DUMMYFUNCTION("""COMPUTED_VALUE"""),"aave-polygon-wbtc")</f>
        <v>aave-polygon-wbtc</v>
      </c>
      <c r="B175" s="4" t="str">
        <f>IFERROR(__xludf.DUMMYFUNCTION("""COMPUTED_VALUE"""),"amwbtc")</f>
        <v>amwbtc</v>
      </c>
      <c r="C175" s="4" t="str">
        <f>IFERROR(__xludf.DUMMYFUNCTION("""COMPUTED_VALUE"""),"Aave Polygon WBTC")</f>
        <v>Aave Polygon WBTC</v>
      </c>
    </row>
    <row r="176">
      <c r="A176" s="4" t="str">
        <f>IFERROR(__xludf.DUMMYFUNCTION("""COMPUTED_VALUE"""),"aave-polygon-weth")</f>
        <v>aave-polygon-weth</v>
      </c>
      <c r="B176" s="4" t="str">
        <f>IFERROR(__xludf.DUMMYFUNCTION("""COMPUTED_VALUE"""),"amweth")</f>
        <v>amweth</v>
      </c>
      <c r="C176" s="4" t="str">
        <f>IFERROR(__xludf.DUMMYFUNCTION("""COMPUTED_VALUE"""),"Aave Polygon WETH")</f>
        <v>Aave Polygon WETH</v>
      </c>
    </row>
    <row r="177">
      <c r="A177" s="4" t="str">
        <f>IFERROR(__xludf.DUMMYFUNCTION("""COMPUTED_VALUE"""),"aave-polygon-wmatic")</f>
        <v>aave-polygon-wmatic</v>
      </c>
      <c r="B177" s="4" t="str">
        <f>IFERROR(__xludf.DUMMYFUNCTION("""COMPUTED_VALUE"""),"amwmatic")</f>
        <v>amwmatic</v>
      </c>
      <c r="C177" s="4" t="str">
        <f>IFERROR(__xludf.DUMMYFUNCTION("""COMPUTED_VALUE"""),"Aave Polygon WMATIC")</f>
        <v>Aave Polygon WMATIC</v>
      </c>
    </row>
    <row r="178">
      <c r="A178" s="4" t="str">
        <f>IFERROR(__xludf.DUMMYFUNCTION("""COMPUTED_VALUE"""),"aave-rai")</f>
        <v>aave-rai</v>
      </c>
      <c r="B178" s="4" t="str">
        <f>IFERROR(__xludf.DUMMYFUNCTION("""COMPUTED_VALUE"""),"arai")</f>
        <v>arai</v>
      </c>
      <c r="C178" s="4" t="str">
        <f>IFERROR(__xludf.DUMMYFUNCTION("""COMPUTED_VALUE"""),"Aave RAI")</f>
        <v>Aave RAI</v>
      </c>
    </row>
    <row r="179">
      <c r="A179" s="4" t="str">
        <f>IFERROR(__xludf.DUMMYFUNCTION("""COMPUTED_VALUE"""),"aave-ren")</f>
        <v>aave-ren</v>
      </c>
      <c r="B179" s="4" t="str">
        <f>IFERROR(__xludf.DUMMYFUNCTION("""COMPUTED_VALUE"""),"aren")</f>
        <v>aren</v>
      </c>
      <c r="C179" s="4" t="str">
        <f>IFERROR(__xludf.DUMMYFUNCTION("""COMPUTED_VALUE"""),"Aave REN")</f>
        <v>Aave REN</v>
      </c>
    </row>
    <row r="180">
      <c r="A180" s="4" t="str">
        <f>IFERROR(__xludf.DUMMYFUNCTION("""COMPUTED_VALUE"""),"aave-ren-v1")</f>
        <v>aave-ren-v1</v>
      </c>
      <c r="B180" s="4" t="str">
        <f>IFERROR(__xludf.DUMMYFUNCTION("""COMPUTED_VALUE"""),"aren")</f>
        <v>aren</v>
      </c>
      <c r="C180" s="4" t="str">
        <f>IFERROR(__xludf.DUMMYFUNCTION("""COMPUTED_VALUE"""),"Aave REN v1")</f>
        <v>Aave REN v1</v>
      </c>
    </row>
    <row r="181">
      <c r="A181" s="4" t="str">
        <f>IFERROR(__xludf.DUMMYFUNCTION("""COMPUTED_VALUE"""),"aave-snx")</f>
        <v>aave-snx</v>
      </c>
      <c r="B181" s="4" t="str">
        <f>IFERROR(__xludf.DUMMYFUNCTION("""COMPUTED_VALUE"""),"asnx")</f>
        <v>asnx</v>
      </c>
      <c r="C181" s="4" t="str">
        <f>IFERROR(__xludf.DUMMYFUNCTION("""COMPUTED_VALUE"""),"Aave SNX")</f>
        <v>Aave SNX</v>
      </c>
    </row>
    <row r="182">
      <c r="A182" s="4" t="str">
        <f>IFERROR(__xludf.DUMMYFUNCTION("""COMPUTED_VALUE"""),"aave-snx-v1")</f>
        <v>aave-snx-v1</v>
      </c>
      <c r="B182" s="4" t="str">
        <f>IFERROR(__xludf.DUMMYFUNCTION("""COMPUTED_VALUE"""),"asnx")</f>
        <v>asnx</v>
      </c>
      <c r="C182" s="4" t="str">
        <f>IFERROR(__xludf.DUMMYFUNCTION("""COMPUTED_VALUE"""),"Aave SNX v1")</f>
        <v>Aave SNX v1</v>
      </c>
    </row>
    <row r="183">
      <c r="A183" s="4" t="str">
        <f>IFERROR(__xludf.DUMMYFUNCTION("""COMPUTED_VALUE"""),"aave-stkgho")</f>
        <v>aave-stkgho</v>
      </c>
      <c r="B183" s="4" t="str">
        <f>IFERROR(__xludf.DUMMYFUNCTION("""COMPUTED_VALUE"""),"stkgho")</f>
        <v>stkgho</v>
      </c>
      <c r="C183" s="4" t="str">
        <f>IFERROR(__xludf.DUMMYFUNCTION("""COMPUTED_VALUE"""),"Aave stkGHO")</f>
        <v>Aave stkGHO</v>
      </c>
    </row>
    <row r="184">
      <c r="A184" s="4" t="str">
        <f>IFERROR(__xludf.DUMMYFUNCTION("""COMPUTED_VALUE"""),"aave-susd")</f>
        <v>aave-susd</v>
      </c>
      <c r="B184" s="4" t="str">
        <f>IFERROR(__xludf.DUMMYFUNCTION("""COMPUTED_VALUE"""),"asusd")</f>
        <v>asusd</v>
      </c>
      <c r="C184" s="4" t="str">
        <f>IFERROR(__xludf.DUMMYFUNCTION("""COMPUTED_VALUE"""),"Aave SUSD")</f>
        <v>Aave SUSD</v>
      </c>
    </row>
    <row r="185">
      <c r="A185" s="4" t="str">
        <f>IFERROR(__xludf.DUMMYFUNCTION("""COMPUTED_VALUE"""),"aave-susd-v1")</f>
        <v>aave-susd-v1</v>
      </c>
      <c r="B185" s="4" t="str">
        <f>IFERROR(__xludf.DUMMYFUNCTION("""COMPUTED_VALUE"""),"asusd")</f>
        <v>asusd</v>
      </c>
      <c r="C185" s="4" t="str">
        <f>IFERROR(__xludf.DUMMYFUNCTION("""COMPUTED_VALUE"""),"Aave SUSD v1")</f>
        <v>Aave SUSD v1</v>
      </c>
    </row>
    <row r="186">
      <c r="A186" s="4" t="str">
        <f>IFERROR(__xludf.DUMMYFUNCTION("""COMPUTED_VALUE"""),"aave-tusd")</f>
        <v>aave-tusd</v>
      </c>
      <c r="B186" s="4" t="str">
        <f>IFERROR(__xludf.DUMMYFUNCTION("""COMPUTED_VALUE"""),"atusd")</f>
        <v>atusd</v>
      </c>
      <c r="C186" s="4" t="str">
        <f>IFERROR(__xludf.DUMMYFUNCTION("""COMPUTED_VALUE"""),"Aave TUSD")</f>
        <v>Aave TUSD</v>
      </c>
    </row>
    <row r="187">
      <c r="A187" s="4" t="str">
        <f>IFERROR(__xludf.DUMMYFUNCTION("""COMPUTED_VALUE"""),"aave-tusd-v1")</f>
        <v>aave-tusd-v1</v>
      </c>
      <c r="B187" s="4" t="str">
        <f>IFERROR(__xludf.DUMMYFUNCTION("""COMPUTED_VALUE"""),"atusd")</f>
        <v>atusd</v>
      </c>
      <c r="C187" s="4" t="str">
        <f>IFERROR(__xludf.DUMMYFUNCTION("""COMPUTED_VALUE"""),"Aave TUSD v1")</f>
        <v>Aave TUSD v1</v>
      </c>
    </row>
    <row r="188">
      <c r="A188" s="4" t="str">
        <f>IFERROR(__xludf.DUMMYFUNCTION("""COMPUTED_VALUE"""),"aave-uni")</f>
        <v>aave-uni</v>
      </c>
      <c r="B188" s="4" t="str">
        <f>IFERROR(__xludf.DUMMYFUNCTION("""COMPUTED_VALUE"""),"auni")</f>
        <v>auni</v>
      </c>
      <c r="C188" s="4" t="str">
        <f>IFERROR(__xludf.DUMMYFUNCTION("""COMPUTED_VALUE"""),"Aave UNI")</f>
        <v>Aave UNI</v>
      </c>
    </row>
    <row r="189">
      <c r="A189" s="4" t="str">
        <f>IFERROR(__xludf.DUMMYFUNCTION("""COMPUTED_VALUE"""),"aave-usdc")</f>
        <v>aave-usdc</v>
      </c>
      <c r="B189" s="4" t="str">
        <f>IFERROR(__xludf.DUMMYFUNCTION("""COMPUTED_VALUE"""),"ausdc")</f>
        <v>ausdc</v>
      </c>
      <c r="C189" s="4" t="str">
        <f>IFERROR(__xludf.DUMMYFUNCTION("""COMPUTED_VALUE"""),"Aave v2 USDC")</f>
        <v>Aave v2 USDC</v>
      </c>
    </row>
    <row r="190">
      <c r="A190" s="4" t="str">
        <f>IFERROR(__xludf.DUMMYFUNCTION("""COMPUTED_VALUE"""),"aave-usdc-v1")</f>
        <v>aave-usdc-v1</v>
      </c>
      <c r="B190" s="4" t="str">
        <f>IFERROR(__xludf.DUMMYFUNCTION("""COMPUTED_VALUE"""),"ausdc")</f>
        <v>ausdc</v>
      </c>
      <c r="C190" s="4" t="str">
        <f>IFERROR(__xludf.DUMMYFUNCTION("""COMPUTED_VALUE"""),"Aave USDC v1")</f>
        <v>Aave USDC v1</v>
      </c>
    </row>
    <row r="191">
      <c r="A191" s="4" t="str">
        <f>IFERROR(__xludf.DUMMYFUNCTION("""COMPUTED_VALUE"""),"aave-usdt")</f>
        <v>aave-usdt</v>
      </c>
      <c r="B191" s="4" t="str">
        <f>IFERROR(__xludf.DUMMYFUNCTION("""COMPUTED_VALUE"""),"ausdt")</f>
        <v>ausdt</v>
      </c>
      <c r="C191" s="4" t="str">
        <f>IFERROR(__xludf.DUMMYFUNCTION("""COMPUTED_VALUE"""),"Aave USDT")</f>
        <v>Aave USDT</v>
      </c>
    </row>
    <row r="192">
      <c r="A192" s="4" t="str">
        <f>IFERROR(__xludf.DUMMYFUNCTION("""COMPUTED_VALUE"""),"aave-usdt-v1")</f>
        <v>aave-usdt-v1</v>
      </c>
      <c r="B192" s="4" t="str">
        <f>IFERROR(__xludf.DUMMYFUNCTION("""COMPUTED_VALUE"""),"ausdt")</f>
        <v>ausdt</v>
      </c>
      <c r="C192" s="4" t="str">
        <f>IFERROR(__xludf.DUMMYFUNCTION("""COMPUTED_VALUE"""),"Aave USDT v1")</f>
        <v>Aave USDT v1</v>
      </c>
    </row>
    <row r="193">
      <c r="A193" s="4" t="str">
        <f>IFERROR(__xludf.DUMMYFUNCTION("""COMPUTED_VALUE"""),"aave-v3-1inch")</f>
        <v>aave-v3-1inch</v>
      </c>
      <c r="B193" s="4" t="str">
        <f>IFERROR(__xludf.DUMMYFUNCTION("""COMPUTED_VALUE"""),"a1inch")</f>
        <v>a1inch</v>
      </c>
      <c r="C193" s="4" t="str">
        <f>IFERROR(__xludf.DUMMYFUNCTION("""COMPUTED_VALUE"""),"Aave v3 1INCH")</f>
        <v>Aave v3 1INCH</v>
      </c>
    </row>
    <row r="194">
      <c r="A194" s="4" t="str">
        <f>IFERROR(__xludf.DUMMYFUNCTION("""COMPUTED_VALUE"""),"aave-v3-aave")</f>
        <v>aave-v3-aave</v>
      </c>
      <c r="B194" s="4" t="str">
        <f>IFERROR(__xludf.DUMMYFUNCTION("""COMPUTED_VALUE"""),"aaave")</f>
        <v>aaave</v>
      </c>
      <c r="C194" s="4" t="str">
        <f>IFERROR(__xludf.DUMMYFUNCTION("""COMPUTED_VALUE"""),"Aave v3 AAVE")</f>
        <v>Aave v3 AAVE</v>
      </c>
    </row>
    <row r="195">
      <c r="A195" s="4" t="str">
        <f>IFERROR(__xludf.DUMMYFUNCTION("""COMPUTED_VALUE"""),"aave-v3-ageur")</f>
        <v>aave-v3-ageur</v>
      </c>
      <c r="B195" s="4" t="str">
        <f>IFERROR(__xludf.DUMMYFUNCTION("""COMPUTED_VALUE"""),"aageur")</f>
        <v>aageur</v>
      </c>
      <c r="C195" s="4" t="str">
        <f>IFERROR(__xludf.DUMMYFUNCTION("""COMPUTED_VALUE"""),"Aave v3 agEUR")</f>
        <v>Aave v3 agEUR</v>
      </c>
    </row>
    <row r="196">
      <c r="A196" s="4" t="str">
        <f>IFERROR(__xludf.DUMMYFUNCTION("""COMPUTED_VALUE"""),"aave-v3-arb")</f>
        <v>aave-v3-arb</v>
      </c>
      <c r="B196" s="4" t="str">
        <f>IFERROR(__xludf.DUMMYFUNCTION("""COMPUTED_VALUE"""),"aarb")</f>
        <v>aarb</v>
      </c>
      <c r="C196" s="4" t="str">
        <f>IFERROR(__xludf.DUMMYFUNCTION("""COMPUTED_VALUE"""),"Aave v3 ARB")</f>
        <v>Aave v3 ARB</v>
      </c>
    </row>
    <row r="197">
      <c r="A197" s="4" t="str">
        <f>IFERROR(__xludf.DUMMYFUNCTION("""COMPUTED_VALUE"""),"aave-v3-bal")</f>
        <v>aave-v3-bal</v>
      </c>
      <c r="B197" s="4" t="str">
        <f>IFERROR(__xludf.DUMMYFUNCTION("""COMPUTED_VALUE"""),"abal")</f>
        <v>abal</v>
      </c>
      <c r="C197" s="4" t="str">
        <f>IFERROR(__xludf.DUMMYFUNCTION("""COMPUTED_VALUE"""),"Aave v3 BAL")</f>
        <v>Aave v3 BAL</v>
      </c>
    </row>
    <row r="198">
      <c r="A198" s="4" t="str">
        <f>IFERROR(__xludf.DUMMYFUNCTION("""COMPUTED_VALUE"""),"aave-v3-btc-b")</f>
        <v>aave-v3-btc-b</v>
      </c>
      <c r="B198" s="4" t="str">
        <f>IFERROR(__xludf.DUMMYFUNCTION("""COMPUTED_VALUE"""),"abtc.b")</f>
        <v>abtc.b</v>
      </c>
      <c r="C198" s="4" t="str">
        <f>IFERROR(__xludf.DUMMYFUNCTION("""COMPUTED_VALUE"""),"Aave v3 BTC.b")</f>
        <v>Aave v3 BTC.b</v>
      </c>
    </row>
    <row r="199">
      <c r="A199" s="4" t="str">
        <f>IFERROR(__xludf.DUMMYFUNCTION("""COMPUTED_VALUE"""),"aave-v3-cbeth")</f>
        <v>aave-v3-cbeth</v>
      </c>
      <c r="B199" s="4" t="str">
        <f>IFERROR(__xludf.DUMMYFUNCTION("""COMPUTED_VALUE"""),"acbeth")</f>
        <v>acbeth</v>
      </c>
      <c r="C199" s="4" t="str">
        <f>IFERROR(__xludf.DUMMYFUNCTION("""COMPUTED_VALUE"""),"Aave v3 cbETH")</f>
        <v>Aave v3 cbETH</v>
      </c>
    </row>
    <row r="200">
      <c r="A200" s="4" t="str">
        <f>IFERROR(__xludf.DUMMYFUNCTION("""COMPUTED_VALUE"""),"aave-v3-crv")</f>
        <v>aave-v3-crv</v>
      </c>
      <c r="B200" s="4" t="str">
        <f>IFERROR(__xludf.DUMMYFUNCTION("""COMPUTED_VALUE"""),"acrv")</f>
        <v>acrv</v>
      </c>
      <c r="C200" s="4" t="str">
        <f>IFERROR(__xludf.DUMMYFUNCTION("""COMPUTED_VALUE"""),"Aave v3 CRV")</f>
        <v>Aave v3 CRV</v>
      </c>
    </row>
    <row r="201">
      <c r="A201" s="4" t="str">
        <f>IFERROR(__xludf.DUMMYFUNCTION("""COMPUTED_VALUE"""),"aave-v3-dai")</f>
        <v>aave-v3-dai</v>
      </c>
      <c r="B201" s="4" t="str">
        <f>IFERROR(__xludf.DUMMYFUNCTION("""COMPUTED_VALUE"""),"adai")</f>
        <v>adai</v>
      </c>
      <c r="C201" s="4" t="str">
        <f>IFERROR(__xludf.DUMMYFUNCTION("""COMPUTED_VALUE"""),"Aave v3 DAI")</f>
        <v>Aave v3 DAI</v>
      </c>
    </row>
    <row r="202">
      <c r="A202" s="4" t="str">
        <f>IFERROR(__xludf.DUMMYFUNCTION("""COMPUTED_VALUE"""),"aave-v3-dpi")</f>
        <v>aave-v3-dpi</v>
      </c>
      <c r="B202" s="4" t="str">
        <f>IFERROR(__xludf.DUMMYFUNCTION("""COMPUTED_VALUE"""),"adpi")</f>
        <v>adpi</v>
      </c>
      <c r="C202" s="4" t="str">
        <f>IFERROR(__xludf.DUMMYFUNCTION("""COMPUTED_VALUE"""),"Aave v3 DPI")</f>
        <v>Aave v3 DPI</v>
      </c>
    </row>
    <row r="203">
      <c r="A203" s="4" t="str">
        <f>IFERROR(__xludf.DUMMYFUNCTION("""COMPUTED_VALUE"""),"aave-v3-ens")</f>
        <v>aave-v3-ens</v>
      </c>
      <c r="B203" s="4" t="str">
        <f>IFERROR(__xludf.DUMMYFUNCTION("""COMPUTED_VALUE"""),"aens")</f>
        <v>aens</v>
      </c>
      <c r="C203" s="4" t="str">
        <f>IFERROR(__xludf.DUMMYFUNCTION("""COMPUTED_VALUE"""),"Aave v3 ENS")</f>
        <v>Aave v3 ENS</v>
      </c>
    </row>
    <row r="204">
      <c r="A204" s="4" t="str">
        <f>IFERROR(__xludf.DUMMYFUNCTION("""COMPUTED_VALUE"""),"aave-v3-eure")</f>
        <v>aave-v3-eure</v>
      </c>
      <c r="B204" s="4" t="str">
        <f>IFERROR(__xludf.DUMMYFUNCTION("""COMPUTED_VALUE"""),"aeure")</f>
        <v>aeure</v>
      </c>
      <c r="C204" s="4" t="str">
        <f>IFERROR(__xludf.DUMMYFUNCTION("""COMPUTED_VALUE"""),"Aave v3 EURe")</f>
        <v>Aave v3 EURe</v>
      </c>
    </row>
    <row r="205">
      <c r="A205" s="4" t="str">
        <f>IFERROR(__xludf.DUMMYFUNCTION("""COMPUTED_VALUE"""),"aave-v3-eurs")</f>
        <v>aave-v3-eurs</v>
      </c>
      <c r="B205" s="4" t="str">
        <f>IFERROR(__xludf.DUMMYFUNCTION("""COMPUTED_VALUE"""),"aeurs")</f>
        <v>aeurs</v>
      </c>
      <c r="C205" s="4" t="str">
        <f>IFERROR(__xludf.DUMMYFUNCTION("""COMPUTED_VALUE"""),"Aave v3 EURS")</f>
        <v>Aave v3 EURS</v>
      </c>
    </row>
    <row r="206">
      <c r="A206" s="4" t="str">
        <f>IFERROR(__xludf.DUMMYFUNCTION("""COMPUTED_VALUE"""),"aave-v3-frax")</f>
        <v>aave-v3-frax</v>
      </c>
      <c r="B206" s="4" t="str">
        <f>IFERROR(__xludf.DUMMYFUNCTION("""COMPUTED_VALUE"""),"afrax")</f>
        <v>afrax</v>
      </c>
      <c r="C206" s="4" t="str">
        <f>IFERROR(__xludf.DUMMYFUNCTION("""COMPUTED_VALUE"""),"Aave v3 FRAX")</f>
        <v>Aave v3 FRAX</v>
      </c>
    </row>
    <row r="207">
      <c r="A207" s="4" t="str">
        <f>IFERROR(__xludf.DUMMYFUNCTION("""COMPUTED_VALUE"""),"aave-v3-ghst")</f>
        <v>aave-v3-ghst</v>
      </c>
      <c r="B207" s="4" t="str">
        <f>IFERROR(__xludf.DUMMYFUNCTION("""COMPUTED_VALUE"""),"aghst")</f>
        <v>aghst</v>
      </c>
      <c r="C207" s="4" t="str">
        <f>IFERROR(__xludf.DUMMYFUNCTION("""COMPUTED_VALUE"""),"Aave v3 GHST")</f>
        <v>Aave v3 GHST</v>
      </c>
    </row>
    <row r="208">
      <c r="A208" s="4" t="str">
        <f>IFERROR(__xludf.DUMMYFUNCTION("""COMPUTED_VALUE"""),"aave-v3-gno")</f>
        <v>aave-v3-gno</v>
      </c>
      <c r="B208" s="4" t="str">
        <f>IFERROR(__xludf.DUMMYFUNCTION("""COMPUTED_VALUE"""),"agno")</f>
        <v>agno</v>
      </c>
      <c r="C208" s="4" t="str">
        <f>IFERROR(__xludf.DUMMYFUNCTION("""COMPUTED_VALUE"""),"Aave v3 GNO")</f>
        <v>Aave v3 GNO</v>
      </c>
    </row>
    <row r="209">
      <c r="A209" s="4" t="str">
        <f>IFERROR(__xludf.DUMMYFUNCTION("""COMPUTED_VALUE"""),"aave-v3-knc")</f>
        <v>aave-v3-knc</v>
      </c>
      <c r="B209" s="4" t="str">
        <f>IFERROR(__xludf.DUMMYFUNCTION("""COMPUTED_VALUE"""),"aknc")</f>
        <v>aknc</v>
      </c>
      <c r="C209" s="4" t="str">
        <f>IFERROR(__xludf.DUMMYFUNCTION("""COMPUTED_VALUE"""),"Aave v3 KNC")</f>
        <v>Aave v3 KNC</v>
      </c>
    </row>
    <row r="210">
      <c r="A210" s="4" t="str">
        <f>IFERROR(__xludf.DUMMYFUNCTION("""COMPUTED_VALUE"""),"aave-v3-ldo")</f>
        <v>aave-v3-ldo</v>
      </c>
      <c r="B210" s="4" t="str">
        <f>IFERROR(__xludf.DUMMYFUNCTION("""COMPUTED_VALUE"""),"aldo")</f>
        <v>aldo</v>
      </c>
      <c r="C210" s="4" t="str">
        <f>IFERROR(__xludf.DUMMYFUNCTION("""COMPUTED_VALUE"""),"Aave v3 LDO")</f>
        <v>Aave v3 LDO</v>
      </c>
    </row>
    <row r="211">
      <c r="A211" s="4" t="str">
        <f>IFERROR(__xludf.DUMMYFUNCTION("""COMPUTED_VALUE"""),"aave-v3-link")</f>
        <v>aave-v3-link</v>
      </c>
      <c r="B211" s="4" t="str">
        <f>IFERROR(__xludf.DUMMYFUNCTION("""COMPUTED_VALUE"""),"alink")</f>
        <v>alink</v>
      </c>
      <c r="C211" s="4" t="str">
        <f>IFERROR(__xludf.DUMMYFUNCTION("""COMPUTED_VALUE"""),"Aave v3 LINK")</f>
        <v>Aave v3 LINK</v>
      </c>
    </row>
    <row r="212">
      <c r="A212" s="4" t="str">
        <f>IFERROR(__xludf.DUMMYFUNCTION("""COMPUTED_VALUE"""),"aave-v3-lusd")</f>
        <v>aave-v3-lusd</v>
      </c>
      <c r="B212" s="4" t="str">
        <f>IFERROR(__xludf.DUMMYFUNCTION("""COMPUTED_VALUE"""),"alusd")</f>
        <v>alusd</v>
      </c>
      <c r="C212" s="4" t="str">
        <f>IFERROR(__xludf.DUMMYFUNCTION("""COMPUTED_VALUE"""),"Aave v3 LUSD")</f>
        <v>Aave v3 LUSD</v>
      </c>
    </row>
    <row r="213">
      <c r="A213" s="4" t="str">
        <f>IFERROR(__xludf.DUMMYFUNCTION("""COMPUTED_VALUE"""),"aave-v3-mai")</f>
        <v>aave-v3-mai</v>
      </c>
      <c r="B213" s="4" t="str">
        <f>IFERROR(__xludf.DUMMYFUNCTION("""COMPUTED_VALUE"""),"amai")</f>
        <v>amai</v>
      </c>
      <c r="C213" s="4" t="str">
        <f>IFERROR(__xludf.DUMMYFUNCTION("""COMPUTED_VALUE"""),"Aave v3 MAI")</f>
        <v>Aave v3 MAI</v>
      </c>
    </row>
    <row r="214">
      <c r="A214" s="4" t="str">
        <f>IFERROR(__xludf.DUMMYFUNCTION("""COMPUTED_VALUE"""),"aave-v3-maticx")</f>
        <v>aave-v3-maticx</v>
      </c>
      <c r="B214" s="4" t="str">
        <f>IFERROR(__xludf.DUMMYFUNCTION("""COMPUTED_VALUE"""),"amaticx")</f>
        <v>amaticx</v>
      </c>
      <c r="C214" s="4" t="str">
        <f>IFERROR(__xludf.DUMMYFUNCTION("""COMPUTED_VALUE"""),"Aave v3 MaticX")</f>
        <v>Aave v3 MaticX</v>
      </c>
    </row>
    <row r="215">
      <c r="A215" s="4" t="str">
        <f>IFERROR(__xludf.DUMMYFUNCTION("""COMPUTED_VALUE"""),"aave-v3-metis")</f>
        <v>aave-v3-metis</v>
      </c>
      <c r="B215" s="4" t="str">
        <f>IFERROR(__xludf.DUMMYFUNCTION("""COMPUTED_VALUE"""),"ametis")</f>
        <v>ametis</v>
      </c>
      <c r="C215" s="4" t="str">
        <f>IFERROR(__xludf.DUMMYFUNCTION("""COMPUTED_VALUE"""),"Aave v3 Metis")</f>
        <v>Aave v3 Metis</v>
      </c>
    </row>
    <row r="216">
      <c r="A216" s="4" t="str">
        <f>IFERROR(__xludf.DUMMYFUNCTION("""COMPUTED_VALUE"""),"aave-v3-mkr")</f>
        <v>aave-v3-mkr</v>
      </c>
      <c r="B216" s="4" t="str">
        <f>IFERROR(__xludf.DUMMYFUNCTION("""COMPUTED_VALUE"""),"amkr")</f>
        <v>amkr</v>
      </c>
      <c r="C216" s="4" t="str">
        <f>IFERROR(__xludf.DUMMYFUNCTION("""COMPUTED_VALUE"""),"Aave v3 MKR")</f>
        <v>Aave v3 MKR</v>
      </c>
    </row>
    <row r="217">
      <c r="A217" s="4" t="str">
        <f>IFERROR(__xludf.DUMMYFUNCTION("""COMPUTED_VALUE"""),"aave-v3-op")</f>
        <v>aave-v3-op</v>
      </c>
      <c r="B217" s="4" t="str">
        <f>IFERROR(__xludf.DUMMYFUNCTION("""COMPUTED_VALUE"""),"aop")</f>
        <v>aop</v>
      </c>
      <c r="C217" s="4" t="str">
        <f>IFERROR(__xludf.DUMMYFUNCTION("""COMPUTED_VALUE"""),"Aave v3 OP")</f>
        <v>Aave v3 OP</v>
      </c>
    </row>
    <row r="218">
      <c r="A218" s="4" t="str">
        <f>IFERROR(__xludf.DUMMYFUNCTION("""COMPUTED_VALUE"""),"aave-v3-reth")</f>
        <v>aave-v3-reth</v>
      </c>
      <c r="B218" s="4" t="str">
        <f>IFERROR(__xludf.DUMMYFUNCTION("""COMPUTED_VALUE"""),"areth")</f>
        <v>areth</v>
      </c>
      <c r="C218" s="4" t="str">
        <f>IFERROR(__xludf.DUMMYFUNCTION("""COMPUTED_VALUE"""),"Aave v3 rETH")</f>
        <v>Aave v3 rETH</v>
      </c>
    </row>
    <row r="219">
      <c r="A219" s="4" t="str">
        <f>IFERROR(__xludf.DUMMYFUNCTION("""COMPUTED_VALUE"""),"aave-v3-rpl")</f>
        <v>aave-v3-rpl</v>
      </c>
      <c r="B219" s="4" t="str">
        <f>IFERROR(__xludf.DUMMYFUNCTION("""COMPUTED_VALUE"""),"arpl")</f>
        <v>arpl</v>
      </c>
      <c r="C219" s="4" t="str">
        <f>IFERROR(__xludf.DUMMYFUNCTION("""COMPUTED_VALUE"""),"Aave v3 RPL")</f>
        <v>Aave v3 RPL</v>
      </c>
    </row>
    <row r="220">
      <c r="A220" s="4" t="str">
        <f>IFERROR(__xludf.DUMMYFUNCTION("""COMPUTED_VALUE"""),"aave-v3-savax")</f>
        <v>aave-v3-savax</v>
      </c>
      <c r="B220" s="4" t="str">
        <f>IFERROR(__xludf.DUMMYFUNCTION("""COMPUTED_VALUE"""),"asavax")</f>
        <v>asavax</v>
      </c>
      <c r="C220" s="4" t="str">
        <f>IFERROR(__xludf.DUMMYFUNCTION("""COMPUTED_VALUE"""),"Aave v3 sAVAX")</f>
        <v>Aave v3 sAVAX</v>
      </c>
    </row>
    <row r="221">
      <c r="A221" s="4" t="str">
        <f>IFERROR(__xludf.DUMMYFUNCTION("""COMPUTED_VALUE"""),"aave-v3-sdai")</f>
        <v>aave-v3-sdai</v>
      </c>
      <c r="B221" s="4" t="str">
        <f>IFERROR(__xludf.DUMMYFUNCTION("""COMPUTED_VALUE"""),"asdai")</f>
        <v>asdai</v>
      </c>
      <c r="C221" s="4" t="str">
        <f>IFERROR(__xludf.DUMMYFUNCTION("""COMPUTED_VALUE"""),"Aave v3 sDAI")</f>
        <v>Aave v3 sDAI</v>
      </c>
    </row>
    <row r="222">
      <c r="A222" s="4" t="str">
        <f>IFERROR(__xludf.DUMMYFUNCTION("""COMPUTED_VALUE"""),"aave-v3-snx")</f>
        <v>aave-v3-snx</v>
      </c>
      <c r="B222" s="4" t="str">
        <f>IFERROR(__xludf.DUMMYFUNCTION("""COMPUTED_VALUE"""),"asnx")</f>
        <v>asnx</v>
      </c>
      <c r="C222" s="4" t="str">
        <f>IFERROR(__xludf.DUMMYFUNCTION("""COMPUTED_VALUE"""),"Aave v3 SNX")</f>
        <v>Aave v3 SNX</v>
      </c>
    </row>
    <row r="223">
      <c r="A223" s="4" t="str">
        <f>IFERROR(__xludf.DUMMYFUNCTION("""COMPUTED_VALUE"""),"aave-v3-stg")</f>
        <v>aave-v3-stg</v>
      </c>
      <c r="B223" s="4" t="str">
        <f>IFERROR(__xludf.DUMMYFUNCTION("""COMPUTED_VALUE"""),"astg")</f>
        <v>astg</v>
      </c>
      <c r="C223" s="4" t="str">
        <f>IFERROR(__xludf.DUMMYFUNCTION("""COMPUTED_VALUE"""),"Aave v3 STG")</f>
        <v>Aave v3 STG</v>
      </c>
    </row>
    <row r="224">
      <c r="A224" s="4" t="str">
        <f>IFERROR(__xludf.DUMMYFUNCTION("""COMPUTED_VALUE"""),"aave-v3-stmatic")</f>
        <v>aave-v3-stmatic</v>
      </c>
      <c r="B224" s="4" t="str">
        <f>IFERROR(__xludf.DUMMYFUNCTION("""COMPUTED_VALUE"""),"astmatic")</f>
        <v>astmatic</v>
      </c>
      <c r="C224" s="4" t="str">
        <f>IFERROR(__xludf.DUMMYFUNCTION("""COMPUTED_VALUE"""),"Aave v3 stMATIC")</f>
        <v>Aave v3 stMATIC</v>
      </c>
    </row>
    <row r="225">
      <c r="A225" s="4" t="str">
        <f>IFERROR(__xludf.DUMMYFUNCTION("""COMPUTED_VALUE"""),"aave-v3-susd")</f>
        <v>aave-v3-susd</v>
      </c>
      <c r="B225" s="4" t="str">
        <f>IFERROR(__xludf.DUMMYFUNCTION("""COMPUTED_VALUE"""),"asusd")</f>
        <v>asusd</v>
      </c>
      <c r="C225" s="4" t="str">
        <f>IFERROR(__xludf.DUMMYFUNCTION("""COMPUTED_VALUE"""),"Aave v3 sUSD")</f>
        <v>Aave v3 sUSD</v>
      </c>
    </row>
    <row r="226">
      <c r="A226" s="4" t="str">
        <f>IFERROR(__xludf.DUMMYFUNCTION("""COMPUTED_VALUE"""),"aave-v3-sushi")</f>
        <v>aave-v3-sushi</v>
      </c>
      <c r="B226" s="4" t="str">
        <f>IFERROR(__xludf.DUMMYFUNCTION("""COMPUTED_VALUE"""),"asushi")</f>
        <v>asushi</v>
      </c>
      <c r="C226" s="4" t="str">
        <f>IFERROR(__xludf.DUMMYFUNCTION("""COMPUTED_VALUE"""),"Aave v3 SUSHI")</f>
        <v>Aave v3 SUSHI</v>
      </c>
    </row>
    <row r="227">
      <c r="A227" s="4" t="str">
        <f>IFERROR(__xludf.DUMMYFUNCTION("""COMPUTED_VALUE"""),"aave-v3-uni")</f>
        <v>aave-v3-uni</v>
      </c>
      <c r="B227" s="4" t="str">
        <f>IFERROR(__xludf.DUMMYFUNCTION("""COMPUTED_VALUE"""),"auni")</f>
        <v>auni</v>
      </c>
      <c r="C227" s="4" t="str">
        <f>IFERROR(__xludf.DUMMYFUNCTION("""COMPUTED_VALUE"""),"Aave v3 UNI")</f>
        <v>Aave v3 UNI</v>
      </c>
    </row>
    <row r="228">
      <c r="A228" s="4" t="str">
        <f>IFERROR(__xludf.DUMMYFUNCTION("""COMPUTED_VALUE"""),"aave-v3-usdbc")</f>
        <v>aave-v3-usdbc</v>
      </c>
      <c r="B228" s="4" t="str">
        <f>IFERROR(__xludf.DUMMYFUNCTION("""COMPUTED_VALUE"""),"ausdbc")</f>
        <v>ausdbc</v>
      </c>
      <c r="C228" s="4" t="str">
        <f>IFERROR(__xludf.DUMMYFUNCTION("""COMPUTED_VALUE"""),"Aave v3 USDbC")</f>
        <v>Aave v3 USDbC</v>
      </c>
    </row>
    <row r="229">
      <c r="A229" s="4" t="str">
        <f>IFERROR(__xludf.DUMMYFUNCTION("""COMPUTED_VALUE"""),"aave-v3-usdc")</f>
        <v>aave-v3-usdc</v>
      </c>
      <c r="B229" s="4" t="str">
        <f>IFERROR(__xludf.DUMMYFUNCTION("""COMPUTED_VALUE"""),"ausdc")</f>
        <v>ausdc</v>
      </c>
      <c r="C229" s="4" t="str">
        <f>IFERROR(__xludf.DUMMYFUNCTION("""COMPUTED_VALUE"""),"Aave v3 USDC")</f>
        <v>Aave v3 USDC</v>
      </c>
    </row>
    <row r="230">
      <c r="A230" s="4" t="str">
        <f>IFERROR(__xludf.DUMMYFUNCTION("""COMPUTED_VALUE"""),"aave-v3-usdc-e")</f>
        <v>aave-v3-usdc-e</v>
      </c>
      <c r="B230" s="4" t="str">
        <f>IFERROR(__xludf.DUMMYFUNCTION("""COMPUTED_VALUE"""),"ausdc.e")</f>
        <v>ausdc.e</v>
      </c>
      <c r="C230" s="4" t="str">
        <f>IFERROR(__xludf.DUMMYFUNCTION("""COMPUTED_VALUE"""),"Aave v3 USDC.e")</f>
        <v>Aave v3 USDC.e</v>
      </c>
    </row>
    <row r="231">
      <c r="A231" s="4" t="str">
        <f>IFERROR(__xludf.DUMMYFUNCTION("""COMPUTED_VALUE"""),"aave-v3-usdt")</f>
        <v>aave-v3-usdt</v>
      </c>
      <c r="B231" s="4" t="str">
        <f>IFERROR(__xludf.DUMMYFUNCTION("""COMPUTED_VALUE"""),"ausdt")</f>
        <v>ausdt</v>
      </c>
      <c r="C231" s="4" t="str">
        <f>IFERROR(__xludf.DUMMYFUNCTION("""COMPUTED_VALUE"""),"Aave v3 USDT")</f>
        <v>Aave v3 USDT</v>
      </c>
    </row>
    <row r="232">
      <c r="A232" s="4" t="str">
        <f>IFERROR(__xludf.DUMMYFUNCTION("""COMPUTED_VALUE"""),"aave-v3-wavax")</f>
        <v>aave-v3-wavax</v>
      </c>
      <c r="B232" s="4" t="str">
        <f>IFERROR(__xludf.DUMMYFUNCTION("""COMPUTED_VALUE"""),"awavax")</f>
        <v>awavax</v>
      </c>
      <c r="C232" s="4" t="str">
        <f>IFERROR(__xludf.DUMMYFUNCTION("""COMPUTED_VALUE"""),"Aave v3 WAVAX")</f>
        <v>Aave v3 WAVAX</v>
      </c>
    </row>
    <row r="233">
      <c r="A233" s="4" t="str">
        <f>IFERROR(__xludf.DUMMYFUNCTION("""COMPUTED_VALUE"""),"aave-v3-wbtc")</f>
        <v>aave-v3-wbtc</v>
      </c>
      <c r="B233" s="4" t="str">
        <f>IFERROR(__xludf.DUMMYFUNCTION("""COMPUTED_VALUE"""),"awbtc")</f>
        <v>awbtc</v>
      </c>
      <c r="C233" s="4" t="str">
        <f>IFERROR(__xludf.DUMMYFUNCTION("""COMPUTED_VALUE"""),"Aave v3 WBTC")</f>
        <v>Aave v3 WBTC</v>
      </c>
    </row>
    <row r="234">
      <c r="A234" s="4" t="str">
        <f>IFERROR(__xludf.DUMMYFUNCTION("""COMPUTED_VALUE"""),"aave-v3-weth")</f>
        <v>aave-v3-weth</v>
      </c>
      <c r="B234" s="4" t="str">
        <f>IFERROR(__xludf.DUMMYFUNCTION("""COMPUTED_VALUE"""),"aweth")</f>
        <v>aweth</v>
      </c>
      <c r="C234" s="4" t="str">
        <f>IFERROR(__xludf.DUMMYFUNCTION("""COMPUTED_VALUE"""),"Aave v3 WETH")</f>
        <v>Aave v3 WETH</v>
      </c>
    </row>
    <row r="235">
      <c r="A235" s="4" t="str">
        <f>IFERROR(__xludf.DUMMYFUNCTION("""COMPUTED_VALUE"""),"aave-v3-wmatic")</f>
        <v>aave-v3-wmatic</v>
      </c>
      <c r="B235" s="4" t="str">
        <f>IFERROR(__xludf.DUMMYFUNCTION("""COMPUTED_VALUE"""),"awmatic")</f>
        <v>awmatic</v>
      </c>
      <c r="C235" s="4" t="str">
        <f>IFERROR(__xludf.DUMMYFUNCTION("""COMPUTED_VALUE"""),"Aave v3 WMATIC")</f>
        <v>Aave v3 WMATIC</v>
      </c>
    </row>
    <row r="236">
      <c r="A236" s="4" t="str">
        <f>IFERROR(__xludf.DUMMYFUNCTION("""COMPUTED_VALUE"""),"aave-v3-wsteth")</f>
        <v>aave-v3-wsteth</v>
      </c>
      <c r="B236" s="4" t="str">
        <f>IFERROR(__xludf.DUMMYFUNCTION("""COMPUTED_VALUE"""),"awsteth")</f>
        <v>awsteth</v>
      </c>
      <c r="C236" s="4" t="str">
        <f>IFERROR(__xludf.DUMMYFUNCTION("""COMPUTED_VALUE"""),"Aave v3 wstETH")</f>
        <v>Aave v3 wstETH</v>
      </c>
    </row>
    <row r="237">
      <c r="A237" s="4" t="str">
        <f>IFERROR(__xludf.DUMMYFUNCTION("""COMPUTED_VALUE"""),"aave-wbtc")</f>
        <v>aave-wbtc</v>
      </c>
      <c r="B237" s="4" t="str">
        <f>IFERROR(__xludf.DUMMYFUNCTION("""COMPUTED_VALUE"""),"awbtc")</f>
        <v>awbtc</v>
      </c>
      <c r="C237" s="4" t="str">
        <f>IFERROR(__xludf.DUMMYFUNCTION("""COMPUTED_VALUE"""),"Aave WBTC")</f>
        <v>Aave WBTC</v>
      </c>
    </row>
    <row r="238">
      <c r="A238" s="4" t="str">
        <f>IFERROR(__xludf.DUMMYFUNCTION("""COMPUTED_VALUE"""),"aave-wbtc-v1")</f>
        <v>aave-wbtc-v1</v>
      </c>
      <c r="B238" s="4" t="str">
        <f>IFERROR(__xludf.DUMMYFUNCTION("""COMPUTED_VALUE"""),"awbtc")</f>
        <v>awbtc</v>
      </c>
      <c r="C238" s="4" t="str">
        <f>IFERROR(__xludf.DUMMYFUNCTION("""COMPUTED_VALUE"""),"Aave WBTC v1")</f>
        <v>Aave WBTC v1</v>
      </c>
    </row>
    <row r="239">
      <c r="A239" s="4" t="str">
        <f>IFERROR(__xludf.DUMMYFUNCTION("""COMPUTED_VALUE"""),"aave-weth")</f>
        <v>aave-weth</v>
      </c>
      <c r="B239" s="4" t="str">
        <f>IFERROR(__xludf.DUMMYFUNCTION("""COMPUTED_VALUE"""),"aweth")</f>
        <v>aweth</v>
      </c>
      <c r="C239" s="4" t="str">
        <f>IFERROR(__xludf.DUMMYFUNCTION("""COMPUTED_VALUE"""),"Aave WETH")</f>
        <v>Aave WETH</v>
      </c>
    </row>
    <row r="240">
      <c r="A240" s="4" t="str">
        <f>IFERROR(__xludf.DUMMYFUNCTION("""COMPUTED_VALUE"""),"aave-xsushi")</f>
        <v>aave-xsushi</v>
      </c>
      <c r="B240" s="4" t="str">
        <f>IFERROR(__xludf.DUMMYFUNCTION("""COMPUTED_VALUE"""),"axsushi")</f>
        <v>axsushi</v>
      </c>
      <c r="C240" s="4" t="str">
        <f>IFERROR(__xludf.DUMMYFUNCTION("""COMPUTED_VALUE"""),"Aave XSUSHI")</f>
        <v>Aave XSUSHI</v>
      </c>
    </row>
    <row r="241">
      <c r="A241" s="4" t="str">
        <f>IFERROR(__xludf.DUMMYFUNCTION("""COMPUTED_VALUE"""),"aave-yfi")</f>
        <v>aave-yfi</v>
      </c>
      <c r="B241" s="4" t="str">
        <f>IFERROR(__xludf.DUMMYFUNCTION("""COMPUTED_VALUE"""),"ayfi")</f>
        <v>ayfi</v>
      </c>
      <c r="C241" s="4" t="str">
        <f>IFERROR(__xludf.DUMMYFUNCTION("""COMPUTED_VALUE"""),"Aave YFI")</f>
        <v>Aave YFI</v>
      </c>
    </row>
    <row r="242">
      <c r="A242" s="4" t="str">
        <f>IFERROR(__xludf.DUMMYFUNCTION("""COMPUTED_VALUE"""),"aave-yvault")</f>
        <v>aave-yvault</v>
      </c>
      <c r="B242" s="4" t="str">
        <f>IFERROR(__xludf.DUMMYFUNCTION("""COMPUTED_VALUE"""),"yvaave")</f>
        <v>yvaave</v>
      </c>
      <c r="C242" s="4" t="str">
        <f>IFERROR(__xludf.DUMMYFUNCTION("""COMPUTED_VALUE"""),"Aave yVault")</f>
        <v>Aave yVault</v>
      </c>
    </row>
    <row r="243">
      <c r="A243" s="4" t="str">
        <f>IFERROR(__xludf.DUMMYFUNCTION("""COMPUTED_VALUE"""),"aave-zrx")</f>
        <v>aave-zrx</v>
      </c>
      <c r="B243" s="4" t="str">
        <f>IFERROR(__xludf.DUMMYFUNCTION("""COMPUTED_VALUE"""),"azrx")</f>
        <v>azrx</v>
      </c>
      <c r="C243" s="4" t="str">
        <f>IFERROR(__xludf.DUMMYFUNCTION("""COMPUTED_VALUE"""),"Aave ZRX")</f>
        <v>Aave ZRX</v>
      </c>
    </row>
    <row r="244">
      <c r="A244" s="4" t="str">
        <f>IFERROR(__xludf.DUMMYFUNCTION("""COMPUTED_VALUE"""),"aave-zrx-v1")</f>
        <v>aave-zrx-v1</v>
      </c>
      <c r="B244" s="4" t="str">
        <f>IFERROR(__xludf.DUMMYFUNCTION("""COMPUTED_VALUE"""),"azrx")</f>
        <v>azrx</v>
      </c>
      <c r="C244" s="4" t="str">
        <f>IFERROR(__xludf.DUMMYFUNCTION("""COMPUTED_VALUE"""),"Aave ZRX v1")</f>
        <v>Aave ZRX v1</v>
      </c>
    </row>
    <row r="245">
      <c r="A245" s="4" t="str">
        <f>IFERROR(__xludf.DUMMYFUNCTION("""COMPUTED_VALUE"""),"abachi-2")</f>
        <v>abachi-2</v>
      </c>
      <c r="B245" s="4" t="str">
        <f>IFERROR(__xludf.DUMMYFUNCTION("""COMPUTED_VALUE"""),"abi")</f>
        <v>abi</v>
      </c>
      <c r="C245" s="4" t="str">
        <f>IFERROR(__xludf.DUMMYFUNCTION("""COMPUTED_VALUE"""),"Abachi")</f>
        <v>Abachi</v>
      </c>
    </row>
    <row r="246">
      <c r="A246" s="4" t="str">
        <f>IFERROR(__xludf.DUMMYFUNCTION("""COMPUTED_VALUE"""),"abble")</f>
        <v>abble</v>
      </c>
      <c r="B246" s="4" t="str">
        <f>IFERROR(__xludf.DUMMYFUNCTION("""COMPUTED_VALUE"""),"aabl")</f>
        <v>aabl</v>
      </c>
      <c r="C246" s="4" t="str">
        <f>IFERROR(__xludf.DUMMYFUNCTION("""COMPUTED_VALUE"""),"Abble")</f>
        <v>Abble</v>
      </c>
    </row>
    <row r="247">
      <c r="A247" s="4" t="str">
        <f>IFERROR(__xludf.DUMMYFUNCTION("""COMPUTED_VALUE"""),"abcmeta")</f>
        <v>abcmeta</v>
      </c>
      <c r="B247" s="4" t="str">
        <f>IFERROR(__xludf.DUMMYFUNCTION("""COMPUTED_VALUE"""),"meta")</f>
        <v>meta</v>
      </c>
      <c r="C247" s="4" t="str">
        <f>IFERROR(__xludf.DUMMYFUNCTION("""COMPUTED_VALUE"""),"ABCMETA")</f>
        <v>ABCMETA</v>
      </c>
    </row>
    <row r="248">
      <c r="A248" s="4" t="str">
        <f>IFERROR(__xludf.DUMMYFUNCTION("""COMPUTED_VALUE"""),"abc-pos-pool")</f>
        <v>abc-pos-pool</v>
      </c>
      <c r="B248" s="4" t="str">
        <f>IFERROR(__xludf.DUMMYFUNCTION("""COMPUTED_VALUE"""),"abc")</f>
        <v>abc</v>
      </c>
      <c r="C248" s="4" t="str">
        <f>IFERROR(__xludf.DUMMYFUNCTION("""COMPUTED_VALUE"""),"ABC PoS Pool")</f>
        <v>ABC PoS Pool</v>
      </c>
    </row>
    <row r="249">
      <c r="A249" s="4" t="str">
        <f>IFERROR(__xludf.DUMMYFUNCTION("""COMPUTED_VALUE"""),"abel-finance")</f>
        <v>abel-finance</v>
      </c>
      <c r="B249" s="4" t="str">
        <f>IFERROR(__xludf.DUMMYFUNCTION("""COMPUTED_VALUE"""),"abel")</f>
        <v>abel</v>
      </c>
      <c r="C249" s="4" t="str">
        <f>IFERROR(__xludf.DUMMYFUNCTION("""COMPUTED_VALUE"""),"ABEL Finance")</f>
        <v>ABEL Finance</v>
      </c>
    </row>
    <row r="250">
      <c r="A250" s="4" t="str">
        <f>IFERROR(__xludf.DUMMYFUNCTION("""COMPUTED_VALUE"""),"abelian")</f>
        <v>abelian</v>
      </c>
      <c r="B250" s="4" t="str">
        <f>IFERROR(__xludf.DUMMYFUNCTION("""COMPUTED_VALUE"""),"abel")</f>
        <v>abel</v>
      </c>
      <c r="C250" s="4" t="str">
        <f>IFERROR(__xludf.DUMMYFUNCTION("""COMPUTED_VALUE"""),"Abelian")</f>
        <v>Abelian</v>
      </c>
    </row>
    <row r="251">
      <c r="A251" s="4" t="str">
        <f>IFERROR(__xludf.DUMMYFUNCTION("""COMPUTED_VALUE"""),"abey")</f>
        <v>abey</v>
      </c>
      <c r="B251" s="4" t="str">
        <f>IFERROR(__xludf.DUMMYFUNCTION("""COMPUTED_VALUE"""),"abey")</f>
        <v>abey</v>
      </c>
      <c r="C251" s="4" t="str">
        <f>IFERROR(__xludf.DUMMYFUNCTION("""COMPUTED_VALUE"""),"Abey")</f>
        <v>Abey</v>
      </c>
    </row>
    <row r="252">
      <c r="A252" s="4" t="str">
        <f>IFERROR(__xludf.DUMMYFUNCTION("""COMPUTED_VALUE"""),"able-finance")</f>
        <v>able-finance</v>
      </c>
      <c r="B252" s="4" t="str">
        <f>IFERROR(__xludf.DUMMYFUNCTION("""COMPUTED_VALUE"""),"able")</f>
        <v>able</v>
      </c>
      <c r="C252" s="4" t="str">
        <f>IFERROR(__xludf.DUMMYFUNCTION("""COMPUTED_VALUE"""),"Able Finance")</f>
        <v>Able Finance</v>
      </c>
    </row>
    <row r="253">
      <c r="A253" s="4" t="str">
        <f>IFERROR(__xludf.DUMMYFUNCTION("""COMPUTED_VALUE"""),"aboat-token-2")</f>
        <v>aboat-token-2</v>
      </c>
      <c r="B253" s="4" t="str">
        <f>IFERROR(__xludf.DUMMYFUNCTION("""COMPUTED_VALUE"""),"aboat")</f>
        <v>aboat</v>
      </c>
      <c r="C253" s="4" t="str">
        <f>IFERROR(__xludf.DUMMYFUNCTION("""COMPUTED_VALUE"""),"Aboat Token")</f>
        <v>Aboat Token</v>
      </c>
    </row>
    <row r="254">
      <c r="A254" s="4" t="str">
        <f>IFERROR(__xludf.DUMMYFUNCTION("""COMPUTED_VALUE"""),"abond")</f>
        <v>abond</v>
      </c>
      <c r="B254" s="4" t="str">
        <f>IFERROR(__xludf.DUMMYFUNCTION("""COMPUTED_VALUE"""),"abond")</f>
        <v>abond</v>
      </c>
      <c r="C254" s="4" t="str">
        <f>IFERROR(__xludf.DUMMYFUNCTION("""COMPUTED_VALUE"""),"ApeBond")</f>
        <v>ApeBond</v>
      </c>
    </row>
    <row r="255">
      <c r="A255" s="4" t="str">
        <f>IFERROR(__xludf.DUMMYFUNCTION("""COMPUTED_VALUE"""),"absolute-sync-token")</f>
        <v>absolute-sync-token</v>
      </c>
      <c r="B255" s="4" t="str">
        <f>IFERROR(__xludf.DUMMYFUNCTION("""COMPUTED_VALUE"""),"ast")</f>
        <v>ast</v>
      </c>
      <c r="C255" s="4" t="str">
        <f>IFERROR(__xludf.DUMMYFUNCTION("""COMPUTED_VALUE"""),"Absolute Sync")</f>
        <v>Absolute Sync</v>
      </c>
    </row>
    <row r="256">
      <c r="A256" s="4" t="str">
        <f>IFERROR(__xludf.DUMMYFUNCTION("""COMPUTED_VALUE"""),"abyss-world")</f>
        <v>abyss-world</v>
      </c>
      <c r="B256" s="4" t="str">
        <f>IFERROR(__xludf.DUMMYFUNCTION("""COMPUTED_VALUE"""),"awt")</f>
        <v>awt</v>
      </c>
      <c r="C256" s="4" t="str">
        <f>IFERROR(__xludf.DUMMYFUNCTION("""COMPUTED_VALUE"""),"Abyss World")</f>
        <v>Abyss World</v>
      </c>
    </row>
    <row r="257">
      <c r="A257" s="4" t="str">
        <f>IFERROR(__xludf.DUMMYFUNCTION("""COMPUTED_VALUE"""),"acala")</f>
        <v>acala</v>
      </c>
      <c r="B257" s="4" t="str">
        <f>IFERROR(__xludf.DUMMYFUNCTION("""COMPUTED_VALUE"""),"aca")</f>
        <v>aca</v>
      </c>
      <c r="C257" s="4" t="str">
        <f>IFERROR(__xludf.DUMMYFUNCTION("""COMPUTED_VALUE"""),"Acala")</f>
        <v>Acala</v>
      </c>
    </row>
    <row r="258">
      <c r="A258" s="4" t="str">
        <f>IFERROR(__xludf.DUMMYFUNCTION("""COMPUTED_VALUE"""),"acala-dollar-acala")</f>
        <v>acala-dollar-acala</v>
      </c>
      <c r="B258" s="4" t="str">
        <f>IFERROR(__xludf.DUMMYFUNCTION("""COMPUTED_VALUE"""),"ausd")</f>
        <v>ausd</v>
      </c>
      <c r="C258" s="4" t="str">
        <f>IFERROR(__xludf.DUMMYFUNCTION("""COMPUTED_VALUE"""),"Acala Dollar (Acala)")</f>
        <v>Acala Dollar (Acala)</v>
      </c>
    </row>
    <row r="259">
      <c r="A259" s="4" t="str">
        <f>IFERROR(__xludf.DUMMYFUNCTION("""COMPUTED_VALUE"""),"access-protocol")</f>
        <v>access-protocol</v>
      </c>
      <c r="B259" s="4" t="str">
        <f>IFERROR(__xludf.DUMMYFUNCTION("""COMPUTED_VALUE"""),"acs")</f>
        <v>acs</v>
      </c>
      <c r="C259" s="4" t="str">
        <f>IFERROR(__xludf.DUMMYFUNCTION("""COMPUTED_VALUE"""),"Access Protocol")</f>
        <v>Access Protocol</v>
      </c>
    </row>
    <row r="260">
      <c r="A260" s="4" t="str">
        <f>IFERROR(__xludf.DUMMYFUNCTION("""COMPUTED_VALUE"""),"acent")</f>
        <v>acent</v>
      </c>
      <c r="B260" s="4" t="str">
        <f>IFERROR(__xludf.DUMMYFUNCTION("""COMPUTED_VALUE"""),"ace")</f>
        <v>ace</v>
      </c>
      <c r="C260" s="4" t="str">
        <f>IFERROR(__xludf.DUMMYFUNCTION("""COMPUTED_VALUE"""),"Acent")</f>
        <v>Acent</v>
      </c>
    </row>
    <row r="261">
      <c r="A261" s="4" t="str">
        <f>IFERROR(__xludf.DUMMYFUNCTION("""COMPUTED_VALUE"""),"acetoken")</f>
        <v>acetoken</v>
      </c>
      <c r="B261" s="4" t="str">
        <f>IFERROR(__xludf.DUMMYFUNCTION("""COMPUTED_VALUE"""),"ace")</f>
        <v>ace</v>
      </c>
      <c r="C261" s="4" t="str">
        <f>IFERROR(__xludf.DUMMYFUNCTION("""COMPUTED_VALUE"""),"ACEToken")</f>
        <v>ACEToken</v>
      </c>
    </row>
    <row r="262">
      <c r="A262" s="4" t="str">
        <f>IFERROR(__xludf.DUMMYFUNCTION("""COMPUTED_VALUE"""),"acet-token")</f>
        <v>acet-token</v>
      </c>
      <c r="B262" s="4" t="str">
        <f>IFERROR(__xludf.DUMMYFUNCTION("""COMPUTED_VALUE"""),"act")</f>
        <v>act</v>
      </c>
      <c r="C262" s="4" t="str">
        <f>IFERROR(__xludf.DUMMYFUNCTION("""COMPUTED_VALUE"""),"Acet")</f>
        <v>Acet</v>
      </c>
    </row>
    <row r="263">
      <c r="A263" s="4" t="str">
        <f>IFERROR(__xludf.DUMMYFUNCTION("""COMPUTED_VALUE"""),"achain")</f>
        <v>achain</v>
      </c>
      <c r="B263" s="4" t="str">
        <f>IFERROR(__xludf.DUMMYFUNCTION("""COMPUTED_VALUE"""),"act")</f>
        <v>act</v>
      </c>
      <c r="C263" s="4" t="str">
        <f>IFERROR(__xludf.DUMMYFUNCTION("""COMPUTED_VALUE"""),"Achain")</f>
        <v>Achain</v>
      </c>
    </row>
    <row r="264">
      <c r="A264" s="4" t="str">
        <f>IFERROR(__xludf.DUMMYFUNCTION("""COMPUTED_VALUE"""),"achi")</f>
        <v>achi</v>
      </c>
      <c r="B264" s="4" t="str">
        <f>IFERROR(__xludf.DUMMYFUNCTION("""COMPUTED_VALUE"""),"achi")</f>
        <v>achi</v>
      </c>
      <c r="C264" s="4" t="str">
        <f>IFERROR(__xludf.DUMMYFUNCTION("""COMPUTED_VALUE"""),"achi")</f>
        <v>achi</v>
      </c>
    </row>
    <row r="265">
      <c r="A265" s="4" t="str">
        <f>IFERROR(__xludf.DUMMYFUNCTION("""COMPUTED_VALUE"""),"achi-inu")</f>
        <v>achi-inu</v>
      </c>
      <c r="B265" s="4" t="str">
        <f>IFERROR(__xludf.DUMMYFUNCTION("""COMPUTED_VALUE"""),"achi")</f>
        <v>achi</v>
      </c>
      <c r="C265" s="4" t="str">
        <f>IFERROR(__xludf.DUMMYFUNCTION("""COMPUTED_VALUE"""),"ACHI INU")</f>
        <v>ACHI INU</v>
      </c>
    </row>
    <row r="266">
      <c r="A266" s="4" t="str">
        <f>IFERROR(__xludf.DUMMYFUNCTION("""COMPUTED_VALUE"""),"acid")</f>
        <v>acid</v>
      </c>
      <c r="B266" s="4" t="str">
        <f>IFERROR(__xludf.DUMMYFUNCTION("""COMPUTED_VALUE"""),"acid")</f>
        <v>acid</v>
      </c>
      <c r="C266" s="4" t="str">
        <f>IFERROR(__xludf.DUMMYFUNCTION("""COMPUTED_VALUE"""),"Acid")</f>
        <v>Acid</v>
      </c>
    </row>
    <row r="267">
      <c r="A267" s="4" t="str">
        <f>IFERROR(__xludf.DUMMYFUNCTION("""COMPUTED_VALUE"""),"ackchyually")</f>
        <v>ackchyually</v>
      </c>
      <c r="B267" s="4" t="str">
        <f>IFERROR(__xludf.DUMMYFUNCTION("""COMPUTED_VALUE"""),"actly")</f>
        <v>actly</v>
      </c>
      <c r="C267" s="4" t="str">
        <f>IFERROR(__xludf.DUMMYFUNCTION("""COMPUTED_VALUE"""),"ackchyually")</f>
        <v>ackchyually</v>
      </c>
    </row>
    <row r="268">
      <c r="A268" s="4" t="str">
        <f>IFERROR(__xludf.DUMMYFUNCTION("""COMPUTED_VALUE"""),"acknoledger")</f>
        <v>acknoledger</v>
      </c>
      <c r="B268" s="4" t="str">
        <f>IFERROR(__xludf.DUMMYFUNCTION("""COMPUTED_VALUE"""),"ack")</f>
        <v>ack</v>
      </c>
      <c r="C268" s="4" t="str">
        <f>IFERROR(__xludf.DUMMYFUNCTION("""COMPUTED_VALUE"""),"AcknoLedger")</f>
        <v>AcknoLedger</v>
      </c>
    </row>
    <row r="269">
      <c r="A269" s="4" t="str">
        <f>IFERROR(__xludf.DUMMYFUNCTION("""COMPUTED_VALUE"""),"acmfinance")</f>
        <v>acmfinance</v>
      </c>
      <c r="B269" s="4" t="str">
        <f>IFERROR(__xludf.DUMMYFUNCTION("""COMPUTED_VALUE"""),"acm")</f>
        <v>acm</v>
      </c>
      <c r="C269" s="4" t="str">
        <f>IFERROR(__xludf.DUMMYFUNCTION("""COMPUTED_VALUE"""),"acmFinance")</f>
        <v>acmFinance</v>
      </c>
    </row>
    <row r="270">
      <c r="A270" s="4" t="str">
        <f>IFERROR(__xludf.DUMMYFUNCTION("""COMPUTED_VALUE"""),"ac-milan-fan-token")</f>
        <v>ac-milan-fan-token</v>
      </c>
      <c r="B270" s="4" t="str">
        <f>IFERROR(__xludf.DUMMYFUNCTION("""COMPUTED_VALUE"""),"acm")</f>
        <v>acm</v>
      </c>
      <c r="C270" s="4" t="str">
        <f>IFERROR(__xludf.DUMMYFUNCTION("""COMPUTED_VALUE"""),"AC Milan Fan Token")</f>
        <v>AC Milan Fan Token</v>
      </c>
    </row>
    <row r="271">
      <c r="A271" s="4" t="str">
        <f>IFERROR(__xludf.DUMMYFUNCTION("""COMPUTED_VALUE"""),"acoconut")</f>
        <v>acoconut</v>
      </c>
      <c r="B271" s="4" t="str">
        <f>IFERROR(__xludf.DUMMYFUNCTION("""COMPUTED_VALUE"""),"ac")</f>
        <v>ac</v>
      </c>
      <c r="C271" s="4" t="str">
        <f>IFERROR(__xludf.DUMMYFUNCTION("""COMPUTED_VALUE"""),"ACoconut")</f>
        <v>ACoconut</v>
      </c>
    </row>
    <row r="272">
      <c r="A272" s="4" t="str">
        <f>IFERROR(__xludf.DUMMYFUNCTION("""COMPUTED_VALUE"""),"acorn-protocol")</f>
        <v>acorn-protocol</v>
      </c>
      <c r="B272" s="4" t="str">
        <f>IFERROR(__xludf.DUMMYFUNCTION("""COMPUTED_VALUE"""),"acn")</f>
        <v>acn</v>
      </c>
      <c r="C272" s="4" t="str">
        <f>IFERROR(__xludf.DUMMYFUNCTION("""COMPUTED_VALUE"""),"Acorn Protocol")</f>
        <v>Acorn Protocol</v>
      </c>
    </row>
    <row r="273">
      <c r="A273" s="4" t="str">
        <f>IFERROR(__xludf.DUMMYFUNCTION("""COMPUTED_VALUE"""),"acquire-fi")</f>
        <v>acquire-fi</v>
      </c>
      <c r="B273" s="4" t="str">
        <f>IFERROR(__xludf.DUMMYFUNCTION("""COMPUTED_VALUE"""),"acq")</f>
        <v>acq</v>
      </c>
      <c r="C273" s="5" t="str">
        <f>IFERROR(__xludf.DUMMYFUNCTION("""COMPUTED_VALUE"""),"Acquire.Fi")</f>
        <v>Acquire.Fi</v>
      </c>
    </row>
    <row r="274">
      <c r="A274" s="4" t="str">
        <f>IFERROR(__xludf.DUMMYFUNCTION("""COMPUTED_VALUE"""),"acria")</f>
        <v>acria</v>
      </c>
      <c r="B274" s="4" t="str">
        <f>IFERROR(__xludf.DUMMYFUNCTION("""COMPUTED_VALUE"""),"acria")</f>
        <v>acria</v>
      </c>
      <c r="C274" s="5" t="str">
        <f>IFERROR(__xludf.DUMMYFUNCTION("""COMPUTED_VALUE"""),"Acria.AI")</f>
        <v>Acria.AI</v>
      </c>
    </row>
    <row r="275">
      <c r="A275" s="4" t="str">
        <f>IFERROR(__xludf.DUMMYFUNCTION("""COMPUTED_VALUE"""),"acria-ai-aimarket")</f>
        <v>acria-ai-aimarket</v>
      </c>
      <c r="B275" s="4" t="str">
        <f>IFERROR(__xludf.DUMMYFUNCTION("""COMPUTED_VALUE"""),"aimarket")</f>
        <v>aimarket</v>
      </c>
      <c r="C275" s="4" t="str">
        <f>IFERROR(__xludf.DUMMYFUNCTION("""COMPUTED_VALUE"""),"Acria.AI AIMARKET")</f>
        <v>Acria.AI AIMARKET</v>
      </c>
    </row>
    <row r="276">
      <c r="A276" s="4" t="str">
        <f>IFERROR(__xludf.DUMMYFUNCTION("""COMPUTED_VALUE"""),"across-protocol")</f>
        <v>across-protocol</v>
      </c>
      <c r="B276" s="4" t="str">
        <f>IFERROR(__xludf.DUMMYFUNCTION("""COMPUTED_VALUE"""),"acx")</f>
        <v>acx</v>
      </c>
      <c r="C276" s="4" t="str">
        <f>IFERROR(__xludf.DUMMYFUNCTION("""COMPUTED_VALUE"""),"Across Protocol")</f>
        <v>Across Protocol</v>
      </c>
    </row>
    <row r="277">
      <c r="A277" s="4" t="str">
        <f>IFERROR(__xludf.DUMMYFUNCTION("""COMPUTED_VALUE"""),"acryptos")</f>
        <v>acryptos</v>
      </c>
      <c r="B277" s="4" t="str">
        <f>IFERROR(__xludf.DUMMYFUNCTION("""COMPUTED_VALUE"""),"acs")</f>
        <v>acs</v>
      </c>
      <c r="C277" s="4" t="str">
        <f>IFERROR(__xludf.DUMMYFUNCTION("""COMPUTED_VALUE"""),"ACryptoS [OLD]")</f>
        <v>ACryptoS [OLD]</v>
      </c>
    </row>
    <row r="278">
      <c r="A278" s="4" t="str">
        <f>IFERROR(__xludf.DUMMYFUNCTION("""COMPUTED_VALUE"""),"acryptos-2")</f>
        <v>acryptos-2</v>
      </c>
      <c r="B278" s="4" t="str">
        <f>IFERROR(__xludf.DUMMYFUNCTION("""COMPUTED_VALUE"""),"acs")</f>
        <v>acs</v>
      </c>
      <c r="C278" s="4" t="str">
        <f>IFERROR(__xludf.DUMMYFUNCTION("""COMPUTED_VALUE"""),"ACryptoS")</f>
        <v>ACryptoS</v>
      </c>
    </row>
    <row r="279">
      <c r="A279" s="4" t="str">
        <f>IFERROR(__xludf.DUMMYFUNCTION("""COMPUTED_VALUE"""),"acryptosi")</f>
        <v>acryptosi</v>
      </c>
      <c r="B279" s="4" t="str">
        <f>IFERROR(__xludf.DUMMYFUNCTION("""COMPUTED_VALUE"""),"acsi")</f>
        <v>acsi</v>
      </c>
      <c r="C279" s="4" t="str">
        <f>IFERROR(__xludf.DUMMYFUNCTION("""COMPUTED_VALUE"""),"ACryptoSI")</f>
        <v>ACryptoSI</v>
      </c>
    </row>
    <row r="280">
      <c r="A280" s="4" t="str">
        <f>IFERROR(__xludf.DUMMYFUNCTION("""COMPUTED_VALUE"""),"actinium")</f>
        <v>actinium</v>
      </c>
      <c r="B280" s="4" t="str">
        <f>IFERROR(__xludf.DUMMYFUNCTION("""COMPUTED_VALUE"""),"acm")</f>
        <v>acm</v>
      </c>
      <c r="C280" s="4" t="str">
        <f>IFERROR(__xludf.DUMMYFUNCTION("""COMPUTED_VALUE"""),"Actinium")</f>
        <v>Actinium</v>
      </c>
    </row>
    <row r="281">
      <c r="A281" s="4" t="str">
        <f>IFERROR(__xludf.DUMMYFUNCTION("""COMPUTED_VALUE"""),"action-coin")</f>
        <v>action-coin</v>
      </c>
      <c r="B281" s="4" t="str">
        <f>IFERROR(__xludf.DUMMYFUNCTION("""COMPUTED_VALUE"""),"actn")</f>
        <v>actn</v>
      </c>
      <c r="C281" s="4" t="str">
        <f>IFERROR(__xludf.DUMMYFUNCTION("""COMPUTED_VALUE"""),"Action Coin")</f>
        <v>Action Coin</v>
      </c>
    </row>
    <row r="282">
      <c r="A282" s="4" t="str">
        <f>IFERROR(__xludf.DUMMYFUNCTION("""COMPUTED_VALUE"""),"acurast")</f>
        <v>acurast</v>
      </c>
      <c r="B282" s="4" t="str">
        <f>IFERROR(__xludf.DUMMYFUNCTION("""COMPUTED_VALUE"""),"acu")</f>
        <v>acu</v>
      </c>
      <c r="C282" s="4" t="str">
        <f>IFERROR(__xludf.DUMMYFUNCTION("""COMPUTED_VALUE"""),"Acurast")</f>
        <v>Acurast</v>
      </c>
    </row>
    <row r="283">
      <c r="A283" s="4" t="str">
        <f>IFERROR(__xludf.DUMMYFUNCTION("""COMPUTED_VALUE"""),"acute-angle-cloud")</f>
        <v>acute-angle-cloud</v>
      </c>
      <c r="B283" s="4" t="str">
        <f>IFERROR(__xludf.DUMMYFUNCTION("""COMPUTED_VALUE"""),"aac")</f>
        <v>aac</v>
      </c>
      <c r="C283" s="4" t="str">
        <f>IFERROR(__xludf.DUMMYFUNCTION("""COMPUTED_VALUE"""),"Double-A Chain")</f>
        <v>Double-A Chain</v>
      </c>
    </row>
    <row r="284">
      <c r="A284" s="4" t="str">
        <f>IFERROR(__xludf.DUMMYFUNCTION("""COMPUTED_VALUE"""),"adacash")</f>
        <v>adacash</v>
      </c>
      <c r="B284" s="4" t="str">
        <f>IFERROR(__xludf.DUMMYFUNCTION("""COMPUTED_VALUE"""),"adacash")</f>
        <v>adacash</v>
      </c>
      <c r="C284" s="4" t="str">
        <f>IFERROR(__xludf.DUMMYFUNCTION("""COMPUTED_VALUE"""),"ADAcash")</f>
        <v>ADAcash</v>
      </c>
    </row>
    <row r="285">
      <c r="A285" s="4" t="str">
        <f>IFERROR(__xludf.DUMMYFUNCTION("""COMPUTED_VALUE"""),"adadao")</f>
        <v>adadao</v>
      </c>
      <c r="B285" s="4" t="str">
        <f>IFERROR(__xludf.DUMMYFUNCTION("""COMPUTED_VALUE"""),"adao")</f>
        <v>adao</v>
      </c>
      <c r="C285" s="4" t="str">
        <f>IFERROR(__xludf.DUMMYFUNCTION("""COMPUTED_VALUE"""),"ADADao")</f>
        <v>ADADao</v>
      </c>
    </row>
    <row r="286">
      <c r="A286" s="4" t="str">
        <f>IFERROR(__xludf.DUMMYFUNCTION("""COMPUTED_VALUE"""),"adadex")</f>
        <v>adadex</v>
      </c>
      <c r="B286" s="4" t="str">
        <f>IFERROR(__xludf.DUMMYFUNCTION("""COMPUTED_VALUE"""),"adex")</f>
        <v>adex</v>
      </c>
      <c r="C286" s="4" t="str">
        <f>IFERROR(__xludf.DUMMYFUNCTION("""COMPUTED_VALUE"""),"Adadex")</f>
        <v>Adadex</v>
      </c>
    </row>
    <row r="287">
      <c r="A287" s="4" t="str">
        <f>IFERROR(__xludf.DUMMYFUNCTION("""COMPUTED_VALUE"""),"adamant")</f>
        <v>adamant</v>
      </c>
      <c r="B287" s="4" t="str">
        <f>IFERROR(__xludf.DUMMYFUNCTION("""COMPUTED_VALUE"""),"addy")</f>
        <v>addy</v>
      </c>
      <c r="C287" s="4" t="str">
        <f>IFERROR(__xludf.DUMMYFUNCTION("""COMPUTED_VALUE"""),"Adamant")</f>
        <v>Adamant</v>
      </c>
    </row>
    <row r="288">
      <c r="A288" s="4" t="str">
        <f>IFERROR(__xludf.DUMMYFUNCTION("""COMPUTED_VALUE"""),"adamant-messenger")</f>
        <v>adamant-messenger</v>
      </c>
      <c r="B288" s="4" t="str">
        <f>IFERROR(__xludf.DUMMYFUNCTION("""COMPUTED_VALUE"""),"adm")</f>
        <v>adm</v>
      </c>
      <c r="C288" s="4" t="str">
        <f>IFERROR(__xludf.DUMMYFUNCTION("""COMPUTED_VALUE"""),"ADAMANT Messenger")</f>
        <v>ADAMANT Messenger</v>
      </c>
    </row>
    <row r="289">
      <c r="A289" s="4" t="str">
        <f>IFERROR(__xludf.DUMMYFUNCTION("""COMPUTED_VALUE"""),"adanaspor-fan-token")</f>
        <v>adanaspor-fan-token</v>
      </c>
      <c r="B289" s="4" t="str">
        <f>IFERROR(__xludf.DUMMYFUNCTION("""COMPUTED_VALUE"""),"adana")</f>
        <v>adana</v>
      </c>
      <c r="C289" s="4" t="str">
        <f>IFERROR(__xludf.DUMMYFUNCTION("""COMPUTED_VALUE"""),"Adanaspor Fan Token")</f>
        <v>Adanaspor Fan Token</v>
      </c>
    </row>
    <row r="290">
      <c r="A290" s="4" t="str">
        <f>IFERROR(__xludf.DUMMYFUNCTION("""COMPUTED_VALUE"""),"adapad")</f>
        <v>adapad</v>
      </c>
      <c r="B290" s="4" t="str">
        <f>IFERROR(__xludf.DUMMYFUNCTION("""COMPUTED_VALUE"""),"adapad")</f>
        <v>adapad</v>
      </c>
      <c r="C290" s="4" t="str">
        <f>IFERROR(__xludf.DUMMYFUNCTION("""COMPUTED_VALUE"""),"ADAPad")</f>
        <v>ADAPad</v>
      </c>
    </row>
    <row r="291">
      <c r="A291" s="4" t="str">
        <f>IFERROR(__xludf.DUMMYFUNCTION("""COMPUTED_VALUE"""),"ada-peepos")</f>
        <v>ada-peepos</v>
      </c>
      <c r="B291" s="4" t="str">
        <f>IFERROR(__xludf.DUMMYFUNCTION("""COMPUTED_VALUE"""),"fren")</f>
        <v>fren</v>
      </c>
      <c r="C291" s="4" t="str">
        <f>IFERROR(__xludf.DUMMYFUNCTION("""COMPUTED_VALUE"""),"FREN")</f>
        <v>FREN</v>
      </c>
    </row>
    <row r="292">
      <c r="A292" s="4" t="str">
        <f>IFERROR(__xludf.DUMMYFUNCTION("""COMPUTED_VALUE"""),"adappter-token")</f>
        <v>adappter-token</v>
      </c>
      <c r="B292" s="4" t="str">
        <f>IFERROR(__xludf.DUMMYFUNCTION("""COMPUTED_VALUE"""),"adp")</f>
        <v>adp</v>
      </c>
      <c r="C292" s="4" t="str">
        <f>IFERROR(__xludf.DUMMYFUNCTION("""COMPUTED_VALUE"""),"Adappter")</f>
        <v>Adappter</v>
      </c>
    </row>
    <row r="293">
      <c r="A293" s="4" t="str">
        <f>IFERROR(__xludf.DUMMYFUNCTION("""COMPUTED_VALUE"""),"adapt3r-digital-treasury-bill-fund")</f>
        <v>adapt3r-digital-treasury-bill-fund</v>
      </c>
      <c r="B293" s="4" t="str">
        <f>IFERROR(__xludf.DUMMYFUNCTION("""COMPUTED_VALUE"""),"tfbill")</f>
        <v>tfbill</v>
      </c>
      <c r="C293" s="4" t="str">
        <f>IFERROR(__xludf.DUMMYFUNCTION("""COMPUTED_VALUE"""),"Adapt3r Digital Treasury Bill Fund")</f>
        <v>Adapt3r Digital Treasury Bill Fund</v>
      </c>
    </row>
    <row r="294">
      <c r="A294" s="4" t="str">
        <f>IFERROR(__xludf.DUMMYFUNCTION("""COMPUTED_VALUE"""),"adaswap")</f>
        <v>adaswap</v>
      </c>
      <c r="B294" s="4" t="str">
        <f>IFERROR(__xludf.DUMMYFUNCTION("""COMPUTED_VALUE"""),"asw")</f>
        <v>asw</v>
      </c>
      <c r="C294" s="4" t="str">
        <f>IFERROR(__xludf.DUMMYFUNCTION("""COMPUTED_VALUE"""),"AdaSwap")</f>
        <v>AdaSwap</v>
      </c>
    </row>
    <row r="295">
      <c r="A295" s="4" t="str">
        <f>IFERROR(__xludf.DUMMYFUNCTION("""COMPUTED_VALUE"""),"ada-the-dog")</f>
        <v>ada-the-dog</v>
      </c>
      <c r="B295" s="4" t="str">
        <f>IFERROR(__xludf.DUMMYFUNCTION("""COMPUTED_VALUE"""),"ada")</f>
        <v>ada</v>
      </c>
      <c r="C295" s="4" t="str">
        <f>IFERROR(__xludf.DUMMYFUNCTION("""COMPUTED_VALUE"""),"ADA the Dog")</f>
        <v>ADA the Dog</v>
      </c>
    </row>
    <row r="296">
      <c r="A296" s="4" t="str">
        <f>IFERROR(__xludf.DUMMYFUNCTION("""COMPUTED_VALUE"""),"adax")</f>
        <v>adax</v>
      </c>
      <c r="B296" s="4" t="str">
        <f>IFERROR(__xludf.DUMMYFUNCTION("""COMPUTED_VALUE"""),"adax")</f>
        <v>adax</v>
      </c>
      <c r="C296" s="4" t="str">
        <f>IFERROR(__xludf.DUMMYFUNCTION("""COMPUTED_VALUE"""),"ADAX")</f>
        <v>ADAX</v>
      </c>
    </row>
    <row r="297">
      <c r="A297" s="4" t="str">
        <f>IFERROR(__xludf.DUMMYFUNCTION("""COMPUTED_VALUE"""),"adazoo")</f>
        <v>adazoo</v>
      </c>
      <c r="B297" s="4" t="str">
        <f>IFERROR(__xludf.DUMMYFUNCTION("""COMPUTED_VALUE"""),"zoo")</f>
        <v>zoo</v>
      </c>
      <c r="C297" s="4" t="str">
        <f>IFERROR(__xludf.DUMMYFUNCTION("""COMPUTED_VALUE"""),"ADAZOO")</f>
        <v>ADAZOO</v>
      </c>
    </row>
    <row r="298">
      <c r="A298" s="4" t="str">
        <f>IFERROR(__xludf.DUMMYFUNCTION("""COMPUTED_VALUE"""),"add-finance")</f>
        <v>add-finance</v>
      </c>
      <c r="B298" s="4" t="str">
        <f>IFERROR(__xludf.DUMMYFUNCTION("""COMPUTED_VALUE"""),"add")</f>
        <v>add</v>
      </c>
      <c r="C298" s="4" t="str">
        <f>IFERROR(__xludf.DUMMYFUNCTION("""COMPUTED_VALUE"""),"Add Finance")</f>
        <v>Add Finance</v>
      </c>
    </row>
    <row r="299">
      <c r="A299" s="4" t="str">
        <f>IFERROR(__xludf.DUMMYFUNCTION("""COMPUTED_VALUE"""),"addy")</f>
        <v>addy</v>
      </c>
      <c r="B299" s="4" t="str">
        <f>IFERROR(__xludf.DUMMYFUNCTION("""COMPUTED_VALUE"""),"addy")</f>
        <v>addy</v>
      </c>
      <c r="C299" s="4" t="str">
        <f>IFERROR(__xludf.DUMMYFUNCTION("""COMPUTED_VALUE"""),"Addy")</f>
        <v>Addy</v>
      </c>
    </row>
    <row r="300">
      <c r="A300" s="4" t="str">
        <f>IFERROR(__xludf.DUMMYFUNCTION("""COMPUTED_VALUE"""),"adex")</f>
        <v>adex</v>
      </c>
      <c r="B300" s="4" t="str">
        <f>IFERROR(__xludf.DUMMYFUNCTION("""COMPUTED_VALUE"""),"adx")</f>
        <v>adx</v>
      </c>
      <c r="C300" s="4" t="str">
        <f>IFERROR(__xludf.DUMMYFUNCTION("""COMPUTED_VALUE"""),"AdEx")</f>
        <v>AdEx</v>
      </c>
    </row>
    <row r="301">
      <c r="A301" s="4" t="str">
        <f>IFERROR(__xludf.DUMMYFUNCTION("""COMPUTED_VALUE"""),"adil-chain")</f>
        <v>adil-chain</v>
      </c>
      <c r="B301" s="4" t="str">
        <f>IFERROR(__xludf.DUMMYFUNCTION("""COMPUTED_VALUE"""),"adil")</f>
        <v>adil</v>
      </c>
      <c r="C301" s="4" t="str">
        <f>IFERROR(__xludf.DUMMYFUNCTION("""COMPUTED_VALUE"""),"ADIL Chain")</f>
        <v>ADIL Chain</v>
      </c>
    </row>
    <row r="302">
      <c r="A302" s="4" t="str">
        <f>IFERROR(__xludf.DUMMYFUNCTION("""COMPUTED_VALUE"""),"a-dog-in-the-matrix")</f>
        <v>a-dog-in-the-matrix</v>
      </c>
      <c r="B302" s="4" t="str">
        <f>IFERROR(__xludf.DUMMYFUNCTION("""COMPUTED_VALUE"""),"matrix")</f>
        <v>matrix</v>
      </c>
      <c r="C302" s="4" t="str">
        <f>IFERROR(__xludf.DUMMYFUNCTION("""COMPUTED_VALUE"""),"A DOG IN THE MATRIX")</f>
        <v>A DOG IN THE MATRIX</v>
      </c>
    </row>
    <row r="303">
      <c r="A303" s="4" t="str">
        <f>IFERROR(__xludf.DUMMYFUNCTION("""COMPUTED_VALUE"""),"ado-network")</f>
        <v>ado-network</v>
      </c>
      <c r="B303" s="4" t="str">
        <f>IFERROR(__xludf.DUMMYFUNCTION("""COMPUTED_VALUE"""),"ado")</f>
        <v>ado</v>
      </c>
      <c r="C303" s="4" t="str">
        <f>IFERROR(__xludf.DUMMYFUNCTION("""COMPUTED_VALUE"""),"ADO Protocol")</f>
        <v>ADO Protocol</v>
      </c>
    </row>
    <row r="304">
      <c r="A304" s="4" t="str">
        <f>IFERROR(__xludf.DUMMYFUNCTION("""COMPUTED_VALUE"""),"adonis-2")</f>
        <v>adonis-2</v>
      </c>
      <c r="B304" s="4" t="str">
        <f>IFERROR(__xludf.DUMMYFUNCTION("""COMPUTED_VALUE"""),"adon")</f>
        <v>adon</v>
      </c>
      <c r="C304" s="4" t="str">
        <f>IFERROR(__xludf.DUMMYFUNCTION("""COMPUTED_VALUE"""),"Adonis")</f>
        <v>Adonis</v>
      </c>
    </row>
    <row r="305">
      <c r="A305" s="4" t="str">
        <f>IFERROR(__xludf.DUMMYFUNCTION("""COMPUTED_VALUE"""),"adreward")</f>
        <v>adreward</v>
      </c>
      <c r="B305" s="4" t="str">
        <f>IFERROR(__xludf.DUMMYFUNCTION("""COMPUTED_VALUE"""),"ad")</f>
        <v>ad</v>
      </c>
      <c r="C305" s="4" t="str">
        <f>IFERROR(__xludf.DUMMYFUNCTION("""COMPUTED_VALUE"""),"ADreward")</f>
        <v>ADreward</v>
      </c>
    </row>
    <row r="306">
      <c r="A306" s="4" t="str">
        <f>IFERROR(__xludf.DUMMYFUNCTION("""COMPUTED_VALUE"""),"adroverse")</f>
        <v>adroverse</v>
      </c>
      <c r="B306" s="4" t="str">
        <f>IFERROR(__xludf.DUMMYFUNCTION("""COMPUTED_VALUE"""),"adr")</f>
        <v>adr</v>
      </c>
      <c r="C306" s="4" t="str">
        <f>IFERROR(__xludf.DUMMYFUNCTION("""COMPUTED_VALUE"""),"Adroverse")</f>
        <v>Adroverse</v>
      </c>
    </row>
    <row r="307">
      <c r="A307" s="4" t="str">
        <f>IFERROR(__xludf.DUMMYFUNCTION("""COMPUTED_VALUE"""),"adshares")</f>
        <v>adshares</v>
      </c>
      <c r="B307" s="4" t="str">
        <f>IFERROR(__xludf.DUMMYFUNCTION("""COMPUTED_VALUE"""),"ads")</f>
        <v>ads</v>
      </c>
      <c r="C307" s="4" t="str">
        <f>IFERROR(__xludf.DUMMYFUNCTION("""COMPUTED_VALUE"""),"Adshares")</f>
        <v>Adshares</v>
      </c>
    </row>
    <row r="308">
      <c r="A308" s="4" t="str">
        <f>IFERROR(__xludf.DUMMYFUNCTION("""COMPUTED_VALUE"""),"adult-playground")</f>
        <v>adult-playground</v>
      </c>
      <c r="B308" s="4" t="str">
        <f>IFERROR(__xludf.DUMMYFUNCTION("""COMPUTED_VALUE"""),"adult")</f>
        <v>adult</v>
      </c>
      <c r="C308" s="4" t="str">
        <f>IFERROR(__xludf.DUMMYFUNCTION("""COMPUTED_VALUE"""),"Adult Playground")</f>
        <v>Adult Playground</v>
      </c>
    </row>
    <row r="309">
      <c r="A309" s="4" t="str">
        <f>IFERROR(__xludf.DUMMYFUNCTION("""COMPUTED_VALUE"""),"adv3nture-xyz-gemstone")</f>
        <v>adv3nture-xyz-gemstone</v>
      </c>
      <c r="B309" s="4" t="str">
        <f>IFERROR(__xludf.DUMMYFUNCTION("""COMPUTED_VALUE"""),"gem")</f>
        <v>gem</v>
      </c>
      <c r="C309" s="4" t="str">
        <f>IFERROR(__xludf.DUMMYFUNCTION("""COMPUTED_VALUE"""),"Adv3nture.xyz Gemstone")</f>
        <v>Adv3nture.xyz Gemstone</v>
      </c>
    </row>
    <row r="310">
      <c r="A310" s="4" t="str">
        <f>IFERROR(__xludf.DUMMYFUNCTION("""COMPUTED_VALUE"""),"adv3nture-xyz-gold")</f>
        <v>adv3nture-xyz-gold</v>
      </c>
      <c r="B310" s="4" t="str">
        <f>IFERROR(__xludf.DUMMYFUNCTION("""COMPUTED_VALUE"""),"gold")</f>
        <v>gold</v>
      </c>
      <c r="C310" s="4" t="str">
        <f>IFERROR(__xludf.DUMMYFUNCTION("""COMPUTED_VALUE"""),"Adv3nture.xyz Gold")</f>
        <v>Adv3nture.xyz Gold</v>
      </c>
    </row>
    <row r="311">
      <c r="A311" s="4" t="str">
        <f>IFERROR(__xludf.DUMMYFUNCTION("""COMPUTED_VALUE"""),"advanced-united-continent")</f>
        <v>advanced-united-continent</v>
      </c>
      <c r="B311" s="4" t="str">
        <f>IFERROR(__xludf.DUMMYFUNCTION("""COMPUTED_VALUE"""),"auc")</f>
        <v>auc</v>
      </c>
      <c r="C311" s="4" t="str">
        <f>IFERROR(__xludf.DUMMYFUNCTION("""COMPUTED_VALUE"""),"Advanced United Continent")</f>
        <v>Advanced United Continent</v>
      </c>
    </row>
    <row r="312">
      <c r="A312" s="4" t="str">
        <f>IFERROR(__xludf.DUMMYFUNCTION("""COMPUTED_VALUE"""),"advantis")</f>
        <v>advantis</v>
      </c>
      <c r="B312" s="4" t="str">
        <f>IFERROR(__xludf.DUMMYFUNCTION("""COMPUTED_VALUE"""),"advt")</f>
        <v>advt</v>
      </c>
      <c r="C312" s="4" t="str">
        <f>IFERROR(__xludf.DUMMYFUNCTION("""COMPUTED_VALUE"""),"Advantis")</f>
        <v>Advantis</v>
      </c>
    </row>
    <row r="313">
      <c r="A313" s="4" t="str">
        <f>IFERROR(__xludf.DUMMYFUNCTION("""COMPUTED_VALUE"""),"adventure-gold")</f>
        <v>adventure-gold</v>
      </c>
      <c r="B313" s="4" t="str">
        <f>IFERROR(__xludf.DUMMYFUNCTION("""COMPUTED_VALUE"""),"agld")</f>
        <v>agld</v>
      </c>
      <c r="C313" s="4" t="str">
        <f>IFERROR(__xludf.DUMMYFUNCTION("""COMPUTED_VALUE"""),"Adventure Gold")</f>
        <v>Adventure Gold</v>
      </c>
    </row>
    <row r="314">
      <c r="A314" s="4" t="str">
        <f>IFERROR(__xludf.DUMMYFUNCTION("""COMPUTED_VALUE"""),"adventurer-gold")</f>
        <v>adventurer-gold</v>
      </c>
      <c r="B314" s="4" t="str">
        <f>IFERROR(__xludf.DUMMYFUNCTION("""COMPUTED_VALUE"""),"gold")</f>
        <v>gold</v>
      </c>
      <c r="C314" s="4" t="str">
        <f>IFERROR(__xludf.DUMMYFUNCTION("""COMPUTED_VALUE"""),"Adventurer Gold")</f>
        <v>Adventurer Gold</v>
      </c>
    </row>
    <row r="315">
      <c r="A315" s="4" t="str">
        <f>IFERROR(__xludf.DUMMYFUNCTION("""COMPUTED_VALUE"""),"advertise-coin")</f>
        <v>advertise-coin</v>
      </c>
      <c r="B315" s="4" t="str">
        <f>IFERROR(__xludf.DUMMYFUNCTION("""COMPUTED_VALUE"""),"adco")</f>
        <v>adco</v>
      </c>
      <c r="C315" s="4" t="str">
        <f>IFERROR(__xludf.DUMMYFUNCTION("""COMPUTED_VALUE"""),"Advertise Coin")</f>
        <v>Advertise Coin</v>
      </c>
    </row>
    <row r="316">
      <c r="A316" s="4" t="str">
        <f>IFERROR(__xludf.DUMMYFUNCTION("""COMPUTED_VALUE"""),"aeggs")</f>
        <v>aeggs</v>
      </c>
      <c r="B316" s="4" t="str">
        <f>IFERROR(__xludf.DUMMYFUNCTION("""COMPUTED_VALUE"""),"aeggs")</f>
        <v>aeggs</v>
      </c>
      <c r="C316" s="4" t="str">
        <f>IFERROR(__xludf.DUMMYFUNCTION("""COMPUTED_VALUE"""),"aEGGS")</f>
        <v>aEGGS</v>
      </c>
    </row>
    <row r="317">
      <c r="A317" s="4" t="str">
        <f>IFERROR(__xludf.DUMMYFUNCTION("""COMPUTED_VALUE"""),"aegis")</f>
        <v>aegis</v>
      </c>
      <c r="B317" s="4" t="str">
        <f>IFERROR(__xludf.DUMMYFUNCTION("""COMPUTED_VALUE"""),"ags")</f>
        <v>ags</v>
      </c>
      <c r="C317" s="4" t="str">
        <f>IFERROR(__xludf.DUMMYFUNCTION("""COMPUTED_VALUE"""),"Aegis")</f>
        <v>Aegis</v>
      </c>
    </row>
    <row r="318">
      <c r="A318" s="4" t="str">
        <f>IFERROR(__xludf.DUMMYFUNCTION("""COMPUTED_VALUE"""),"aegis-ai")</f>
        <v>aegis-ai</v>
      </c>
      <c r="B318" s="4" t="str">
        <f>IFERROR(__xludf.DUMMYFUNCTION("""COMPUTED_VALUE"""),"aegis")</f>
        <v>aegis</v>
      </c>
      <c r="C318" s="4" t="str">
        <f>IFERROR(__xludf.DUMMYFUNCTION("""COMPUTED_VALUE"""),"Aegis Ai")</f>
        <v>Aegis Ai</v>
      </c>
    </row>
    <row r="319">
      <c r="A319" s="4" t="str">
        <f>IFERROR(__xludf.DUMMYFUNCTION("""COMPUTED_VALUE"""),"aegis-token-f7934368-2fb3-4091-9edc-39283e87f55d")</f>
        <v>aegis-token-f7934368-2fb3-4091-9edc-39283e87f55d</v>
      </c>
      <c r="B319" s="4" t="str">
        <f>IFERROR(__xludf.DUMMYFUNCTION("""COMPUTED_VALUE"""),"on")</f>
        <v>on</v>
      </c>
      <c r="C319" s="4" t="str">
        <f>IFERROR(__xludf.DUMMYFUNCTION("""COMPUTED_VALUE"""),"Onsen Token")</f>
        <v>Onsen Token</v>
      </c>
    </row>
    <row r="320">
      <c r="A320" s="4" t="str">
        <f>IFERROR(__xludf.DUMMYFUNCTION("""COMPUTED_VALUE"""),"aelf")</f>
        <v>aelf</v>
      </c>
      <c r="B320" s="4" t="str">
        <f>IFERROR(__xludf.DUMMYFUNCTION("""COMPUTED_VALUE"""),"elf")</f>
        <v>elf</v>
      </c>
      <c r="C320" s="4" t="str">
        <f>IFERROR(__xludf.DUMMYFUNCTION("""COMPUTED_VALUE"""),"aelf")</f>
        <v>aelf</v>
      </c>
    </row>
    <row r="321">
      <c r="A321" s="4" t="str">
        <f>IFERROR(__xludf.DUMMYFUNCTION("""COMPUTED_VALUE"""),"aelin")</f>
        <v>aelin</v>
      </c>
      <c r="B321" s="4" t="str">
        <f>IFERROR(__xludf.DUMMYFUNCTION("""COMPUTED_VALUE"""),"aelin")</f>
        <v>aelin</v>
      </c>
      <c r="C321" s="4" t="str">
        <f>IFERROR(__xludf.DUMMYFUNCTION("""COMPUTED_VALUE"""),"Aelin")</f>
        <v>Aelin</v>
      </c>
    </row>
    <row r="322">
      <c r="A322" s="4" t="str">
        <f>IFERROR(__xludf.DUMMYFUNCTION("""COMPUTED_VALUE"""),"aelysir")</f>
        <v>aelysir</v>
      </c>
      <c r="B322" s="4" t="str">
        <f>IFERROR(__xludf.DUMMYFUNCTION("""COMPUTED_VALUE"""),"ael")</f>
        <v>ael</v>
      </c>
      <c r="C322" s="4" t="str">
        <f>IFERROR(__xludf.DUMMYFUNCTION("""COMPUTED_VALUE"""),"Aelysir")</f>
        <v>Aelysir</v>
      </c>
    </row>
    <row r="323">
      <c r="A323" s="4" t="str">
        <f>IFERROR(__xludf.DUMMYFUNCTION("""COMPUTED_VALUE"""),"aeon")</f>
        <v>aeon</v>
      </c>
      <c r="B323" s="4" t="str">
        <f>IFERROR(__xludf.DUMMYFUNCTION("""COMPUTED_VALUE"""),"aeon")</f>
        <v>aeon</v>
      </c>
      <c r="C323" s="4" t="str">
        <f>IFERROR(__xludf.DUMMYFUNCTION("""COMPUTED_VALUE"""),"Aeon")</f>
        <v>Aeon</v>
      </c>
    </row>
    <row r="324">
      <c r="A324" s="4" t="str">
        <f>IFERROR(__xludf.DUMMYFUNCTION("""COMPUTED_VALUE"""),"aeonodex")</f>
        <v>aeonodex</v>
      </c>
      <c r="B324" s="4" t="str">
        <f>IFERROR(__xludf.DUMMYFUNCTION("""COMPUTED_VALUE"""),"aeonodex")</f>
        <v>aeonodex</v>
      </c>
      <c r="C324" s="4" t="str">
        <f>IFERROR(__xludf.DUMMYFUNCTION("""COMPUTED_VALUE"""),"AEONODEX")</f>
        <v>AEONODEX</v>
      </c>
    </row>
    <row r="325">
      <c r="A325" s="4" t="str">
        <f>IFERROR(__xludf.DUMMYFUNCTION("""COMPUTED_VALUE"""),"aepos-network")</f>
        <v>aepos-network</v>
      </c>
      <c r="B325" s="4" t="str">
        <f>IFERROR(__xludf.DUMMYFUNCTION("""COMPUTED_VALUE"""),"aepos")</f>
        <v>aepos</v>
      </c>
      <c r="C325" s="4" t="str">
        <f>IFERROR(__xludf.DUMMYFUNCTION("""COMPUTED_VALUE"""),"AePos Network")</f>
        <v>AePos Network</v>
      </c>
    </row>
    <row r="326">
      <c r="A326" s="4" t="str">
        <f>IFERROR(__xludf.DUMMYFUNCTION("""COMPUTED_VALUE"""),"aerarium-fi")</f>
        <v>aerarium-fi</v>
      </c>
      <c r="B326" s="4" t="str">
        <f>IFERROR(__xludf.DUMMYFUNCTION("""COMPUTED_VALUE"""),"aera")</f>
        <v>aera</v>
      </c>
      <c r="C326" s="4" t="str">
        <f>IFERROR(__xludf.DUMMYFUNCTION("""COMPUTED_VALUE"""),"Aerarium Fi")</f>
        <v>Aerarium Fi</v>
      </c>
    </row>
    <row r="327">
      <c r="A327" s="4" t="str">
        <f>IFERROR(__xludf.DUMMYFUNCTION("""COMPUTED_VALUE"""),"aerdrop")</f>
        <v>aerdrop</v>
      </c>
      <c r="B327" s="4" t="str">
        <f>IFERROR(__xludf.DUMMYFUNCTION("""COMPUTED_VALUE"""),"aer")</f>
        <v>aer</v>
      </c>
      <c r="C327" s="4" t="str">
        <f>IFERROR(__xludf.DUMMYFUNCTION("""COMPUTED_VALUE"""),"Aerdrop")</f>
        <v>Aerdrop</v>
      </c>
    </row>
    <row r="328">
      <c r="A328" s="4" t="str">
        <f>IFERROR(__xludf.DUMMYFUNCTION("""COMPUTED_VALUE"""),"aergo")</f>
        <v>aergo</v>
      </c>
      <c r="B328" s="4" t="str">
        <f>IFERROR(__xludf.DUMMYFUNCTION("""COMPUTED_VALUE"""),"aergo")</f>
        <v>aergo</v>
      </c>
      <c r="C328" s="4" t="str">
        <f>IFERROR(__xludf.DUMMYFUNCTION("""COMPUTED_VALUE"""),"Aergo")</f>
        <v>Aergo</v>
      </c>
    </row>
    <row r="329">
      <c r="A329" s="4" t="str">
        <f>IFERROR(__xludf.DUMMYFUNCTION("""COMPUTED_VALUE"""),"aerodrome-finance")</f>
        <v>aerodrome-finance</v>
      </c>
      <c r="B329" s="4" t="str">
        <f>IFERROR(__xludf.DUMMYFUNCTION("""COMPUTED_VALUE"""),"aero")</f>
        <v>aero</v>
      </c>
      <c r="C329" s="4" t="str">
        <f>IFERROR(__xludf.DUMMYFUNCTION("""COMPUTED_VALUE"""),"Aerodrome Finance")</f>
        <v>Aerodrome Finance</v>
      </c>
    </row>
    <row r="330">
      <c r="A330" s="4" t="str">
        <f>IFERROR(__xludf.DUMMYFUNCTION("""COMPUTED_VALUE"""),"aeron")</f>
        <v>aeron</v>
      </c>
      <c r="B330" s="4" t="str">
        <f>IFERROR(__xludf.DUMMYFUNCTION("""COMPUTED_VALUE"""),"arnx")</f>
        <v>arnx</v>
      </c>
      <c r="C330" s="4" t="str">
        <f>IFERROR(__xludf.DUMMYFUNCTION("""COMPUTED_VALUE"""),"Aeron")</f>
        <v>Aeron</v>
      </c>
    </row>
    <row r="331">
      <c r="A331" s="4" t="str">
        <f>IFERROR(__xludf.DUMMYFUNCTION("""COMPUTED_VALUE"""),"aerovek-aviation")</f>
        <v>aerovek-aviation</v>
      </c>
      <c r="B331" s="4" t="str">
        <f>IFERROR(__xludf.DUMMYFUNCTION("""COMPUTED_VALUE"""),"aero")</f>
        <v>aero</v>
      </c>
      <c r="C331" s="4" t="str">
        <f>IFERROR(__xludf.DUMMYFUNCTION("""COMPUTED_VALUE"""),"Aerovek Aviation")</f>
        <v>Aerovek Aviation</v>
      </c>
    </row>
    <row r="332">
      <c r="A332" s="4" t="str">
        <f>IFERROR(__xludf.DUMMYFUNCTION("""COMPUTED_VALUE"""),"aesirx")</f>
        <v>aesirx</v>
      </c>
      <c r="B332" s="4" t="str">
        <f>IFERROR(__xludf.DUMMYFUNCTION("""COMPUTED_VALUE"""),"aesirx")</f>
        <v>aesirx</v>
      </c>
      <c r="C332" s="4" t="str">
        <f>IFERROR(__xludf.DUMMYFUNCTION("""COMPUTED_VALUE"""),"AesirX")</f>
        <v>AesirX</v>
      </c>
    </row>
    <row r="333">
      <c r="A333" s="4" t="str">
        <f>IFERROR(__xludf.DUMMYFUNCTION("""COMPUTED_VALUE"""),"aet")</f>
        <v>aet</v>
      </c>
      <c r="B333" s="4" t="str">
        <f>IFERROR(__xludf.DUMMYFUNCTION("""COMPUTED_VALUE"""),"aet")</f>
        <v>aet</v>
      </c>
      <c r="C333" s="4" t="str">
        <f>IFERROR(__xludf.DUMMYFUNCTION("""COMPUTED_VALUE"""),"AET")</f>
        <v>AET</v>
      </c>
    </row>
    <row r="334">
      <c r="A334" s="4" t="str">
        <f>IFERROR(__xludf.DUMMYFUNCTION("""COMPUTED_VALUE"""),"aeternity")</f>
        <v>aeternity</v>
      </c>
      <c r="B334" s="4" t="str">
        <f>IFERROR(__xludf.DUMMYFUNCTION("""COMPUTED_VALUE"""),"ae")</f>
        <v>ae</v>
      </c>
      <c r="C334" s="4" t="str">
        <f>IFERROR(__xludf.DUMMYFUNCTION("""COMPUTED_VALUE"""),"Aeternity")</f>
        <v>Aeternity</v>
      </c>
    </row>
    <row r="335">
      <c r="A335" s="4" t="str">
        <f>IFERROR(__xludf.DUMMYFUNCTION("""COMPUTED_VALUE"""),"aether-games")</f>
        <v>aether-games</v>
      </c>
      <c r="B335" s="4" t="str">
        <f>IFERROR(__xludf.DUMMYFUNCTION("""COMPUTED_VALUE"""),"aeg")</f>
        <v>aeg</v>
      </c>
      <c r="C335" s="4" t="str">
        <f>IFERROR(__xludf.DUMMYFUNCTION("""COMPUTED_VALUE"""),"Aether Games")</f>
        <v>Aether Games</v>
      </c>
    </row>
    <row r="336">
      <c r="A336" s="4" t="str">
        <f>IFERROR(__xludf.DUMMYFUNCTION("""COMPUTED_VALUE"""),"aethir")</f>
        <v>aethir</v>
      </c>
      <c r="B336" s="4" t="str">
        <f>IFERROR(__xludf.DUMMYFUNCTION("""COMPUTED_VALUE"""),"ath")</f>
        <v>ath</v>
      </c>
      <c r="C336" s="4" t="str">
        <f>IFERROR(__xludf.DUMMYFUNCTION("""COMPUTED_VALUE"""),"Aethir")</f>
        <v>Aethir</v>
      </c>
    </row>
    <row r="337">
      <c r="A337" s="4" t="str">
        <f>IFERROR(__xludf.DUMMYFUNCTION("""COMPUTED_VALUE"""),"aeusd")</f>
        <v>aeusd</v>
      </c>
      <c r="B337" s="4" t="str">
        <f>IFERROR(__xludf.DUMMYFUNCTION("""COMPUTED_VALUE"""),"aeusd")</f>
        <v>aeusd</v>
      </c>
      <c r="C337" s="4" t="str">
        <f>IFERROR(__xludf.DUMMYFUNCTION("""COMPUTED_VALUE"""),"aeUSD")</f>
        <v>aeUSD</v>
      </c>
    </row>
    <row r="338">
      <c r="A338" s="4" t="str">
        <f>IFERROR(__xludf.DUMMYFUNCTION("""COMPUTED_VALUE"""),"aevo-exchange")</f>
        <v>aevo-exchange</v>
      </c>
      <c r="B338" s="4" t="str">
        <f>IFERROR(__xludf.DUMMYFUNCTION("""COMPUTED_VALUE"""),"aevo")</f>
        <v>aevo</v>
      </c>
      <c r="C338" s="4" t="str">
        <f>IFERROR(__xludf.DUMMYFUNCTION("""COMPUTED_VALUE"""),"Aevo")</f>
        <v>Aevo</v>
      </c>
    </row>
    <row r="339">
      <c r="A339" s="4" t="str">
        <f>IFERROR(__xludf.DUMMYFUNCTION("""COMPUTED_VALUE"""),"aevum-ore")</f>
        <v>aevum-ore</v>
      </c>
      <c r="B339" s="4" t="str">
        <f>IFERROR(__xludf.DUMMYFUNCTION("""COMPUTED_VALUE"""),"aevum")</f>
        <v>aevum</v>
      </c>
      <c r="C339" s="4" t="str">
        <f>IFERROR(__xludf.DUMMYFUNCTION("""COMPUTED_VALUE"""),"Aevum")</f>
        <v>Aevum</v>
      </c>
    </row>
    <row r="340">
      <c r="A340" s="4" t="str">
        <f>IFERROR(__xludf.DUMMYFUNCTION("""COMPUTED_VALUE"""),"aezora")</f>
        <v>aezora</v>
      </c>
      <c r="B340" s="4" t="str">
        <f>IFERROR(__xludf.DUMMYFUNCTION("""COMPUTED_VALUE"""),"azr")</f>
        <v>azr</v>
      </c>
      <c r="C340" s="4" t="str">
        <f>IFERROR(__xludf.DUMMYFUNCTION("""COMPUTED_VALUE"""),"Azzure")</f>
        <v>Azzure</v>
      </c>
    </row>
    <row r="341">
      <c r="A341" s="4" t="str">
        <f>IFERROR(__xludf.DUMMYFUNCTION("""COMPUTED_VALUE"""),"afen-blockchain")</f>
        <v>afen-blockchain</v>
      </c>
      <c r="B341" s="4" t="str">
        <f>IFERROR(__xludf.DUMMYFUNCTION("""COMPUTED_VALUE"""),"afen")</f>
        <v>afen</v>
      </c>
      <c r="C341" s="4" t="str">
        <f>IFERROR(__xludf.DUMMYFUNCTION("""COMPUTED_VALUE"""),"AFEN Blockchain")</f>
        <v>AFEN Blockchain</v>
      </c>
    </row>
    <row r="342">
      <c r="A342" s="4" t="str">
        <f>IFERROR(__xludf.DUMMYFUNCTION("""COMPUTED_VALUE"""),"affinity")</f>
        <v>affinity</v>
      </c>
      <c r="B342" s="4" t="str">
        <f>IFERROR(__xludf.DUMMYFUNCTION("""COMPUTED_VALUE"""),"afnty")</f>
        <v>afnty</v>
      </c>
      <c r="C342" s="4" t="str">
        <f>IFERROR(__xludf.DUMMYFUNCTION("""COMPUTED_VALUE"""),"Affinity")</f>
        <v>Affinity</v>
      </c>
    </row>
    <row r="343">
      <c r="A343" s="4" t="str">
        <f>IFERROR(__xludf.DUMMYFUNCTION("""COMPUTED_VALUE"""),"affyn")</f>
        <v>affyn</v>
      </c>
      <c r="B343" s="4" t="str">
        <f>IFERROR(__xludf.DUMMYFUNCTION("""COMPUTED_VALUE"""),"fyn")</f>
        <v>fyn</v>
      </c>
      <c r="C343" s="4" t="str">
        <f>IFERROR(__xludf.DUMMYFUNCTION("""COMPUTED_VALUE"""),"Affyn")</f>
        <v>Affyn</v>
      </c>
    </row>
    <row r="344">
      <c r="A344" s="4" t="str">
        <f>IFERROR(__xludf.DUMMYFUNCTION("""COMPUTED_VALUE"""),"afin-coin")</f>
        <v>afin-coin</v>
      </c>
      <c r="B344" s="4" t="str">
        <f>IFERROR(__xludf.DUMMYFUNCTION("""COMPUTED_VALUE"""),"afin")</f>
        <v>afin</v>
      </c>
      <c r="C344" s="4" t="str">
        <f>IFERROR(__xludf.DUMMYFUNCTION("""COMPUTED_VALUE"""),"Asian Fintech")</f>
        <v>Asian Fintech</v>
      </c>
    </row>
    <row r="345">
      <c r="A345" s="4" t="str">
        <f>IFERROR(__xludf.DUMMYFUNCTION("""COMPUTED_VALUE"""),"afkdao")</f>
        <v>afkdao</v>
      </c>
      <c r="B345" s="4" t="str">
        <f>IFERROR(__xludf.DUMMYFUNCTION("""COMPUTED_VALUE"""),"afk")</f>
        <v>afk</v>
      </c>
      <c r="C345" s="4" t="str">
        <f>IFERROR(__xludf.DUMMYFUNCTION("""COMPUTED_VALUE"""),"AFKDAO")</f>
        <v>AFKDAO</v>
      </c>
    </row>
    <row r="346">
      <c r="A346" s="4" t="str">
        <f>IFERROR(__xludf.DUMMYFUNCTION("""COMPUTED_VALUE"""),"afk-trading-bot")</f>
        <v>afk-trading-bot</v>
      </c>
      <c r="B346" s="4" t="str">
        <f>IFERROR(__xludf.DUMMYFUNCTION("""COMPUTED_VALUE"""),"afk")</f>
        <v>afk</v>
      </c>
      <c r="C346" s="4" t="str">
        <f>IFERROR(__xludf.DUMMYFUNCTION("""COMPUTED_VALUE"""),"AFK Trading Bot")</f>
        <v>AFK Trading Bot</v>
      </c>
    </row>
    <row r="347">
      <c r="A347" s="4" t="str">
        <f>IFERROR(__xludf.DUMMYFUNCTION("""COMPUTED_VALUE"""),"afreum")</f>
        <v>afreum</v>
      </c>
      <c r="B347" s="4" t="str">
        <f>IFERROR(__xludf.DUMMYFUNCTION("""COMPUTED_VALUE"""),"afr")</f>
        <v>afr</v>
      </c>
      <c r="C347" s="4" t="str">
        <f>IFERROR(__xludf.DUMMYFUNCTION("""COMPUTED_VALUE"""),"Afreum")</f>
        <v>Afreum</v>
      </c>
    </row>
    <row r="348">
      <c r="A348" s="4" t="str">
        <f>IFERROR(__xludf.DUMMYFUNCTION("""COMPUTED_VALUE"""),"africarare")</f>
        <v>africarare</v>
      </c>
      <c r="B348" s="4" t="str">
        <f>IFERROR(__xludf.DUMMYFUNCTION("""COMPUTED_VALUE"""),"ubu")</f>
        <v>ubu</v>
      </c>
      <c r="C348" s="4" t="str">
        <f>IFERROR(__xludf.DUMMYFUNCTION("""COMPUTED_VALUE"""),"Africarare")</f>
        <v>Africarare</v>
      </c>
    </row>
    <row r="349">
      <c r="A349" s="4" t="str">
        <f>IFERROR(__xludf.DUMMYFUNCTION("""COMPUTED_VALUE"""),"afrix")</f>
        <v>afrix</v>
      </c>
      <c r="B349" s="4" t="str">
        <f>IFERROR(__xludf.DUMMYFUNCTION("""COMPUTED_VALUE"""),"afx")</f>
        <v>afx</v>
      </c>
      <c r="C349" s="4" t="str">
        <f>IFERROR(__xludf.DUMMYFUNCTION("""COMPUTED_VALUE"""),"Afrix")</f>
        <v>Afrix</v>
      </c>
    </row>
    <row r="350">
      <c r="A350" s="4" t="str">
        <f>IFERROR(__xludf.DUMMYFUNCTION("""COMPUTED_VALUE"""),"afrostar")</f>
        <v>afrostar</v>
      </c>
      <c r="B350" s="4" t="str">
        <f>IFERROR(__xludf.DUMMYFUNCTION("""COMPUTED_VALUE"""),"afro")</f>
        <v>afro</v>
      </c>
      <c r="C350" s="4" t="str">
        <f>IFERROR(__xludf.DUMMYFUNCTION("""COMPUTED_VALUE"""),"Afrostar")</f>
        <v>Afrostar</v>
      </c>
    </row>
    <row r="351">
      <c r="A351" s="4" t="str">
        <f>IFERROR(__xludf.DUMMYFUNCTION("""COMPUTED_VALUE"""),"aftermath-staked-sui")</f>
        <v>aftermath-staked-sui</v>
      </c>
      <c r="B351" s="4" t="str">
        <f>IFERROR(__xludf.DUMMYFUNCTION("""COMPUTED_VALUE"""),"afsui")</f>
        <v>afsui</v>
      </c>
      <c r="C351" s="4" t="str">
        <f>IFERROR(__xludf.DUMMYFUNCTION("""COMPUTED_VALUE"""),"Aftermath Staked SUI")</f>
        <v>Aftermath Staked SUI</v>
      </c>
    </row>
    <row r="352">
      <c r="A352" s="4" t="str">
        <f>IFERROR(__xludf.DUMMYFUNCTION("""COMPUTED_VALUE"""),"a-fund-baby")</f>
        <v>a-fund-baby</v>
      </c>
      <c r="B352" s="4" t="str">
        <f>IFERROR(__xludf.DUMMYFUNCTION("""COMPUTED_VALUE"""),"fund")</f>
        <v>fund</v>
      </c>
      <c r="C352" s="4" t="str">
        <f>IFERROR(__xludf.DUMMYFUNCTION("""COMPUTED_VALUE"""),"A Fund Baby")</f>
        <v>A Fund Baby</v>
      </c>
    </row>
    <row r="353">
      <c r="A353" s="4" t="str">
        <f>IFERROR(__xludf.DUMMYFUNCTION("""COMPUTED_VALUE"""),"afyonspor-fan-token")</f>
        <v>afyonspor-fan-token</v>
      </c>
      <c r="B353" s="4" t="str">
        <f>IFERROR(__xludf.DUMMYFUNCTION("""COMPUTED_VALUE"""),"afyon")</f>
        <v>afyon</v>
      </c>
      <c r="C353" s="4" t="str">
        <f>IFERROR(__xludf.DUMMYFUNCTION("""COMPUTED_VALUE"""),"Afyonspor Fan Token")</f>
        <v>Afyonspor Fan Token</v>
      </c>
    </row>
    <row r="354">
      <c r="A354" s="4" t="str">
        <f>IFERROR(__xludf.DUMMYFUNCTION("""COMPUTED_VALUE"""),"aga-carbon-credit")</f>
        <v>aga-carbon-credit</v>
      </c>
      <c r="B354" s="4" t="str">
        <f>IFERROR(__xludf.DUMMYFUNCTION("""COMPUTED_VALUE"""),"agac")</f>
        <v>agac</v>
      </c>
      <c r="C354" s="4" t="str">
        <f>IFERROR(__xludf.DUMMYFUNCTION("""COMPUTED_VALUE"""),"AGA Carbon Credit")</f>
        <v>AGA Carbon Credit</v>
      </c>
    </row>
    <row r="355">
      <c r="A355" s="4" t="str">
        <f>IFERROR(__xludf.DUMMYFUNCTION("""COMPUTED_VALUE"""),"aga-carbon-rewards")</f>
        <v>aga-carbon-rewards</v>
      </c>
      <c r="B355" s="4" t="str">
        <f>IFERROR(__xludf.DUMMYFUNCTION("""COMPUTED_VALUE"""),"acar")</f>
        <v>acar</v>
      </c>
      <c r="C355" s="4" t="str">
        <f>IFERROR(__xludf.DUMMYFUNCTION("""COMPUTED_VALUE"""),"AGA Carbon Rewards")</f>
        <v>AGA Carbon Rewards</v>
      </c>
    </row>
    <row r="356">
      <c r="A356" s="4" t="str">
        <f>IFERROR(__xludf.DUMMYFUNCTION("""COMPUTED_VALUE"""),"aga-rewards")</f>
        <v>aga-rewards</v>
      </c>
      <c r="B356" s="4" t="str">
        <f>IFERROR(__xludf.DUMMYFUNCTION("""COMPUTED_VALUE"""),"edc")</f>
        <v>edc</v>
      </c>
      <c r="C356" s="4" t="str">
        <f>IFERROR(__xludf.DUMMYFUNCTION("""COMPUTED_VALUE"""),"Edcoin")</f>
        <v>Edcoin</v>
      </c>
    </row>
    <row r="357">
      <c r="A357" s="4" t="str">
        <f>IFERROR(__xludf.DUMMYFUNCTION("""COMPUTED_VALUE"""),"agatech")</f>
        <v>agatech</v>
      </c>
      <c r="B357" s="4" t="str">
        <f>IFERROR(__xludf.DUMMYFUNCTION("""COMPUTED_VALUE"""),"agata")</f>
        <v>agata</v>
      </c>
      <c r="C357" s="4" t="str">
        <f>IFERROR(__xludf.DUMMYFUNCTION("""COMPUTED_VALUE"""),"Agatech")</f>
        <v>Agatech</v>
      </c>
    </row>
    <row r="358">
      <c r="A358" s="4" t="str">
        <f>IFERROR(__xludf.DUMMYFUNCTION("""COMPUTED_VALUE"""),"aga-token")</f>
        <v>aga-token</v>
      </c>
      <c r="B358" s="4" t="str">
        <f>IFERROR(__xludf.DUMMYFUNCTION("""COMPUTED_VALUE"""),"aga")</f>
        <v>aga</v>
      </c>
      <c r="C358" s="4" t="str">
        <f>IFERROR(__xludf.DUMMYFUNCTION("""COMPUTED_VALUE"""),"AGA")</f>
        <v>AGA</v>
      </c>
    </row>
    <row r="359">
      <c r="A359" s="4" t="str">
        <f>IFERROR(__xludf.DUMMYFUNCTION("""COMPUTED_VALUE"""),"agave-token")</f>
        <v>agave-token</v>
      </c>
      <c r="B359" s="4" t="str">
        <f>IFERROR(__xludf.DUMMYFUNCTION("""COMPUTED_VALUE"""),"agve")</f>
        <v>agve</v>
      </c>
      <c r="C359" s="4" t="str">
        <f>IFERROR(__xludf.DUMMYFUNCTION("""COMPUTED_VALUE"""),"Agave")</f>
        <v>Agave</v>
      </c>
    </row>
    <row r="360">
      <c r="A360" s="4" t="str">
        <f>IFERROR(__xludf.DUMMYFUNCTION("""COMPUTED_VALUE"""),"agenor")</f>
        <v>agenor</v>
      </c>
      <c r="B360" s="4" t="str">
        <f>IFERROR(__xludf.DUMMYFUNCTION("""COMPUTED_VALUE"""),"age")</f>
        <v>age</v>
      </c>
      <c r="C360" s="4" t="str">
        <f>IFERROR(__xludf.DUMMYFUNCTION("""COMPUTED_VALUE"""),"Agenor")</f>
        <v>Agenor</v>
      </c>
    </row>
    <row r="361">
      <c r="A361" s="4" t="str">
        <f>IFERROR(__xludf.DUMMYFUNCTION("""COMPUTED_VALUE"""),"a-gently-used-2001-honda")</f>
        <v>a-gently-used-2001-honda</v>
      </c>
      <c r="B361" s="4" t="str">
        <f>IFERROR(__xludf.DUMMYFUNCTION("""COMPUTED_VALUE"""),"usedcar")</f>
        <v>usedcar</v>
      </c>
      <c r="C361" s="4" t="str">
        <f>IFERROR(__xludf.DUMMYFUNCTION("""COMPUTED_VALUE"""),"A Gently Used 2001 Honda")</f>
        <v>A Gently Used 2001 Honda</v>
      </c>
    </row>
    <row r="362">
      <c r="A362" s="4" t="str">
        <f>IFERROR(__xludf.DUMMYFUNCTION("""COMPUTED_VALUE"""),"a-gently-used-nokia-3310")</f>
        <v>a-gently-used-nokia-3310</v>
      </c>
      <c r="B362" s="4" t="str">
        <f>IFERROR(__xludf.DUMMYFUNCTION("""COMPUTED_VALUE"""),"usedphone")</f>
        <v>usedphone</v>
      </c>
      <c r="C362" s="4" t="str">
        <f>IFERROR(__xludf.DUMMYFUNCTION("""COMPUTED_VALUE"""),"A Gently Used Nokia 3310")</f>
        <v>A Gently Used Nokia 3310</v>
      </c>
    </row>
    <row r="363">
      <c r="A363" s="4" t="str">
        <f>IFERROR(__xludf.DUMMYFUNCTION("""COMPUTED_VALUE"""),"age-of-apes")</f>
        <v>age-of-apes</v>
      </c>
      <c r="B363" s="4" t="str">
        <f>IFERROR(__xludf.DUMMYFUNCTION("""COMPUTED_VALUE"""),"apes")</f>
        <v>apes</v>
      </c>
      <c r="C363" s="4" t="str">
        <f>IFERROR(__xludf.DUMMYFUNCTION("""COMPUTED_VALUE"""),"AGE OF APES")</f>
        <v>AGE OF APES</v>
      </c>
    </row>
    <row r="364">
      <c r="A364" s="4" t="str">
        <f>IFERROR(__xludf.DUMMYFUNCTION("""COMPUTED_VALUE"""),"ageofgods")</f>
        <v>ageofgods</v>
      </c>
      <c r="B364" s="4" t="str">
        <f>IFERROR(__xludf.DUMMYFUNCTION("""COMPUTED_VALUE"""),"aog")</f>
        <v>aog</v>
      </c>
      <c r="C364" s="4" t="str">
        <f>IFERROR(__xludf.DUMMYFUNCTION("""COMPUTED_VALUE"""),"AgeOfGods")</f>
        <v>AgeOfGods</v>
      </c>
    </row>
    <row r="365">
      <c r="A365" s="4" t="str">
        <f>IFERROR(__xludf.DUMMYFUNCTION("""COMPUTED_VALUE"""),"ageur")</f>
        <v>ageur</v>
      </c>
      <c r="B365" s="4" t="str">
        <f>IFERROR(__xludf.DUMMYFUNCTION("""COMPUTED_VALUE"""),"eura")</f>
        <v>eura</v>
      </c>
      <c r="C365" s="4" t="str">
        <f>IFERROR(__xludf.DUMMYFUNCTION("""COMPUTED_VALUE"""),"EURA")</f>
        <v>EURA</v>
      </c>
    </row>
    <row r="366">
      <c r="A366" s="4" t="str">
        <f>IFERROR(__xludf.DUMMYFUNCTION("""COMPUTED_VALUE"""),"ageur-plenty-bridge")</f>
        <v>ageur-plenty-bridge</v>
      </c>
      <c r="B366" s="4" t="str">
        <f>IFERROR(__xludf.DUMMYFUNCTION("""COMPUTED_VALUE"""),"egeur.e")</f>
        <v>egeur.e</v>
      </c>
      <c r="C366" s="4" t="str">
        <f>IFERROR(__xludf.DUMMYFUNCTION("""COMPUTED_VALUE"""),"agEUR (Plenty Bridge)")</f>
        <v>agEUR (Plenty Bridge)</v>
      </c>
    </row>
    <row r="367">
      <c r="A367" s="4" t="str">
        <f>IFERROR(__xludf.DUMMYFUNCTION("""COMPUTED_VALUE"""),"agg")</f>
        <v>agg</v>
      </c>
      <c r="B367" s="4" t="str">
        <f>IFERROR(__xludf.DUMMYFUNCTION("""COMPUTED_VALUE"""),"agg")</f>
        <v>agg</v>
      </c>
      <c r="C367" s="4" t="str">
        <f>IFERROR(__xludf.DUMMYFUNCTION("""COMPUTED_VALUE"""),"AGG")</f>
        <v>AGG</v>
      </c>
    </row>
    <row r="368">
      <c r="A368" s="4" t="str">
        <f>IFERROR(__xludf.DUMMYFUNCTION("""COMPUTED_VALUE"""),"agii")</f>
        <v>agii</v>
      </c>
      <c r="B368" s="4" t="str">
        <f>IFERROR(__xludf.DUMMYFUNCTION("""COMPUTED_VALUE"""),"agii")</f>
        <v>agii</v>
      </c>
      <c r="C368" s="4" t="str">
        <f>IFERROR(__xludf.DUMMYFUNCTION("""COMPUTED_VALUE"""),"AGII")</f>
        <v>AGII</v>
      </c>
    </row>
    <row r="369">
      <c r="A369" s="4" t="str">
        <f>IFERROR(__xludf.DUMMYFUNCTION("""COMPUTED_VALUE"""),"agile")</f>
        <v>agile</v>
      </c>
      <c r="B369" s="4" t="str">
        <f>IFERROR(__xludf.DUMMYFUNCTION("""COMPUTED_VALUE"""),"agl")</f>
        <v>agl</v>
      </c>
      <c r="C369" s="4" t="str">
        <f>IFERROR(__xludf.DUMMYFUNCTION("""COMPUTED_VALUE"""),"Agile")</f>
        <v>Agile</v>
      </c>
    </row>
    <row r="370">
      <c r="A370" s="4" t="str">
        <f>IFERROR(__xludf.DUMMYFUNCTION("""COMPUTED_VALUE"""),"agility")</f>
        <v>agility</v>
      </c>
      <c r="B370" s="4" t="str">
        <f>IFERROR(__xludf.DUMMYFUNCTION("""COMPUTED_VALUE"""),"agi")</f>
        <v>agi</v>
      </c>
      <c r="C370" s="4" t="str">
        <f>IFERROR(__xludf.DUMMYFUNCTION("""COMPUTED_VALUE"""),"Agility")</f>
        <v>Agility</v>
      </c>
    </row>
    <row r="371">
      <c r="A371" s="4" t="str">
        <f>IFERROR(__xludf.DUMMYFUNCTION("""COMPUTED_VALUE"""),"agnus-ai")</f>
        <v>agnus-ai</v>
      </c>
      <c r="B371" s="4" t="str">
        <f>IFERROR(__xludf.DUMMYFUNCTION("""COMPUTED_VALUE"""),"agn")</f>
        <v>agn</v>
      </c>
      <c r="C371" s="4" t="str">
        <f>IFERROR(__xludf.DUMMYFUNCTION("""COMPUTED_VALUE"""),"Agnus AI")</f>
        <v>Agnus AI</v>
      </c>
    </row>
    <row r="372">
      <c r="A372" s="4" t="str">
        <f>IFERROR(__xludf.DUMMYFUNCTION("""COMPUTED_VALUE"""),"agoras-currency-of-tau")</f>
        <v>agoras-currency-of-tau</v>
      </c>
      <c r="B372" s="4" t="str">
        <f>IFERROR(__xludf.DUMMYFUNCTION("""COMPUTED_VALUE"""),"agrs")</f>
        <v>agrs</v>
      </c>
      <c r="C372" s="4" t="str">
        <f>IFERROR(__xludf.DUMMYFUNCTION("""COMPUTED_VALUE"""),"Agoras: Currency of Tau")</f>
        <v>Agoras: Currency of Tau</v>
      </c>
    </row>
    <row r="373">
      <c r="A373" s="4" t="str">
        <f>IFERROR(__xludf.DUMMYFUNCTION("""COMPUTED_VALUE"""),"agoric")</f>
        <v>agoric</v>
      </c>
      <c r="B373" s="4" t="str">
        <f>IFERROR(__xludf.DUMMYFUNCTION("""COMPUTED_VALUE"""),"bld")</f>
        <v>bld</v>
      </c>
      <c r="C373" s="4" t="str">
        <f>IFERROR(__xludf.DUMMYFUNCTION("""COMPUTED_VALUE"""),"Agoric")</f>
        <v>Agoric</v>
      </c>
    </row>
    <row r="374">
      <c r="A374" s="4" t="str">
        <f>IFERROR(__xludf.DUMMYFUNCTION("""COMPUTED_VALUE"""),"agos")</f>
        <v>agos</v>
      </c>
      <c r="B374" s="4" t="str">
        <f>IFERROR(__xludf.DUMMYFUNCTION("""COMPUTED_VALUE"""),"agos")</f>
        <v>agos</v>
      </c>
      <c r="C374" s="4" t="str">
        <f>IFERROR(__xludf.DUMMYFUNCTION("""COMPUTED_VALUE"""),"AGOS")</f>
        <v>AGOS</v>
      </c>
    </row>
    <row r="375">
      <c r="A375" s="4" t="str">
        <f>IFERROR(__xludf.DUMMYFUNCTION("""COMPUTED_VALUE"""),"agrello")</f>
        <v>agrello</v>
      </c>
      <c r="B375" s="4" t="str">
        <f>IFERROR(__xludf.DUMMYFUNCTION("""COMPUTED_VALUE"""),"dlt")</f>
        <v>dlt</v>
      </c>
      <c r="C375" s="4" t="str">
        <f>IFERROR(__xludf.DUMMYFUNCTION("""COMPUTED_VALUE"""),"Agrello")</f>
        <v>Agrello</v>
      </c>
    </row>
    <row r="376">
      <c r="A376" s="4" t="str">
        <f>IFERROR(__xludf.DUMMYFUNCTION("""COMPUTED_VALUE"""),"agri")</f>
        <v>agri</v>
      </c>
      <c r="B376" s="4" t="str">
        <f>IFERROR(__xludf.DUMMYFUNCTION("""COMPUTED_VALUE"""),"agri")</f>
        <v>agri</v>
      </c>
      <c r="C376" s="4" t="str">
        <f>IFERROR(__xludf.DUMMYFUNCTION("""COMPUTED_VALUE"""),"Agri")</f>
        <v>Agri</v>
      </c>
    </row>
    <row r="377">
      <c r="A377" s="4" t="str">
        <f>IFERROR(__xludf.DUMMYFUNCTION("""COMPUTED_VALUE"""),"agricoin")</f>
        <v>agricoin</v>
      </c>
      <c r="B377" s="4" t="str">
        <f>IFERROR(__xludf.DUMMYFUNCTION("""COMPUTED_VALUE"""),"agn")</f>
        <v>agn</v>
      </c>
      <c r="C377" s="4" t="str">
        <f>IFERROR(__xludf.DUMMYFUNCTION("""COMPUTED_VALUE"""),"Agricoin")</f>
        <v>Agricoin</v>
      </c>
    </row>
    <row r="378">
      <c r="A378" s="4" t="str">
        <f>IFERROR(__xludf.DUMMYFUNCTION("""COMPUTED_VALUE"""),"agrinode")</f>
        <v>agrinode</v>
      </c>
      <c r="B378" s="4" t="str">
        <f>IFERROR(__xludf.DUMMYFUNCTION("""COMPUTED_VALUE"""),"agn")</f>
        <v>agn</v>
      </c>
      <c r="C378" s="4" t="str">
        <f>IFERROR(__xludf.DUMMYFUNCTION("""COMPUTED_VALUE"""),"AgriNode")</f>
        <v>AgriNode</v>
      </c>
    </row>
    <row r="379">
      <c r="A379" s="4" t="str">
        <f>IFERROR(__xludf.DUMMYFUNCTION("""COMPUTED_VALUE"""),"agritech")</f>
        <v>agritech</v>
      </c>
      <c r="B379" s="4" t="str">
        <f>IFERROR(__xludf.DUMMYFUNCTION("""COMPUTED_VALUE"""),"agt")</f>
        <v>agt</v>
      </c>
      <c r="C379" s="4" t="str">
        <f>IFERROR(__xludf.DUMMYFUNCTION("""COMPUTED_VALUE"""),"Agritech")</f>
        <v>Agritech</v>
      </c>
    </row>
    <row r="380">
      <c r="A380" s="4" t="str">
        <f>IFERROR(__xludf.DUMMYFUNCTION("""COMPUTED_VALUE"""),"agro-global")</f>
        <v>agro-global</v>
      </c>
      <c r="B380" s="4" t="str">
        <f>IFERROR(__xludf.DUMMYFUNCTION("""COMPUTED_VALUE"""),"agro")</f>
        <v>agro</v>
      </c>
      <c r="C380" s="4" t="str">
        <f>IFERROR(__xludf.DUMMYFUNCTION("""COMPUTED_VALUE"""),"Agro Global Token")</f>
        <v>Agro Global Token</v>
      </c>
    </row>
    <row r="381">
      <c r="A381" s="4" t="str">
        <f>IFERROR(__xludf.DUMMYFUNCTION("""COMPUTED_VALUE"""),"ahatoken")</f>
        <v>ahatoken</v>
      </c>
      <c r="B381" s="4" t="str">
        <f>IFERROR(__xludf.DUMMYFUNCTION("""COMPUTED_VALUE"""),"aht")</f>
        <v>aht</v>
      </c>
      <c r="C381" s="4" t="str">
        <f>IFERROR(__xludf.DUMMYFUNCTION("""COMPUTED_VALUE"""),"AhaToken")</f>
        <v>AhaToken</v>
      </c>
    </row>
    <row r="382">
      <c r="A382" s="4" t="str">
        <f>IFERROR(__xludf.DUMMYFUNCTION("""COMPUTED_VALUE"""),"a-hunters-dream")</f>
        <v>a-hunters-dream</v>
      </c>
      <c r="B382" s="4" t="str">
        <f>IFERROR(__xludf.DUMMYFUNCTION("""COMPUTED_VALUE"""),"caw")</f>
        <v>caw</v>
      </c>
      <c r="C382" s="4" t="str">
        <f>IFERROR(__xludf.DUMMYFUNCTION("""COMPUTED_VALUE"""),"A Hunters Dream")</f>
        <v>A Hunters Dream</v>
      </c>
    </row>
    <row r="383">
      <c r="A383" s="4" t="str">
        <f>IFERROR(__xludf.DUMMYFUNCTION("""COMPUTED_VALUE"""),"aiakita")</f>
        <v>aiakita</v>
      </c>
      <c r="B383" s="4" t="str">
        <f>IFERROR(__xludf.DUMMYFUNCTION("""COMPUTED_VALUE"""),"aia")</f>
        <v>aia</v>
      </c>
      <c r="C383" s="4" t="str">
        <f>IFERROR(__xludf.DUMMYFUNCTION("""COMPUTED_VALUE"""),"AiAkita")</f>
        <v>AiAkita</v>
      </c>
    </row>
    <row r="384">
      <c r="A384" s="4" t="str">
        <f>IFERROR(__xludf.DUMMYFUNCTION("""COMPUTED_VALUE"""),"aiakitax")</f>
        <v>aiakitax</v>
      </c>
      <c r="B384" s="4" t="str">
        <f>IFERROR(__xludf.DUMMYFUNCTION("""COMPUTED_VALUE"""),"aix")</f>
        <v>aix</v>
      </c>
      <c r="C384" s="4" t="str">
        <f>IFERROR(__xludf.DUMMYFUNCTION("""COMPUTED_VALUE"""),"AiAkitaX")</f>
        <v>AiAkitaX</v>
      </c>
    </row>
    <row r="385">
      <c r="A385" s="4" t="str">
        <f>IFERROR(__xludf.DUMMYFUNCTION("""COMPUTED_VALUE"""),"ai-analysis-token")</f>
        <v>ai-analysis-token</v>
      </c>
      <c r="B385" s="4" t="str">
        <f>IFERROR(__xludf.DUMMYFUNCTION("""COMPUTED_VALUE"""),"aiat")</f>
        <v>aiat</v>
      </c>
      <c r="C385" s="4" t="str">
        <f>IFERROR(__xludf.DUMMYFUNCTION("""COMPUTED_VALUE"""),"AI Analysis Token")</f>
        <v>AI Analysis Token</v>
      </c>
    </row>
    <row r="386">
      <c r="A386" s="4" t="str">
        <f>IFERROR(__xludf.DUMMYFUNCTION("""COMPUTED_VALUE"""),"aibot")</f>
        <v>aibot</v>
      </c>
      <c r="B386" s="4" t="str">
        <f>IFERROR(__xludf.DUMMYFUNCTION("""COMPUTED_VALUE"""),"aibot")</f>
        <v>aibot</v>
      </c>
      <c r="C386" s="4" t="str">
        <f>IFERROR(__xludf.DUMMYFUNCTION("""COMPUTED_VALUE"""),"Aibot")</f>
        <v>Aibot</v>
      </c>
    </row>
    <row r="387">
      <c r="A387" s="4" t="str">
        <f>IFERROR(__xludf.DUMMYFUNCTION("""COMPUTED_VALUE"""),"aicb")</f>
        <v>aicb</v>
      </c>
      <c r="B387" s="4" t="str">
        <f>IFERROR(__xludf.DUMMYFUNCTION("""COMPUTED_VALUE"""),"aicb")</f>
        <v>aicb</v>
      </c>
      <c r="C387" s="4" t="str">
        <f>IFERROR(__xludf.DUMMYFUNCTION("""COMPUTED_VALUE"""),"AICB")</f>
        <v>AICB</v>
      </c>
    </row>
    <row r="388">
      <c r="A388" s="4" t="str">
        <f>IFERROR(__xludf.DUMMYFUNCTION("""COMPUTED_VALUE"""),"aichain")</f>
        <v>aichain</v>
      </c>
      <c r="B388" s="4" t="str">
        <f>IFERROR(__xludf.DUMMYFUNCTION("""COMPUTED_VALUE"""),"ait")</f>
        <v>ait</v>
      </c>
      <c r="C388" s="4" t="str">
        <f>IFERROR(__xludf.DUMMYFUNCTION("""COMPUTED_VALUE"""),"AICHAIN")</f>
        <v>AICHAIN</v>
      </c>
    </row>
    <row r="389">
      <c r="A389" s="4" t="str">
        <f>IFERROR(__xludf.DUMMYFUNCTION("""COMPUTED_VALUE"""),"ai-code")</f>
        <v>ai-code</v>
      </c>
      <c r="B389" s="4" t="str">
        <f>IFERROR(__xludf.DUMMYFUNCTION("""COMPUTED_VALUE"""),"aicode")</f>
        <v>aicode</v>
      </c>
      <c r="C389" s="4" t="str">
        <f>IFERROR(__xludf.DUMMYFUNCTION("""COMPUTED_VALUE"""),"AI CODE")</f>
        <v>AI CODE</v>
      </c>
    </row>
    <row r="390">
      <c r="A390" s="4" t="str">
        <f>IFERROR(__xludf.DUMMYFUNCTION("""COMPUTED_VALUE"""),"aicoin-2")</f>
        <v>aicoin-2</v>
      </c>
      <c r="B390" s="4" t="str">
        <f>IFERROR(__xludf.DUMMYFUNCTION("""COMPUTED_VALUE"""),"ai")</f>
        <v>ai</v>
      </c>
      <c r="C390" s="4" t="str">
        <f>IFERROR(__xludf.DUMMYFUNCTION("""COMPUTED_VALUE"""),"AICoin")</f>
        <v>AICoin</v>
      </c>
    </row>
    <row r="391">
      <c r="A391" s="4" t="str">
        <f>IFERROR(__xludf.DUMMYFUNCTION("""COMPUTED_VALUE"""),"ai-coinova")</f>
        <v>ai-coinova</v>
      </c>
      <c r="B391" s="4" t="str">
        <f>IFERROR(__xludf.DUMMYFUNCTION("""COMPUTED_VALUE"""),"aicn")</f>
        <v>aicn</v>
      </c>
      <c r="C391" s="4" t="str">
        <f>IFERROR(__xludf.DUMMYFUNCTION("""COMPUTED_VALUE"""),"AI Coinova")</f>
        <v>AI Coinova</v>
      </c>
    </row>
    <row r="392">
      <c r="A392" s="4" t="str">
        <f>IFERROR(__xludf.DUMMYFUNCTION("""COMPUTED_VALUE"""),"ai-com")</f>
        <v>ai-com</v>
      </c>
      <c r="B392" s="5" t="str">
        <f>IFERROR(__xludf.DUMMYFUNCTION("""COMPUTED_VALUE"""),"ai.com")</f>
        <v>ai.com</v>
      </c>
      <c r="C392" s="5" t="str">
        <f>IFERROR(__xludf.DUMMYFUNCTION("""COMPUTED_VALUE"""),"AI.COM")</f>
        <v>AI.COM</v>
      </c>
    </row>
    <row r="393">
      <c r="A393" s="4" t="str">
        <f>IFERROR(__xludf.DUMMYFUNCTION("""COMPUTED_VALUE"""),"ai-community")</f>
        <v>ai-community</v>
      </c>
      <c r="B393" s="4" t="str">
        <f>IFERROR(__xludf.DUMMYFUNCTION("""COMPUTED_VALUE"""),"ai")</f>
        <v>ai</v>
      </c>
      <c r="C393" s="4" t="str">
        <f>IFERROR(__xludf.DUMMYFUNCTION("""COMPUTED_VALUE"""),"AI Community")</f>
        <v>AI Community</v>
      </c>
    </row>
    <row r="394">
      <c r="A394" s="4" t="str">
        <f>IFERROR(__xludf.DUMMYFUNCTION("""COMPUTED_VALUE"""),"aicore")</f>
        <v>aicore</v>
      </c>
      <c r="B394" s="4" t="str">
        <f>IFERROR(__xludf.DUMMYFUNCTION("""COMPUTED_VALUE"""),"aicore")</f>
        <v>aicore</v>
      </c>
      <c r="C394" s="4" t="str">
        <f>IFERROR(__xludf.DUMMYFUNCTION("""COMPUTED_VALUE"""),"AICORE")</f>
        <v>AICORE</v>
      </c>
    </row>
    <row r="395">
      <c r="A395" s="4" t="str">
        <f>IFERROR(__xludf.DUMMYFUNCTION("""COMPUTED_VALUE"""),"aicrew")</f>
        <v>aicrew</v>
      </c>
      <c r="B395" s="4" t="str">
        <f>IFERROR(__xludf.DUMMYFUNCTION("""COMPUTED_VALUE"""),"aicr")</f>
        <v>aicr</v>
      </c>
      <c r="C395" s="4" t="str">
        <f>IFERROR(__xludf.DUMMYFUNCTION("""COMPUTED_VALUE"""),"AICrew")</f>
        <v>AICrew</v>
      </c>
    </row>
    <row r="396">
      <c r="A396" s="4" t="str">
        <f>IFERROR(__xludf.DUMMYFUNCTION("""COMPUTED_VALUE"""),"aidi-finance-2")</f>
        <v>aidi-finance-2</v>
      </c>
      <c r="B396" s="4" t="str">
        <f>IFERROR(__xludf.DUMMYFUNCTION("""COMPUTED_VALUE"""),"aidi")</f>
        <v>aidi</v>
      </c>
      <c r="C396" s="4" t="str">
        <f>IFERROR(__xludf.DUMMYFUNCTION("""COMPUTED_VALUE"""),"Aidi Finance")</f>
        <v>Aidi Finance</v>
      </c>
    </row>
    <row r="397">
      <c r="A397" s="4" t="str">
        <f>IFERROR(__xludf.DUMMYFUNCTION("""COMPUTED_VALUE"""),"ai-dogemini")</f>
        <v>ai-dogemini</v>
      </c>
      <c r="B397" s="4" t="str">
        <f>IFERROR(__xludf.DUMMYFUNCTION("""COMPUTED_VALUE"""),"aidogemini")</f>
        <v>aidogemini</v>
      </c>
      <c r="C397" s="4" t="str">
        <f>IFERROR(__xludf.DUMMYFUNCTION("""COMPUTED_VALUE"""),"AI DogeMini")</f>
        <v>AI DogeMini</v>
      </c>
    </row>
    <row r="398">
      <c r="A398" s="4" t="str">
        <f>IFERROR(__xludf.DUMMYFUNCTION("""COMPUTED_VALUE"""),"ai-dragon")</f>
        <v>ai-dragon</v>
      </c>
      <c r="B398" s="4" t="str">
        <f>IFERROR(__xludf.DUMMYFUNCTION("""COMPUTED_VALUE"""),"chatgpt")</f>
        <v>chatgpt</v>
      </c>
      <c r="C398" s="4" t="str">
        <f>IFERROR(__xludf.DUMMYFUNCTION("""COMPUTED_VALUE"""),"AI Dragon")</f>
        <v>AI Dragon</v>
      </c>
    </row>
    <row r="399">
      <c r="A399" s="4" t="str">
        <f>IFERROR(__xludf.DUMMYFUNCTION("""COMPUTED_VALUE"""),"aiearn")</f>
        <v>aiearn</v>
      </c>
      <c r="B399" s="4" t="str">
        <f>IFERROR(__xludf.DUMMYFUNCTION("""COMPUTED_VALUE"""),"aie")</f>
        <v>aie</v>
      </c>
      <c r="C399" s="4" t="str">
        <f>IFERROR(__xludf.DUMMYFUNCTION("""COMPUTED_VALUE"""),"AIEarn")</f>
        <v>AIEarn</v>
      </c>
    </row>
    <row r="400">
      <c r="A400" s="4" t="str">
        <f>IFERROR(__xludf.DUMMYFUNCTION("""COMPUTED_VALUE"""),"aienglish")</f>
        <v>aienglish</v>
      </c>
      <c r="B400" s="4" t="str">
        <f>IFERROR(__xludf.DUMMYFUNCTION("""COMPUTED_VALUE"""),"aien")</f>
        <v>aien</v>
      </c>
      <c r="C400" s="4" t="str">
        <f>IFERROR(__xludf.DUMMYFUNCTION("""COMPUTED_VALUE"""),"AIENGLISH")</f>
        <v>AIENGLISH</v>
      </c>
    </row>
    <row r="401">
      <c r="A401" s="4" t="str">
        <f>IFERROR(__xludf.DUMMYFUNCTION("""COMPUTED_VALUE"""),"aifi-protocol")</f>
        <v>aifi-protocol</v>
      </c>
      <c r="B401" s="4" t="str">
        <f>IFERROR(__xludf.DUMMYFUNCTION("""COMPUTED_VALUE"""),"aifi")</f>
        <v>aifi</v>
      </c>
      <c r="C401" s="4" t="str">
        <f>IFERROR(__xludf.DUMMYFUNCTION("""COMPUTED_VALUE"""),"AiFi Protocol")</f>
        <v>AiFi Protocol</v>
      </c>
    </row>
    <row r="402">
      <c r="A402" s="4" t="str">
        <f>IFERROR(__xludf.DUMMYFUNCTION("""COMPUTED_VALUE"""),"ai-floki")</f>
        <v>ai-floki</v>
      </c>
      <c r="B402" s="4" t="str">
        <f>IFERROR(__xludf.DUMMYFUNCTION("""COMPUTED_VALUE"""),"aifloki")</f>
        <v>aifloki</v>
      </c>
      <c r="C402" s="4" t="str">
        <f>IFERROR(__xludf.DUMMYFUNCTION("""COMPUTED_VALUE"""),"AI Floki")</f>
        <v>AI Floki</v>
      </c>
    </row>
    <row r="403">
      <c r="A403" s="4" t="str">
        <f>IFERROR(__xludf.DUMMYFUNCTION("""COMPUTED_VALUE"""),"aigc-ordinals")</f>
        <v>aigc-ordinals</v>
      </c>
      <c r="B403" s="4" t="str">
        <f>IFERROR(__xludf.DUMMYFUNCTION("""COMPUTED_VALUE"""),"aigc")</f>
        <v>aigc</v>
      </c>
      <c r="C403" s="4" t="str">
        <f>IFERROR(__xludf.DUMMYFUNCTION("""COMPUTED_VALUE"""),"AIGC (Ordinals)")</f>
        <v>AIGC (Ordinals)</v>
      </c>
    </row>
    <row r="404">
      <c r="A404" s="4" t="str">
        <f>IFERROR(__xludf.DUMMYFUNCTION("""COMPUTED_VALUE"""),"a-i-genesis")</f>
        <v>a-i-genesis</v>
      </c>
      <c r="B404" s="4" t="str">
        <f>IFERROR(__xludf.DUMMYFUNCTION("""COMPUTED_VALUE"""),"aig")</f>
        <v>aig</v>
      </c>
      <c r="C404" s="4" t="str">
        <f>IFERROR(__xludf.DUMMYFUNCTION("""COMPUTED_VALUE"""),"A.I Genesis")</f>
        <v>A.I Genesis</v>
      </c>
    </row>
    <row r="405">
      <c r="A405" s="4" t="str">
        <f>IFERROR(__xludf.DUMMYFUNCTION("""COMPUTED_VALUE"""),"aigentx")</f>
        <v>aigentx</v>
      </c>
      <c r="B405" s="4" t="str">
        <f>IFERROR(__xludf.DUMMYFUNCTION("""COMPUTED_VALUE"""),"aix")</f>
        <v>aix</v>
      </c>
      <c r="C405" s="4" t="str">
        <f>IFERROR(__xludf.DUMMYFUNCTION("""COMPUTED_VALUE"""),"AIgentX")</f>
        <v>AIgentX</v>
      </c>
    </row>
    <row r="406">
      <c r="A406" s="4" t="str">
        <f>IFERROR(__xludf.DUMMYFUNCTION("""COMPUTED_VALUE"""),"aihub")</f>
        <v>aihub</v>
      </c>
      <c r="B406" s="4" t="str">
        <f>IFERROR(__xludf.DUMMYFUNCTION("""COMPUTED_VALUE"""),"aih")</f>
        <v>aih</v>
      </c>
      <c r="C406" s="4" t="str">
        <f>IFERROR(__xludf.DUMMYFUNCTION("""COMPUTED_VALUE"""),"AIHub")</f>
        <v>AIHub</v>
      </c>
    </row>
    <row r="407">
      <c r="A407" s="4" t="str">
        <f>IFERROR(__xludf.DUMMYFUNCTION("""COMPUTED_VALUE"""),"ailayer")</f>
        <v>ailayer</v>
      </c>
      <c r="B407" s="4" t="str">
        <f>IFERROR(__xludf.DUMMYFUNCTION("""COMPUTED_VALUE"""),"aly")</f>
        <v>aly</v>
      </c>
      <c r="C407" s="4" t="str">
        <f>IFERROR(__xludf.DUMMYFUNCTION("""COMPUTED_VALUE"""),"AiLayer")</f>
        <v>AiLayer</v>
      </c>
    </row>
    <row r="408">
      <c r="A408" s="4" t="str">
        <f>IFERROR(__xludf.DUMMYFUNCTION("""COMPUTED_VALUE"""),"aimage")</f>
        <v>aimage</v>
      </c>
      <c r="B408" s="4" t="str">
        <f>IFERROR(__xludf.DUMMYFUNCTION("""COMPUTED_VALUE"""),"mage")</f>
        <v>mage</v>
      </c>
      <c r="C408" s="4" t="str">
        <f>IFERROR(__xludf.DUMMYFUNCTION("""COMPUTED_VALUE"""),"AIMAGE")</f>
        <v>AIMAGE</v>
      </c>
    </row>
    <row r="409">
      <c r="A409" s="4" t="str">
        <f>IFERROR(__xludf.DUMMYFUNCTION("""COMPUTED_VALUE"""),"aimage-tools")</f>
        <v>aimage-tools</v>
      </c>
      <c r="B409" s="4" t="str">
        <f>IFERROR(__xludf.DUMMYFUNCTION("""COMPUTED_VALUE"""),"aimage")</f>
        <v>aimage</v>
      </c>
      <c r="C409" s="4" t="str">
        <f>IFERROR(__xludf.DUMMYFUNCTION("""COMPUTED_VALUE"""),"AiMage Tools")</f>
        <v>AiMage Tools</v>
      </c>
    </row>
    <row r="410">
      <c r="A410" s="4" t="str">
        <f>IFERROR(__xludf.DUMMYFUNCTION("""COMPUTED_VALUE"""),"aimalls")</f>
        <v>aimalls</v>
      </c>
      <c r="B410" s="4" t="str">
        <f>IFERROR(__xludf.DUMMYFUNCTION("""COMPUTED_VALUE"""),"ait")</f>
        <v>ait</v>
      </c>
      <c r="C410" s="4" t="str">
        <f>IFERROR(__xludf.DUMMYFUNCTION("""COMPUTED_VALUE"""),"AiMalls")</f>
        <v>AiMalls</v>
      </c>
    </row>
    <row r="411">
      <c r="A411" s="4" t="str">
        <f>IFERROR(__xludf.DUMMYFUNCTION("""COMPUTED_VALUE"""),"aimbot")</f>
        <v>aimbot</v>
      </c>
      <c r="B411" s="4" t="str">
        <f>IFERROR(__xludf.DUMMYFUNCTION("""COMPUTED_VALUE"""),"aimbot")</f>
        <v>aimbot</v>
      </c>
      <c r="C411" s="4" t="str">
        <f>IFERROR(__xludf.DUMMYFUNCTION("""COMPUTED_VALUE"""),"Aimbot AI")</f>
        <v>Aimbot AI</v>
      </c>
    </row>
    <row r="412">
      <c r="A412" s="4" t="str">
        <f>IFERROR(__xludf.DUMMYFUNCTION("""COMPUTED_VALUE"""),"aimedis-new")</f>
        <v>aimedis-new</v>
      </c>
      <c r="B412" s="4" t="str">
        <f>IFERROR(__xludf.DUMMYFUNCTION("""COMPUTED_VALUE"""),"aimx")</f>
        <v>aimx</v>
      </c>
      <c r="C412" s="4" t="str">
        <f>IFERROR(__xludf.DUMMYFUNCTION("""COMPUTED_VALUE"""),"Aimedis (NEW)")</f>
        <v>Aimedis (NEW)</v>
      </c>
    </row>
    <row r="413">
      <c r="A413" s="4" t="str">
        <f>IFERROR(__xludf.DUMMYFUNCTION("""COMPUTED_VALUE"""),"aimee")</f>
        <v>aimee</v>
      </c>
      <c r="B413" s="4" t="str">
        <f>IFERROR(__xludf.DUMMYFUNCTION("""COMPUTED_VALUE"""),"$aimee")</f>
        <v>$aimee</v>
      </c>
      <c r="C413" s="4" t="str">
        <f>IFERROR(__xludf.DUMMYFUNCTION("""COMPUTED_VALUE"""),"Aimee")</f>
        <v>Aimee</v>
      </c>
    </row>
    <row r="414">
      <c r="A414" s="4" t="str">
        <f>IFERROR(__xludf.DUMMYFUNCTION("""COMPUTED_VALUE"""),"ai-meta-club")</f>
        <v>ai-meta-club</v>
      </c>
      <c r="B414" s="4" t="str">
        <f>IFERROR(__xludf.DUMMYFUNCTION("""COMPUTED_VALUE"""),"amc")</f>
        <v>amc</v>
      </c>
      <c r="C414" s="4" t="str">
        <f>IFERROR(__xludf.DUMMYFUNCTION("""COMPUTED_VALUE"""),"AI Meta Club")</f>
        <v>AI Meta Club</v>
      </c>
    </row>
    <row r="415">
      <c r="A415" s="4" t="str">
        <f>IFERROR(__xludf.DUMMYFUNCTION("""COMPUTED_VALUE"""),"ainalysis")</f>
        <v>ainalysis</v>
      </c>
      <c r="B415" s="4" t="str">
        <f>IFERROR(__xludf.DUMMYFUNCTION("""COMPUTED_VALUE"""),"ail")</f>
        <v>ail</v>
      </c>
      <c r="C415" s="4" t="str">
        <f>IFERROR(__xludf.DUMMYFUNCTION("""COMPUTED_VALUE"""),"AInalysis")</f>
        <v>AInalysis</v>
      </c>
    </row>
    <row r="416">
      <c r="A416" s="4" t="str">
        <f>IFERROR(__xludf.DUMMYFUNCTION("""COMPUTED_VALUE"""),"ai-network")</f>
        <v>ai-network</v>
      </c>
      <c r="B416" s="4" t="str">
        <f>IFERROR(__xludf.DUMMYFUNCTION("""COMPUTED_VALUE"""),"ain")</f>
        <v>ain</v>
      </c>
      <c r="C416" s="4" t="str">
        <f>IFERROR(__xludf.DUMMYFUNCTION("""COMPUTED_VALUE"""),"AI Network")</f>
        <v>AI Network</v>
      </c>
    </row>
    <row r="417">
      <c r="A417" s="4" t="str">
        <f>IFERROR(__xludf.DUMMYFUNCTION("""COMPUTED_VALUE"""),"ains-domains")</f>
        <v>ains-domains</v>
      </c>
      <c r="B417" s="4" t="str">
        <f>IFERROR(__xludf.DUMMYFUNCTION("""COMPUTED_VALUE"""),"ains")</f>
        <v>ains</v>
      </c>
      <c r="C417" s="4" t="str">
        <f>IFERROR(__xludf.DUMMYFUNCTION("""COMPUTED_VALUE"""),"Ains domains")</f>
        <v>Ains domains</v>
      </c>
    </row>
    <row r="418">
      <c r="A418" s="4" t="str">
        <f>IFERROR(__xludf.DUMMYFUNCTION("""COMPUTED_VALUE"""),"ainu-token")</f>
        <v>ainu-token</v>
      </c>
      <c r="B418" s="4" t="str">
        <f>IFERROR(__xludf.DUMMYFUNCTION("""COMPUTED_VALUE"""),"ainu")</f>
        <v>ainu</v>
      </c>
      <c r="C418" s="4" t="str">
        <f>IFERROR(__xludf.DUMMYFUNCTION("""COMPUTED_VALUE"""),"Ainu")</f>
        <v>Ainu</v>
      </c>
    </row>
    <row r="419">
      <c r="A419" s="4" t="str">
        <f>IFERROR(__xludf.DUMMYFUNCTION("""COMPUTED_VALUE"""),"aion")</f>
        <v>aion</v>
      </c>
      <c r="B419" s="4" t="str">
        <f>IFERROR(__xludf.DUMMYFUNCTION("""COMPUTED_VALUE"""),"aion")</f>
        <v>aion</v>
      </c>
      <c r="C419" s="4" t="str">
        <f>IFERROR(__xludf.DUMMYFUNCTION("""COMPUTED_VALUE"""),"Aion")</f>
        <v>Aion</v>
      </c>
    </row>
    <row r="420">
      <c r="A420" s="4" t="str">
        <f>IFERROR(__xludf.DUMMYFUNCTION("""COMPUTED_VALUE"""),"aioz-network")</f>
        <v>aioz-network</v>
      </c>
      <c r="B420" s="4" t="str">
        <f>IFERROR(__xludf.DUMMYFUNCTION("""COMPUTED_VALUE"""),"aioz")</f>
        <v>aioz</v>
      </c>
      <c r="C420" s="4" t="str">
        <f>IFERROR(__xludf.DUMMYFUNCTION("""COMPUTED_VALUE"""),"AIOZ Network")</f>
        <v>AIOZ Network</v>
      </c>
    </row>
    <row r="421">
      <c r="A421" s="4" t="str">
        <f>IFERROR(__xludf.DUMMYFUNCTION("""COMPUTED_VALUE"""),"aipad")</f>
        <v>aipad</v>
      </c>
      <c r="B421" s="4" t="str">
        <f>IFERROR(__xludf.DUMMYFUNCTION("""COMPUTED_VALUE"""),"aipad")</f>
        <v>aipad</v>
      </c>
      <c r="C421" s="4" t="str">
        <f>IFERROR(__xludf.DUMMYFUNCTION("""COMPUTED_VALUE"""),"AIPad")</f>
        <v>AIPad</v>
      </c>
    </row>
    <row r="422">
      <c r="A422" s="4" t="str">
        <f>IFERROR(__xludf.DUMMYFUNCTION("""COMPUTED_VALUE"""),"ai-pin")</f>
        <v>ai-pin</v>
      </c>
      <c r="B422" s="4" t="str">
        <f>IFERROR(__xludf.DUMMYFUNCTION("""COMPUTED_VALUE"""),"ai")</f>
        <v>ai</v>
      </c>
      <c r="C422" s="4" t="str">
        <f>IFERROR(__xludf.DUMMYFUNCTION("""COMPUTED_VALUE"""),"AI PIN")</f>
        <v>AI PIN</v>
      </c>
    </row>
    <row r="423">
      <c r="A423" s="4" t="str">
        <f>IFERROR(__xludf.DUMMYFUNCTION("""COMPUTED_VALUE"""),"ai-power-grid")</f>
        <v>ai-power-grid</v>
      </c>
      <c r="B423" s="4" t="str">
        <f>IFERROR(__xludf.DUMMYFUNCTION("""COMPUTED_VALUE"""),"aipg")</f>
        <v>aipg</v>
      </c>
      <c r="C423" s="4" t="str">
        <f>IFERROR(__xludf.DUMMYFUNCTION("""COMPUTED_VALUE"""),"AI Power Grid")</f>
        <v>AI Power Grid</v>
      </c>
    </row>
    <row r="424">
      <c r="A424" s="4" t="str">
        <f>IFERROR(__xludf.DUMMYFUNCTION("""COMPUTED_VALUE"""),"aiptp")</f>
        <v>aiptp</v>
      </c>
      <c r="B424" s="4" t="str">
        <f>IFERROR(__xludf.DUMMYFUNCTION("""COMPUTED_VALUE"""),"atmt")</f>
        <v>atmt</v>
      </c>
      <c r="C424" s="4" t="str">
        <f>IFERROR(__xludf.DUMMYFUNCTION("""COMPUTED_VALUE"""),"AiPTP")</f>
        <v>AiPTP</v>
      </c>
    </row>
    <row r="425">
      <c r="A425" s="4" t="str">
        <f>IFERROR(__xludf.DUMMYFUNCTION("""COMPUTED_VALUE"""),"air")</f>
        <v>air</v>
      </c>
      <c r="B425" s="4" t="str">
        <f>IFERROR(__xludf.DUMMYFUNCTION("""COMPUTED_VALUE"""),"air")</f>
        <v>air</v>
      </c>
      <c r="C425" s="4" t="str">
        <f>IFERROR(__xludf.DUMMYFUNCTION("""COMPUTED_VALUE"""),"AIR")</f>
        <v>AIR</v>
      </c>
    </row>
    <row r="426">
      <c r="A426" s="4" t="str">
        <f>IFERROR(__xludf.DUMMYFUNCTION("""COMPUTED_VALUE"""),"airb")</f>
        <v>airb</v>
      </c>
      <c r="B426" s="4" t="str">
        <f>IFERROR(__xludf.DUMMYFUNCTION("""COMPUTED_VALUE"""),"airb")</f>
        <v>airb</v>
      </c>
      <c r="C426" s="4" t="str">
        <f>IFERROR(__xludf.DUMMYFUNCTION("""COMPUTED_VALUE"""),"AIRB")</f>
        <v>AIRB</v>
      </c>
    </row>
    <row r="427">
      <c r="A427" s="4" t="str">
        <f>IFERROR(__xludf.DUMMYFUNCTION("""COMPUTED_VALUE"""),"airbloc-protocol")</f>
        <v>airbloc-protocol</v>
      </c>
      <c r="B427" s="4" t="str">
        <f>IFERROR(__xludf.DUMMYFUNCTION("""COMPUTED_VALUE"""),"abl")</f>
        <v>abl</v>
      </c>
      <c r="C427" s="4" t="str">
        <f>IFERROR(__xludf.DUMMYFUNCTION("""COMPUTED_VALUE"""),"Airbloc")</f>
        <v>Airbloc</v>
      </c>
    </row>
    <row r="428">
      <c r="A428" s="4" t="str">
        <f>IFERROR(__xludf.DUMMYFUNCTION("""COMPUTED_VALUE"""),"airealm-tech")</f>
        <v>airealm-tech</v>
      </c>
      <c r="B428" s="4" t="str">
        <f>IFERROR(__xludf.DUMMYFUNCTION("""COMPUTED_VALUE"""),"airm")</f>
        <v>airm</v>
      </c>
      <c r="C428" s="4" t="str">
        <f>IFERROR(__xludf.DUMMYFUNCTION("""COMPUTED_VALUE"""),"AiRealm Tech")</f>
        <v>AiRealm Tech</v>
      </c>
    </row>
    <row r="429">
      <c r="A429" s="4" t="str">
        <f>IFERROR(__xludf.DUMMYFUNCTION("""COMPUTED_VALUE"""),"airight")</f>
        <v>airight</v>
      </c>
      <c r="B429" s="4" t="str">
        <f>IFERROR(__xludf.DUMMYFUNCTION("""COMPUTED_VALUE"""),"airi")</f>
        <v>airi</v>
      </c>
      <c r="C429" s="4" t="str">
        <f>IFERROR(__xludf.DUMMYFUNCTION("""COMPUTED_VALUE"""),"aiRight")</f>
        <v>aiRight</v>
      </c>
    </row>
    <row r="430">
      <c r="A430" s="4" t="str">
        <f>IFERROR(__xludf.DUMMYFUNCTION("""COMPUTED_VALUE"""),"airnft-token")</f>
        <v>airnft-token</v>
      </c>
      <c r="B430" s="4" t="str">
        <f>IFERROR(__xludf.DUMMYFUNCTION("""COMPUTED_VALUE"""),"airt")</f>
        <v>airt</v>
      </c>
      <c r="C430" s="4" t="str">
        <f>IFERROR(__xludf.DUMMYFUNCTION("""COMPUTED_VALUE"""),"AirNFT")</f>
        <v>AirNFT</v>
      </c>
    </row>
    <row r="431">
      <c r="A431" s="4" t="str">
        <f>IFERROR(__xludf.DUMMYFUNCTION("""COMPUTED_VALUE"""),"airpuff")</f>
        <v>airpuff</v>
      </c>
      <c r="B431" s="4" t="str">
        <f>IFERROR(__xludf.DUMMYFUNCTION("""COMPUTED_VALUE"""),"apuff")</f>
        <v>apuff</v>
      </c>
      <c r="C431" s="4" t="str">
        <f>IFERROR(__xludf.DUMMYFUNCTION("""COMPUTED_VALUE"""),"Airpuff")</f>
        <v>Airpuff</v>
      </c>
    </row>
    <row r="432">
      <c r="A432" s="4" t="str">
        <f>IFERROR(__xludf.DUMMYFUNCTION("""COMPUTED_VALUE"""),"airswap")</f>
        <v>airswap</v>
      </c>
      <c r="B432" s="4" t="str">
        <f>IFERROR(__xludf.DUMMYFUNCTION("""COMPUTED_VALUE"""),"ast")</f>
        <v>ast</v>
      </c>
      <c r="C432" s="4" t="str">
        <f>IFERROR(__xludf.DUMMYFUNCTION("""COMPUTED_VALUE"""),"AirSwap")</f>
        <v>AirSwap</v>
      </c>
    </row>
    <row r="433">
      <c r="A433" s="4" t="str">
        <f>IFERROR(__xludf.DUMMYFUNCTION("""COMPUTED_VALUE"""),"airtnt")</f>
        <v>airtnt</v>
      </c>
      <c r="B433" s="4" t="str">
        <f>IFERROR(__xludf.DUMMYFUNCTION("""COMPUTED_VALUE"""),"airtnt")</f>
        <v>airtnt</v>
      </c>
      <c r="C433" s="4" t="str">
        <f>IFERROR(__xludf.DUMMYFUNCTION("""COMPUTED_VALUE"""),"AirTnT")</f>
        <v>AirTnT</v>
      </c>
    </row>
    <row r="434">
      <c r="A434" s="4" t="str">
        <f>IFERROR(__xludf.DUMMYFUNCTION("""COMPUTED_VALUE"""),"airtor-protocol")</f>
        <v>airtor-protocol</v>
      </c>
      <c r="B434" s="4" t="str">
        <f>IFERROR(__xludf.DUMMYFUNCTION("""COMPUTED_VALUE"""),"ator")</f>
        <v>ator</v>
      </c>
      <c r="C434" s="4" t="str">
        <f>IFERROR(__xludf.DUMMYFUNCTION("""COMPUTED_VALUE"""),"AirTor Protocol")</f>
        <v>AirTor Protocol</v>
      </c>
    </row>
    <row r="435">
      <c r="A435" s="4" t="str">
        <f>IFERROR(__xludf.DUMMYFUNCTION("""COMPUTED_VALUE"""),"aishiba")</f>
        <v>aishiba</v>
      </c>
      <c r="B435" s="4" t="str">
        <f>IFERROR(__xludf.DUMMYFUNCTION("""COMPUTED_VALUE"""),"shibai")</f>
        <v>shibai</v>
      </c>
      <c r="C435" s="4" t="str">
        <f>IFERROR(__xludf.DUMMYFUNCTION("""COMPUTED_VALUE"""),"AiShiba")</f>
        <v>AiShiba</v>
      </c>
    </row>
    <row r="436">
      <c r="A436" s="4" t="str">
        <f>IFERROR(__xludf.DUMMYFUNCTION("""COMPUTED_VALUE"""),"aisignal")</f>
        <v>aisignal</v>
      </c>
      <c r="B436" s="4" t="str">
        <f>IFERROR(__xludf.DUMMYFUNCTION("""COMPUTED_VALUE"""),"aisig")</f>
        <v>aisig</v>
      </c>
      <c r="C436" s="4" t="str">
        <f>IFERROR(__xludf.DUMMYFUNCTION("""COMPUTED_VALUE"""),"AISignal")</f>
        <v>AISignal</v>
      </c>
    </row>
    <row r="437">
      <c r="A437" s="4" t="str">
        <f>IFERROR(__xludf.DUMMYFUNCTION("""COMPUTED_VALUE"""),"aisociety")</f>
        <v>aisociety</v>
      </c>
      <c r="B437" s="4" t="str">
        <f>IFERROR(__xludf.DUMMYFUNCTION("""COMPUTED_VALUE"""),"ais")</f>
        <v>ais</v>
      </c>
      <c r="C437" s="4" t="str">
        <f>IFERROR(__xludf.DUMMYFUNCTION("""COMPUTED_VALUE"""),"AISociety")</f>
        <v>AISociety</v>
      </c>
    </row>
    <row r="438">
      <c r="A438" s="4" t="str">
        <f>IFERROR(__xludf.DUMMYFUNCTION("""COMPUTED_VALUE"""),"ai-supreme")</f>
        <v>ai-supreme</v>
      </c>
      <c r="B438" s="4" t="str">
        <f>IFERROR(__xludf.DUMMYFUNCTION("""COMPUTED_VALUE"""),"aisp")</f>
        <v>aisp</v>
      </c>
      <c r="C438" s="4" t="str">
        <f>IFERROR(__xludf.DUMMYFUNCTION("""COMPUTED_VALUE"""),"AI Supreme")</f>
        <v>AI Supreme</v>
      </c>
    </row>
    <row r="439">
      <c r="A439" s="4" t="str">
        <f>IFERROR(__xludf.DUMMYFUNCTION("""COMPUTED_VALUE"""),"ai-surf")</f>
        <v>ai-surf</v>
      </c>
      <c r="B439" s="4" t="str">
        <f>IFERROR(__xludf.DUMMYFUNCTION("""COMPUTED_VALUE"""),"aisc")</f>
        <v>aisc</v>
      </c>
      <c r="C439" s="4" t="str">
        <f>IFERROR(__xludf.DUMMYFUNCTION("""COMPUTED_VALUE"""),"AI Surf")</f>
        <v>AI Surf</v>
      </c>
    </row>
    <row r="440">
      <c r="A440" s="4" t="str">
        <f>IFERROR(__xludf.DUMMYFUNCTION("""COMPUTED_VALUE"""),"aiswap")</f>
        <v>aiswap</v>
      </c>
      <c r="B440" s="4" t="str">
        <f>IFERROR(__xludf.DUMMYFUNCTION("""COMPUTED_VALUE"""),"aiswap")</f>
        <v>aiswap</v>
      </c>
      <c r="C440" s="4" t="str">
        <f>IFERROR(__xludf.DUMMYFUNCTION("""COMPUTED_VALUE"""),"AISwap")</f>
        <v>AISwap</v>
      </c>
    </row>
    <row r="441">
      <c r="A441" s="4" t="str">
        <f>IFERROR(__xludf.DUMMYFUNCTION("""COMPUTED_VALUE"""),"ai-technology")</f>
        <v>ai-technology</v>
      </c>
      <c r="B441" s="4" t="str">
        <f>IFERROR(__xludf.DUMMYFUNCTION("""COMPUTED_VALUE"""),"aitek")</f>
        <v>aitek</v>
      </c>
      <c r="C441" s="4" t="str">
        <f>IFERROR(__xludf.DUMMYFUNCTION("""COMPUTED_VALUE"""),"AI Technology")</f>
        <v>AI Technology</v>
      </c>
    </row>
    <row r="442">
      <c r="A442" s="4" t="str">
        <f>IFERROR(__xludf.DUMMYFUNCTION("""COMPUTED_VALUE"""),"aitk")</f>
        <v>aitk</v>
      </c>
      <c r="B442" s="4" t="str">
        <f>IFERROR(__xludf.DUMMYFUNCTION("""COMPUTED_VALUE"""),"aitk")</f>
        <v>aitk</v>
      </c>
      <c r="C442" s="4" t="str">
        <f>IFERROR(__xludf.DUMMYFUNCTION("""COMPUTED_VALUE"""),"AITK")</f>
        <v>AITK</v>
      </c>
    </row>
    <row r="443">
      <c r="A443" s="4" t="str">
        <f>IFERROR(__xludf.DUMMYFUNCTION("""COMPUTED_VALUE"""),"aitom")</f>
        <v>aitom</v>
      </c>
      <c r="B443" s="4" t="str">
        <f>IFERROR(__xludf.DUMMYFUNCTION("""COMPUTED_VALUE"""),"aitom")</f>
        <v>aitom</v>
      </c>
      <c r="C443" s="4" t="str">
        <f>IFERROR(__xludf.DUMMYFUNCTION("""COMPUTED_VALUE"""),"AITom")</f>
        <v>AITom</v>
      </c>
    </row>
    <row r="444">
      <c r="A444" s="4" t="str">
        <f>IFERROR(__xludf.DUMMYFUNCTION("""COMPUTED_VALUE"""),"ait-protocol")</f>
        <v>ait-protocol</v>
      </c>
      <c r="B444" s="4" t="str">
        <f>IFERROR(__xludf.DUMMYFUNCTION("""COMPUTED_VALUE"""),"ait")</f>
        <v>ait</v>
      </c>
      <c r="C444" s="4" t="str">
        <f>IFERROR(__xludf.DUMMYFUNCTION("""COMPUTED_VALUE"""),"AIT Protocol")</f>
        <v>AIT Protocol</v>
      </c>
    </row>
    <row r="445">
      <c r="A445" s="4" t="str">
        <f>IFERROR(__xludf.DUMMYFUNCTION("""COMPUTED_VALUE"""),"ai-trader")</f>
        <v>ai-trader</v>
      </c>
      <c r="B445" s="4" t="str">
        <f>IFERROR(__xludf.DUMMYFUNCTION("""COMPUTED_VALUE"""),"ait")</f>
        <v>ait</v>
      </c>
      <c r="C445" s="4" t="str">
        <f>IFERROR(__xludf.DUMMYFUNCTION("""COMPUTED_VALUE"""),"AI Trader")</f>
        <v>AI Trader</v>
      </c>
    </row>
    <row r="446">
      <c r="A446" s="4" t="str">
        <f>IFERROR(__xludf.DUMMYFUNCTION("""COMPUTED_VALUE"""),"aitravis")</f>
        <v>aitravis</v>
      </c>
      <c r="B446" s="4" t="str">
        <f>IFERROR(__xludf.DUMMYFUNCTION("""COMPUTED_VALUE"""),"tai")</f>
        <v>tai</v>
      </c>
      <c r="C446" s="4" t="str">
        <f>IFERROR(__xludf.DUMMYFUNCTION("""COMPUTED_VALUE"""),"AITravis")</f>
        <v>AITravis</v>
      </c>
    </row>
    <row r="447">
      <c r="A447" s="4" t="str">
        <f>IFERROR(__xludf.DUMMYFUNCTION("""COMPUTED_VALUE"""),"aittcoin")</f>
        <v>aittcoin</v>
      </c>
      <c r="B447" s="4" t="str">
        <f>IFERROR(__xludf.DUMMYFUNCTION("""COMPUTED_VALUE"""),"aitt")</f>
        <v>aitt</v>
      </c>
      <c r="C447" s="4" t="str">
        <f>IFERROR(__xludf.DUMMYFUNCTION("""COMPUTED_VALUE"""),"Aittcoin")</f>
        <v>Aittcoin</v>
      </c>
    </row>
    <row r="448">
      <c r="A448" s="4" t="str">
        <f>IFERROR(__xludf.DUMMYFUNCTION("""COMPUTED_VALUE"""),"ai-waifu")</f>
        <v>ai-waifu</v>
      </c>
      <c r="B448" s="4" t="str">
        <f>IFERROR(__xludf.DUMMYFUNCTION("""COMPUTED_VALUE"""),"$wai")</f>
        <v>$wai</v>
      </c>
      <c r="C448" s="4" t="str">
        <f>IFERROR(__xludf.DUMMYFUNCTION("""COMPUTED_VALUE"""),"AI Waifu")</f>
        <v>AI Waifu</v>
      </c>
    </row>
    <row r="449">
      <c r="A449" s="4" t="str">
        <f>IFERROR(__xludf.DUMMYFUNCTION("""COMPUTED_VALUE"""),"aiwork")</f>
        <v>aiwork</v>
      </c>
      <c r="B449" s="4" t="str">
        <f>IFERROR(__xludf.DUMMYFUNCTION("""COMPUTED_VALUE"""),"awo")</f>
        <v>awo</v>
      </c>
      <c r="C449" s="4" t="str">
        <f>IFERROR(__xludf.DUMMYFUNCTION("""COMPUTED_VALUE"""),"AiWork")</f>
        <v>AiWork</v>
      </c>
    </row>
    <row r="450">
      <c r="A450" s="4" t="str">
        <f>IFERROR(__xludf.DUMMYFUNCTION("""COMPUTED_VALUE"""),"ai-x")</f>
        <v>ai-x</v>
      </c>
      <c r="B450" s="4" t="str">
        <f>IFERROR(__xludf.DUMMYFUNCTION("""COMPUTED_VALUE"""),"x")</f>
        <v>x</v>
      </c>
      <c r="C450" s="4" t="str">
        <f>IFERROR(__xludf.DUMMYFUNCTION("""COMPUTED_VALUE"""),"AI-X")</f>
        <v>AI-X</v>
      </c>
    </row>
    <row r="451">
      <c r="A451" s="4" t="str">
        <f>IFERROR(__xludf.DUMMYFUNCTION("""COMPUTED_VALUE"""),"ajna-protocol")</f>
        <v>ajna-protocol</v>
      </c>
      <c r="B451" s="4" t="str">
        <f>IFERROR(__xludf.DUMMYFUNCTION("""COMPUTED_VALUE"""),"ajna")</f>
        <v>ajna</v>
      </c>
      <c r="C451" s="4" t="str">
        <f>IFERROR(__xludf.DUMMYFUNCTION("""COMPUTED_VALUE"""),"Ajna Protocol")</f>
        <v>Ajna Protocol</v>
      </c>
    </row>
    <row r="452">
      <c r="A452" s="4" t="str">
        <f>IFERROR(__xludf.DUMMYFUNCTION("""COMPUTED_VALUE"""),"ajuna-network")</f>
        <v>ajuna-network</v>
      </c>
      <c r="B452" s="4" t="str">
        <f>IFERROR(__xludf.DUMMYFUNCTION("""COMPUTED_VALUE"""),"baju")</f>
        <v>baju</v>
      </c>
      <c r="C452" s="4" t="str">
        <f>IFERROR(__xludf.DUMMYFUNCTION("""COMPUTED_VALUE"""),"Ajuna Network")</f>
        <v>Ajuna Network</v>
      </c>
    </row>
    <row r="453">
      <c r="A453" s="4" t="str">
        <f>IFERROR(__xludf.DUMMYFUNCTION("""COMPUTED_VALUE"""),"akamaru")</f>
        <v>akamaru</v>
      </c>
      <c r="B453" s="4" t="str">
        <f>IFERROR(__xludf.DUMMYFUNCTION("""COMPUTED_VALUE"""),"aku")</f>
        <v>aku</v>
      </c>
      <c r="C453" s="4" t="str">
        <f>IFERROR(__xludf.DUMMYFUNCTION("""COMPUTED_VALUE"""),"Akamaru")</f>
        <v>Akamaru</v>
      </c>
    </row>
    <row r="454">
      <c r="A454" s="4" t="str">
        <f>IFERROR(__xludf.DUMMYFUNCTION("""COMPUTED_VALUE"""),"akash-network")</f>
        <v>akash-network</v>
      </c>
      <c r="B454" s="4" t="str">
        <f>IFERROR(__xludf.DUMMYFUNCTION("""COMPUTED_VALUE"""),"akt")</f>
        <v>akt</v>
      </c>
      <c r="C454" s="4" t="str">
        <f>IFERROR(__xludf.DUMMYFUNCTION("""COMPUTED_VALUE"""),"Akash Network")</f>
        <v>Akash Network</v>
      </c>
    </row>
    <row r="455">
      <c r="A455" s="4" t="str">
        <f>IFERROR(__xludf.DUMMYFUNCTION("""COMPUTED_VALUE"""),"akino-inu")</f>
        <v>akino-inu</v>
      </c>
      <c r="B455" s="4" t="str">
        <f>IFERROR(__xludf.DUMMYFUNCTION("""COMPUTED_VALUE"""),"aki")</f>
        <v>aki</v>
      </c>
      <c r="C455" s="4" t="str">
        <f>IFERROR(__xludf.DUMMYFUNCTION("""COMPUTED_VALUE"""),"Akino INU")</f>
        <v>Akino INU</v>
      </c>
    </row>
    <row r="456">
      <c r="A456" s="4" t="str">
        <f>IFERROR(__xludf.DUMMYFUNCTION("""COMPUTED_VALUE"""),"aki-protocol")</f>
        <v>aki-protocol</v>
      </c>
      <c r="B456" s="4" t="str">
        <f>IFERROR(__xludf.DUMMYFUNCTION("""COMPUTED_VALUE"""),"aki")</f>
        <v>aki</v>
      </c>
      <c r="C456" s="4" t="str">
        <f>IFERROR(__xludf.DUMMYFUNCTION("""COMPUTED_VALUE"""),"Aki Network")</f>
        <v>Aki Network</v>
      </c>
    </row>
    <row r="457">
      <c r="A457" s="4" t="str">
        <f>IFERROR(__xludf.DUMMYFUNCTION("""COMPUTED_VALUE"""),"akitaaaaaa")</f>
        <v>akitaaaaaa</v>
      </c>
      <c r="B457" s="4" t="str">
        <f>IFERROR(__xludf.DUMMYFUNCTION("""COMPUTED_VALUE"""),"aaaaaa")</f>
        <v>aaaaaa</v>
      </c>
      <c r="C457" s="4" t="str">
        <f>IFERROR(__xludf.DUMMYFUNCTION("""COMPUTED_VALUE"""),"AKITAAAAAA")</f>
        <v>AKITAAAAAA</v>
      </c>
    </row>
    <row r="458">
      <c r="A458" s="4" t="str">
        <f>IFERROR(__xludf.DUMMYFUNCTION("""COMPUTED_VALUE"""),"akita-inu")</f>
        <v>akita-inu</v>
      </c>
      <c r="B458" s="4" t="str">
        <f>IFERROR(__xludf.DUMMYFUNCTION("""COMPUTED_VALUE"""),"akita")</f>
        <v>akita</v>
      </c>
      <c r="C458" s="4" t="str">
        <f>IFERROR(__xludf.DUMMYFUNCTION("""COMPUTED_VALUE"""),"Akita Inu")</f>
        <v>Akita Inu</v>
      </c>
    </row>
    <row r="459">
      <c r="A459" s="4" t="str">
        <f>IFERROR(__xludf.DUMMYFUNCTION("""COMPUTED_VALUE"""),"akita-inu-2")</f>
        <v>akita-inu-2</v>
      </c>
      <c r="B459" s="4" t="str">
        <f>IFERROR(__xludf.DUMMYFUNCTION("""COMPUTED_VALUE"""),"akt")</f>
        <v>akt</v>
      </c>
      <c r="C459" s="4" t="str">
        <f>IFERROR(__xludf.DUMMYFUNCTION("""COMPUTED_VALUE"""),"Akita Inu")</f>
        <v>Akita Inu</v>
      </c>
    </row>
    <row r="460">
      <c r="A460" s="4" t="str">
        <f>IFERROR(__xludf.DUMMYFUNCTION("""COMPUTED_VALUE"""),"akita-inu-3")</f>
        <v>akita-inu-3</v>
      </c>
      <c r="B460" s="4" t="str">
        <f>IFERROR(__xludf.DUMMYFUNCTION("""COMPUTED_VALUE"""),"akita")</f>
        <v>akita</v>
      </c>
      <c r="C460" s="4" t="str">
        <f>IFERROR(__xludf.DUMMYFUNCTION("""COMPUTED_VALUE"""),"Akita Inu")</f>
        <v>Akita Inu</v>
      </c>
    </row>
    <row r="461">
      <c r="A461" s="4" t="str">
        <f>IFERROR(__xludf.DUMMYFUNCTION("""COMPUTED_VALUE"""),"akita-inu-asa")</f>
        <v>akita-inu-asa</v>
      </c>
      <c r="B461" s="4" t="str">
        <f>IFERROR(__xludf.DUMMYFUNCTION("""COMPUTED_VALUE"""),"akta")</f>
        <v>akta</v>
      </c>
      <c r="C461" s="4" t="str">
        <f>IFERROR(__xludf.DUMMYFUNCTION("""COMPUTED_VALUE"""),"Akita Inu ASA")</f>
        <v>Akita Inu ASA</v>
      </c>
    </row>
    <row r="462">
      <c r="A462" s="4" t="str">
        <f>IFERROR(__xludf.DUMMYFUNCTION("""COMPUTED_VALUE"""),"akitavax")</f>
        <v>akitavax</v>
      </c>
      <c r="B462" s="4" t="str">
        <f>IFERROR(__xludf.DUMMYFUNCTION("""COMPUTED_VALUE"""),"akitax")</f>
        <v>akitax</v>
      </c>
      <c r="C462" s="4" t="str">
        <f>IFERROR(__xludf.DUMMYFUNCTION("""COMPUTED_VALUE"""),"Akitavax")</f>
        <v>Akitavax</v>
      </c>
    </row>
    <row r="463">
      <c r="A463" s="4" t="str">
        <f>IFERROR(__xludf.DUMMYFUNCTION("""COMPUTED_VALUE"""),"akiverse-governance-token")</f>
        <v>akiverse-governance-token</v>
      </c>
      <c r="B463" s="4" t="str">
        <f>IFERROR(__xludf.DUMMYFUNCTION("""COMPUTED_VALUE"""),"akv")</f>
        <v>akv</v>
      </c>
      <c r="C463" s="4" t="str">
        <f>IFERROR(__xludf.DUMMYFUNCTION("""COMPUTED_VALUE"""),"Akiverse Governance Token")</f>
        <v>Akiverse Governance Token</v>
      </c>
    </row>
    <row r="464">
      <c r="A464" s="4" t="str">
        <f>IFERROR(__xludf.DUMMYFUNCTION("""COMPUTED_VALUE"""),"akropolis")</f>
        <v>akropolis</v>
      </c>
      <c r="B464" s="4" t="str">
        <f>IFERROR(__xludf.DUMMYFUNCTION("""COMPUTED_VALUE"""),"akro")</f>
        <v>akro</v>
      </c>
      <c r="C464" s="4" t="str">
        <f>IFERROR(__xludf.DUMMYFUNCTION("""COMPUTED_VALUE"""),"Akropolis")</f>
        <v>Akropolis</v>
      </c>
    </row>
    <row r="465">
      <c r="A465" s="4" t="str">
        <f>IFERROR(__xludf.DUMMYFUNCTION("""COMPUTED_VALUE"""),"akropolis-delphi")</f>
        <v>akropolis-delphi</v>
      </c>
      <c r="B465" s="4" t="str">
        <f>IFERROR(__xludf.DUMMYFUNCTION("""COMPUTED_VALUE"""),"adel")</f>
        <v>adel</v>
      </c>
      <c r="C465" s="4" t="str">
        <f>IFERROR(__xludf.DUMMYFUNCTION("""COMPUTED_VALUE"""),"Delphi")</f>
        <v>Delphi</v>
      </c>
    </row>
    <row r="466">
      <c r="A466" s="4" t="str">
        <f>IFERROR(__xludf.DUMMYFUNCTION("""COMPUTED_VALUE"""),"aktio")</f>
        <v>aktio</v>
      </c>
      <c r="B466" s="4" t="str">
        <f>IFERROR(__xludf.DUMMYFUNCTION("""COMPUTED_VALUE"""),"aktio")</f>
        <v>aktio</v>
      </c>
      <c r="C466" s="4" t="str">
        <f>IFERROR(__xludf.DUMMYFUNCTION("""COMPUTED_VALUE"""),"Aktio")</f>
        <v>Aktio</v>
      </c>
    </row>
    <row r="467">
      <c r="A467" s="4" t="str">
        <f>IFERROR(__xludf.DUMMYFUNCTION("""COMPUTED_VALUE"""),"aktionariat-alan-frei-company-tokenized-shares")</f>
        <v>aktionariat-alan-frei-company-tokenized-shares</v>
      </c>
      <c r="B467" s="4" t="str">
        <f>IFERROR(__xludf.DUMMYFUNCTION("""COMPUTED_VALUE"""),"afs")</f>
        <v>afs</v>
      </c>
      <c r="C467" s="4" t="str">
        <f>IFERROR(__xludf.DUMMYFUNCTION("""COMPUTED_VALUE"""),"Aktionariat Alan Frei Company Tokenized Shares")</f>
        <v>Aktionariat Alan Frei Company Tokenized Shares</v>
      </c>
    </row>
    <row r="468">
      <c r="A468" s="4" t="str">
        <f>IFERROR(__xludf.DUMMYFUNCTION("""COMPUTED_VALUE"""),"aktionariat-art-leasing-and-invest-ag-tokenized-shares")</f>
        <v>aktionariat-art-leasing-and-invest-ag-tokenized-shares</v>
      </c>
      <c r="B468" s="4" t="str">
        <f>IFERROR(__xludf.DUMMYFUNCTION("""COMPUTED_VALUE"""),"arts")</f>
        <v>arts</v>
      </c>
      <c r="C468" s="4" t="str">
        <f>IFERROR(__xludf.DUMMYFUNCTION("""COMPUTED_VALUE"""),"Aktionariat Art Leasing And Invest AG Tokenized Shares")</f>
        <v>Aktionariat Art Leasing And Invest AG Tokenized Shares</v>
      </c>
    </row>
    <row r="469">
      <c r="A469" s="4" t="str">
        <f>IFERROR(__xludf.DUMMYFUNCTION("""COMPUTED_VALUE"""),"aktionariat-axelra-early-stage-ag-tokenized-shares")</f>
        <v>aktionariat-axelra-early-stage-ag-tokenized-shares</v>
      </c>
      <c r="B469" s="4" t="str">
        <f>IFERROR(__xludf.DUMMYFUNCTION("""COMPUTED_VALUE"""),"axras")</f>
        <v>axras</v>
      </c>
      <c r="C469" s="4" t="str">
        <f>IFERROR(__xludf.DUMMYFUNCTION("""COMPUTED_VALUE"""),"Aktionariat Axelra Early Stage AG Tokenized Shares")</f>
        <v>Aktionariat Axelra Early Stage AG Tokenized Shares</v>
      </c>
    </row>
    <row r="470">
      <c r="A470" s="4" t="str">
        <f>IFERROR(__xludf.DUMMYFUNCTION("""COMPUTED_VALUE"""),"aktionariat-ayurveda-ag-tokenized-shares")</f>
        <v>aktionariat-ayurveda-ag-tokenized-shares</v>
      </c>
      <c r="B470" s="4" t="str">
        <f>IFERROR(__xludf.DUMMYFUNCTION("""COMPUTED_VALUE"""),"veda")</f>
        <v>veda</v>
      </c>
      <c r="C470" s="4" t="str">
        <f>IFERROR(__xludf.DUMMYFUNCTION("""COMPUTED_VALUE"""),"Aktionariat AyurVeda AG Tokenized Shares")</f>
        <v>Aktionariat AyurVeda AG Tokenized Shares</v>
      </c>
    </row>
    <row r="471">
      <c r="A471" s="4" t="str">
        <f>IFERROR(__xludf.DUMMYFUNCTION("""COMPUTED_VALUE"""),"aktionariat-bee-digital-growth-ag-tokenized-shares")</f>
        <v>aktionariat-bee-digital-growth-ag-tokenized-shares</v>
      </c>
      <c r="B471" s="4" t="str">
        <f>IFERROR(__xludf.DUMMYFUNCTION("""COMPUTED_VALUE"""),"bees")</f>
        <v>bees</v>
      </c>
      <c r="C471" s="4" t="str">
        <f>IFERROR(__xludf.DUMMYFUNCTION("""COMPUTED_VALUE"""),"Aktionariat BEE Digital Growth AG Tokenized Shares")</f>
        <v>Aktionariat BEE Digital Growth AG Tokenized Shares</v>
      </c>
    </row>
    <row r="472">
      <c r="A472" s="4" t="str">
        <f>IFERROR(__xludf.DUMMYFUNCTION("""COMPUTED_VALUE"""),"aktionariat-boss-info-ag-tokenized-shares")</f>
        <v>aktionariat-boss-info-ag-tokenized-shares</v>
      </c>
      <c r="B472" s="4" t="str">
        <f>IFERROR(__xludf.DUMMYFUNCTION("""COMPUTED_VALUE"""),"boss")</f>
        <v>boss</v>
      </c>
      <c r="C472" s="4" t="str">
        <f>IFERROR(__xludf.DUMMYFUNCTION("""COMPUTED_VALUE"""),"Aktionariat Boss Info AG Tokenized Shares")</f>
        <v>Aktionariat Boss Info AG Tokenized Shares</v>
      </c>
    </row>
    <row r="473">
      <c r="A473" s="4" t="str">
        <f>IFERROR(__xludf.DUMMYFUNCTION("""COMPUTED_VALUE"""),"aktionariat-carnault-ag-tokenized-shares")</f>
        <v>aktionariat-carnault-ag-tokenized-shares</v>
      </c>
      <c r="B473" s="4" t="str">
        <f>IFERROR(__xludf.DUMMYFUNCTION("""COMPUTED_VALUE"""),"cas")</f>
        <v>cas</v>
      </c>
      <c r="C473" s="4" t="str">
        <f>IFERROR(__xludf.DUMMYFUNCTION("""COMPUTED_VALUE"""),"Aktionariat Carnault AG Tokenized Shares")</f>
        <v>Aktionariat Carnault AG Tokenized Shares</v>
      </c>
    </row>
    <row r="474">
      <c r="A474" s="4" t="str">
        <f>IFERROR(__xludf.DUMMYFUNCTION("""COMPUTED_VALUE"""),"aktionariat-clever-forever-education-ag-tokenized-shares")</f>
        <v>aktionariat-clever-forever-education-ag-tokenized-shares</v>
      </c>
      <c r="B474" s="4" t="str">
        <f>IFERROR(__xludf.DUMMYFUNCTION("""COMPUTED_VALUE"""),"cfes")</f>
        <v>cfes</v>
      </c>
      <c r="C474" s="4" t="str">
        <f>IFERROR(__xludf.DUMMYFUNCTION("""COMPUTED_VALUE"""),"Aktionariat Clever Forever Education AG Tokenized Shares")</f>
        <v>Aktionariat Clever Forever Education AG Tokenized Shares</v>
      </c>
    </row>
    <row r="475">
      <c r="A475" s="4" t="str">
        <f>IFERROR(__xludf.DUMMYFUNCTION("""COMPUTED_VALUE"""),"aktionariat-ddc-schweiz-ag-tokenized-shares")</f>
        <v>aktionariat-ddc-schweiz-ag-tokenized-shares</v>
      </c>
      <c r="B475" s="4" t="str">
        <f>IFERROR(__xludf.DUMMYFUNCTION("""COMPUTED_VALUE"""),"ddcs")</f>
        <v>ddcs</v>
      </c>
      <c r="C475" s="4" t="str">
        <f>IFERROR(__xludf.DUMMYFUNCTION("""COMPUTED_VALUE"""),"Aktionariat DDC Schweiz AG Tokenized Shares")</f>
        <v>Aktionariat DDC Schweiz AG Tokenized Shares</v>
      </c>
    </row>
    <row r="476">
      <c r="A476" s="4" t="str">
        <f>IFERROR(__xludf.DUMMYFUNCTION("""COMPUTED_VALUE"""),"aktionariat-ehc-kloten-sport-ag-tokenized-shares")</f>
        <v>aktionariat-ehc-kloten-sport-ag-tokenized-shares</v>
      </c>
      <c r="B476" s="4" t="str">
        <f>IFERROR(__xludf.DUMMYFUNCTION("""COMPUTED_VALUE"""),"ehck")</f>
        <v>ehck</v>
      </c>
      <c r="C476" s="4" t="str">
        <f>IFERROR(__xludf.DUMMYFUNCTION("""COMPUTED_VALUE"""),"Aktionariat EHC Kloten Sport AG Tokenized Shares")</f>
        <v>Aktionariat EHC Kloten Sport AG Tokenized Shares</v>
      </c>
    </row>
    <row r="477">
      <c r="A477" s="4" t="str">
        <f>IFERROR(__xludf.DUMMYFUNCTION("""COMPUTED_VALUE"""),"aktionariat-fieldoo-ag-tokenized-shares")</f>
        <v>aktionariat-fieldoo-ag-tokenized-shares</v>
      </c>
      <c r="B477" s="4" t="str">
        <f>IFERROR(__xludf.DUMMYFUNCTION("""COMPUTED_VALUE"""),"fdos")</f>
        <v>fdos</v>
      </c>
      <c r="C477" s="4" t="str">
        <f>IFERROR(__xludf.DUMMYFUNCTION("""COMPUTED_VALUE"""),"Aktionariat Fieldoo AG Tokenized Shares")</f>
        <v>Aktionariat Fieldoo AG Tokenized Shares</v>
      </c>
    </row>
    <row r="478">
      <c r="A478" s="4" t="str">
        <f>IFERROR(__xludf.DUMMYFUNCTION("""COMPUTED_VALUE"""),"aktionariat-finelli-studios-ag-tokenized-shares")</f>
        <v>aktionariat-finelli-studios-ag-tokenized-shares</v>
      </c>
      <c r="B478" s="4" t="str">
        <f>IFERROR(__xludf.DUMMYFUNCTION("""COMPUTED_VALUE"""),"fnls")</f>
        <v>fnls</v>
      </c>
      <c r="C478" s="4" t="str">
        <f>IFERROR(__xludf.DUMMYFUNCTION("""COMPUTED_VALUE"""),"Aktionariat Finelli Studios AG Tokenized Shares")</f>
        <v>Aktionariat Finelli Studios AG Tokenized Shares</v>
      </c>
    </row>
    <row r="479">
      <c r="A479" s="4" t="str">
        <f>IFERROR(__xludf.DUMMYFUNCTION("""COMPUTED_VALUE"""),"aktionariat-green-consensus-ag-tokenized-shares")</f>
        <v>aktionariat-green-consensus-ag-tokenized-shares</v>
      </c>
      <c r="B479" s="4" t="str">
        <f>IFERROR(__xludf.DUMMYFUNCTION("""COMPUTED_VALUE"""),"dgcs")</f>
        <v>dgcs</v>
      </c>
      <c r="C479" s="4" t="str">
        <f>IFERROR(__xludf.DUMMYFUNCTION("""COMPUTED_VALUE"""),"Aktionariat Green Consensus AG Tokenized Shares")</f>
        <v>Aktionariat Green Consensus AG Tokenized Shares</v>
      </c>
    </row>
    <row r="480">
      <c r="A480" s="4" t="str">
        <f>IFERROR(__xludf.DUMMYFUNCTION("""COMPUTED_VALUE"""),"aktionariat-green-monkey-club-ag-tokenized-shares")</f>
        <v>aktionariat-green-monkey-club-ag-tokenized-shares</v>
      </c>
      <c r="B480" s="4" t="str">
        <f>IFERROR(__xludf.DUMMYFUNCTION("""COMPUTED_VALUE"""),"gmcs")</f>
        <v>gmcs</v>
      </c>
      <c r="C480" s="4" t="str">
        <f>IFERROR(__xludf.DUMMYFUNCTION("""COMPUTED_VALUE"""),"Aktionariat Green Monkey Club AG Tokenized Shares")</f>
        <v>Aktionariat Green Monkey Club AG Tokenized Shares</v>
      </c>
    </row>
    <row r="481">
      <c r="A481" s="4" t="str">
        <f>IFERROR(__xludf.DUMMYFUNCTION("""COMPUTED_VALUE"""),"aktionariat-outlawz-food-ag-tokenized-shares")</f>
        <v>aktionariat-outlawz-food-ag-tokenized-shares</v>
      </c>
      <c r="B481" s="4" t="str">
        <f>IFERROR(__xludf.DUMMYFUNCTION("""COMPUTED_VALUE"""),"vegs")</f>
        <v>vegs</v>
      </c>
      <c r="C481" s="4" t="str">
        <f>IFERROR(__xludf.DUMMYFUNCTION("""COMPUTED_VALUE"""),"Aktionariat Outlawz Food AG Tokenized Shares")</f>
        <v>Aktionariat Outlawz Food AG Tokenized Shares</v>
      </c>
    </row>
    <row r="482">
      <c r="A482" s="4" t="str">
        <f>IFERROR(__xludf.DUMMYFUNCTION("""COMPUTED_VALUE"""),"aktionariat-parknsleep-ag-tokenized-shares")</f>
        <v>aktionariat-parknsleep-ag-tokenized-shares</v>
      </c>
      <c r="B482" s="4" t="str">
        <f>IFERROR(__xludf.DUMMYFUNCTION("""COMPUTED_VALUE"""),"pns")</f>
        <v>pns</v>
      </c>
      <c r="C482" s="4" t="str">
        <f>IFERROR(__xludf.DUMMYFUNCTION("""COMPUTED_VALUE"""),"Aktionariat Parknsleep AG Tokenized Shares")</f>
        <v>Aktionariat Parknsleep AG Tokenized Shares</v>
      </c>
    </row>
    <row r="483">
      <c r="A483" s="4" t="str">
        <f>IFERROR(__xludf.DUMMYFUNCTION("""COMPUTED_VALUE"""),"aktionariat-pension-dynamics-ag-tokenized-shares")</f>
        <v>aktionariat-pension-dynamics-ag-tokenized-shares</v>
      </c>
      <c r="B483" s="4" t="str">
        <f>IFERROR(__xludf.DUMMYFUNCTION("""COMPUTED_VALUE"""),"pds")</f>
        <v>pds</v>
      </c>
      <c r="C483" s="4" t="str">
        <f>IFERROR(__xludf.DUMMYFUNCTION("""COMPUTED_VALUE"""),"Aktionariat Pension Dynamics AG Tokenized Shares")</f>
        <v>Aktionariat Pension Dynamics AG Tokenized Shares</v>
      </c>
    </row>
    <row r="484">
      <c r="A484" s="4" t="str">
        <f>IFERROR(__xludf.DUMMYFUNCTION("""COMPUTED_VALUE"""),"aktionariat-realunit-schweiz-ag-tokenized-shares")</f>
        <v>aktionariat-realunit-schweiz-ag-tokenized-shares</v>
      </c>
      <c r="B484" s="4" t="str">
        <f>IFERROR(__xludf.DUMMYFUNCTION("""COMPUTED_VALUE"""),"realu")</f>
        <v>realu</v>
      </c>
      <c r="C484" s="4" t="str">
        <f>IFERROR(__xludf.DUMMYFUNCTION("""COMPUTED_VALUE"""),"Aktionariat RealUnit Schweiz AG Tokenized Shares")</f>
        <v>Aktionariat RealUnit Schweiz AG Tokenized Shares</v>
      </c>
    </row>
    <row r="485">
      <c r="A485" s="4" t="str">
        <f>IFERROR(__xludf.DUMMYFUNCTION("""COMPUTED_VALUE"""),"aktionariat-servicehunter-ag-tokenized-shares")</f>
        <v>aktionariat-servicehunter-ag-tokenized-shares</v>
      </c>
      <c r="B485" s="4" t="str">
        <f>IFERROR(__xludf.DUMMYFUNCTION("""COMPUTED_VALUE"""),"dqts")</f>
        <v>dqts</v>
      </c>
      <c r="C485" s="4" t="str">
        <f>IFERROR(__xludf.DUMMYFUNCTION("""COMPUTED_VALUE"""),"Aktionariat ServiceHunter AG Tokenized Shares")</f>
        <v>Aktionariat ServiceHunter AG Tokenized Shares</v>
      </c>
    </row>
    <row r="486">
      <c r="A486" s="4" t="str">
        <f>IFERROR(__xludf.DUMMYFUNCTION("""COMPUTED_VALUE"""),"aktionariat-sia-swiss-influencer-award-ag-tokenized-shares")</f>
        <v>aktionariat-sia-swiss-influencer-award-ag-tokenized-shares</v>
      </c>
      <c r="B486" s="4" t="str">
        <f>IFERROR(__xludf.DUMMYFUNCTION("""COMPUTED_VALUE"""),"sias")</f>
        <v>sias</v>
      </c>
      <c r="C486" s="4" t="str">
        <f>IFERROR(__xludf.DUMMYFUNCTION("""COMPUTED_VALUE"""),"Aktionariat SIA Swiss Influencer Award AG Tokenized Shares")</f>
        <v>Aktionariat SIA Swiss Influencer Award AG Tokenized Shares</v>
      </c>
    </row>
    <row r="487">
      <c r="A487" s="4" t="str">
        <f>IFERROR(__xludf.DUMMYFUNCTION("""COMPUTED_VALUE"""),"aktionariat-sportsparadise-switzerland-ag-tokenized-shares")</f>
        <v>aktionariat-sportsparadise-switzerland-ag-tokenized-shares</v>
      </c>
      <c r="B487" s="4" t="str">
        <f>IFERROR(__xludf.DUMMYFUNCTION("""COMPUTED_VALUE"""),"spos")</f>
        <v>spos</v>
      </c>
      <c r="C487" s="4" t="str">
        <f>IFERROR(__xludf.DUMMYFUNCTION("""COMPUTED_VALUE"""),"Aktionariat Sportsparadise Switzerland AG Tokenized Shares")</f>
        <v>Aktionariat Sportsparadise Switzerland AG Tokenized Shares</v>
      </c>
    </row>
    <row r="488">
      <c r="A488" s="4" t="str">
        <f>IFERROR(__xludf.DUMMYFUNCTION("""COMPUTED_VALUE"""),"aktionariat-tbo-co-comon-accelerator-holding-ag-tokenized-shares")</f>
        <v>aktionariat-tbo-co-comon-accelerator-holding-ag-tokenized-shares</v>
      </c>
      <c r="B488" s="4" t="str">
        <f>IFERROR(__xludf.DUMMYFUNCTION("""COMPUTED_VALUE"""),"tbos")</f>
        <v>tbos</v>
      </c>
      <c r="C488" s="4" t="str">
        <f>IFERROR(__xludf.DUMMYFUNCTION("""COMPUTED_VALUE"""),"Aktionariat TBo c/o Comon Accelerator Holding AG Tokenized Shares")</f>
        <v>Aktionariat TBo c/o Comon Accelerator Holding AG Tokenized Shares</v>
      </c>
    </row>
    <row r="489">
      <c r="A489" s="4" t="str">
        <f>IFERROR(__xludf.DUMMYFUNCTION("""COMPUTED_VALUE"""),"aktionariat-technologies-of-understanding-ag-tokenized-shares")</f>
        <v>aktionariat-technologies-of-understanding-ag-tokenized-shares</v>
      </c>
      <c r="B489" s="4" t="str">
        <f>IFERROR(__xludf.DUMMYFUNCTION("""COMPUTED_VALUE"""),"vids")</f>
        <v>vids</v>
      </c>
      <c r="C489" s="4" t="str">
        <f>IFERROR(__xludf.DUMMYFUNCTION("""COMPUTED_VALUE"""),"Aktionariat Technologies of Understanding AG Tokenized Shares")</f>
        <v>Aktionariat Technologies of Understanding AG Tokenized Shares</v>
      </c>
    </row>
    <row r="490">
      <c r="A490" s="4" t="str">
        <f>IFERROR(__xludf.DUMMYFUNCTION("""COMPUTED_VALUE"""),"aktionariat-tv-plus-ag-tokenized-shares")</f>
        <v>aktionariat-tv-plus-ag-tokenized-shares</v>
      </c>
      <c r="B490" s="4" t="str">
        <f>IFERROR(__xludf.DUMMYFUNCTION("""COMPUTED_VALUE"""),"tvpls")</f>
        <v>tvpls</v>
      </c>
      <c r="C490" s="4" t="str">
        <f>IFERROR(__xludf.DUMMYFUNCTION("""COMPUTED_VALUE"""),"Aktionariat TV PLUS AG Tokenized Shares")</f>
        <v>Aktionariat TV PLUS AG Tokenized Shares</v>
      </c>
    </row>
    <row r="491">
      <c r="A491" s="4" t="str">
        <f>IFERROR(__xludf.DUMMYFUNCTION("""COMPUTED_VALUE"""),"aktionariat-vereign-ag-tokenized-shares")</f>
        <v>aktionariat-vereign-ag-tokenized-shares</v>
      </c>
      <c r="B491" s="4" t="str">
        <f>IFERROR(__xludf.DUMMYFUNCTION("""COMPUTED_VALUE"""),"vrgns")</f>
        <v>vrgns</v>
      </c>
      <c r="C491" s="4" t="str">
        <f>IFERROR(__xludf.DUMMYFUNCTION("""COMPUTED_VALUE"""),"Aktionariat Vereign AG Tokenized Shares")</f>
        <v>Aktionariat Vereign AG Tokenized Shares</v>
      </c>
    </row>
    <row r="492">
      <c r="A492" s="4" t="str">
        <f>IFERROR(__xludf.DUMMYFUNCTION("""COMPUTED_VALUE"""),"aladdin-dao")</f>
        <v>aladdin-dao</v>
      </c>
      <c r="B492" s="4" t="str">
        <f>IFERROR(__xludf.DUMMYFUNCTION("""COMPUTED_VALUE"""),"ald")</f>
        <v>ald</v>
      </c>
      <c r="C492" s="4" t="str">
        <f>IFERROR(__xludf.DUMMYFUNCTION("""COMPUTED_VALUE"""),"Aladdin DAO")</f>
        <v>Aladdin DAO</v>
      </c>
    </row>
    <row r="493">
      <c r="A493" s="4" t="str">
        <f>IFERROR(__xludf.DUMMYFUNCTION("""COMPUTED_VALUE"""),"aladdin-sdcrv")</f>
        <v>aladdin-sdcrv</v>
      </c>
      <c r="B493" s="4" t="str">
        <f>IFERROR(__xludf.DUMMYFUNCTION("""COMPUTED_VALUE"""),"asdcrv")</f>
        <v>asdcrv</v>
      </c>
      <c r="C493" s="4" t="str">
        <f>IFERROR(__xludf.DUMMYFUNCTION("""COMPUTED_VALUE"""),"Aladdin sdCRV")</f>
        <v>Aladdin sdCRV</v>
      </c>
    </row>
    <row r="494">
      <c r="A494" s="4" t="str">
        <f>IFERROR(__xludf.DUMMYFUNCTION("""COMPUTED_VALUE"""),"alan-musk")</f>
        <v>alan-musk</v>
      </c>
      <c r="B494" s="4" t="str">
        <f>IFERROR(__xludf.DUMMYFUNCTION("""COMPUTED_VALUE"""),"musk")</f>
        <v>musk</v>
      </c>
      <c r="C494" s="4" t="str">
        <f>IFERROR(__xludf.DUMMYFUNCTION("""COMPUTED_VALUE"""),"Alan Musk")</f>
        <v>Alan Musk</v>
      </c>
    </row>
    <row r="495">
      <c r="A495" s="4" t="str">
        <f>IFERROR(__xludf.DUMMYFUNCTION("""COMPUTED_VALUE"""),"alan-the-alien")</f>
        <v>alan-the-alien</v>
      </c>
      <c r="B495" s="4" t="str">
        <f>IFERROR(__xludf.DUMMYFUNCTION("""COMPUTED_VALUE"""),"alan")</f>
        <v>alan</v>
      </c>
      <c r="C495" s="4" t="str">
        <f>IFERROR(__xludf.DUMMYFUNCTION("""COMPUTED_VALUE"""),"Alan the Alien")</f>
        <v>Alan the Alien</v>
      </c>
    </row>
    <row r="496">
      <c r="A496" s="4" t="str">
        <f>IFERROR(__xludf.DUMMYFUNCTION("""COMPUTED_VALUE"""),"alanyaspor-fan-token")</f>
        <v>alanyaspor-fan-token</v>
      </c>
      <c r="B496" s="4" t="str">
        <f>IFERROR(__xludf.DUMMYFUNCTION("""COMPUTED_VALUE"""),"ala")</f>
        <v>ala</v>
      </c>
      <c r="C496" s="4" t="str">
        <f>IFERROR(__xludf.DUMMYFUNCTION("""COMPUTED_VALUE"""),"Alanyaspor Fan Token")</f>
        <v>Alanyaspor Fan Token</v>
      </c>
    </row>
    <row r="497">
      <c r="A497" s="4" t="str">
        <f>IFERROR(__xludf.DUMMYFUNCTION("""COMPUTED_VALUE"""),"alaska-gold-rush")</f>
        <v>alaska-gold-rush</v>
      </c>
      <c r="B497" s="4" t="str">
        <f>IFERROR(__xludf.DUMMYFUNCTION("""COMPUTED_VALUE"""),"carat")</f>
        <v>carat</v>
      </c>
      <c r="C497" s="4" t="str">
        <f>IFERROR(__xludf.DUMMYFUNCTION("""COMPUTED_VALUE"""),"Alaska Gold Rush")</f>
        <v>Alaska Gold Rush</v>
      </c>
    </row>
    <row r="498">
      <c r="A498" s="4" t="str">
        <f>IFERROR(__xludf.DUMMYFUNCTION("""COMPUTED_VALUE"""),"alaya")</f>
        <v>alaya</v>
      </c>
      <c r="B498" s="4" t="str">
        <f>IFERROR(__xludf.DUMMYFUNCTION("""COMPUTED_VALUE"""),"atp")</f>
        <v>atp</v>
      </c>
      <c r="C498" s="4" t="str">
        <f>IFERROR(__xludf.DUMMYFUNCTION("""COMPUTED_VALUE"""),"Alaya")</f>
        <v>Alaya</v>
      </c>
    </row>
    <row r="499">
      <c r="A499" s="4" t="str">
        <f>IFERROR(__xludf.DUMMYFUNCTION("""COMPUTED_VALUE"""),"albedo")</f>
        <v>albedo</v>
      </c>
      <c r="B499" s="4" t="str">
        <f>IFERROR(__xludf.DUMMYFUNCTION("""COMPUTED_VALUE"""),"albedo")</f>
        <v>albedo</v>
      </c>
      <c r="C499" s="4" t="str">
        <f>IFERROR(__xludf.DUMMYFUNCTION("""COMPUTED_VALUE"""),"ALBEDO")</f>
        <v>ALBEDO</v>
      </c>
    </row>
    <row r="500">
      <c r="A500" s="4" t="str">
        <f>IFERROR(__xludf.DUMMYFUNCTION("""COMPUTED_VALUE"""),"albemarle-meme-token")</f>
        <v>albemarle-meme-token</v>
      </c>
      <c r="B500" s="4" t="str">
        <f>IFERROR(__xludf.DUMMYFUNCTION("""COMPUTED_VALUE"""),"albemarle")</f>
        <v>albemarle</v>
      </c>
      <c r="C500" s="4" t="str">
        <f>IFERROR(__xludf.DUMMYFUNCTION("""COMPUTED_VALUE"""),"Albemarle Meme Token")</f>
        <v>Albemarle Meme Token</v>
      </c>
    </row>
    <row r="501">
      <c r="A501" s="4" t="str">
        <f>IFERROR(__xludf.DUMMYFUNCTION("""COMPUTED_VALUE"""),"albert")</f>
        <v>albert</v>
      </c>
      <c r="B501" s="4" t="str">
        <f>IFERROR(__xludf.DUMMYFUNCTION("""COMPUTED_VALUE"""),"albert")</f>
        <v>albert</v>
      </c>
      <c r="C501" s="4" t="str">
        <f>IFERROR(__xludf.DUMMYFUNCTION("""COMPUTED_VALUE"""),"Albert")</f>
        <v>Albert</v>
      </c>
    </row>
    <row r="502">
      <c r="A502" s="4" t="str">
        <f>IFERROR(__xludf.DUMMYFUNCTION("""COMPUTED_VALUE"""),"alchemist")</f>
        <v>alchemist</v>
      </c>
      <c r="B502" s="4" t="str">
        <f>IFERROR(__xludf.DUMMYFUNCTION("""COMPUTED_VALUE"""),"mist")</f>
        <v>mist</v>
      </c>
      <c r="C502" s="4" t="str">
        <f>IFERROR(__xludf.DUMMYFUNCTION("""COMPUTED_VALUE"""),"Alchemist")</f>
        <v>Alchemist</v>
      </c>
    </row>
    <row r="503">
      <c r="A503" s="4" t="str">
        <f>IFERROR(__xludf.DUMMYFUNCTION("""COMPUTED_VALUE"""),"alchemix")</f>
        <v>alchemix</v>
      </c>
      <c r="B503" s="4" t="str">
        <f>IFERROR(__xludf.DUMMYFUNCTION("""COMPUTED_VALUE"""),"alcx")</f>
        <v>alcx</v>
      </c>
      <c r="C503" s="4" t="str">
        <f>IFERROR(__xludf.DUMMYFUNCTION("""COMPUTED_VALUE"""),"Alchemix")</f>
        <v>Alchemix</v>
      </c>
    </row>
    <row r="504">
      <c r="A504" s="4" t="str">
        <f>IFERROR(__xludf.DUMMYFUNCTION("""COMPUTED_VALUE"""),"alchemix-eth")</f>
        <v>alchemix-eth</v>
      </c>
      <c r="B504" s="4" t="str">
        <f>IFERROR(__xludf.DUMMYFUNCTION("""COMPUTED_VALUE"""),"aleth")</f>
        <v>aleth</v>
      </c>
      <c r="C504" s="4" t="str">
        <f>IFERROR(__xludf.DUMMYFUNCTION("""COMPUTED_VALUE"""),"Alchemix ETH")</f>
        <v>Alchemix ETH</v>
      </c>
    </row>
    <row r="505">
      <c r="A505" s="4" t="str">
        <f>IFERROR(__xludf.DUMMYFUNCTION("""COMPUTED_VALUE"""),"alchemix-usd")</f>
        <v>alchemix-usd</v>
      </c>
      <c r="B505" s="4" t="str">
        <f>IFERROR(__xludf.DUMMYFUNCTION("""COMPUTED_VALUE"""),"alusd")</f>
        <v>alusd</v>
      </c>
      <c r="C505" s="4" t="str">
        <f>IFERROR(__xludf.DUMMYFUNCTION("""COMPUTED_VALUE"""),"Alchemix USD")</f>
        <v>Alchemix USD</v>
      </c>
    </row>
    <row r="506">
      <c r="A506" s="4" t="str">
        <f>IFERROR(__xludf.DUMMYFUNCTION("""COMPUTED_VALUE"""),"alchemy-pay")</f>
        <v>alchemy-pay</v>
      </c>
      <c r="B506" s="4" t="str">
        <f>IFERROR(__xludf.DUMMYFUNCTION("""COMPUTED_VALUE"""),"ach")</f>
        <v>ach</v>
      </c>
      <c r="C506" s="4" t="str">
        <f>IFERROR(__xludf.DUMMYFUNCTION("""COMPUTED_VALUE"""),"Alchemy Pay")</f>
        <v>Alchemy Pay</v>
      </c>
    </row>
    <row r="507">
      <c r="A507" s="4" t="str">
        <f>IFERROR(__xludf.DUMMYFUNCTION("""COMPUTED_VALUE"""),"aldrin")</f>
        <v>aldrin</v>
      </c>
      <c r="B507" s="4" t="str">
        <f>IFERROR(__xludf.DUMMYFUNCTION("""COMPUTED_VALUE"""),"rin")</f>
        <v>rin</v>
      </c>
      <c r="C507" s="4" t="str">
        <f>IFERROR(__xludf.DUMMYFUNCTION("""COMPUTED_VALUE"""),"Aldrin")</f>
        <v>Aldrin</v>
      </c>
    </row>
    <row r="508">
      <c r="A508" s="4" t="str">
        <f>IFERROR(__xludf.DUMMYFUNCTION("""COMPUTED_VALUE"""),"alea")</f>
        <v>alea</v>
      </c>
      <c r="B508" s="4" t="str">
        <f>IFERROR(__xludf.DUMMYFUNCTION("""COMPUTED_VALUE"""),"alea")</f>
        <v>alea</v>
      </c>
      <c r="C508" s="4" t="str">
        <f>IFERROR(__xludf.DUMMYFUNCTION("""COMPUTED_VALUE"""),"Alea")</f>
        <v>Alea</v>
      </c>
    </row>
    <row r="509">
      <c r="A509" s="4" t="str">
        <f>IFERROR(__xludf.DUMMYFUNCTION("""COMPUTED_VALUE"""),"aleph")</f>
        <v>aleph</v>
      </c>
      <c r="B509" s="4" t="str">
        <f>IFERROR(__xludf.DUMMYFUNCTION("""COMPUTED_VALUE"""),"aleph")</f>
        <v>aleph</v>
      </c>
      <c r="C509" s="5" t="str">
        <f>IFERROR(__xludf.DUMMYFUNCTION("""COMPUTED_VALUE"""),"Aleph.im")</f>
        <v>Aleph.im</v>
      </c>
    </row>
    <row r="510">
      <c r="A510" s="4" t="str">
        <f>IFERROR(__xludf.DUMMYFUNCTION("""COMPUTED_VALUE"""),"aleph-im-wormhole")</f>
        <v>aleph-im-wormhole</v>
      </c>
      <c r="B510" s="4" t="str">
        <f>IFERROR(__xludf.DUMMYFUNCTION("""COMPUTED_VALUE"""),"aleph")</f>
        <v>aleph</v>
      </c>
      <c r="C510" s="4" t="str">
        <f>IFERROR(__xludf.DUMMYFUNCTION("""COMPUTED_VALUE"""),"Aleph.im (Wormhole)")</f>
        <v>Aleph.im (Wormhole)</v>
      </c>
    </row>
    <row r="511">
      <c r="A511" s="4" t="str">
        <f>IFERROR(__xludf.DUMMYFUNCTION("""COMPUTED_VALUE"""),"alephium")</f>
        <v>alephium</v>
      </c>
      <c r="B511" s="4" t="str">
        <f>IFERROR(__xludf.DUMMYFUNCTION("""COMPUTED_VALUE"""),"alph")</f>
        <v>alph</v>
      </c>
      <c r="C511" s="4" t="str">
        <f>IFERROR(__xludf.DUMMYFUNCTION("""COMPUTED_VALUE"""),"Alephium")</f>
        <v>Alephium</v>
      </c>
    </row>
    <row r="512">
      <c r="A512" s="4" t="str">
        <f>IFERROR(__xludf.DUMMYFUNCTION("""COMPUTED_VALUE"""),"aleph-zero")</f>
        <v>aleph-zero</v>
      </c>
      <c r="B512" s="4" t="str">
        <f>IFERROR(__xludf.DUMMYFUNCTION("""COMPUTED_VALUE"""),"azero")</f>
        <v>azero</v>
      </c>
      <c r="C512" s="4" t="str">
        <f>IFERROR(__xludf.DUMMYFUNCTION("""COMPUTED_VALUE"""),"Aleph Zero")</f>
        <v>Aleph Zero</v>
      </c>
    </row>
    <row r="513">
      <c r="A513" s="4" t="str">
        <f>IFERROR(__xludf.DUMMYFUNCTION("""COMPUTED_VALUE"""),"alethea-artificial-liquid-intelligence-token")</f>
        <v>alethea-artificial-liquid-intelligence-token</v>
      </c>
      <c r="B513" s="4" t="str">
        <f>IFERROR(__xludf.DUMMYFUNCTION("""COMPUTED_VALUE"""),"ali")</f>
        <v>ali</v>
      </c>
      <c r="C513" s="4" t="str">
        <f>IFERROR(__xludf.DUMMYFUNCTION("""COMPUTED_VALUE"""),"Artificial Liquid Intelligence")</f>
        <v>Artificial Liquid Intelligence</v>
      </c>
    </row>
    <row r="514">
      <c r="A514" s="4" t="str">
        <f>IFERROR(__xludf.DUMMYFUNCTION("""COMPUTED_VALUE"""),"alex-b20")</f>
        <v>alex-b20</v>
      </c>
      <c r="B514" s="4" t="str">
        <f>IFERROR(__xludf.DUMMYFUNCTION("""COMPUTED_VALUE"""),"$b20")</f>
        <v>$b20</v>
      </c>
      <c r="C514" s="4" t="str">
        <f>IFERROR(__xludf.DUMMYFUNCTION("""COMPUTED_VALUE"""),"ALEX $B20")</f>
        <v>ALEX $B20</v>
      </c>
    </row>
    <row r="515">
      <c r="A515" s="4" t="str">
        <f>IFERROR(__xludf.DUMMYFUNCTION("""COMPUTED_VALUE"""),"alexgo")</f>
        <v>alexgo</v>
      </c>
      <c r="B515" s="4" t="str">
        <f>IFERROR(__xludf.DUMMYFUNCTION("""COMPUTED_VALUE"""),"alex")</f>
        <v>alex</v>
      </c>
      <c r="C515" s="4" t="str">
        <f>IFERROR(__xludf.DUMMYFUNCTION("""COMPUTED_VALUE"""),"ALEX Lab")</f>
        <v>ALEX Lab</v>
      </c>
    </row>
    <row r="516">
      <c r="A516" s="4" t="str">
        <f>IFERROR(__xludf.DUMMYFUNCTION("""COMPUTED_VALUE"""),"alex-wrapped-usdt")</f>
        <v>alex-wrapped-usdt</v>
      </c>
      <c r="B516" s="4" t="str">
        <f>IFERROR(__xludf.DUMMYFUNCTION("""COMPUTED_VALUE"""),"susdt")</f>
        <v>susdt</v>
      </c>
      <c r="C516" s="4" t="str">
        <f>IFERROR(__xludf.DUMMYFUNCTION("""COMPUTED_VALUE"""),"Bridged Tether (Alex Bridge)")</f>
        <v>Bridged Tether (Alex Bridge)</v>
      </c>
    </row>
    <row r="517">
      <c r="A517" s="4" t="str">
        <f>IFERROR(__xludf.DUMMYFUNCTION("""COMPUTED_VALUE"""),"alfa-romeo-racing-orlen-fan-token")</f>
        <v>alfa-romeo-racing-orlen-fan-token</v>
      </c>
      <c r="B517" s="4" t="str">
        <f>IFERROR(__xludf.DUMMYFUNCTION("""COMPUTED_VALUE"""),"sauber")</f>
        <v>sauber</v>
      </c>
      <c r="C517" s="4" t="str">
        <f>IFERROR(__xludf.DUMMYFUNCTION("""COMPUTED_VALUE"""),"Alfa Romeo Racing ORLEN Fan Token")</f>
        <v>Alfa Romeo Racing ORLEN Fan Token</v>
      </c>
    </row>
    <row r="518">
      <c r="A518" s="4" t="str">
        <f>IFERROR(__xludf.DUMMYFUNCTION("""COMPUTED_VALUE"""),"alfa-society")</f>
        <v>alfa-society</v>
      </c>
      <c r="B518" s="4" t="str">
        <f>IFERROR(__xludf.DUMMYFUNCTION("""COMPUTED_VALUE"""),"alfa")</f>
        <v>alfa</v>
      </c>
      <c r="C518" s="4" t="str">
        <f>IFERROR(__xludf.DUMMYFUNCTION("""COMPUTED_VALUE"""),"alfa.society")</f>
        <v>alfa.society</v>
      </c>
    </row>
    <row r="519">
      <c r="A519" s="4" t="str">
        <f>IFERROR(__xludf.DUMMYFUNCTION("""COMPUTED_VALUE"""),"alfprotocol")</f>
        <v>alfprotocol</v>
      </c>
      <c r="B519" s="4" t="str">
        <f>IFERROR(__xludf.DUMMYFUNCTION("""COMPUTED_VALUE"""),"alf")</f>
        <v>alf</v>
      </c>
      <c r="C519" s="4" t="str">
        <f>IFERROR(__xludf.DUMMYFUNCTION("""COMPUTED_VALUE"""),"AlfProtocol")</f>
        <v>AlfProtocol</v>
      </c>
    </row>
    <row r="520">
      <c r="A520" s="4" t="str">
        <f>IFERROR(__xludf.DUMMYFUNCTION("""COMPUTED_VALUE"""),"algebra")</f>
        <v>algebra</v>
      </c>
      <c r="B520" s="4" t="str">
        <f>IFERROR(__xludf.DUMMYFUNCTION("""COMPUTED_VALUE"""),"algb")</f>
        <v>algb</v>
      </c>
      <c r="C520" s="4" t="str">
        <f>IFERROR(__xludf.DUMMYFUNCTION("""COMPUTED_VALUE"""),"Algebra")</f>
        <v>Algebra</v>
      </c>
    </row>
    <row r="521">
      <c r="A521" s="4" t="str">
        <f>IFERROR(__xludf.DUMMYFUNCTION("""COMPUTED_VALUE"""),"algo-casino-chips")</f>
        <v>algo-casino-chips</v>
      </c>
      <c r="B521" s="4" t="str">
        <f>IFERROR(__xludf.DUMMYFUNCTION("""COMPUTED_VALUE"""),"chip")</f>
        <v>chip</v>
      </c>
      <c r="C521" s="4" t="str">
        <f>IFERROR(__xludf.DUMMYFUNCTION("""COMPUTED_VALUE"""),"Algo-Casino Chips")</f>
        <v>Algo-Casino Chips</v>
      </c>
    </row>
    <row r="522">
      <c r="A522" s="4" t="str">
        <f>IFERROR(__xludf.DUMMYFUNCTION("""COMPUTED_VALUE"""),"algomint")</f>
        <v>algomint</v>
      </c>
      <c r="B522" s="4" t="str">
        <f>IFERROR(__xludf.DUMMYFUNCTION("""COMPUTED_VALUE"""),"gomint")</f>
        <v>gomint</v>
      </c>
      <c r="C522" s="4" t="str">
        <f>IFERROR(__xludf.DUMMYFUNCTION("""COMPUTED_VALUE"""),"Algomint")</f>
        <v>Algomint</v>
      </c>
    </row>
    <row r="523">
      <c r="A523" s="4" t="str">
        <f>IFERROR(__xludf.DUMMYFUNCTION("""COMPUTED_VALUE"""),"algorand")</f>
        <v>algorand</v>
      </c>
      <c r="B523" s="4" t="str">
        <f>IFERROR(__xludf.DUMMYFUNCTION("""COMPUTED_VALUE"""),"algo")</f>
        <v>algo</v>
      </c>
      <c r="C523" s="4" t="str">
        <f>IFERROR(__xludf.DUMMYFUNCTION("""COMPUTED_VALUE"""),"Algorand")</f>
        <v>Algorand</v>
      </c>
    </row>
    <row r="524">
      <c r="A524" s="4" t="str">
        <f>IFERROR(__xludf.DUMMYFUNCTION("""COMPUTED_VALUE"""),"algory")</f>
        <v>algory</v>
      </c>
      <c r="B524" s="4" t="str">
        <f>IFERROR(__xludf.DUMMYFUNCTION("""COMPUTED_VALUE"""),"alg")</f>
        <v>alg</v>
      </c>
      <c r="C524" s="4" t="str">
        <f>IFERROR(__xludf.DUMMYFUNCTION("""COMPUTED_VALUE"""),"Algory")</f>
        <v>Algory</v>
      </c>
    </row>
    <row r="525">
      <c r="A525" s="4" t="str">
        <f>IFERROR(__xludf.DUMMYFUNCTION("""COMPUTED_VALUE"""),"algostable")</f>
        <v>algostable</v>
      </c>
      <c r="B525" s="4" t="str">
        <f>IFERROR(__xludf.DUMMYFUNCTION("""COMPUTED_VALUE"""),"stbl")</f>
        <v>stbl</v>
      </c>
      <c r="C525" s="4" t="str">
        <f>IFERROR(__xludf.DUMMYFUNCTION("""COMPUTED_VALUE"""),"AlgoStable")</f>
        <v>AlgoStable</v>
      </c>
    </row>
    <row r="526">
      <c r="A526" s="4" t="str">
        <f>IFERROR(__xludf.DUMMYFUNCTION("""COMPUTED_VALUE"""),"algostake")</f>
        <v>algostake</v>
      </c>
      <c r="B526" s="4" t="str">
        <f>IFERROR(__xludf.DUMMYFUNCTION("""COMPUTED_VALUE"""),"stke")</f>
        <v>stke</v>
      </c>
      <c r="C526" s="4" t="str">
        <f>IFERROR(__xludf.DUMMYFUNCTION("""COMPUTED_VALUE"""),"AlgoStake")</f>
        <v>AlgoStake</v>
      </c>
    </row>
    <row r="527">
      <c r="A527" s="4" t="str">
        <f>IFERROR(__xludf.DUMMYFUNCTION("""COMPUTED_VALUE"""),"alibabacoin")</f>
        <v>alibabacoin</v>
      </c>
      <c r="B527" s="4" t="str">
        <f>IFERROR(__xludf.DUMMYFUNCTION("""COMPUTED_VALUE"""),"abbc")</f>
        <v>abbc</v>
      </c>
      <c r="C527" s="4" t="str">
        <f>IFERROR(__xludf.DUMMYFUNCTION("""COMPUTED_VALUE"""),"ABBC")</f>
        <v>ABBC</v>
      </c>
    </row>
    <row r="528">
      <c r="A528" s="4" t="str">
        <f>IFERROR(__xludf.DUMMYFUNCTION("""COMPUTED_VALUE"""),"alibaba-tokenized-stock-defichain")</f>
        <v>alibaba-tokenized-stock-defichain</v>
      </c>
      <c r="B528" s="4" t="str">
        <f>IFERROR(__xludf.DUMMYFUNCTION("""COMPUTED_VALUE"""),"dbaba")</f>
        <v>dbaba</v>
      </c>
      <c r="C528" s="4" t="str">
        <f>IFERROR(__xludf.DUMMYFUNCTION("""COMPUTED_VALUE"""),"Alibaba Tokenized Stock Defichain")</f>
        <v>Alibaba Tokenized Stock Defichain</v>
      </c>
    </row>
    <row r="529">
      <c r="A529" s="4" t="str">
        <f>IFERROR(__xludf.DUMMYFUNCTION("""COMPUTED_VALUE"""),"alice-ai")</f>
        <v>alice-ai</v>
      </c>
      <c r="B529" s="4" t="str">
        <f>IFERROR(__xludf.DUMMYFUNCTION("""COMPUTED_VALUE"""),"alice")</f>
        <v>alice</v>
      </c>
      <c r="C529" s="4" t="str">
        <f>IFERROR(__xludf.DUMMYFUNCTION("""COMPUTED_VALUE"""),"Alice AI")</f>
        <v>Alice AI</v>
      </c>
    </row>
    <row r="530">
      <c r="A530" s="4" t="str">
        <f>IFERROR(__xludf.DUMMYFUNCTION("""COMPUTED_VALUE"""),"alicenet")</f>
        <v>alicenet</v>
      </c>
      <c r="B530" s="4" t="str">
        <f>IFERROR(__xludf.DUMMYFUNCTION("""COMPUTED_VALUE"""),"alca")</f>
        <v>alca</v>
      </c>
      <c r="C530" s="4" t="str">
        <f>IFERROR(__xludf.DUMMYFUNCTION("""COMPUTED_VALUE"""),"AliceNet")</f>
        <v>AliceNet</v>
      </c>
    </row>
    <row r="531">
      <c r="A531" s="4" t="str">
        <f>IFERROR(__xludf.DUMMYFUNCTION("""COMPUTED_VALUE"""),"alien")</f>
        <v>alien</v>
      </c>
      <c r="B531" s="4" t="str">
        <f>IFERROR(__xludf.DUMMYFUNCTION("""COMPUTED_VALUE"""),"alien")</f>
        <v>alien</v>
      </c>
      <c r="C531" s="4" t="str">
        <f>IFERROR(__xludf.DUMMYFUNCTION("""COMPUTED_VALUE"""),"Alien")</f>
        <v>Alien</v>
      </c>
    </row>
    <row r="532">
      <c r="A532" s="4" t="str">
        <f>IFERROR(__xludf.DUMMYFUNCTION("""COMPUTED_VALUE"""),"alienb")</f>
        <v>alienb</v>
      </c>
      <c r="B532" s="4" t="str">
        <f>IFERROR(__xludf.DUMMYFUNCTION("""COMPUTED_VALUE"""),"alienb")</f>
        <v>alienb</v>
      </c>
      <c r="C532" s="4" t="str">
        <f>IFERROR(__xludf.DUMMYFUNCTION("""COMPUTED_VALUE"""),"AlienB")</f>
        <v>AlienB</v>
      </c>
    </row>
    <row r="533">
      <c r="A533" s="4" t="str">
        <f>IFERROR(__xludf.DUMMYFUNCTION("""COMPUTED_VALUE"""),"alienbase")</f>
        <v>alienbase</v>
      </c>
      <c r="B533" s="4" t="str">
        <f>IFERROR(__xludf.DUMMYFUNCTION("""COMPUTED_VALUE"""),"alb")</f>
        <v>alb</v>
      </c>
      <c r="C533" s="4" t="str">
        <f>IFERROR(__xludf.DUMMYFUNCTION("""COMPUTED_VALUE"""),"AlienBase")</f>
        <v>AlienBase</v>
      </c>
    </row>
    <row r="534">
      <c r="A534" s="4" t="str">
        <f>IFERROR(__xludf.DUMMYFUNCTION("""COMPUTED_VALUE"""),"alien-chicken-farm")</f>
        <v>alien-chicken-farm</v>
      </c>
      <c r="B534" s="4" t="str">
        <f>IFERROR(__xludf.DUMMYFUNCTION("""COMPUTED_VALUE"""),"acf")</f>
        <v>acf</v>
      </c>
      <c r="C534" s="4" t="str">
        <f>IFERROR(__xludf.DUMMYFUNCTION("""COMPUTED_VALUE"""),"Alien Chicken Farm")</f>
        <v>Alien Chicken Farm</v>
      </c>
    </row>
    <row r="535">
      <c r="A535" s="4" t="str">
        <f>IFERROR(__xludf.DUMMYFUNCTION("""COMPUTED_VALUE"""),"alienfi")</f>
        <v>alienfi</v>
      </c>
      <c r="B535" s="4" t="str">
        <f>IFERROR(__xludf.DUMMYFUNCTION("""COMPUTED_VALUE"""),"alien")</f>
        <v>alien</v>
      </c>
      <c r="C535" s="4" t="str">
        <f>IFERROR(__xludf.DUMMYFUNCTION("""COMPUTED_VALUE"""),"AlienFi")</f>
        <v>AlienFi</v>
      </c>
    </row>
    <row r="536">
      <c r="A536" s="4" t="str">
        <f>IFERROR(__xludf.DUMMYFUNCTION("""COMPUTED_VALUE"""),"alien-finance")</f>
        <v>alien-finance</v>
      </c>
      <c r="B536" s="4" t="str">
        <f>IFERROR(__xludf.DUMMYFUNCTION("""COMPUTED_VALUE"""),"alien")</f>
        <v>alien</v>
      </c>
      <c r="C536" s="4" t="str">
        <f>IFERROR(__xludf.DUMMYFUNCTION("""COMPUTED_VALUE"""),"Alien Finance")</f>
        <v>Alien Finance</v>
      </c>
    </row>
    <row r="537">
      <c r="A537" s="4" t="str">
        <f>IFERROR(__xludf.DUMMYFUNCTION("""COMPUTED_VALUE"""),"alienform")</f>
        <v>alienform</v>
      </c>
      <c r="B537" s="4" t="str">
        <f>IFERROR(__xludf.DUMMYFUNCTION("""COMPUTED_VALUE"""),"a4m")</f>
        <v>a4m</v>
      </c>
      <c r="C537" s="4" t="str">
        <f>IFERROR(__xludf.DUMMYFUNCTION("""COMPUTED_VALUE"""),"AlienForm")</f>
        <v>AlienForm</v>
      </c>
    </row>
    <row r="538">
      <c r="A538" s="4" t="str">
        <f>IFERROR(__xludf.DUMMYFUNCTION("""COMPUTED_VALUE"""),"alien-milady-fumo")</f>
        <v>alien-milady-fumo</v>
      </c>
      <c r="B538" s="4" t="str">
        <f>IFERROR(__xludf.DUMMYFUNCTION("""COMPUTED_VALUE"""),"fumo")</f>
        <v>fumo</v>
      </c>
      <c r="C538" s="4" t="str">
        <f>IFERROR(__xludf.DUMMYFUNCTION("""COMPUTED_VALUE"""),"Alien Milady Fumo")</f>
        <v>Alien Milady Fumo</v>
      </c>
    </row>
    <row r="539">
      <c r="A539" s="4" t="str">
        <f>IFERROR(__xludf.DUMMYFUNCTION("""COMPUTED_VALUE"""),"alienswap")</f>
        <v>alienswap</v>
      </c>
      <c r="B539" s="4" t="str">
        <f>IFERROR(__xludf.DUMMYFUNCTION("""COMPUTED_VALUE"""),"alien")</f>
        <v>alien</v>
      </c>
      <c r="C539" s="4" t="str">
        <f>IFERROR(__xludf.DUMMYFUNCTION("""COMPUTED_VALUE"""),"AlienSwap")</f>
        <v>AlienSwap</v>
      </c>
    </row>
    <row r="540">
      <c r="A540" s="4" t="str">
        <f>IFERROR(__xludf.DUMMYFUNCTION("""COMPUTED_VALUE"""),"alien-worlds")</f>
        <v>alien-worlds</v>
      </c>
      <c r="B540" s="4" t="str">
        <f>IFERROR(__xludf.DUMMYFUNCTION("""COMPUTED_VALUE"""),"tlm")</f>
        <v>tlm</v>
      </c>
      <c r="C540" s="4" t="str">
        <f>IFERROR(__xludf.DUMMYFUNCTION("""COMPUTED_VALUE"""),"Alien Worlds")</f>
        <v>Alien Worlds</v>
      </c>
    </row>
    <row r="541">
      <c r="A541" s="4" t="str">
        <f>IFERROR(__xludf.DUMMYFUNCTION("""COMPUTED_VALUE"""),"alif-coin")</f>
        <v>alif-coin</v>
      </c>
      <c r="B541" s="4" t="str">
        <f>IFERROR(__xludf.DUMMYFUNCTION("""COMPUTED_VALUE"""),"alif")</f>
        <v>alif</v>
      </c>
      <c r="C541" s="4" t="str">
        <f>IFERROR(__xludf.DUMMYFUNCTION("""COMPUTED_VALUE"""),"AliF Coin")</f>
        <v>AliF Coin</v>
      </c>
    </row>
    <row r="542">
      <c r="A542" s="4" t="str">
        <f>IFERROR(__xludf.DUMMYFUNCTION("""COMPUTED_VALUE"""),"alink-ai")</f>
        <v>alink-ai</v>
      </c>
      <c r="B542" s="4" t="str">
        <f>IFERROR(__xludf.DUMMYFUNCTION("""COMPUTED_VALUE"""),"alink")</f>
        <v>alink</v>
      </c>
      <c r="C542" s="4" t="str">
        <f>IFERROR(__xludf.DUMMYFUNCTION("""COMPUTED_VALUE"""),"ALINK AI")</f>
        <v>ALINK AI</v>
      </c>
    </row>
    <row r="543">
      <c r="A543" s="4" t="str">
        <f>IFERROR(__xludf.DUMMYFUNCTION("""COMPUTED_VALUE"""),"alita")</f>
        <v>alita</v>
      </c>
      <c r="B543" s="4" t="str">
        <f>IFERROR(__xludf.DUMMYFUNCTION("""COMPUTED_VALUE"""),"ali")</f>
        <v>ali</v>
      </c>
      <c r="C543" s="4" t="str">
        <f>IFERROR(__xludf.DUMMYFUNCTION("""COMPUTED_VALUE"""),"Alita")</f>
        <v>Alita</v>
      </c>
    </row>
    <row r="544">
      <c r="A544" s="4" t="str">
        <f>IFERROR(__xludf.DUMMYFUNCTION("""COMPUTED_VALUE"""),"alita-2")</f>
        <v>alita-2</v>
      </c>
      <c r="B544" s="4" t="str">
        <f>IFERROR(__xludf.DUMMYFUNCTION("""COMPUTED_VALUE"""),"alme")</f>
        <v>alme</v>
      </c>
      <c r="C544" s="4" t="str">
        <f>IFERROR(__xludf.DUMMYFUNCTION("""COMPUTED_VALUE"""),"ALITA")</f>
        <v>ALITA</v>
      </c>
    </row>
    <row r="545">
      <c r="A545" s="4" t="str">
        <f>IFERROR(__xludf.DUMMYFUNCTION("""COMPUTED_VALUE"""),"alitaai")</f>
        <v>alitaai</v>
      </c>
      <c r="B545" s="4" t="str">
        <f>IFERROR(__xludf.DUMMYFUNCTION("""COMPUTED_VALUE"""),"alita")</f>
        <v>alita</v>
      </c>
      <c r="C545" s="4" t="str">
        <f>IFERROR(__xludf.DUMMYFUNCTION("""COMPUTED_VALUE"""),"AlitaAI")</f>
        <v>AlitaAI</v>
      </c>
    </row>
    <row r="546">
      <c r="A546" s="4" t="str">
        <f>IFERROR(__xludf.DUMMYFUNCTION("""COMPUTED_VALUE"""),"alitas")</f>
        <v>alitas</v>
      </c>
      <c r="B546" s="4" t="str">
        <f>IFERROR(__xludf.DUMMYFUNCTION("""COMPUTED_VALUE"""),"alt")</f>
        <v>alt</v>
      </c>
      <c r="C546" s="4" t="str">
        <f>IFERROR(__xludf.DUMMYFUNCTION("""COMPUTED_VALUE"""),"Alitas")</f>
        <v>Alitas</v>
      </c>
    </row>
    <row r="547">
      <c r="A547" s="4" t="str">
        <f>IFERROR(__xludf.DUMMYFUNCTION("""COMPUTED_VALUE"""),"alium-finance")</f>
        <v>alium-finance</v>
      </c>
      <c r="B547" s="4" t="str">
        <f>IFERROR(__xludf.DUMMYFUNCTION("""COMPUTED_VALUE"""),"alm")</f>
        <v>alm</v>
      </c>
      <c r="C547" s="4" t="str">
        <f>IFERROR(__xludf.DUMMYFUNCTION("""COMPUTED_VALUE"""),"Alium Finance")</f>
        <v>Alium Finance</v>
      </c>
    </row>
    <row r="548">
      <c r="A548" s="4" t="str">
        <f>IFERROR(__xludf.DUMMYFUNCTION("""COMPUTED_VALUE"""),"alkimi")</f>
        <v>alkimi</v>
      </c>
      <c r="B548" s="4" t="str">
        <f>IFERROR(__xludf.DUMMYFUNCTION("""COMPUTED_VALUE"""),"$ads")</f>
        <v>$ads</v>
      </c>
      <c r="C548" s="4" t="str">
        <f>IFERROR(__xludf.DUMMYFUNCTION("""COMPUTED_VALUE"""),"Alkimi")</f>
        <v>Alkimi</v>
      </c>
    </row>
    <row r="549">
      <c r="A549" s="4" t="str">
        <f>IFERROR(__xludf.DUMMYFUNCTION("""COMPUTED_VALUE"""),"all-art")</f>
        <v>all-art</v>
      </c>
      <c r="B549" s="4" t="str">
        <f>IFERROR(__xludf.DUMMYFUNCTION("""COMPUTED_VALUE"""),"aart")</f>
        <v>aart</v>
      </c>
      <c r="C549" s="4" t="str">
        <f>IFERROR(__xludf.DUMMYFUNCTION("""COMPUTED_VALUE"""),"ALL.ART")</f>
        <v>ALL.ART</v>
      </c>
    </row>
    <row r="550">
      <c r="A550" s="4" t="str">
        <f>IFERROR(__xludf.DUMMYFUNCTION("""COMPUTED_VALUE"""),"allbridge")</f>
        <v>allbridge</v>
      </c>
      <c r="B550" s="4" t="str">
        <f>IFERROR(__xludf.DUMMYFUNCTION("""COMPUTED_VALUE"""),"abr")</f>
        <v>abr</v>
      </c>
      <c r="C550" s="4" t="str">
        <f>IFERROR(__xludf.DUMMYFUNCTION("""COMPUTED_VALUE"""),"Allbridge")</f>
        <v>Allbridge</v>
      </c>
    </row>
    <row r="551">
      <c r="A551" s="4" t="str">
        <f>IFERROR(__xludf.DUMMYFUNCTION("""COMPUTED_VALUE"""),"all-coins-yield-capital")</f>
        <v>all-coins-yield-capital</v>
      </c>
      <c r="B551" s="4" t="str">
        <f>IFERROR(__xludf.DUMMYFUNCTION("""COMPUTED_VALUE"""),"acyc")</f>
        <v>acyc</v>
      </c>
      <c r="C551" s="4" t="str">
        <f>IFERROR(__xludf.DUMMYFUNCTION("""COMPUTED_VALUE"""),"All Coins Yield Capital")</f>
        <v>All Coins Yield Capital</v>
      </c>
    </row>
    <row r="552">
      <c r="A552" s="4" t="str">
        <f>IFERROR(__xludf.DUMMYFUNCTION("""COMPUTED_VALUE"""),"alldomains")</f>
        <v>alldomains</v>
      </c>
      <c r="B552" s="4" t="str">
        <f>IFERROR(__xludf.DUMMYFUNCTION("""COMPUTED_VALUE"""),"all")</f>
        <v>all</v>
      </c>
      <c r="C552" s="4" t="str">
        <f>IFERROR(__xludf.DUMMYFUNCTION("""COMPUTED_VALUE"""),"AllDomains")</f>
        <v>AllDomains</v>
      </c>
    </row>
    <row r="553">
      <c r="A553" s="4" t="str">
        <f>IFERROR(__xludf.DUMMYFUNCTION("""COMPUTED_VALUE"""),"allianceblock-nexera")</f>
        <v>allianceblock-nexera</v>
      </c>
      <c r="B553" s="4" t="str">
        <f>IFERROR(__xludf.DUMMYFUNCTION("""COMPUTED_VALUE"""),"nxra")</f>
        <v>nxra</v>
      </c>
      <c r="C553" s="4" t="str">
        <f>IFERROR(__xludf.DUMMYFUNCTION("""COMPUTED_VALUE"""),"AllianceBlock Nexera")</f>
        <v>AllianceBlock Nexera</v>
      </c>
    </row>
    <row r="554">
      <c r="A554" s="4" t="str">
        <f>IFERROR(__xludf.DUMMYFUNCTION("""COMPUTED_VALUE"""),"alliance-fan-token")</f>
        <v>alliance-fan-token</v>
      </c>
      <c r="B554" s="4" t="str">
        <f>IFERROR(__xludf.DUMMYFUNCTION("""COMPUTED_VALUE"""),"all")</f>
        <v>all</v>
      </c>
      <c r="C554" s="4" t="str">
        <f>IFERROR(__xludf.DUMMYFUNCTION("""COMPUTED_VALUE"""),"Alliance Fan Token")</f>
        <v>Alliance Fan Token</v>
      </c>
    </row>
    <row r="555">
      <c r="A555" s="4" t="str">
        <f>IFERROR(__xludf.DUMMYFUNCTION("""COMPUTED_VALUE"""),"alliance-x-trading")</f>
        <v>alliance-x-trading</v>
      </c>
      <c r="B555" s="4" t="str">
        <f>IFERROR(__xludf.DUMMYFUNCTION("""COMPUTED_VALUE"""),"axt")</f>
        <v>axt</v>
      </c>
      <c r="C555" s="4" t="str">
        <f>IFERROR(__xludf.DUMMYFUNCTION("""COMPUTED_VALUE"""),"Alliance X Trading")</f>
        <v>Alliance X Trading</v>
      </c>
    </row>
    <row r="556">
      <c r="A556" s="4" t="str">
        <f>IFERROR(__xludf.DUMMYFUNCTION("""COMPUTED_VALUE"""),"all-in")</f>
        <v>all-in</v>
      </c>
      <c r="B556" s="4" t="str">
        <f>IFERROR(__xludf.DUMMYFUNCTION("""COMPUTED_VALUE"""),"allin")</f>
        <v>allin</v>
      </c>
      <c r="C556" s="4" t="str">
        <f>IFERROR(__xludf.DUMMYFUNCTION("""COMPUTED_VALUE"""),"All In")</f>
        <v>All In</v>
      </c>
    </row>
    <row r="557">
      <c r="A557" s="4" t="str">
        <f>IFERROR(__xludf.DUMMYFUNCTION("""COMPUTED_VALUE"""),"all-in-gpt")</f>
        <v>all-in-gpt</v>
      </c>
      <c r="B557" s="4" t="str">
        <f>IFERROR(__xludf.DUMMYFUNCTION("""COMPUTED_VALUE"""),"aigpt")</f>
        <v>aigpt</v>
      </c>
      <c r="C557" s="4" t="str">
        <f>IFERROR(__xludf.DUMMYFUNCTION("""COMPUTED_VALUE"""),"All In GPT")</f>
        <v>All In GPT</v>
      </c>
    </row>
    <row r="558">
      <c r="A558" s="4" t="str">
        <f>IFERROR(__xludf.DUMMYFUNCTION("""COMPUTED_VALUE"""),"all-in-one-wallet")</f>
        <v>all-in-one-wallet</v>
      </c>
      <c r="B558" s="4" t="str">
        <f>IFERROR(__xludf.DUMMYFUNCTION("""COMPUTED_VALUE"""),"aio")</f>
        <v>aio</v>
      </c>
      <c r="C558" s="4" t="str">
        <f>IFERROR(__xludf.DUMMYFUNCTION("""COMPUTED_VALUE"""),"All In One Wallet")</f>
        <v>All In One Wallet</v>
      </c>
    </row>
    <row r="559">
      <c r="A559" s="4" t="str">
        <f>IFERROR(__xludf.DUMMYFUNCTION("""COMPUTED_VALUE"""),"allium-finance")</f>
        <v>allium-finance</v>
      </c>
      <c r="B559" s="4" t="str">
        <f>IFERROR(__xludf.DUMMYFUNCTION("""COMPUTED_VALUE"""),"alm")</f>
        <v>alm</v>
      </c>
      <c r="C559" s="4" t="str">
        <f>IFERROR(__xludf.DUMMYFUNCTION("""COMPUTED_VALUE"""),"Allium Finance")</f>
        <v>Allium Finance</v>
      </c>
    </row>
    <row r="560">
      <c r="A560" s="4" t="str">
        <f>IFERROR(__xludf.DUMMYFUNCTION("""COMPUTED_VALUE"""),"allpaycoin")</f>
        <v>allpaycoin</v>
      </c>
      <c r="B560" s="4" t="str">
        <f>IFERROR(__xludf.DUMMYFUNCTION("""COMPUTED_VALUE"""),"apcg")</f>
        <v>apcg</v>
      </c>
      <c r="C560" s="4" t="str">
        <f>IFERROR(__xludf.DUMMYFUNCTION("""COMPUTED_VALUE"""),"ALLPAYCOIN")</f>
        <v>ALLPAYCOIN</v>
      </c>
    </row>
    <row r="561">
      <c r="A561" s="4" t="str">
        <f>IFERROR(__xludf.DUMMYFUNCTION("""COMPUTED_VALUE"""),"allsafe")</f>
        <v>allsafe</v>
      </c>
      <c r="B561" s="4" t="str">
        <f>IFERROR(__xludf.DUMMYFUNCTION("""COMPUTED_VALUE"""),"asafe")</f>
        <v>asafe</v>
      </c>
      <c r="C561" s="4" t="str">
        <f>IFERROR(__xludf.DUMMYFUNCTION("""COMPUTED_VALUE"""),"AllSafe")</f>
        <v>AllSafe</v>
      </c>
    </row>
    <row r="562">
      <c r="A562" s="4" t="str">
        <f>IFERROR(__xludf.DUMMYFUNCTION("""COMPUTED_VALUE"""),"alltoscan")</f>
        <v>alltoscan</v>
      </c>
      <c r="B562" s="4" t="str">
        <f>IFERROR(__xludf.DUMMYFUNCTION("""COMPUTED_VALUE"""),"ats")</f>
        <v>ats</v>
      </c>
      <c r="C562" s="4" t="str">
        <f>IFERROR(__xludf.DUMMYFUNCTION("""COMPUTED_VALUE"""),"Alltoscan")</f>
        <v>Alltoscan</v>
      </c>
    </row>
    <row r="563">
      <c r="A563" s="4" t="str">
        <f>IFERROR(__xludf.DUMMYFUNCTION("""COMPUTED_VALUE"""),"ally")</f>
        <v>ally</v>
      </c>
      <c r="B563" s="4" t="str">
        <f>IFERROR(__xludf.DUMMYFUNCTION("""COMPUTED_VALUE"""),"aly")</f>
        <v>aly</v>
      </c>
      <c r="C563" s="4" t="str">
        <f>IFERROR(__xludf.DUMMYFUNCTION("""COMPUTED_VALUE"""),"Ally")</f>
        <v>Ally</v>
      </c>
    </row>
    <row r="564">
      <c r="A564" s="4" t="str">
        <f>IFERROR(__xludf.DUMMYFUNCTION("""COMPUTED_VALUE"""),"all-your-base")</f>
        <v>all-your-base</v>
      </c>
      <c r="B564" s="4" t="str">
        <f>IFERROR(__xludf.DUMMYFUNCTION("""COMPUTED_VALUE"""),"yobase")</f>
        <v>yobase</v>
      </c>
      <c r="C564" s="4" t="str">
        <f>IFERROR(__xludf.DUMMYFUNCTION("""COMPUTED_VALUE"""),"All Your Base")</f>
        <v>All Your Base</v>
      </c>
    </row>
    <row r="565">
      <c r="A565" s="4" t="str">
        <f>IFERROR(__xludf.DUMMYFUNCTION("""COMPUTED_VALUE"""),"all-your-base-2")</f>
        <v>all-your-base-2</v>
      </c>
      <c r="B565" s="4" t="str">
        <f>IFERROR(__xludf.DUMMYFUNCTION("""COMPUTED_VALUE"""),"ayb")</f>
        <v>ayb</v>
      </c>
      <c r="C565" s="4" t="str">
        <f>IFERROR(__xludf.DUMMYFUNCTION("""COMPUTED_VALUE"""),"All Your Base")</f>
        <v>All Your Base</v>
      </c>
    </row>
    <row r="566">
      <c r="A566" s="4" t="str">
        <f>IFERROR(__xludf.DUMMYFUNCTION("""COMPUTED_VALUE"""),"almira-wallet")</f>
        <v>almira-wallet</v>
      </c>
      <c r="B566" s="4" t="str">
        <f>IFERROR(__xludf.DUMMYFUNCTION("""COMPUTED_VALUE"""),"almr")</f>
        <v>almr</v>
      </c>
      <c r="C566" s="4" t="str">
        <f>IFERROR(__xludf.DUMMYFUNCTION("""COMPUTED_VALUE"""),"Almira Wallet")</f>
        <v>Almira Wallet</v>
      </c>
    </row>
    <row r="567">
      <c r="A567" s="4" t="str">
        <f>IFERROR(__xludf.DUMMYFUNCTION("""COMPUTED_VALUE"""),"alongside-crypto-market-index")</f>
        <v>alongside-crypto-market-index</v>
      </c>
      <c r="B567" s="4" t="str">
        <f>IFERROR(__xludf.DUMMYFUNCTION("""COMPUTED_VALUE"""),"amkt")</f>
        <v>amkt</v>
      </c>
      <c r="C567" s="4" t="str">
        <f>IFERROR(__xludf.DUMMYFUNCTION("""COMPUTED_VALUE"""),"Alongside Crypto Market Index")</f>
        <v>Alongside Crypto Market Index</v>
      </c>
    </row>
    <row r="568">
      <c r="A568" s="4" t="str">
        <f>IFERROR(__xludf.DUMMYFUNCTION("""COMPUTED_VALUE"""),"alon-mars")</f>
        <v>alon-mars</v>
      </c>
      <c r="B568" s="4" t="str">
        <f>IFERROR(__xludf.DUMMYFUNCTION("""COMPUTED_VALUE"""),"alonmars")</f>
        <v>alonmars</v>
      </c>
      <c r="C568" s="4" t="str">
        <f>IFERROR(__xludf.DUMMYFUNCTION("""COMPUTED_VALUE"""),"Alon Mars")</f>
        <v>Alon Mars</v>
      </c>
    </row>
    <row r="569">
      <c r="A569" s="4" t="str">
        <f>IFERROR(__xludf.DUMMYFUNCTION("""COMPUTED_VALUE"""),"alpaca")</f>
        <v>alpaca</v>
      </c>
      <c r="B569" s="4" t="str">
        <f>IFERROR(__xludf.DUMMYFUNCTION("""COMPUTED_VALUE"""),"alpa")</f>
        <v>alpa</v>
      </c>
      <c r="C569" s="4" t="str">
        <f>IFERROR(__xludf.DUMMYFUNCTION("""COMPUTED_VALUE"""),"Alpaca City")</f>
        <v>Alpaca City</v>
      </c>
    </row>
    <row r="570">
      <c r="A570" s="4" t="str">
        <f>IFERROR(__xludf.DUMMYFUNCTION("""COMPUTED_VALUE"""),"alpaca-finance")</f>
        <v>alpaca-finance</v>
      </c>
      <c r="B570" s="4" t="str">
        <f>IFERROR(__xludf.DUMMYFUNCTION("""COMPUTED_VALUE"""),"alpaca")</f>
        <v>alpaca</v>
      </c>
      <c r="C570" s="4" t="str">
        <f>IFERROR(__xludf.DUMMYFUNCTION("""COMPUTED_VALUE"""),"Alpaca Finance")</f>
        <v>Alpaca Finance</v>
      </c>
    </row>
    <row r="571">
      <c r="A571" s="4" t="str">
        <f>IFERROR(__xludf.DUMMYFUNCTION("""COMPUTED_VALUE"""),"alpha-2")</f>
        <v>alpha-2</v>
      </c>
      <c r="B571" s="4" t="str">
        <f>IFERROR(__xludf.DUMMYFUNCTION("""COMPUTED_VALUE"""),"alpha")</f>
        <v>alpha</v>
      </c>
      <c r="C571" s="4" t="str">
        <f>IFERROR(__xludf.DUMMYFUNCTION("""COMPUTED_VALUE"""),"ALPHA")</f>
        <v>ALPHA</v>
      </c>
    </row>
    <row r="572">
      <c r="A572" s="4" t="str">
        <f>IFERROR(__xludf.DUMMYFUNCTION("""COMPUTED_VALUE"""),"alpha-ai")</f>
        <v>alpha-ai</v>
      </c>
      <c r="B572" s="4" t="str">
        <f>IFERROR(__xludf.DUMMYFUNCTION("""COMPUTED_VALUE"""),"alpha ai")</f>
        <v>alpha ai</v>
      </c>
      <c r="C572" s="4" t="str">
        <f>IFERROR(__xludf.DUMMYFUNCTION("""COMPUTED_VALUE"""),"Alpha Ai")</f>
        <v>Alpha Ai</v>
      </c>
    </row>
    <row r="573">
      <c r="A573" s="4" t="str">
        <f>IFERROR(__xludf.DUMMYFUNCTION("""COMPUTED_VALUE"""),"alphabet")</f>
        <v>alphabet</v>
      </c>
      <c r="B573" s="4" t="str">
        <f>IFERROR(__xludf.DUMMYFUNCTION("""COMPUTED_VALUE"""),"alt")</f>
        <v>alt</v>
      </c>
      <c r="C573" s="4" t="str">
        <f>IFERROR(__xludf.DUMMYFUNCTION("""COMPUTED_VALUE"""),"Alphabet")</f>
        <v>Alphabet</v>
      </c>
    </row>
    <row r="574">
      <c r="A574" s="4" t="str">
        <f>IFERROR(__xludf.DUMMYFUNCTION("""COMPUTED_VALUE"""),"alphabet-erc404")</f>
        <v>alphabet-erc404</v>
      </c>
      <c r="B574" s="4" t="str">
        <f>IFERROR(__xludf.DUMMYFUNCTION("""COMPUTED_VALUE"""),"alphabet")</f>
        <v>alphabet</v>
      </c>
      <c r="C574" s="4" t="str">
        <f>IFERROR(__xludf.DUMMYFUNCTION("""COMPUTED_VALUE"""),"Alphabet")</f>
        <v>Alphabet</v>
      </c>
    </row>
    <row r="575">
      <c r="A575" s="4" t="str">
        <f>IFERROR(__xludf.DUMMYFUNCTION("""COMPUTED_VALUE"""),"alpha-bot-calls")</f>
        <v>alpha-bot-calls</v>
      </c>
      <c r="B575" s="4" t="str">
        <f>IFERROR(__xludf.DUMMYFUNCTION("""COMPUTED_VALUE"""),"abc")</f>
        <v>abc</v>
      </c>
      <c r="C575" s="4" t="str">
        <f>IFERROR(__xludf.DUMMYFUNCTION("""COMPUTED_VALUE"""),"Alpha Bot Calls")</f>
        <v>Alpha Bot Calls</v>
      </c>
    </row>
    <row r="576">
      <c r="A576" s="4" t="str">
        <f>IFERROR(__xludf.DUMMYFUNCTION("""COMPUTED_VALUE"""),"alphabyte")</f>
        <v>alphabyte</v>
      </c>
      <c r="B576" s="4" t="str">
        <f>IFERROR(__xludf.DUMMYFUNCTION("""COMPUTED_VALUE"""),"$alpha")</f>
        <v>$alpha</v>
      </c>
      <c r="C576" s="4" t="str">
        <f>IFERROR(__xludf.DUMMYFUNCTION("""COMPUTED_VALUE"""),"ALPHABYTE")</f>
        <v>ALPHABYTE</v>
      </c>
    </row>
    <row r="577">
      <c r="A577" s="4" t="str">
        <f>IFERROR(__xludf.DUMMYFUNCTION("""COMPUTED_VALUE"""),"alphacoin")</f>
        <v>alphacoin</v>
      </c>
      <c r="B577" s="4" t="str">
        <f>IFERROR(__xludf.DUMMYFUNCTION("""COMPUTED_VALUE"""),"alpha")</f>
        <v>alpha</v>
      </c>
      <c r="C577" s="4" t="str">
        <f>IFERROR(__xludf.DUMMYFUNCTION("""COMPUTED_VALUE"""),"Alpha Coin")</f>
        <v>Alpha Coin</v>
      </c>
    </row>
    <row r="578">
      <c r="A578" s="4" t="str">
        <f>IFERROR(__xludf.DUMMYFUNCTION("""COMPUTED_VALUE"""),"alpha-finance")</f>
        <v>alpha-finance</v>
      </c>
      <c r="B578" s="4" t="str">
        <f>IFERROR(__xludf.DUMMYFUNCTION("""COMPUTED_VALUE"""),"alpha")</f>
        <v>alpha</v>
      </c>
      <c r="C578" s="4" t="str">
        <f>IFERROR(__xludf.DUMMYFUNCTION("""COMPUTED_VALUE"""),"Stella")</f>
        <v>Stella</v>
      </c>
    </row>
    <row r="579">
      <c r="A579" s="4" t="str">
        <f>IFERROR(__xludf.DUMMYFUNCTION("""COMPUTED_VALUE"""),"alpha-gardeners")</f>
        <v>alpha-gardeners</v>
      </c>
      <c r="B579" s="4" t="str">
        <f>IFERROR(__xludf.DUMMYFUNCTION("""COMPUTED_VALUE"""),"ag")</f>
        <v>ag</v>
      </c>
      <c r="C579" s="4" t="str">
        <f>IFERROR(__xludf.DUMMYFUNCTION("""COMPUTED_VALUE"""),"Alpha Gardeners")</f>
        <v>Alpha Gardeners</v>
      </c>
    </row>
    <row r="580">
      <c r="A580" s="4" t="str">
        <f>IFERROR(__xludf.DUMMYFUNCTION("""COMPUTED_VALUE"""),"alphai")</f>
        <v>alphai</v>
      </c>
      <c r="B580" s="4" t="str">
        <f>IFERROR(__xludf.DUMMYFUNCTION("""COMPUTED_VALUE"""),"αai")</f>
        <v>αai</v>
      </c>
      <c r="C580" s="4" t="str">
        <f>IFERROR(__xludf.DUMMYFUNCTION("""COMPUTED_VALUE"""),"alphAI")</f>
        <v>alphAI</v>
      </c>
    </row>
    <row r="581">
      <c r="A581" s="4" t="str">
        <f>IFERROR(__xludf.DUMMYFUNCTION("""COMPUTED_VALUE"""),"alphakek-ai")</f>
        <v>alphakek-ai</v>
      </c>
      <c r="B581" s="4" t="str">
        <f>IFERROR(__xludf.DUMMYFUNCTION("""COMPUTED_VALUE"""),"aikek")</f>
        <v>aikek</v>
      </c>
      <c r="C581" s="5" t="str">
        <f>IFERROR(__xludf.DUMMYFUNCTION("""COMPUTED_VALUE"""),"AlphaKEK.AI")</f>
        <v>AlphaKEK.AI</v>
      </c>
    </row>
    <row r="582">
      <c r="A582" s="4" t="str">
        <f>IFERROR(__xludf.DUMMYFUNCTION("""COMPUTED_VALUE"""),"alphanova")</f>
        <v>alphanova</v>
      </c>
      <c r="B582" s="4" t="str">
        <f>IFERROR(__xludf.DUMMYFUNCTION("""COMPUTED_VALUE"""),"anva")</f>
        <v>anva</v>
      </c>
      <c r="C582" s="4" t="str">
        <f>IFERROR(__xludf.DUMMYFUNCTION("""COMPUTED_VALUE"""),"AlphaNova")</f>
        <v>AlphaNova</v>
      </c>
    </row>
    <row r="583">
      <c r="A583" s="4" t="str">
        <f>IFERROR(__xludf.DUMMYFUNCTION("""COMPUTED_VALUE"""),"alpha-quark-token")</f>
        <v>alpha-quark-token</v>
      </c>
      <c r="B583" s="4" t="str">
        <f>IFERROR(__xludf.DUMMYFUNCTION("""COMPUTED_VALUE"""),"aqt")</f>
        <v>aqt</v>
      </c>
      <c r="C583" s="4" t="str">
        <f>IFERROR(__xludf.DUMMYFUNCTION("""COMPUTED_VALUE"""),"Alpha Quark")</f>
        <v>Alpha Quark</v>
      </c>
    </row>
    <row r="584">
      <c r="A584" s="4" t="str">
        <f>IFERROR(__xludf.DUMMYFUNCTION("""COMPUTED_VALUE"""),"alpha-rabbit")</f>
        <v>alpha-rabbit</v>
      </c>
      <c r="B584" s="4" t="str">
        <f>IFERROR(__xludf.DUMMYFUNCTION("""COMPUTED_VALUE"""),"arabbit")</f>
        <v>arabbit</v>
      </c>
      <c r="C584" s="4" t="str">
        <f>IFERROR(__xludf.DUMMYFUNCTION("""COMPUTED_VALUE"""),"Alpha Rabbit")</f>
        <v>Alpha Rabbit</v>
      </c>
    </row>
    <row r="585">
      <c r="A585" s="4" t="str">
        <f>IFERROR(__xludf.DUMMYFUNCTION("""COMPUTED_VALUE"""),"alpha-radar-bot")</f>
        <v>alpha-radar-bot</v>
      </c>
      <c r="B585" s="4" t="str">
        <f>IFERROR(__xludf.DUMMYFUNCTION("""COMPUTED_VALUE"""),"arbot")</f>
        <v>arbot</v>
      </c>
      <c r="C585" s="4" t="str">
        <f>IFERROR(__xludf.DUMMYFUNCTION("""COMPUTED_VALUE"""),"Alpha Radar AI")</f>
        <v>Alpha Radar AI</v>
      </c>
    </row>
    <row r="586">
      <c r="A586" s="4" t="str">
        <f>IFERROR(__xludf.DUMMYFUNCTION("""COMPUTED_VALUE"""),"alpharushai")</f>
        <v>alpharushai</v>
      </c>
      <c r="B586" s="4" t="str">
        <f>IFERROR(__xludf.DUMMYFUNCTION("""COMPUTED_VALUE"""),"rushai")</f>
        <v>rushai</v>
      </c>
      <c r="C586" s="4" t="str">
        <f>IFERROR(__xludf.DUMMYFUNCTION("""COMPUTED_VALUE"""),"AlphaRushAI")</f>
        <v>AlphaRushAI</v>
      </c>
    </row>
    <row r="587">
      <c r="A587" s="4" t="str">
        <f>IFERROR(__xludf.DUMMYFUNCTION("""COMPUTED_VALUE"""),"alphascan")</f>
        <v>alphascan</v>
      </c>
      <c r="B587" s="4" t="str">
        <f>IFERROR(__xludf.DUMMYFUNCTION("""COMPUTED_VALUE"""),"ascn")</f>
        <v>ascn</v>
      </c>
      <c r="C587" s="4" t="str">
        <f>IFERROR(__xludf.DUMMYFUNCTION("""COMPUTED_VALUE"""),"AlphaScan AI")</f>
        <v>AlphaScan AI</v>
      </c>
    </row>
    <row r="588">
      <c r="A588" s="4" t="str">
        <f>IFERROR(__xludf.DUMMYFUNCTION("""COMPUTED_VALUE"""),"alpha-shards")</f>
        <v>alpha-shards</v>
      </c>
      <c r="B588" s="4" t="str">
        <f>IFERROR(__xludf.DUMMYFUNCTION("""COMPUTED_VALUE"""),"alpha")</f>
        <v>alpha</v>
      </c>
      <c r="C588" s="4" t="str">
        <f>IFERROR(__xludf.DUMMYFUNCTION("""COMPUTED_VALUE"""),"Alpha Shards")</f>
        <v>Alpha Shards</v>
      </c>
    </row>
    <row r="589">
      <c r="A589" s="4" t="str">
        <f>IFERROR(__xludf.DUMMYFUNCTION("""COMPUTED_VALUE"""),"alpha-shares-v2")</f>
        <v>alpha-shares-v2</v>
      </c>
      <c r="B589" s="4" t="str">
        <f>IFERROR(__xludf.DUMMYFUNCTION("""COMPUTED_VALUE"""),"$alpha")</f>
        <v>$alpha</v>
      </c>
      <c r="C589" s="4" t="str">
        <f>IFERROR(__xludf.DUMMYFUNCTION("""COMPUTED_VALUE"""),"Alpha Shares V2")</f>
        <v>Alpha Shares V2</v>
      </c>
    </row>
    <row r="590">
      <c r="A590" s="4" t="str">
        <f>IFERROR(__xludf.DUMMYFUNCTION("""COMPUTED_VALUE"""),"alphr")</f>
        <v>alphr</v>
      </c>
      <c r="B590" s="4" t="str">
        <f>IFERROR(__xludf.DUMMYFUNCTION("""COMPUTED_VALUE"""),"alphr")</f>
        <v>alphr</v>
      </c>
      <c r="C590" s="4" t="str">
        <f>IFERROR(__xludf.DUMMYFUNCTION("""COMPUTED_VALUE"""),"Alphr")</f>
        <v>Alphr</v>
      </c>
    </row>
    <row r="591">
      <c r="A591" s="4" t="str">
        <f>IFERROR(__xludf.DUMMYFUNCTION("""COMPUTED_VALUE"""),"alpine")</f>
        <v>alpine</v>
      </c>
      <c r="B591" s="4" t="str">
        <f>IFERROR(__xludf.DUMMYFUNCTION("""COMPUTED_VALUE"""),"alp")</f>
        <v>alp</v>
      </c>
      <c r="C591" s="4" t="str">
        <f>IFERROR(__xludf.DUMMYFUNCTION("""COMPUTED_VALUE"""),"Alpine")</f>
        <v>Alpine</v>
      </c>
    </row>
    <row r="592">
      <c r="A592" s="4" t="str">
        <f>IFERROR(__xludf.DUMMYFUNCTION("""COMPUTED_VALUE"""),"alpine-f1-team-fan-token")</f>
        <v>alpine-f1-team-fan-token</v>
      </c>
      <c r="B592" s="4" t="str">
        <f>IFERROR(__xludf.DUMMYFUNCTION("""COMPUTED_VALUE"""),"alpine")</f>
        <v>alpine</v>
      </c>
      <c r="C592" s="4" t="str">
        <f>IFERROR(__xludf.DUMMYFUNCTION("""COMPUTED_VALUE"""),"Alpine F1 Team Fan Token")</f>
        <v>Alpine F1 Team Fan Token</v>
      </c>
    </row>
    <row r="593">
      <c r="A593" s="4" t="str">
        <f>IFERROR(__xludf.DUMMYFUNCTION("""COMPUTED_VALUE"""),"altair")</f>
        <v>altair</v>
      </c>
      <c r="B593" s="4" t="str">
        <f>IFERROR(__xludf.DUMMYFUNCTION("""COMPUTED_VALUE"""),"air")</f>
        <v>air</v>
      </c>
      <c r="C593" s="4" t="str">
        <f>IFERROR(__xludf.DUMMYFUNCTION("""COMPUTED_VALUE"""),"Altair")</f>
        <v>Altair</v>
      </c>
    </row>
    <row r="594">
      <c r="A594" s="4" t="str">
        <f>IFERROR(__xludf.DUMMYFUNCTION("""COMPUTED_VALUE"""),"altava")</f>
        <v>altava</v>
      </c>
      <c r="B594" s="4" t="str">
        <f>IFERROR(__xludf.DUMMYFUNCTION("""COMPUTED_VALUE"""),"tava")</f>
        <v>tava</v>
      </c>
      <c r="C594" s="4" t="str">
        <f>IFERROR(__xludf.DUMMYFUNCTION("""COMPUTED_VALUE"""),"ALTAVA")</f>
        <v>ALTAVA</v>
      </c>
    </row>
    <row r="595">
      <c r="A595" s="4" t="str">
        <f>IFERROR(__xludf.DUMMYFUNCTION("""COMPUTED_VALUE"""),"altbase")</f>
        <v>altbase</v>
      </c>
      <c r="B595" s="4" t="str">
        <f>IFERROR(__xludf.DUMMYFUNCTION("""COMPUTED_VALUE"""),"altb")</f>
        <v>altb</v>
      </c>
      <c r="C595" s="4" t="str">
        <f>IFERROR(__xludf.DUMMYFUNCTION("""COMPUTED_VALUE"""),"Altbase")</f>
        <v>Altbase</v>
      </c>
    </row>
    <row r="596">
      <c r="A596" s="4" t="str">
        <f>IFERROR(__xludf.DUMMYFUNCTION("""COMPUTED_VALUE"""),"altctrl")</f>
        <v>altctrl</v>
      </c>
      <c r="B596" s="4" t="str">
        <f>IFERROR(__xludf.DUMMYFUNCTION("""COMPUTED_VALUE"""),"ctrl")</f>
        <v>ctrl</v>
      </c>
      <c r="C596" s="4" t="str">
        <f>IFERROR(__xludf.DUMMYFUNCTION("""COMPUTED_VALUE"""),"AltCTRL")</f>
        <v>AltCTRL</v>
      </c>
    </row>
    <row r="597">
      <c r="A597" s="4" t="str">
        <f>IFERROR(__xludf.DUMMYFUNCTION("""COMPUTED_VALUE"""),"alter")</f>
        <v>alter</v>
      </c>
      <c r="B597" s="4" t="str">
        <f>IFERROR(__xludf.DUMMYFUNCTION("""COMPUTED_VALUE"""),"alter")</f>
        <v>alter</v>
      </c>
      <c r="C597" s="4" t="str">
        <f>IFERROR(__xludf.DUMMYFUNCTION("""COMPUTED_VALUE"""),"Alter")</f>
        <v>Alter</v>
      </c>
    </row>
    <row r="598">
      <c r="A598" s="4" t="str">
        <f>IFERROR(__xludf.DUMMYFUNCTION("""COMPUTED_VALUE"""),"altered-state-token")</f>
        <v>altered-state-token</v>
      </c>
      <c r="B598" s="4" t="str">
        <f>IFERROR(__xludf.DUMMYFUNCTION("""COMPUTED_VALUE"""),"asto")</f>
        <v>asto</v>
      </c>
      <c r="C598" s="4" t="str">
        <f>IFERROR(__xludf.DUMMYFUNCTION("""COMPUTED_VALUE"""),"Altered State Machine")</f>
        <v>Altered State Machine</v>
      </c>
    </row>
    <row r="599">
      <c r="A599" s="4" t="str">
        <f>IFERROR(__xludf.DUMMYFUNCTION("""COMPUTED_VALUE"""),"alterna-network")</f>
        <v>alterna-network</v>
      </c>
      <c r="B599" s="4" t="str">
        <f>IFERROR(__xludf.DUMMYFUNCTION("""COMPUTED_VALUE"""),"altn")</f>
        <v>altn</v>
      </c>
      <c r="C599" s="4" t="str">
        <f>IFERROR(__xludf.DUMMYFUNCTION("""COMPUTED_VALUE"""),"Alterna Network")</f>
        <v>Alterna Network</v>
      </c>
    </row>
    <row r="600">
      <c r="A600" s="4" t="str">
        <f>IFERROR(__xludf.DUMMYFUNCTION("""COMPUTED_VALUE"""),"altfi")</f>
        <v>altfi</v>
      </c>
      <c r="B600" s="4" t="str">
        <f>IFERROR(__xludf.DUMMYFUNCTION("""COMPUTED_VALUE"""),"alt")</f>
        <v>alt</v>
      </c>
      <c r="C600" s="4" t="str">
        <f>IFERROR(__xludf.DUMMYFUNCTION("""COMPUTED_VALUE"""),"AltFi")</f>
        <v>AltFi</v>
      </c>
    </row>
    <row r="601">
      <c r="A601" s="4" t="str">
        <f>IFERROR(__xludf.DUMMYFUNCTION("""COMPUTED_VALUE"""),"altfins")</f>
        <v>altfins</v>
      </c>
      <c r="B601" s="4" t="str">
        <f>IFERROR(__xludf.DUMMYFUNCTION("""COMPUTED_VALUE"""),"afins")</f>
        <v>afins</v>
      </c>
      <c r="C601" s="4" t="str">
        <f>IFERROR(__xludf.DUMMYFUNCTION("""COMPUTED_VALUE"""),"altFINS")</f>
        <v>altFINS</v>
      </c>
    </row>
    <row r="602">
      <c r="A602" s="4" t="str">
        <f>IFERROR(__xludf.DUMMYFUNCTION("""COMPUTED_VALUE"""),"althea")</f>
        <v>althea</v>
      </c>
      <c r="B602" s="4" t="str">
        <f>IFERROR(__xludf.DUMMYFUNCTION("""COMPUTED_VALUE"""),"althea")</f>
        <v>althea</v>
      </c>
      <c r="C602" s="4" t="str">
        <f>IFERROR(__xludf.DUMMYFUNCTION("""COMPUTED_VALUE"""),"ALTHEA")</f>
        <v>ALTHEA</v>
      </c>
    </row>
    <row r="603">
      <c r="A603" s="4" t="str">
        <f>IFERROR(__xludf.DUMMYFUNCTION("""COMPUTED_VALUE"""),"altitude")</f>
        <v>altitude</v>
      </c>
      <c r="B603" s="4" t="str">
        <f>IFERROR(__xludf.DUMMYFUNCTION("""COMPUTED_VALUE"""),"altd")</f>
        <v>altd</v>
      </c>
      <c r="C603" s="4" t="str">
        <f>IFERROR(__xludf.DUMMYFUNCTION("""COMPUTED_VALUE"""),"Altitude")</f>
        <v>Altitude</v>
      </c>
    </row>
    <row r="604">
      <c r="A604" s="4" t="str">
        <f>IFERROR(__xludf.DUMMYFUNCTION("""COMPUTED_VALUE"""),"altlayer")</f>
        <v>altlayer</v>
      </c>
      <c r="B604" s="4" t="str">
        <f>IFERROR(__xludf.DUMMYFUNCTION("""COMPUTED_VALUE"""),"alt")</f>
        <v>alt</v>
      </c>
      <c r="C604" s="4" t="str">
        <f>IFERROR(__xludf.DUMMYFUNCTION("""COMPUTED_VALUE"""),"AltLayer")</f>
        <v>AltLayer</v>
      </c>
    </row>
    <row r="605">
      <c r="A605" s="4" t="str">
        <f>IFERROR(__xludf.DUMMYFUNCTION("""COMPUTED_VALUE"""),"alt-markets")</f>
        <v>alt-markets</v>
      </c>
      <c r="B605" s="4" t="str">
        <f>IFERROR(__xludf.DUMMYFUNCTION("""COMPUTED_VALUE"""),"amx")</f>
        <v>amx</v>
      </c>
      <c r="C605" s="4" t="str">
        <f>IFERROR(__xludf.DUMMYFUNCTION("""COMPUTED_VALUE"""),"Alt Markets")</f>
        <v>Alt Markets</v>
      </c>
    </row>
    <row r="606">
      <c r="A606" s="4" t="str">
        <f>IFERROR(__xludf.DUMMYFUNCTION("""COMPUTED_VALUE"""),"altsignals")</f>
        <v>altsignals</v>
      </c>
      <c r="B606" s="4" t="str">
        <f>IFERROR(__xludf.DUMMYFUNCTION("""COMPUTED_VALUE"""),"asi")</f>
        <v>asi</v>
      </c>
      <c r="C606" s="4" t="str">
        <f>IFERROR(__xludf.DUMMYFUNCTION("""COMPUTED_VALUE"""),"AltSignals")</f>
        <v>AltSignals</v>
      </c>
    </row>
    <row r="607">
      <c r="A607" s="4" t="str">
        <f>IFERROR(__xludf.DUMMYFUNCTION("""COMPUTED_VALUE"""),"altura")</f>
        <v>altura</v>
      </c>
      <c r="B607" s="4" t="str">
        <f>IFERROR(__xludf.DUMMYFUNCTION("""COMPUTED_VALUE"""),"alu")</f>
        <v>alu</v>
      </c>
      <c r="C607" s="4" t="str">
        <f>IFERROR(__xludf.DUMMYFUNCTION("""COMPUTED_VALUE"""),"Altura")</f>
        <v>Altura</v>
      </c>
    </row>
    <row r="608">
      <c r="A608" s="4" t="str">
        <f>IFERROR(__xludf.DUMMYFUNCTION("""COMPUTED_VALUE"""),"aluna")</f>
        <v>aluna</v>
      </c>
      <c r="B608" s="4" t="str">
        <f>IFERROR(__xludf.DUMMYFUNCTION("""COMPUTED_VALUE"""),"aln")</f>
        <v>aln</v>
      </c>
      <c r="C608" s="4" t="str">
        <f>IFERROR(__xludf.DUMMYFUNCTION("""COMPUTED_VALUE"""),"Aluna")</f>
        <v>Aluna</v>
      </c>
    </row>
    <row r="609">
      <c r="A609" s="4" t="str">
        <f>IFERROR(__xludf.DUMMYFUNCTION("""COMPUTED_VALUE"""),"alva")</f>
        <v>alva</v>
      </c>
      <c r="B609" s="4" t="str">
        <f>IFERROR(__xludf.DUMMYFUNCTION("""COMPUTED_VALUE"""),"aa")</f>
        <v>aa</v>
      </c>
      <c r="C609" s="4" t="str">
        <f>IFERROR(__xludf.DUMMYFUNCTION("""COMPUTED_VALUE"""),"ALVA")</f>
        <v>ALVA</v>
      </c>
    </row>
    <row r="610">
      <c r="A610" s="4" t="str">
        <f>IFERROR(__xludf.DUMMYFUNCTION("""COMPUTED_VALUE"""),"alvara-protocol")</f>
        <v>alvara-protocol</v>
      </c>
      <c r="B610" s="4" t="str">
        <f>IFERROR(__xludf.DUMMYFUNCTION("""COMPUTED_VALUE"""),"alva")</f>
        <v>alva</v>
      </c>
      <c r="C610" s="4" t="str">
        <f>IFERROR(__xludf.DUMMYFUNCTION("""COMPUTED_VALUE"""),"Alvara Protocol")</f>
        <v>Alvara Protocol</v>
      </c>
    </row>
    <row r="611">
      <c r="A611" s="4" t="str">
        <f>IFERROR(__xludf.DUMMYFUNCTION("""COMPUTED_VALUE"""),"alvey-chain")</f>
        <v>alvey-chain</v>
      </c>
      <c r="B611" s="4" t="str">
        <f>IFERROR(__xludf.DUMMYFUNCTION("""COMPUTED_VALUE"""),"walv")</f>
        <v>walv</v>
      </c>
      <c r="C611" s="4" t="str">
        <f>IFERROR(__xludf.DUMMYFUNCTION("""COMPUTED_VALUE"""),"Alvey Chain")</f>
        <v>Alvey Chain</v>
      </c>
    </row>
    <row r="612">
      <c r="A612" s="4" t="str">
        <f>IFERROR(__xludf.DUMMYFUNCTION("""COMPUTED_VALUE"""),"amar-token")</f>
        <v>amar-token</v>
      </c>
      <c r="B612" s="4" t="str">
        <f>IFERROR(__xludf.DUMMYFUNCTION("""COMPUTED_VALUE"""),"amar")</f>
        <v>amar</v>
      </c>
      <c r="C612" s="4" t="str">
        <f>IFERROR(__xludf.DUMMYFUNCTION("""COMPUTED_VALUE"""),"Amar Token")</f>
        <v>Amar Token</v>
      </c>
    </row>
    <row r="613">
      <c r="A613" s="4" t="str">
        <f>IFERROR(__xludf.DUMMYFUNCTION("""COMPUTED_VALUE"""),"amasa")</f>
        <v>amasa</v>
      </c>
      <c r="B613" s="4" t="str">
        <f>IFERROR(__xludf.DUMMYFUNCTION("""COMPUTED_VALUE"""),"amas")</f>
        <v>amas</v>
      </c>
      <c r="C613" s="4" t="str">
        <f>IFERROR(__xludf.DUMMYFUNCTION("""COMPUTED_VALUE"""),"Amasa")</f>
        <v>Amasa</v>
      </c>
    </row>
    <row r="614">
      <c r="A614" s="4" t="str">
        <f>IFERROR(__xludf.DUMMYFUNCTION("""COMPUTED_VALUE"""),"amateras")</f>
        <v>amateras</v>
      </c>
      <c r="B614" s="4" t="str">
        <f>IFERROR(__xludf.DUMMYFUNCTION("""COMPUTED_VALUE"""),"amt")</f>
        <v>amt</v>
      </c>
      <c r="C614" s="4" t="str">
        <f>IFERROR(__xludf.DUMMYFUNCTION("""COMPUTED_VALUE"""),"Amateras")</f>
        <v>Amateras</v>
      </c>
    </row>
    <row r="615">
      <c r="A615" s="4" t="str">
        <f>IFERROR(__xludf.DUMMYFUNCTION("""COMPUTED_VALUE"""),"amaterasufi-izanagi")</f>
        <v>amaterasufi-izanagi</v>
      </c>
      <c r="B615" s="4" t="str">
        <f>IFERROR(__xludf.DUMMYFUNCTION("""COMPUTED_VALUE"""),"iza")</f>
        <v>iza</v>
      </c>
      <c r="C615" s="4" t="str">
        <f>IFERROR(__xludf.DUMMYFUNCTION("""COMPUTED_VALUE"""),"AmaterasuFi Izanagi")</f>
        <v>AmaterasuFi Izanagi</v>
      </c>
    </row>
    <row r="616">
      <c r="A616" s="4" t="str">
        <f>IFERROR(__xludf.DUMMYFUNCTION("""COMPUTED_VALUE"""),"amaterasu-omikami")</f>
        <v>amaterasu-omikami</v>
      </c>
      <c r="B616" s="4" t="str">
        <f>IFERROR(__xludf.DUMMYFUNCTION("""COMPUTED_VALUE"""),"omikami")</f>
        <v>omikami</v>
      </c>
      <c r="C616" s="4" t="str">
        <f>IFERROR(__xludf.DUMMYFUNCTION("""COMPUTED_VALUE"""),"AMATERASU OMIKAMI")</f>
        <v>AMATERASU OMIKAMI</v>
      </c>
    </row>
    <row r="617">
      <c r="A617" s="4" t="str">
        <f>IFERROR(__xludf.DUMMYFUNCTION("""COMPUTED_VALUE"""),"amaurot")</f>
        <v>amaurot</v>
      </c>
      <c r="B617" s="4" t="str">
        <f>IFERROR(__xludf.DUMMYFUNCTION("""COMPUTED_VALUE"""),"ama")</f>
        <v>ama</v>
      </c>
      <c r="C617" s="4" t="str">
        <f>IFERROR(__xludf.DUMMYFUNCTION("""COMPUTED_VALUE"""),"AMAUROT")</f>
        <v>AMAUROT</v>
      </c>
    </row>
    <row r="618">
      <c r="A618" s="4" t="str">
        <f>IFERROR(__xludf.DUMMYFUNCTION("""COMPUTED_VALUE"""),"amax-network")</f>
        <v>amax-network</v>
      </c>
      <c r="B618" s="4" t="str">
        <f>IFERROR(__xludf.DUMMYFUNCTION("""COMPUTED_VALUE"""),"amax")</f>
        <v>amax</v>
      </c>
      <c r="C618" s="4" t="str">
        <f>IFERROR(__xludf.DUMMYFUNCTION("""COMPUTED_VALUE"""),"AMAX Network")</f>
        <v>AMAX Network</v>
      </c>
    </row>
    <row r="619">
      <c r="A619" s="4" t="str">
        <f>IFERROR(__xludf.DUMMYFUNCTION("""COMPUTED_VALUE"""),"amazewallet")</f>
        <v>amazewallet</v>
      </c>
      <c r="B619" s="4" t="str">
        <f>IFERROR(__xludf.DUMMYFUNCTION("""COMPUTED_VALUE"""),"amt")</f>
        <v>amt</v>
      </c>
      <c r="C619" s="4" t="str">
        <f>IFERROR(__xludf.DUMMYFUNCTION("""COMPUTED_VALUE"""),"AmazeToken")</f>
        <v>AmazeToken</v>
      </c>
    </row>
    <row r="620">
      <c r="A620" s="4" t="str">
        <f>IFERROR(__xludf.DUMMYFUNCTION("""COMPUTED_VALUE"""),"amazingteamdao")</f>
        <v>amazingteamdao</v>
      </c>
      <c r="B620" s="4" t="str">
        <f>IFERROR(__xludf.DUMMYFUNCTION("""COMPUTED_VALUE"""),"amazingteam")</f>
        <v>amazingteam</v>
      </c>
      <c r="C620" s="4" t="str">
        <f>IFERROR(__xludf.DUMMYFUNCTION("""COMPUTED_VALUE"""),"AmazingTeamDAO")</f>
        <v>AmazingTeamDAO</v>
      </c>
    </row>
    <row r="621">
      <c r="A621" s="4" t="str">
        <f>IFERROR(__xludf.DUMMYFUNCTION("""COMPUTED_VALUE"""),"amazon-tokenized-stock-defichain")</f>
        <v>amazon-tokenized-stock-defichain</v>
      </c>
      <c r="B621" s="4" t="str">
        <f>IFERROR(__xludf.DUMMYFUNCTION("""COMPUTED_VALUE"""),"damzn")</f>
        <v>damzn</v>
      </c>
      <c r="C621" s="4" t="str">
        <f>IFERROR(__xludf.DUMMYFUNCTION("""COMPUTED_VALUE"""),"Amazon Tokenized Stock Defichain")</f>
        <v>Amazon Tokenized Stock Defichain</v>
      </c>
    </row>
    <row r="622">
      <c r="A622" s="4" t="str">
        <f>IFERROR(__xludf.DUMMYFUNCTION("""COMPUTED_VALUE"""),"amazy")</f>
        <v>amazy</v>
      </c>
      <c r="B622" s="4" t="str">
        <f>IFERROR(__xludf.DUMMYFUNCTION("""COMPUTED_VALUE"""),"azy")</f>
        <v>azy</v>
      </c>
      <c r="C622" s="4" t="str">
        <f>IFERROR(__xludf.DUMMYFUNCTION("""COMPUTED_VALUE"""),"Amazy")</f>
        <v>Amazy</v>
      </c>
    </row>
    <row r="623">
      <c r="A623" s="4" t="str">
        <f>IFERROR(__xludf.DUMMYFUNCTION("""COMPUTED_VALUE"""),"ambbi")</f>
        <v>ambbi</v>
      </c>
      <c r="B623" s="4" t="str">
        <f>IFERROR(__xludf.DUMMYFUNCTION("""COMPUTED_VALUE"""),"amb")</f>
        <v>amb</v>
      </c>
      <c r="C623" s="4" t="str">
        <f>IFERROR(__xludf.DUMMYFUNCTION("""COMPUTED_VALUE"""),"AMBBi (Ordinals)")</f>
        <v>AMBBi (Ordinals)</v>
      </c>
    </row>
    <row r="624">
      <c r="A624" s="4" t="str">
        <f>IFERROR(__xludf.DUMMYFUNCTION("""COMPUTED_VALUE"""),"amber")</f>
        <v>amber</v>
      </c>
      <c r="B624" s="4" t="str">
        <f>IFERROR(__xludf.DUMMYFUNCTION("""COMPUTED_VALUE"""),"amb")</f>
        <v>amb</v>
      </c>
      <c r="C624" s="4" t="str">
        <f>IFERROR(__xludf.DUMMYFUNCTION("""COMPUTED_VALUE"""),"AirDAO")</f>
        <v>AirDAO</v>
      </c>
    </row>
    <row r="625">
      <c r="A625" s="4" t="str">
        <f>IFERROR(__xludf.DUMMYFUNCTION("""COMPUTED_VALUE"""),"amberdao")</f>
        <v>amberdao</v>
      </c>
      <c r="B625" s="4" t="str">
        <f>IFERROR(__xludf.DUMMYFUNCTION("""COMPUTED_VALUE"""),"amber")</f>
        <v>amber</v>
      </c>
      <c r="C625" s="4" t="str">
        <f>IFERROR(__xludf.DUMMYFUNCTION("""COMPUTED_VALUE"""),"AmberDAO")</f>
        <v>AmberDAO</v>
      </c>
    </row>
    <row r="626">
      <c r="A626" s="4" t="str">
        <f>IFERROR(__xludf.DUMMYFUNCTION("""COMPUTED_VALUE"""),"ambire-wallet")</f>
        <v>ambire-wallet</v>
      </c>
      <c r="B626" s="4" t="str">
        <f>IFERROR(__xludf.DUMMYFUNCTION("""COMPUTED_VALUE"""),"wallet")</f>
        <v>wallet</v>
      </c>
      <c r="C626" s="4" t="str">
        <f>IFERROR(__xludf.DUMMYFUNCTION("""COMPUTED_VALUE"""),"Ambire Wallet")</f>
        <v>Ambire Wallet</v>
      </c>
    </row>
    <row r="627">
      <c r="A627" s="4" t="str">
        <f>IFERROR(__xludf.DUMMYFUNCTION("""COMPUTED_VALUE"""),"ambit-finance")</f>
        <v>ambit-finance</v>
      </c>
      <c r="B627" s="4" t="str">
        <f>IFERROR(__xludf.DUMMYFUNCTION("""COMPUTED_VALUE"""),"ambt")</f>
        <v>ambt</v>
      </c>
      <c r="C627" s="4" t="str">
        <f>IFERROR(__xludf.DUMMYFUNCTION("""COMPUTED_VALUE"""),"Ambit Finance")</f>
        <v>Ambit Finance</v>
      </c>
    </row>
    <row r="628">
      <c r="A628" s="4" t="str">
        <f>IFERROR(__xludf.DUMMYFUNCTION("""COMPUTED_VALUE"""),"ambit-usd")</f>
        <v>ambit-usd</v>
      </c>
      <c r="B628" s="4" t="str">
        <f>IFERROR(__xludf.DUMMYFUNCTION("""COMPUTED_VALUE"""),"ausd")</f>
        <v>ausd</v>
      </c>
      <c r="C628" s="4" t="str">
        <f>IFERROR(__xludf.DUMMYFUNCTION("""COMPUTED_VALUE"""),"Ambit USD")</f>
        <v>Ambit USD</v>
      </c>
    </row>
    <row r="629">
      <c r="A629" s="4" t="str">
        <f>IFERROR(__xludf.DUMMYFUNCTION("""COMPUTED_VALUE"""),"ambo")</f>
        <v>ambo</v>
      </c>
      <c r="B629" s="4" t="str">
        <f>IFERROR(__xludf.DUMMYFUNCTION("""COMPUTED_VALUE"""),"ambo")</f>
        <v>ambo</v>
      </c>
      <c r="C629" s="4" t="str">
        <f>IFERROR(__xludf.DUMMYFUNCTION("""COMPUTED_VALUE"""),"AMBO")</f>
        <v>AMBO</v>
      </c>
    </row>
    <row r="630">
      <c r="A630" s="4" t="str">
        <f>IFERROR(__xludf.DUMMYFUNCTION("""COMPUTED_VALUE"""),"ambra")</f>
        <v>ambra</v>
      </c>
      <c r="B630" s="4" t="str">
        <f>IFERROR(__xludf.DUMMYFUNCTION("""COMPUTED_VALUE"""),"ambr")</f>
        <v>ambr</v>
      </c>
      <c r="C630" s="4" t="str">
        <f>IFERROR(__xludf.DUMMYFUNCTION("""COMPUTED_VALUE"""),"Ambra")</f>
        <v>Ambra</v>
      </c>
    </row>
    <row r="631">
      <c r="A631" s="4" t="str">
        <f>IFERROR(__xludf.DUMMYFUNCTION("""COMPUTED_VALUE"""),"amepay")</f>
        <v>amepay</v>
      </c>
      <c r="B631" s="4" t="str">
        <f>IFERROR(__xludf.DUMMYFUNCTION("""COMPUTED_VALUE"""),"ame")</f>
        <v>ame</v>
      </c>
      <c r="C631" s="4" t="str">
        <f>IFERROR(__xludf.DUMMYFUNCTION("""COMPUTED_VALUE"""),"AME Chain")</f>
        <v>AME Chain</v>
      </c>
    </row>
    <row r="632">
      <c r="A632" s="4" t="str">
        <f>IFERROR(__xludf.DUMMYFUNCTION("""COMPUTED_VALUE"""),"american-shiba")</f>
        <v>american-shiba</v>
      </c>
      <c r="B632" s="4" t="str">
        <f>IFERROR(__xludf.DUMMYFUNCTION("""COMPUTED_VALUE"""),"ushiba")</f>
        <v>ushiba</v>
      </c>
      <c r="C632" s="4" t="str">
        <f>IFERROR(__xludf.DUMMYFUNCTION("""COMPUTED_VALUE"""),"American Shiba")</f>
        <v>American Shiba</v>
      </c>
    </row>
    <row r="633">
      <c r="A633" s="4" t="str">
        <f>IFERROR(__xludf.DUMMYFUNCTION("""COMPUTED_VALUE"""),"amino")</f>
        <v>amino</v>
      </c>
      <c r="B633" s="4" t="str">
        <f>IFERROR(__xludf.DUMMYFUNCTION("""COMPUTED_VALUE"""),"$amo")</f>
        <v>$amo</v>
      </c>
      <c r="C633" s="4" t="str">
        <f>IFERROR(__xludf.DUMMYFUNCTION("""COMPUTED_VALUE"""),"Amino")</f>
        <v>Amino</v>
      </c>
    </row>
    <row r="634">
      <c r="A634" s="4" t="str">
        <f>IFERROR(__xludf.DUMMYFUNCTION("""COMPUTED_VALUE"""),"ammx")</f>
        <v>ammx</v>
      </c>
      <c r="B634" s="4" t="str">
        <f>IFERROR(__xludf.DUMMYFUNCTION("""COMPUTED_VALUE"""),"ammx")</f>
        <v>ammx</v>
      </c>
      <c r="C634" s="4" t="str">
        <f>IFERROR(__xludf.DUMMYFUNCTION("""COMPUTED_VALUE"""),"AMMX")</f>
        <v>AMMX</v>
      </c>
    </row>
    <row r="635">
      <c r="A635" s="4" t="str">
        <f>IFERROR(__xludf.DUMMYFUNCTION("""COMPUTED_VALUE"""),"ammyi-coin")</f>
        <v>ammyi-coin</v>
      </c>
      <c r="B635" s="4" t="str">
        <f>IFERROR(__xludf.DUMMYFUNCTION("""COMPUTED_VALUE"""),"ami")</f>
        <v>ami</v>
      </c>
      <c r="C635" s="4" t="str">
        <f>IFERROR(__xludf.DUMMYFUNCTION("""COMPUTED_VALUE"""),"AMMYI Coin")</f>
        <v>AMMYI Coin</v>
      </c>
    </row>
    <row r="636">
      <c r="A636" s="4" t="str">
        <f>IFERROR(__xludf.DUMMYFUNCTION("""COMPUTED_VALUE"""),"amnis-aptos")</f>
        <v>amnis-aptos</v>
      </c>
      <c r="B636" s="4" t="str">
        <f>IFERROR(__xludf.DUMMYFUNCTION("""COMPUTED_VALUE"""),"amapt")</f>
        <v>amapt</v>
      </c>
      <c r="C636" s="4" t="str">
        <f>IFERROR(__xludf.DUMMYFUNCTION("""COMPUTED_VALUE"""),"Amnis Aptos")</f>
        <v>Amnis Aptos</v>
      </c>
    </row>
    <row r="637">
      <c r="A637" s="4" t="str">
        <f>IFERROR(__xludf.DUMMYFUNCTION("""COMPUTED_VALUE"""),"amnis-staked-aptos-coin")</f>
        <v>amnis-staked-aptos-coin</v>
      </c>
      <c r="B637" s="4" t="str">
        <f>IFERROR(__xludf.DUMMYFUNCTION("""COMPUTED_VALUE"""),"stapt")</f>
        <v>stapt</v>
      </c>
      <c r="C637" s="4" t="str">
        <f>IFERROR(__xludf.DUMMYFUNCTION("""COMPUTED_VALUE"""),"Amnis Staked Aptos Coin")</f>
        <v>Amnis Staked Aptos Coin</v>
      </c>
    </row>
    <row r="638">
      <c r="A638" s="4" t="str">
        <f>IFERROR(__xludf.DUMMYFUNCTION("""COMPUTED_VALUE"""),"amo")</f>
        <v>amo</v>
      </c>
      <c r="B638" s="4" t="str">
        <f>IFERROR(__xludf.DUMMYFUNCTION("""COMPUTED_VALUE"""),"amo")</f>
        <v>amo</v>
      </c>
      <c r="C638" s="4" t="str">
        <f>IFERROR(__xludf.DUMMYFUNCTION("""COMPUTED_VALUE"""),"AMO Coin")</f>
        <v>AMO Coin</v>
      </c>
    </row>
    <row r="639">
      <c r="A639" s="4" t="str">
        <f>IFERROR(__xludf.DUMMYFUNCTION("""COMPUTED_VALUE"""),"amond")</f>
        <v>amond</v>
      </c>
      <c r="B639" s="4" t="str">
        <f>IFERROR(__xludf.DUMMYFUNCTION("""COMPUTED_VALUE"""),"amon")</f>
        <v>amon</v>
      </c>
      <c r="C639" s="4" t="str">
        <f>IFERROR(__xludf.DUMMYFUNCTION("""COMPUTED_VALUE"""),"AmonD")</f>
        <v>AmonD</v>
      </c>
    </row>
    <row r="640">
      <c r="A640" s="4" t="str">
        <f>IFERROR(__xludf.DUMMYFUNCTION("""COMPUTED_VALUE"""),"amperechain")</f>
        <v>amperechain</v>
      </c>
      <c r="B640" s="4" t="str">
        <f>IFERROR(__xludf.DUMMYFUNCTION("""COMPUTED_VALUE"""),"ampere")</f>
        <v>ampere</v>
      </c>
      <c r="C640" s="4" t="str">
        <f>IFERROR(__xludf.DUMMYFUNCTION("""COMPUTED_VALUE"""),"AmpereChain")</f>
        <v>AmpereChain</v>
      </c>
    </row>
    <row r="641">
      <c r="A641" s="4" t="str">
        <f>IFERROR(__xludf.DUMMYFUNCTION("""COMPUTED_VALUE"""),"ampleforth")</f>
        <v>ampleforth</v>
      </c>
      <c r="B641" s="4" t="str">
        <f>IFERROR(__xludf.DUMMYFUNCTION("""COMPUTED_VALUE"""),"ampl")</f>
        <v>ampl</v>
      </c>
      <c r="C641" s="4" t="str">
        <f>IFERROR(__xludf.DUMMYFUNCTION("""COMPUTED_VALUE"""),"Ampleforth")</f>
        <v>Ampleforth</v>
      </c>
    </row>
    <row r="642">
      <c r="A642" s="4" t="str">
        <f>IFERROR(__xludf.DUMMYFUNCTION("""COMPUTED_VALUE"""),"ampleforth-governance-token")</f>
        <v>ampleforth-governance-token</v>
      </c>
      <c r="B642" s="4" t="str">
        <f>IFERROR(__xludf.DUMMYFUNCTION("""COMPUTED_VALUE"""),"forth")</f>
        <v>forth</v>
      </c>
      <c r="C642" s="4" t="str">
        <f>IFERROR(__xludf.DUMMYFUNCTION("""COMPUTED_VALUE"""),"Ampleforth Governance")</f>
        <v>Ampleforth Governance</v>
      </c>
    </row>
    <row r="643">
      <c r="A643" s="4" t="str">
        <f>IFERROR(__xludf.DUMMYFUNCTION("""COMPUTED_VALUE"""),"amplifi-dao")</f>
        <v>amplifi-dao</v>
      </c>
      <c r="B643" s="4" t="str">
        <f>IFERROR(__xludf.DUMMYFUNCTION("""COMPUTED_VALUE"""),"agg")</f>
        <v>agg</v>
      </c>
      <c r="C643" s="4" t="str">
        <f>IFERROR(__xludf.DUMMYFUNCTION("""COMPUTED_VALUE"""),"AmpliFi DAO")</f>
        <v>AmpliFi DAO</v>
      </c>
    </row>
    <row r="644">
      <c r="A644" s="4" t="str">
        <f>IFERROR(__xludf.DUMMYFUNCTION("""COMPUTED_VALUE"""),"amp-token")</f>
        <v>amp-token</v>
      </c>
      <c r="B644" s="4" t="str">
        <f>IFERROR(__xludf.DUMMYFUNCTION("""COMPUTED_VALUE"""),"amp")</f>
        <v>amp</v>
      </c>
      <c r="C644" s="4" t="str">
        <f>IFERROR(__xludf.DUMMYFUNCTION("""COMPUTED_VALUE"""),"Amp")</f>
        <v>Amp</v>
      </c>
    </row>
    <row r="645">
      <c r="A645" s="4" t="str">
        <f>IFERROR(__xludf.DUMMYFUNCTION("""COMPUTED_VALUE"""),"amulet-protocol")</f>
        <v>amulet-protocol</v>
      </c>
      <c r="B645" s="4" t="str">
        <f>IFERROR(__xludf.DUMMYFUNCTION("""COMPUTED_VALUE"""),"amu")</f>
        <v>amu</v>
      </c>
      <c r="C645" s="4" t="str">
        <f>IFERROR(__xludf.DUMMYFUNCTION("""COMPUTED_VALUE"""),"Amulet Protocol")</f>
        <v>Amulet Protocol</v>
      </c>
    </row>
    <row r="646">
      <c r="A646" s="4" t="str">
        <f>IFERROR(__xludf.DUMMYFUNCTION("""COMPUTED_VALUE"""),"amulet-staked-sol")</f>
        <v>amulet-staked-sol</v>
      </c>
      <c r="B646" s="4" t="str">
        <f>IFERROR(__xludf.DUMMYFUNCTION("""COMPUTED_VALUE"""),"amtsol")</f>
        <v>amtsol</v>
      </c>
      <c r="C646" s="4" t="str">
        <f>IFERROR(__xludf.DUMMYFUNCTION("""COMPUTED_VALUE"""),"Amulet Staked SOL")</f>
        <v>Amulet Staked SOL</v>
      </c>
    </row>
    <row r="647">
      <c r="A647" s="4" t="str">
        <f>IFERROR(__xludf.DUMMYFUNCTION("""COMPUTED_VALUE"""),"anagata")</f>
        <v>anagata</v>
      </c>
      <c r="B647" s="4" t="str">
        <f>IFERROR(__xludf.DUMMYFUNCTION("""COMPUTED_VALUE"""),"aha")</f>
        <v>aha</v>
      </c>
      <c r="C647" s="4" t="str">
        <f>IFERROR(__xludf.DUMMYFUNCTION("""COMPUTED_VALUE"""),"Anagata")</f>
        <v>Anagata</v>
      </c>
    </row>
    <row r="648">
      <c r="A648" s="4" t="str">
        <f>IFERROR(__xludf.DUMMYFUNCTION("""COMPUTED_VALUE"""),"analos")</f>
        <v>analos</v>
      </c>
      <c r="B648" s="4" t="str">
        <f>IFERROR(__xludf.DUMMYFUNCTION("""COMPUTED_VALUE"""),"analos")</f>
        <v>analos</v>
      </c>
      <c r="C648" s="4" t="str">
        <f>IFERROR(__xludf.DUMMYFUNCTION("""COMPUTED_VALUE"""),"analoS")</f>
        <v>analoS</v>
      </c>
    </row>
    <row r="649">
      <c r="A649" s="4" t="str">
        <f>IFERROR(__xludf.DUMMYFUNCTION("""COMPUTED_VALUE"""),"analysoor")</f>
        <v>analysoor</v>
      </c>
      <c r="B649" s="4" t="str">
        <f>IFERROR(__xludf.DUMMYFUNCTION("""COMPUTED_VALUE"""),"zero")</f>
        <v>zero</v>
      </c>
      <c r="C649" s="4" t="str">
        <f>IFERROR(__xludf.DUMMYFUNCTION("""COMPUTED_VALUE"""),"Analysoor")</f>
        <v>Analysoor</v>
      </c>
    </row>
    <row r="650">
      <c r="A650" s="4" t="str">
        <f>IFERROR(__xludf.DUMMYFUNCTION("""COMPUTED_VALUE"""),"anarchy")</f>
        <v>anarchy</v>
      </c>
      <c r="B650" s="4" t="str">
        <f>IFERROR(__xludf.DUMMYFUNCTION("""COMPUTED_VALUE"""),"anarchy")</f>
        <v>anarchy</v>
      </c>
      <c r="C650" s="4" t="str">
        <f>IFERROR(__xludf.DUMMYFUNCTION("""COMPUTED_VALUE"""),"Anarchy")</f>
        <v>Anarchy</v>
      </c>
    </row>
    <row r="651">
      <c r="A651" s="4" t="str">
        <f>IFERROR(__xludf.DUMMYFUNCTION("""COMPUTED_VALUE"""),"anchored-coins-chf")</f>
        <v>anchored-coins-chf</v>
      </c>
      <c r="B651" s="4" t="str">
        <f>IFERROR(__xludf.DUMMYFUNCTION("""COMPUTED_VALUE"""),"achf")</f>
        <v>achf</v>
      </c>
      <c r="C651" s="4" t="str">
        <f>IFERROR(__xludf.DUMMYFUNCTION("""COMPUTED_VALUE"""),"Anchored Coins ACHF")</f>
        <v>Anchored Coins ACHF</v>
      </c>
    </row>
    <row r="652">
      <c r="A652" s="4" t="str">
        <f>IFERROR(__xludf.DUMMYFUNCTION("""COMPUTED_VALUE"""),"anchored-coins-eur")</f>
        <v>anchored-coins-eur</v>
      </c>
      <c r="B652" s="4" t="str">
        <f>IFERROR(__xludf.DUMMYFUNCTION("""COMPUTED_VALUE"""),"aeur")</f>
        <v>aeur</v>
      </c>
      <c r="C652" s="4" t="str">
        <f>IFERROR(__xludf.DUMMYFUNCTION("""COMPUTED_VALUE"""),"Anchored Coins AEUR")</f>
        <v>Anchored Coins AEUR</v>
      </c>
    </row>
    <row r="653">
      <c r="A653" s="4" t="str">
        <f>IFERROR(__xludf.DUMMYFUNCTION("""COMPUTED_VALUE"""),"anchor-protocol")</f>
        <v>anchor-protocol</v>
      </c>
      <c r="B653" s="4" t="str">
        <f>IFERROR(__xludf.DUMMYFUNCTION("""COMPUTED_VALUE"""),"anc")</f>
        <v>anc</v>
      </c>
      <c r="C653" s="4" t="str">
        <f>IFERROR(__xludf.DUMMYFUNCTION("""COMPUTED_VALUE"""),"Anchor Protocol")</f>
        <v>Anchor Protocol</v>
      </c>
    </row>
    <row r="654">
      <c r="A654" s="4" t="str">
        <f>IFERROR(__xludf.DUMMYFUNCTION("""COMPUTED_VALUE"""),"anchorswap")</f>
        <v>anchorswap</v>
      </c>
      <c r="B654" s="4" t="str">
        <f>IFERROR(__xludf.DUMMYFUNCTION("""COMPUTED_VALUE"""),"anchor")</f>
        <v>anchor</v>
      </c>
      <c r="C654" s="4" t="str">
        <f>IFERROR(__xludf.DUMMYFUNCTION("""COMPUTED_VALUE"""),"AnchorSwap")</f>
        <v>AnchorSwap</v>
      </c>
    </row>
    <row r="655">
      <c r="A655" s="4" t="str">
        <f>IFERROR(__xludf.DUMMYFUNCTION("""COMPUTED_VALUE"""),"ancient-world")</f>
        <v>ancient-world</v>
      </c>
      <c r="B655" s="4" t="str">
        <f>IFERROR(__xludf.DUMMYFUNCTION("""COMPUTED_VALUE"""),"tai")</f>
        <v>tai</v>
      </c>
      <c r="C655" s="4" t="str">
        <f>IFERROR(__xludf.DUMMYFUNCTION("""COMPUTED_VALUE"""),"Ancient World")</f>
        <v>Ancient World</v>
      </c>
    </row>
    <row r="656">
      <c r="A656" s="4" t="str">
        <f>IFERROR(__xludf.DUMMYFUNCTION("""COMPUTED_VALUE"""),"andrea-von-speed")</f>
        <v>andrea-von-speed</v>
      </c>
      <c r="B656" s="4" t="str">
        <f>IFERROR(__xludf.DUMMYFUNCTION("""COMPUTED_VALUE"""),"vonspeed")</f>
        <v>vonspeed</v>
      </c>
      <c r="C656" s="4" t="str">
        <f>IFERROR(__xludf.DUMMYFUNCTION("""COMPUTED_VALUE"""),"Andrea Von Speed")</f>
        <v>Andrea Von Speed</v>
      </c>
    </row>
    <row r="657">
      <c r="A657" s="4" t="str">
        <f>IFERROR(__xludf.DUMMYFUNCTION("""COMPUTED_VALUE"""),"andromeda-2")</f>
        <v>andromeda-2</v>
      </c>
      <c r="B657" s="4" t="str">
        <f>IFERROR(__xludf.DUMMYFUNCTION("""COMPUTED_VALUE"""),"andr")</f>
        <v>andr</v>
      </c>
      <c r="C657" s="4" t="str">
        <f>IFERROR(__xludf.DUMMYFUNCTION("""COMPUTED_VALUE"""),"Andromeda")</f>
        <v>Andromeda</v>
      </c>
    </row>
    <row r="658">
      <c r="A658" s="4" t="str">
        <f>IFERROR(__xludf.DUMMYFUNCTION("""COMPUTED_VALUE"""),"anduschain")</f>
        <v>anduschain</v>
      </c>
      <c r="B658" s="4" t="str">
        <f>IFERROR(__xludf.DUMMYFUNCTION("""COMPUTED_VALUE"""),"deb")</f>
        <v>deb</v>
      </c>
      <c r="C658" s="4" t="str">
        <f>IFERROR(__xludf.DUMMYFUNCTION("""COMPUTED_VALUE"""),"Anduschain")</f>
        <v>Anduschain</v>
      </c>
    </row>
    <row r="659">
      <c r="A659" s="4" t="str">
        <f>IFERROR(__xludf.DUMMYFUNCTION("""COMPUTED_VALUE"""),"andy")</f>
        <v>andy</v>
      </c>
      <c r="B659" s="4" t="str">
        <f>IFERROR(__xludf.DUMMYFUNCTION("""COMPUTED_VALUE"""),"andy")</f>
        <v>andy</v>
      </c>
      <c r="C659" s="4" t="str">
        <f>IFERROR(__xludf.DUMMYFUNCTION("""COMPUTED_VALUE"""),"Andy")</f>
        <v>Andy</v>
      </c>
    </row>
    <row r="660">
      <c r="A660" s="4" t="str">
        <f>IFERROR(__xludf.DUMMYFUNCTION("""COMPUTED_VALUE"""),"andy-bsc")</f>
        <v>andy-bsc</v>
      </c>
      <c r="B660" s="4" t="str">
        <f>IFERROR(__xludf.DUMMYFUNCTION("""COMPUTED_VALUE"""),"andy")</f>
        <v>andy</v>
      </c>
      <c r="C660" s="4" t="str">
        <f>IFERROR(__xludf.DUMMYFUNCTION("""COMPUTED_VALUE"""),"Andy Bsc")</f>
        <v>Andy Bsc</v>
      </c>
    </row>
    <row r="661">
      <c r="A661" s="4" t="str">
        <f>IFERROR(__xludf.DUMMYFUNCTION("""COMPUTED_VALUE"""),"andyerc")</f>
        <v>andyerc</v>
      </c>
      <c r="B661" s="4" t="str">
        <f>IFERROR(__xludf.DUMMYFUNCTION("""COMPUTED_VALUE"""),"andy")</f>
        <v>andy</v>
      </c>
      <c r="C661" s="4" t="str">
        <f>IFERROR(__xludf.DUMMYFUNCTION("""COMPUTED_VALUE"""),"AndyBlast")</f>
        <v>AndyBlast</v>
      </c>
    </row>
    <row r="662">
      <c r="A662" s="4" t="str">
        <f>IFERROR(__xludf.DUMMYFUNCTION("""COMPUTED_VALUE"""),"andy-on-base")</f>
        <v>andy-on-base</v>
      </c>
      <c r="B662" s="4" t="str">
        <f>IFERROR(__xludf.DUMMYFUNCTION("""COMPUTED_VALUE"""),"andy")</f>
        <v>andy</v>
      </c>
      <c r="C662" s="4" t="str">
        <f>IFERROR(__xludf.DUMMYFUNCTION("""COMPUTED_VALUE"""),"Andy")</f>
        <v>Andy</v>
      </c>
    </row>
    <row r="663">
      <c r="A663" s="4" t="str">
        <f>IFERROR(__xludf.DUMMYFUNCTION("""COMPUTED_VALUE"""),"andy-on-sol")</f>
        <v>andy-on-sol</v>
      </c>
      <c r="B663" s="4" t="str">
        <f>IFERROR(__xludf.DUMMYFUNCTION("""COMPUTED_VALUE"""),"andy")</f>
        <v>andy</v>
      </c>
      <c r="C663" s="4" t="str">
        <f>IFERROR(__xludf.DUMMYFUNCTION("""COMPUTED_VALUE"""),"Andy on SOL")</f>
        <v>Andy on SOL</v>
      </c>
    </row>
    <row r="664">
      <c r="A664" s="4" t="str">
        <f>IFERROR(__xludf.DUMMYFUNCTION("""COMPUTED_VALUE"""),"andy-the-wisguy")</f>
        <v>andy-the-wisguy</v>
      </c>
      <c r="B664" s="4" t="str">
        <f>IFERROR(__xludf.DUMMYFUNCTION("""COMPUTED_VALUE"""),"andy")</f>
        <v>andy</v>
      </c>
      <c r="C664" s="4" t="str">
        <f>IFERROR(__xludf.DUMMYFUNCTION("""COMPUTED_VALUE"""),"ANDY the Wisguy")</f>
        <v>ANDY the Wisguy</v>
      </c>
    </row>
    <row r="665">
      <c r="A665" s="4" t="str">
        <f>IFERROR(__xludf.DUMMYFUNCTION("""COMPUTED_VALUE"""),"angle-protocol")</f>
        <v>angle-protocol</v>
      </c>
      <c r="B665" s="4" t="str">
        <f>IFERROR(__xludf.DUMMYFUNCTION("""COMPUTED_VALUE"""),"angle")</f>
        <v>angle</v>
      </c>
      <c r="C665" s="4" t="str">
        <f>IFERROR(__xludf.DUMMYFUNCTION("""COMPUTED_VALUE"""),"ANGLE")</f>
        <v>ANGLE</v>
      </c>
    </row>
    <row r="666">
      <c r="A666" s="4" t="str">
        <f>IFERROR(__xludf.DUMMYFUNCTION("""COMPUTED_VALUE"""),"angle-staked-agusd")</f>
        <v>angle-staked-agusd</v>
      </c>
      <c r="B666" s="4" t="str">
        <f>IFERROR(__xludf.DUMMYFUNCTION("""COMPUTED_VALUE"""),"stusd")</f>
        <v>stusd</v>
      </c>
      <c r="C666" s="4" t="str">
        <f>IFERROR(__xludf.DUMMYFUNCTION("""COMPUTED_VALUE"""),"Angle Staked USDA")</f>
        <v>Angle Staked USDA</v>
      </c>
    </row>
    <row r="667">
      <c r="A667" s="4" t="str">
        <f>IFERROR(__xludf.DUMMYFUNCTION("""COMPUTED_VALUE"""),"angle-usd")</f>
        <v>angle-usd</v>
      </c>
      <c r="B667" s="4" t="str">
        <f>IFERROR(__xludf.DUMMYFUNCTION("""COMPUTED_VALUE"""),"usda")</f>
        <v>usda</v>
      </c>
      <c r="C667" s="4" t="str">
        <f>IFERROR(__xludf.DUMMYFUNCTION("""COMPUTED_VALUE"""),"USDA")</f>
        <v>USDA</v>
      </c>
    </row>
    <row r="668">
      <c r="A668" s="4" t="str">
        <f>IFERROR(__xludf.DUMMYFUNCTION("""COMPUTED_VALUE"""),"angola")</f>
        <v>angola</v>
      </c>
      <c r="B668" s="4" t="str">
        <f>IFERROR(__xludf.DUMMYFUNCTION("""COMPUTED_VALUE"""),"agla")</f>
        <v>agla</v>
      </c>
      <c r="C668" s="4" t="str">
        <f>IFERROR(__xludf.DUMMYFUNCTION("""COMPUTED_VALUE"""),"Angola")</f>
        <v>Angola</v>
      </c>
    </row>
    <row r="669">
      <c r="A669" s="4" t="str">
        <f>IFERROR(__xludf.DUMMYFUNCTION("""COMPUTED_VALUE"""),"angryb")</f>
        <v>angryb</v>
      </c>
      <c r="B669" s="4" t="str">
        <f>IFERROR(__xludf.DUMMYFUNCTION("""COMPUTED_VALUE"""),"anb")</f>
        <v>anb</v>
      </c>
      <c r="C669" s="4" t="str">
        <f>IFERROR(__xludf.DUMMYFUNCTION("""COMPUTED_VALUE"""),"Angryb")</f>
        <v>Angryb</v>
      </c>
    </row>
    <row r="670">
      <c r="A670" s="4" t="str">
        <f>IFERROR(__xludf.DUMMYFUNCTION("""COMPUTED_VALUE"""),"angry-birds")</f>
        <v>angry-birds</v>
      </c>
      <c r="B670" s="4" t="str">
        <f>IFERROR(__xludf.DUMMYFUNCTION("""COMPUTED_VALUE"""),"brd")</f>
        <v>brd</v>
      </c>
      <c r="C670" s="4" t="str">
        <f>IFERROR(__xludf.DUMMYFUNCTION("""COMPUTED_VALUE"""),"Angry Birds")</f>
        <v>Angry Birds</v>
      </c>
    </row>
    <row r="671">
      <c r="A671" s="4" t="str">
        <f>IFERROR(__xludf.DUMMYFUNCTION("""COMPUTED_VALUE"""),"angry-bulls-club")</f>
        <v>angry-bulls-club</v>
      </c>
      <c r="B671" s="4" t="str">
        <f>IFERROR(__xludf.DUMMYFUNCTION("""COMPUTED_VALUE"""),"abc")</f>
        <v>abc</v>
      </c>
      <c r="C671" s="4" t="str">
        <f>IFERROR(__xludf.DUMMYFUNCTION("""COMPUTED_VALUE"""),"Angry Bulls Club")</f>
        <v>Angry Bulls Club</v>
      </c>
    </row>
    <row r="672">
      <c r="A672" s="4" t="str">
        <f>IFERROR(__xludf.DUMMYFUNCTION("""COMPUTED_VALUE"""),"angry-doge")</f>
        <v>angry-doge</v>
      </c>
      <c r="B672" s="4" t="str">
        <f>IFERROR(__xludf.DUMMYFUNCTION("""COMPUTED_VALUE"""),"anfd")</f>
        <v>anfd</v>
      </c>
      <c r="C672" s="4" t="str">
        <f>IFERROR(__xludf.DUMMYFUNCTION("""COMPUTED_VALUE"""),"Angry Doge")</f>
        <v>Angry Doge</v>
      </c>
    </row>
    <row r="673">
      <c r="A673" s="4" t="str">
        <f>IFERROR(__xludf.DUMMYFUNCTION("""COMPUTED_VALUE"""),"anima")</f>
        <v>anima</v>
      </c>
      <c r="B673" s="4" t="str">
        <f>IFERROR(__xludf.DUMMYFUNCTION("""COMPUTED_VALUE"""),"anima")</f>
        <v>anima</v>
      </c>
      <c r="C673" s="4" t="str">
        <f>IFERROR(__xludf.DUMMYFUNCTION("""COMPUTED_VALUE"""),"ANIMA")</f>
        <v>ANIMA</v>
      </c>
    </row>
    <row r="674">
      <c r="A674" s="4" t="str">
        <f>IFERROR(__xludf.DUMMYFUNCTION("""COMPUTED_VALUE"""),"animal-army")</f>
        <v>animal-army</v>
      </c>
      <c r="B674" s="4" t="str">
        <f>IFERROR(__xludf.DUMMYFUNCTION("""COMPUTED_VALUE"""),"animal")</f>
        <v>animal</v>
      </c>
      <c r="C674" s="4" t="str">
        <f>IFERROR(__xludf.DUMMYFUNCTION("""COMPUTED_VALUE"""),"Animal army")</f>
        <v>Animal army</v>
      </c>
    </row>
    <row r="675">
      <c r="A675" s="4" t="str">
        <f>IFERROR(__xludf.DUMMYFUNCTION("""COMPUTED_VALUE"""),"animal-concerts-token")</f>
        <v>animal-concerts-token</v>
      </c>
      <c r="B675" s="4" t="str">
        <f>IFERROR(__xludf.DUMMYFUNCTION("""COMPUTED_VALUE"""),"anml")</f>
        <v>anml</v>
      </c>
      <c r="C675" s="4" t="str">
        <f>IFERROR(__xludf.DUMMYFUNCTION("""COMPUTED_VALUE"""),"Animal Concerts")</f>
        <v>Animal Concerts</v>
      </c>
    </row>
    <row r="676">
      <c r="A676" s="4" t="str">
        <f>IFERROR(__xludf.DUMMYFUNCTION("""COMPUTED_VALUE"""),"animalfam")</f>
        <v>animalfam</v>
      </c>
      <c r="B676" s="4" t="str">
        <f>IFERROR(__xludf.DUMMYFUNCTION("""COMPUTED_VALUE"""),"totofo")</f>
        <v>totofo</v>
      </c>
      <c r="C676" s="4" t="str">
        <f>IFERROR(__xludf.DUMMYFUNCTION("""COMPUTED_VALUE"""),"AnimalFam")</f>
        <v>AnimalFam</v>
      </c>
    </row>
    <row r="677">
      <c r="A677" s="4" t="str">
        <f>IFERROR(__xludf.DUMMYFUNCTION("""COMPUTED_VALUE"""),"animalia")</f>
        <v>animalia</v>
      </c>
      <c r="B677" s="4" t="str">
        <f>IFERROR(__xludf.DUMMYFUNCTION("""COMPUTED_VALUE"""),"anim")</f>
        <v>anim</v>
      </c>
      <c r="C677" s="4" t="str">
        <f>IFERROR(__xludf.DUMMYFUNCTION("""COMPUTED_VALUE"""),"Animalia")</f>
        <v>Animalia</v>
      </c>
    </row>
    <row r="678">
      <c r="A678" s="4" t="str">
        <f>IFERROR(__xludf.DUMMYFUNCTION("""COMPUTED_VALUE"""),"anime-base")</f>
        <v>anime-base</v>
      </c>
      <c r="B678" s="4" t="str">
        <f>IFERROR(__xludf.DUMMYFUNCTION("""COMPUTED_VALUE"""),"anime")</f>
        <v>anime</v>
      </c>
      <c r="C678" s="4" t="str">
        <f>IFERROR(__xludf.DUMMYFUNCTION("""COMPUTED_VALUE"""),"Anime")</f>
        <v>Anime</v>
      </c>
    </row>
    <row r="679">
      <c r="A679" s="4" t="str">
        <f>IFERROR(__xludf.DUMMYFUNCTION("""COMPUTED_VALUE"""),"animeswap")</f>
        <v>animeswap</v>
      </c>
      <c r="B679" s="4" t="str">
        <f>IFERROR(__xludf.DUMMYFUNCTION("""COMPUTED_VALUE"""),"ani")</f>
        <v>ani</v>
      </c>
      <c r="C679" s="4" t="str">
        <f>IFERROR(__xludf.DUMMYFUNCTION("""COMPUTED_VALUE"""),"AnimeSwap")</f>
        <v>AnimeSwap</v>
      </c>
    </row>
    <row r="680">
      <c r="A680" s="4" t="str">
        <f>IFERROR(__xludf.DUMMYFUNCTION("""COMPUTED_VALUE"""),"anime-token")</f>
        <v>anime-token</v>
      </c>
      <c r="B680" s="4" t="str">
        <f>IFERROR(__xludf.DUMMYFUNCTION("""COMPUTED_VALUE"""),"ani")</f>
        <v>ani</v>
      </c>
      <c r="C680" s="4" t="str">
        <f>IFERROR(__xludf.DUMMYFUNCTION("""COMPUTED_VALUE"""),"Anime")</f>
        <v>Anime</v>
      </c>
    </row>
    <row r="681">
      <c r="A681" s="4" t="str">
        <f>IFERROR(__xludf.DUMMYFUNCTION("""COMPUTED_VALUE"""),"anita-max-wynn")</f>
        <v>anita-max-wynn</v>
      </c>
      <c r="B681" s="4" t="str">
        <f>IFERROR(__xludf.DUMMYFUNCTION("""COMPUTED_VALUE"""),"wynn")</f>
        <v>wynn</v>
      </c>
      <c r="C681" s="4" t="str">
        <f>IFERROR(__xludf.DUMMYFUNCTION("""COMPUTED_VALUE"""),"Anita Max Wynn")</f>
        <v>Anita Max Wynn</v>
      </c>
    </row>
    <row r="682">
      <c r="A682" s="4" t="str">
        <f>IFERROR(__xludf.DUMMYFUNCTION("""COMPUTED_VALUE"""),"aniverse")</f>
        <v>aniverse</v>
      </c>
      <c r="B682" s="4" t="str">
        <f>IFERROR(__xludf.DUMMYFUNCTION("""COMPUTED_VALUE"""),"anv")</f>
        <v>anv</v>
      </c>
      <c r="C682" s="4" t="str">
        <f>IFERROR(__xludf.DUMMYFUNCTION("""COMPUTED_VALUE"""),"Aniverse")</f>
        <v>Aniverse</v>
      </c>
    </row>
    <row r="683">
      <c r="A683" s="4" t="str">
        <f>IFERROR(__xludf.DUMMYFUNCTION("""COMPUTED_VALUE"""),"aniverse-metaverse")</f>
        <v>aniverse-metaverse</v>
      </c>
      <c r="B683" s="4" t="str">
        <f>IFERROR(__xludf.DUMMYFUNCTION("""COMPUTED_VALUE"""),"aniv")</f>
        <v>aniv</v>
      </c>
      <c r="C683" s="4" t="str">
        <f>IFERROR(__xludf.DUMMYFUNCTION("""COMPUTED_VALUE"""),"Aniverse Metaverse")</f>
        <v>Aniverse Metaverse</v>
      </c>
    </row>
    <row r="684">
      <c r="A684" s="4" t="str">
        <f>IFERROR(__xludf.DUMMYFUNCTION("""COMPUTED_VALUE"""),"ankaragucu-fan-token")</f>
        <v>ankaragucu-fan-token</v>
      </c>
      <c r="B684" s="4" t="str">
        <f>IFERROR(__xludf.DUMMYFUNCTION("""COMPUTED_VALUE"""),"anka")</f>
        <v>anka</v>
      </c>
      <c r="C684" s="4" t="str">
        <f>IFERROR(__xludf.DUMMYFUNCTION("""COMPUTED_VALUE"""),"Ankaragücü Fan Token")</f>
        <v>Ankaragücü Fan Token</v>
      </c>
    </row>
    <row r="685">
      <c r="A685" s="4" t="str">
        <f>IFERROR(__xludf.DUMMYFUNCTION("""COMPUTED_VALUE"""),"ankr")</f>
        <v>ankr</v>
      </c>
      <c r="B685" s="4" t="str">
        <f>IFERROR(__xludf.DUMMYFUNCTION("""COMPUTED_VALUE"""),"ankr")</f>
        <v>ankr</v>
      </c>
      <c r="C685" s="4" t="str">
        <f>IFERROR(__xludf.DUMMYFUNCTION("""COMPUTED_VALUE"""),"Ankr Network")</f>
        <v>Ankr Network</v>
      </c>
    </row>
    <row r="686">
      <c r="A686" s="4" t="str">
        <f>IFERROR(__xludf.DUMMYFUNCTION("""COMPUTED_VALUE"""),"ankreth")</f>
        <v>ankreth</v>
      </c>
      <c r="B686" s="4" t="str">
        <f>IFERROR(__xludf.DUMMYFUNCTION("""COMPUTED_VALUE"""),"ankreth")</f>
        <v>ankreth</v>
      </c>
      <c r="C686" s="4" t="str">
        <f>IFERROR(__xludf.DUMMYFUNCTION("""COMPUTED_VALUE"""),"Ankr Staked ETH")</f>
        <v>Ankr Staked ETH</v>
      </c>
    </row>
    <row r="687">
      <c r="A687" s="4" t="str">
        <f>IFERROR(__xludf.DUMMYFUNCTION("""COMPUTED_VALUE"""),"ankr-reward-bearing-ftm")</f>
        <v>ankr-reward-bearing-ftm</v>
      </c>
      <c r="B687" s="4" t="str">
        <f>IFERROR(__xludf.DUMMYFUNCTION("""COMPUTED_VALUE"""),"ankrftm")</f>
        <v>ankrftm</v>
      </c>
      <c r="C687" s="4" t="str">
        <f>IFERROR(__xludf.DUMMYFUNCTION("""COMPUTED_VALUE"""),"Ankr Staked FTM")</f>
        <v>Ankr Staked FTM</v>
      </c>
    </row>
    <row r="688">
      <c r="A688" s="4" t="str">
        <f>IFERROR(__xludf.DUMMYFUNCTION("""COMPUTED_VALUE"""),"ankr-reward-earning-matic")</f>
        <v>ankr-reward-earning-matic</v>
      </c>
      <c r="B688" s="4" t="str">
        <f>IFERROR(__xludf.DUMMYFUNCTION("""COMPUTED_VALUE"""),"ankrmatic")</f>
        <v>ankrmatic</v>
      </c>
      <c r="C688" s="4" t="str">
        <f>IFERROR(__xludf.DUMMYFUNCTION("""COMPUTED_VALUE"""),"Ankr Staked MATIC")</f>
        <v>Ankr Staked MATIC</v>
      </c>
    </row>
    <row r="689">
      <c r="A689" s="4" t="str">
        <f>IFERROR(__xludf.DUMMYFUNCTION("""COMPUTED_VALUE"""),"ankr-staked-bnb")</f>
        <v>ankr-staked-bnb</v>
      </c>
      <c r="B689" s="4" t="str">
        <f>IFERROR(__xludf.DUMMYFUNCTION("""COMPUTED_VALUE"""),"ankrbnb")</f>
        <v>ankrbnb</v>
      </c>
      <c r="C689" s="4" t="str">
        <f>IFERROR(__xludf.DUMMYFUNCTION("""COMPUTED_VALUE"""),"Ankr Staked BNB")</f>
        <v>Ankr Staked BNB</v>
      </c>
    </row>
    <row r="690">
      <c r="A690" s="4" t="str">
        <f>IFERROR(__xludf.DUMMYFUNCTION("""COMPUTED_VALUE"""),"anokas-network")</f>
        <v>anokas-network</v>
      </c>
      <c r="B690" s="4" t="str">
        <f>IFERROR(__xludf.DUMMYFUNCTION("""COMPUTED_VALUE"""),"anok")</f>
        <v>anok</v>
      </c>
      <c r="C690" s="4" t="str">
        <f>IFERROR(__xludf.DUMMYFUNCTION("""COMPUTED_VALUE"""),"Anokas Network")</f>
        <v>Anokas Network</v>
      </c>
    </row>
    <row r="691">
      <c r="A691" s="4" t="str">
        <f>IFERROR(__xludf.DUMMYFUNCTION("""COMPUTED_VALUE"""),"anomus-coin")</f>
        <v>anomus-coin</v>
      </c>
      <c r="B691" s="4" t="str">
        <f>IFERROR(__xludf.DUMMYFUNCTION("""COMPUTED_VALUE"""),"anom")</f>
        <v>anom</v>
      </c>
      <c r="C691" s="4" t="str">
        <f>IFERROR(__xludf.DUMMYFUNCTION("""COMPUTED_VALUE"""),"Anomus Coin")</f>
        <v>Anomus Coin</v>
      </c>
    </row>
    <row r="692">
      <c r="A692" s="4" t="str">
        <f>IFERROR(__xludf.DUMMYFUNCTION("""COMPUTED_VALUE"""),"anon")</f>
        <v>anon</v>
      </c>
      <c r="B692" s="4" t="str">
        <f>IFERROR(__xludf.DUMMYFUNCTION("""COMPUTED_VALUE"""),"anon")</f>
        <v>anon</v>
      </c>
      <c r="C692" s="4" t="str">
        <f>IFERROR(__xludf.DUMMYFUNCTION("""COMPUTED_VALUE"""),"ANON")</f>
        <v>ANON</v>
      </c>
    </row>
    <row r="693">
      <c r="A693" s="4" t="str">
        <f>IFERROR(__xludf.DUMMYFUNCTION("""COMPUTED_VALUE"""),"anonbot")</f>
        <v>anonbot</v>
      </c>
      <c r="B693" s="4" t="str">
        <f>IFERROR(__xludf.DUMMYFUNCTION("""COMPUTED_VALUE"""),"anonbot")</f>
        <v>anonbot</v>
      </c>
      <c r="C693" s="4" t="str">
        <f>IFERROR(__xludf.DUMMYFUNCTION("""COMPUTED_VALUE"""),"Anonbot")</f>
        <v>Anonbot</v>
      </c>
    </row>
    <row r="694">
      <c r="A694" s="4" t="str">
        <f>IFERROR(__xludf.DUMMYFUNCTION("""COMPUTED_VALUE"""),"anon-erc404")</f>
        <v>anon-erc404</v>
      </c>
      <c r="B694" s="4" t="str">
        <f>IFERROR(__xludf.DUMMYFUNCTION("""COMPUTED_VALUE"""),"anon")</f>
        <v>anon</v>
      </c>
      <c r="C694" s="4" t="str">
        <f>IFERROR(__xludf.DUMMYFUNCTION("""COMPUTED_VALUE"""),"Anon")</f>
        <v>Anon</v>
      </c>
    </row>
    <row r="695">
      <c r="A695" s="4" t="str">
        <f>IFERROR(__xludf.DUMMYFUNCTION("""COMPUTED_VALUE"""),"anonify")</f>
        <v>anonify</v>
      </c>
      <c r="B695" s="4" t="str">
        <f>IFERROR(__xludf.DUMMYFUNCTION("""COMPUTED_VALUE"""),"oni")</f>
        <v>oni</v>
      </c>
      <c r="C695" s="4" t="str">
        <f>IFERROR(__xludf.DUMMYFUNCTION("""COMPUTED_VALUE"""),"Anonify")</f>
        <v>Anonify</v>
      </c>
    </row>
    <row r="696">
      <c r="A696" s="4" t="str">
        <f>IFERROR(__xludf.DUMMYFUNCTION("""COMPUTED_VALUE"""),"anon-inu")</f>
        <v>anon-inu</v>
      </c>
      <c r="B696" s="4" t="str">
        <f>IFERROR(__xludf.DUMMYFUNCTION("""COMPUTED_VALUE"""),"ainu")</f>
        <v>ainu</v>
      </c>
      <c r="C696" s="4" t="str">
        <f>IFERROR(__xludf.DUMMYFUNCTION("""COMPUTED_VALUE"""),"Anon Inu")</f>
        <v>Anon Inu</v>
      </c>
    </row>
    <row r="697">
      <c r="A697" s="4" t="str">
        <f>IFERROR(__xludf.DUMMYFUNCTION("""COMPUTED_VALUE"""),"anon-ton")</f>
        <v>anon-ton</v>
      </c>
      <c r="B697" s="4" t="str">
        <f>IFERROR(__xludf.DUMMYFUNCTION("""COMPUTED_VALUE"""),"anon")</f>
        <v>anon</v>
      </c>
      <c r="C697" s="4" t="str">
        <f>IFERROR(__xludf.DUMMYFUNCTION("""COMPUTED_VALUE"""),"ANON")</f>
        <v>ANON</v>
      </c>
    </row>
    <row r="698">
      <c r="A698" s="4" t="str">
        <f>IFERROR(__xludf.DUMMYFUNCTION("""COMPUTED_VALUE"""),"anon-web3")</f>
        <v>anon-web3</v>
      </c>
      <c r="B698" s="4" t="str">
        <f>IFERROR(__xludf.DUMMYFUNCTION("""COMPUTED_VALUE"""),"aw3")</f>
        <v>aw3</v>
      </c>
      <c r="C698" s="4" t="str">
        <f>IFERROR(__xludf.DUMMYFUNCTION("""COMPUTED_VALUE"""),"Anon Web3")</f>
        <v>Anon Web3</v>
      </c>
    </row>
    <row r="699">
      <c r="A699" s="4" t="str">
        <f>IFERROR(__xludf.DUMMYFUNCTION("""COMPUTED_VALUE"""),"anonym-chain")</f>
        <v>anonym-chain</v>
      </c>
      <c r="B699" s="4" t="str">
        <f>IFERROR(__xludf.DUMMYFUNCTION("""COMPUTED_VALUE"""),"anc")</f>
        <v>anc</v>
      </c>
      <c r="C699" s="4" t="str">
        <f>IFERROR(__xludf.DUMMYFUNCTION("""COMPUTED_VALUE"""),"Anonym Chain")</f>
        <v>Anonym Chain</v>
      </c>
    </row>
    <row r="700">
      <c r="A700" s="4" t="str">
        <f>IFERROR(__xludf.DUMMYFUNCTION("""COMPUTED_VALUE"""),"another-world")</f>
        <v>another-world</v>
      </c>
      <c r="B700" s="4" t="str">
        <f>IFERROR(__xludf.DUMMYFUNCTION("""COMPUTED_VALUE"""),"awm")</f>
        <v>awm</v>
      </c>
      <c r="C700" s="4" t="str">
        <f>IFERROR(__xludf.DUMMYFUNCTION("""COMPUTED_VALUE"""),"Another World")</f>
        <v>Another World</v>
      </c>
    </row>
    <row r="701">
      <c r="A701" s="4" t="str">
        <f>IFERROR(__xludf.DUMMYFUNCTION("""COMPUTED_VALUE"""),"anrkey-x")</f>
        <v>anrkey-x</v>
      </c>
      <c r="B701" s="4" t="str">
        <f>IFERROR(__xludf.DUMMYFUNCTION("""COMPUTED_VALUE"""),"$anrx")</f>
        <v>$anrx</v>
      </c>
      <c r="C701" s="4" t="str">
        <f>IFERROR(__xludf.DUMMYFUNCTION("""COMPUTED_VALUE"""),"AnRKey X")</f>
        <v>AnRKey X</v>
      </c>
    </row>
    <row r="702">
      <c r="A702" s="4" t="str">
        <f>IFERROR(__xludf.DUMMYFUNCTION("""COMPUTED_VALUE"""),"ansem-s-cat")</f>
        <v>ansem-s-cat</v>
      </c>
      <c r="B702" s="4" t="str">
        <f>IFERROR(__xludf.DUMMYFUNCTION("""COMPUTED_VALUE"""),"hobbes")</f>
        <v>hobbes</v>
      </c>
      <c r="C702" s="4" t="str">
        <f>IFERROR(__xludf.DUMMYFUNCTION("""COMPUTED_VALUE"""),"Ansem's Cat")</f>
        <v>Ansem's Cat</v>
      </c>
    </row>
    <row r="703">
      <c r="A703" s="4" t="str">
        <f>IFERROR(__xludf.DUMMYFUNCTION("""COMPUTED_VALUE"""),"ansom")</f>
        <v>ansom</v>
      </c>
      <c r="B703" s="4" t="str">
        <f>IFERROR(__xludf.DUMMYFUNCTION("""COMPUTED_VALUE"""),"ansom")</f>
        <v>ansom</v>
      </c>
      <c r="C703" s="4" t="str">
        <f>IFERROR(__xludf.DUMMYFUNCTION("""COMPUTED_VALUE"""),"ansom")</f>
        <v>ansom</v>
      </c>
    </row>
    <row r="704">
      <c r="A704" s="4" t="str">
        <f>IFERROR(__xludf.DUMMYFUNCTION("""COMPUTED_VALUE"""),"answer-governance")</f>
        <v>answer-governance</v>
      </c>
      <c r="B704" s="4" t="str">
        <f>IFERROR(__xludf.DUMMYFUNCTION("""COMPUTED_VALUE"""),"agov")</f>
        <v>agov</v>
      </c>
      <c r="C704" s="4" t="str">
        <f>IFERROR(__xludf.DUMMYFUNCTION("""COMPUTED_VALUE"""),"Answer Governance")</f>
        <v>Answer Governance</v>
      </c>
    </row>
    <row r="705">
      <c r="A705" s="4" t="str">
        <f>IFERROR(__xludf.DUMMYFUNCTION("""COMPUTED_VALUE"""),"antara-raiders-royals")</f>
        <v>antara-raiders-royals</v>
      </c>
      <c r="B705" s="4" t="str">
        <f>IFERROR(__xludf.DUMMYFUNCTION("""COMPUTED_VALUE"""),"antt")</f>
        <v>antt</v>
      </c>
      <c r="C705" s="4" t="str">
        <f>IFERROR(__xludf.DUMMYFUNCTION("""COMPUTED_VALUE"""),"Antara Token")</f>
        <v>Antara Token</v>
      </c>
    </row>
    <row r="706">
      <c r="A706" s="4" t="str">
        <f>IFERROR(__xludf.DUMMYFUNCTION("""COMPUTED_VALUE"""),"ante-casino")</f>
        <v>ante-casino</v>
      </c>
      <c r="B706" s="4" t="str">
        <f>IFERROR(__xludf.DUMMYFUNCTION("""COMPUTED_VALUE"""),"chance")</f>
        <v>chance</v>
      </c>
      <c r="C706" s="4" t="str">
        <f>IFERROR(__xludf.DUMMYFUNCTION("""COMPUTED_VALUE"""),"Ante Casino")</f>
        <v>Ante Casino</v>
      </c>
    </row>
    <row r="707">
      <c r="A707" s="4" t="str">
        <f>IFERROR(__xludf.DUMMYFUNCTION("""COMPUTED_VALUE"""),"antfarm-governance-token")</f>
        <v>antfarm-governance-token</v>
      </c>
      <c r="B707" s="4" t="str">
        <f>IFERROR(__xludf.DUMMYFUNCTION("""COMPUTED_VALUE"""),"agt")</f>
        <v>agt</v>
      </c>
      <c r="C707" s="4" t="str">
        <f>IFERROR(__xludf.DUMMYFUNCTION("""COMPUTED_VALUE"""),"Antfarm Governance Token")</f>
        <v>Antfarm Governance Token</v>
      </c>
    </row>
    <row r="708">
      <c r="A708" s="4" t="str">
        <f>IFERROR(__xludf.DUMMYFUNCTION("""COMPUTED_VALUE"""),"antfarm-token")</f>
        <v>antfarm-token</v>
      </c>
      <c r="B708" s="4" t="str">
        <f>IFERROR(__xludf.DUMMYFUNCTION("""COMPUTED_VALUE"""),"atf")</f>
        <v>atf</v>
      </c>
      <c r="C708" s="4" t="str">
        <f>IFERROR(__xludf.DUMMYFUNCTION("""COMPUTED_VALUE"""),"Antfarm Token")</f>
        <v>Antfarm Token</v>
      </c>
    </row>
    <row r="709">
      <c r="A709" s="4" t="str">
        <f>IFERROR(__xludf.DUMMYFUNCTION("""COMPUTED_VALUE"""),"antibot")</f>
        <v>antibot</v>
      </c>
      <c r="B709" s="4" t="str">
        <f>IFERROR(__xludf.DUMMYFUNCTION("""COMPUTED_VALUE"""),"atb")</f>
        <v>atb</v>
      </c>
      <c r="C709" s="4" t="str">
        <f>IFERROR(__xludf.DUMMYFUNCTION("""COMPUTED_VALUE"""),"AntiBot")</f>
        <v>AntiBot</v>
      </c>
    </row>
    <row r="710">
      <c r="A710" s="4" t="str">
        <f>IFERROR(__xludf.DUMMYFUNCTION("""COMPUTED_VALUE"""),"anti-global-warming-token")</f>
        <v>anti-global-warming-token</v>
      </c>
      <c r="B710" s="4" t="str">
        <f>IFERROR(__xludf.DUMMYFUNCTION("""COMPUTED_VALUE"""),"$agw")</f>
        <v>$agw</v>
      </c>
      <c r="C710" s="4" t="str">
        <f>IFERROR(__xludf.DUMMYFUNCTION("""COMPUTED_VALUE"""),"ANTI GLOBAL WARMING TOKEN")</f>
        <v>ANTI GLOBAL WARMING TOKEN</v>
      </c>
    </row>
    <row r="711">
      <c r="A711" s="4" t="str">
        <f>IFERROR(__xludf.DUMMYFUNCTION("""COMPUTED_VALUE"""),"antimatter")</f>
        <v>antimatter</v>
      </c>
      <c r="B711" s="4" t="str">
        <f>IFERROR(__xludf.DUMMYFUNCTION("""COMPUTED_VALUE"""),"tune")</f>
        <v>tune</v>
      </c>
      <c r="C711" s="4" t="str">
        <f>IFERROR(__xludf.DUMMYFUNCTION("""COMPUTED_VALUE"""),"Bitune")</f>
        <v>Bitune</v>
      </c>
    </row>
    <row r="712">
      <c r="A712" s="4" t="str">
        <f>IFERROR(__xludf.DUMMYFUNCTION("""COMPUTED_VALUE"""),"antmons")</f>
        <v>antmons</v>
      </c>
      <c r="B712" s="4" t="str">
        <f>IFERROR(__xludf.DUMMYFUNCTION("""COMPUTED_VALUE"""),"ams")</f>
        <v>ams</v>
      </c>
      <c r="C712" s="4" t="str">
        <f>IFERROR(__xludf.DUMMYFUNCTION("""COMPUTED_VALUE"""),"Antmons")</f>
        <v>Antmons</v>
      </c>
    </row>
    <row r="713">
      <c r="A713" s="4" t="str">
        <f>IFERROR(__xludf.DUMMYFUNCTION("""COMPUTED_VALUE"""),"antnetworx")</f>
        <v>antnetworx</v>
      </c>
      <c r="B713" s="4" t="str">
        <f>IFERROR(__xludf.DUMMYFUNCTION("""COMPUTED_VALUE"""),"antx")</f>
        <v>antx</v>
      </c>
      <c r="C713" s="4" t="str">
        <f>IFERROR(__xludf.DUMMYFUNCTION("""COMPUTED_VALUE"""),"AntNetworX (OLD)")</f>
        <v>AntNetworX (OLD)</v>
      </c>
    </row>
    <row r="714">
      <c r="A714" s="4" t="str">
        <f>IFERROR(__xludf.DUMMYFUNCTION("""COMPUTED_VALUE"""),"antofy")</f>
        <v>antofy</v>
      </c>
      <c r="B714" s="4" t="str">
        <f>IFERROR(__xludf.DUMMYFUNCTION("""COMPUTED_VALUE"""),"abn")</f>
        <v>abn</v>
      </c>
      <c r="C714" s="4" t="str">
        <f>IFERROR(__xludf.DUMMYFUNCTION("""COMPUTED_VALUE"""),"Antofy")</f>
        <v>Antofy</v>
      </c>
    </row>
    <row r="715">
      <c r="A715" s="4" t="str">
        <f>IFERROR(__xludf.DUMMYFUNCTION("""COMPUTED_VALUE"""),"anty-the-anteater")</f>
        <v>anty-the-anteater</v>
      </c>
      <c r="B715" s="4" t="str">
        <f>IFERROR(__xludf.DUMMYFUNCTION("""COMPUTED_VALUE"""),"anty")</f>
        <v>anty</v>
      </c>
      <c r="C715" s="4" t="str">
        <f>IFERROR(__xludf.DUMMYFUNCTION("""COMPUTED_VALUE"""),"Anty the Anteater")</f>
        <v>Anty the Anteater</v>
      </c>
    </row>
    <row r="716">
      <c r="A716" s="4" t="str">
        <f>IFERROR(__xludf.DUMMYFUNCTION("""COMPUTED_VALUE"""),"anubit")</f>
        <v>anubit</v>
      </c>
      <c r="B716" s="4" t="str">
        <f>IFERROR(__xludf.DUMMYFUNCTION("""COMPUTED_VALUE"""),"anb")</f>
        <v>anb</v>
      </c>
      <c r="C716" s="4" t="str">
        <f>IFERROR(__xludf.DUMMYFUNCTION("""COMPUTED_VALUE"""),"Anubit")</f>
        <v>Anubit</v>
      </c>
    </row>
    <row r="717">
      <c r="A717" s="4" t="str">
        <f>IFERROR(__xludf.DUMMYFUNCTION("""COMPUTED_VALUE"""),"any-inu")</f>
        <v>any-inu</v>
      </c>
      <c r="B717" s="4" t="str">
        <f>IFERROR(__xludf.DUMMYFUNCTION("""COMPUTED_VALUE"""),"ai")</f>
        <v>ai</v>
      </c>
      <c r="C717" s="4" t="str">
        <f>IFERROR(__xludf.DUMMYFUNCTION("""COMPUTED_VALUE"""),"Any Inu")</f>
        <v>Any Inu</v>
      </c>
    </row>
    <row r="718">
      <c r="A718" s="4" t="str">
        <f>IFERROR(__xludf.DUMMYFUNCTION("""COMPUTED_VALUE"""),"anypad")</f>
        <v>anypad</v>
      </c>
      <c r="B718" s="4" t="str">
        <f>IFERROR(__xludf.DUMMYFUNCTION("""COMPUTED_VALUE"""),"apad")</f>
        <v>apad</v>
      </c>
      <c r="C718" s="4" t="str">
        <f>IFERROR(__xludf.DUMMYFUNCTION("""COMPUTED_VALUE"""),"Anypad")</f>
        <v>Anypad</v>
      </c>
    </row>
    <row r="719">
      <c r="A719" s="4" t="str">
        <f>IFERROR(__xludf.DUMMYFUNCTION("""COMPUTED_VALUE"""),"anyswap")</f>
        <v>anyswap</v>
      </c>
      <c r="B719" s="4" t="str">
        <f>IFERROR(__xludf.DUMMYFUNCTION("""COMPUTED_VALUE"""),"any")</f>
        <v>any</v>
      </c>
      <c r="C719" s="4" t="str">
        <f>IFERROR(__xludf.DUMMYFUNCTION("""COMPUTED_VALUE"""),"Anyswap")</f>
        <v>Anyswap</v>
      </c>
    </row>
    <row r="720">
      <c r="A720" s="4" t="str">
        <f>IFERROR(__xludf.DUMMYFUNCTION("""COMPUTED_VALUE"""),"anzen-private-credit")</f>
        <v>anzen-private-credit</v>
      </c>
      <c r="B720" s="4" t="str">
        <f>IFERROR(__xludf.DUMMYFUNCTION("""COMPUTED_VALUE"""),"pct")</f>
        <v>pct</v>
      </c>
      <c r="C720" s="4" t="str">
        <f>IFERROR(__xludf.DUMMYFUNCTION("""COMPUTED_VALUE"""),"Anzen Private Credit")</f>
        <v>Anzen Private Credit</v>
      </c>
    </row>
    <row r="721">
      <c r="A721" s="4" t="str">
        <f>IFERROR(__xludf.DUMMYFUNCTION("""COMPUTED_VALUE"""),"aok")</f>
        <v>aok</v>
      </c>
      <c r="B721" s="4" t="str">
        <f>IFERROR(__xludf.DUMMYFUNCTION("""COMPUTED_VALUE"""),"aok")</f>
        <v>aok</v>
      </c>
      <c r="C721" s="4" t="str">
        <f>IFERROR(__xludf.DUMMYFUNCTION("""COMPUTED_VALUE"""),"AOK")</f>
        <v>AOK</v>
      </c>
    </row>
    <row r="722">
      <c r="A722" s="4" t="str">
        <f>IFERROR(__xludf.DUMMYFUNCTION("""COMPUTED_VALUE"""),"apass-coin")</f>
        <v>apass-coin</v>
      </c>
      <c r="B722" s="4" t="str">
        <f>IFERROR(__xludf.DUMMYFUNCTION("""COMPUTED_VALUE"""),"apc")</f>
        <v>apc</v>
      </c>
      <c r="C722" s="4" t="str">
        <f>IFERROR(__xludf.DUMMYFUNCTION("""COMPUTED_VALUE"""),"APass Coin")</f>
        <v>APass Coin</v>
      </c>
    </row>
    <row r="723">
      <c r="A723" s="4" t="str">
        <f>IFERROR(__xludf.DUMMYFUNCTION("""COMPUTED_VALUE"""),"ape-2")</f>
        <v>ape-2</v>
      </c>
      <c r="B723" s="4" t="str">
        <f>IFERROR(__xludf.DUMMYFUNCTION("""COMPUTED_VALUE"""),"ape")</f>
        <v>ape</v>
      </c>
      <c r="C723" s="4" t="str">
        <f>IFERROR(__xludf.DUMMYFUNCTION("""COMPUTED_VALUE"""),"APE")</f>
        <v>APE</v>
      </c>
    </row>
    <row r="724">
      <c r="A724" s="4" t="str">
        <f>IFERROR(__xludf.DUMMYFUNCTION("""COMPUTED_VALUE"""),"apecoin")</f>
        <v>apecoin</v>
      </c>
      <c r="B724" s="4" t="str">
        <f>IFERROR(__xludf.DUMMYFUNCTION("""COMPUTED_VALUE"""),"ape")</f>
        <v>ape</v>
      </c>
      <c r="C724" s="4" t="str">
        <f>IFERROR(__xludf.DUMMYFUNCTION("""COMPUTED_VALUE"""),"ApeCoin")</f>
        <v>ApeCoin</v>
      </c>
    </row>
    <row r="725">
      <c r="A725" s="4" t="str">
        <f>IFERROR(__xludf.DUMMYFUNCTION("""COMPUTED_VALUE"""),"aped")</f>
        <v>aped</v>
      </c>
      <c r="B725" s="4" t="str">
        <f>IFERROR(__xludf.DUMMYFUNCTION("""COMPUTED_VALUE"""),"aped")</f>
        <v>aped</v>
      </c>
      <c r="C725" s="4" t="str">
        <f>IFERROR(__xludf.DUMMYFUNCTION("""COMPUTED_VALUE"""),"Aped")</f>
        <v>Aped</v>
      </c>
    </row>
    <row r="726">
      <c r="A726" s="4" t="str">
        <f>IFERROR(__xludf.DUMMYFUNCTION("""COMPUTED_VALUE"""),"aped-2")</f>
        <v>aped-2</v>
      </c>
      <c r="B726" s="4" t="str">
        <f>IFERROR(__xludf.DUMMYFUNCTION("""COMPUTED_VALUE"""),"aped")</f>
        <v>aped</v>
      </c>
      <c r="C726" s="4" t="str">
        <f>IFERROR(__xludf.DUMMYFUNCTION("""COMPUTED_VALUE"""),"Aped")</f>
        <v>Aped</v>
      </c>
    </row>
    <row r="727">
      <c r="A727" s="4" t="str">
        <f>IFERROR(__xludf.DUMMYFUNCTION("""COMPUTED_VALUE"""),"apedao")</f>
        <v>apedao</v>
      </c>
      <c r="B727" s="4" t="str">
        <f>IFERROR(__xludf.DUMMYFUNCTION("""COMPUTED_VALUE"""),"apein")</f>
        <v>apein</v>
      </c>
      <c r="C727" s="4" t="str">
        <f>IFERROR(__xludf.DUMMYFUNCTION("""COMPUTED_VALUE"""),"ApeDAO")</f>
        <v>ApeDAO</v>
      </c>
    </row>
    <row r="728">
      <c r="A728" s="4" t="str">
        <f>IFERROR(__xludf.DUMMYFUNCTION("""COMPUTED_VALUE"""),"apedoge")</f>
        <v>apedoge</v>
      </c>
      <c r="B728" s="4" t="str">
        <f>IFERROR(__xludf.DUMMYFUNCTION("""COMPUTED_VALUE"""),"aped")</f>
        <v>aped</v>
      </c>
      <c r="C728" s="4" t="str">
        <f>IFERROR(__xludf.DUMMYFUNCTION("""COMPUTED_VALUE"""),"Apedoge")</f>
        <v>Apedoge</v>
      </c>
    </row>
    <row r="729">
      <c r="A729" s="4" t="str">
        <f>IFERROR(__xludf.DUMMYFUNCTION("""COMPUTED_VALUE"""),"apegpt")</f>
        <v>apegpt</v>
      </c>
      <c r="B729" s="4" t="str">
        <f>IFERROR(__xludf.DUMMYFUNCTION("""COMPUTED_VALUE"""),"apegpt")</f>
        <v>apegpt</v>
      </c>
      <c r="C729" s="4" t="str">
        <f>IFERROR(__xludf.DUMMYFUNCTION("""COMPUTED_VALUE"""),"ApeGPT")</f>
        <v>ApeGPT</v>
      </c>
    </row>
    <row r="730">
      <c r="A730" s="4" t="str">
        <f>IFERROR(__xludf.DUMMYFUNCTION("""COMPUTED_VALUE"""),"ape-in")</f>
        <v>ape-in</v>
      </c>
      <c r="B730" s="4" t="str">
        <f>IFERROR(__xludf.DUMMYFUNCTION("""COMPUTED_VALUE"""),"apein")</f>
        <v>apein</v>
      </c>
      <c r="C730" s="4" t="str">
        <f>IFERROR(__xludf.DUMMYFUNCTION("""COMPUTED_VALUE"""),"Ape In")</f>
        <v>Ape In</v>
      </c>
    </row>
    <row r="731">
      <c r="A731" s="4" t="str">
        <f>IFERROR(__xludf.DUMMYFUNCTION("""COMPUTED_VALUE"""),"ape_in_records")</f>
        <v>ape_in_records</v>
      </c>
      <c r="B731" s="4" t="str">
        <f>IFERROR(__xludf.DUMMYFUNCTION("""COMPUTED_VALUE"""),"air")</f>
        <v>air</v>
      </c>
      <c r="C731" s="4" t="str">
        <f>IFERROR(__xludf.DUMMYFUNCTION("""COMPUTED_VALUE"""),"Ape In Records")</f>
        <v>Ape In Records</v>
      </c>
    </row>
    <row r="732">
      <c r="A732" s="4" t="str">
        <f>IFERROR(__xludf.DUMMYFUNCTION("""COMPUTED_VALUE"""),"apeironnft")</f>
        <v>apeironnft</v>
      </c>
      <c r="B732" s="4" t="str">
        <f>IFERROR(__xludf.DUMMYFUNCTION("""COMPUTED_VALUE"""),"aprs")</f>
        <v>aprs</v>
      </c>
      <c r="C732" s="4" t="str">
        <f>IFERROR(__xludf.DUMMYFUNCTION("""COMPUTED_VALUE"""),"Apeiron")</f>
        <v>Apeiron</v>
      </c>
    </row>
    <row r="733">
      <c r="A733" s="4" t="str">
        <f>IFERROR(__xludf.DUMMYFUNCTION("""COMPUTED_VALUE"""),"apenft")</f>
        <v>apenft</v>
      </c>
      <c r="B733" s="4" t="str">
        <f>IFERROR(__xludf.DUMMYFUNCTION("""COMPUTED_VALUE"""),"nft")</f>
        <v>nft</v>
      </c>
      <c r="C733" s="4" t="str">
        <f>IFERROR(__xludf.DUMMYFUNCTION("""COMPUTED_VALUE"""),"APENFT")</f>
        <v>APENFT</v>
      </c>
    </row>
    <row r="734">
      <c r="A734" s="4" t="str">
        <f>IFERROR(__xludf.DUMMYFUNCTION("""COMPUTED_VALUE"""),"apepudgyclonexazukimilady")</f>
        <v>apepudgyclonexazukimilady</v>
      </c>
      <c r="B734" s="4" t="str">
        <f>IFERROR(__xludf.DUMMYFUNCTION("""COMPUTED_VALUE"""),"nft")</f>
        <v>nft</v>
      </c>
      <c r="C734" s="4" t="str">
        <f>IFERROR(__xludf.DUMMYFUNCTION("""COMPUTED_VALUE"""),"ApePudgyCloneXAzukiMilady")</f>
        <v>ApePudgyCloneXAzukiMilady</v>
      </c>
    </row>
    <row r="735">
      <c r="A735" s="4" t="str">
        <f>IFERROR(__xludf.DUMMYFUNCTION("""COMPUTED_VALUE"""),"apes")</f>
        <v>apes</v>
      </c>
      <c r="B735" s="4" t="str">
        <f>IFERROR(__xludf.DUMMYFUNCTION("""COMPUTED_VALUE"""),"apes")</f>
        <v>apes</v>
      </c>
      <c r="C735" s="4" t="str">
        <f>IFERROR(__xludf.DUMMYFUNCTION("""COMPUTED_VALUE"""),"APES")</f>
        <v>APES</v>
      </c>
    </row>
    <row r="736">
      <c r="A736" s="4" t="str">
        <f>IFERROR(__xludf.DUMMYFUNCTION("""COMPUTED_VALUE"""),"apes-go-bananas")</f>
        <v>apes-go-bananas</v>
      </c>
      <c r="B736" s="4" t="str">
        <f>IFERROR(__xludf.DUMMYFUNCTION("""COMPUTED_VALUE"""),"agb")</f>
        <v>agb</v>
      </c>
      <c r="C736" s="4" t="str">
        <f>IFERROR(__xludf.DUMMYFUNCTION("""COMPUTED_VALUE"""),"Apes Go Bananas")</f>
        <v>Apes Go Bananas</v>
      </c>
    </row>
    <row r="737">
      <c r="A737" s="4" t="str">
        <f>IFERROR(__xludf.DUMMYFUNCTION("""COMPUTED_VALUE"""),"apeswap-finance")</f>
        <v>apeswap-finance</v>
      </c>
      <c r="B737" s="4" t="str">
        <f>IFERROR(__xludf.DUMMYFUNCTION("""COMPUTED_VALUE"""),"banana")</f>
        <v>banana</v>
      </c>
      <c r="C737" s="4" t="str">
        <f>IFERROR(__xludf.DUMMYFUNCTION("""COMPUTED_VALUE"""),"ApeSwap")</f>
        <v>ApeSwap</v>
      </c>
    </row>
    <row r="738">
      <c r="A738" s="4" t="str">
        <f>IFERROR(__xludf.DUMMYFUNCTION("""COMPUTED_VALUE"""),"apewifhat")</f>
        <v>apewifhat</v>
      </c>
      <c r="B738" s="4" t="str">
        <f>IFERROR(__xludf.DUMMYFUNCTION("""COMPUTED_VALUE"""),"apewifhat")</f>
        <v>apewifhat</v>
      </c>
      <c r="C738" s="4" t="str">
        <f>IFERROR(__xludf.DUMMYFUNCTION("""COMPUTED_VALUE"""),"ApeWifHat")</f>
        <v>ApeWifHat</v>
      </c>
    </row>
    <row r="739">
      <c r="A739" s="4" t="str">
        <f>IFERROR(__xludf.DUMMYFUNCTION("""COMPUTED_VALUE"""),"apexcoin-global")</f>
        <v>apexcoin-global</v>
      </c>
      <c r="B739" s="4" t="str">
        <f>IFERROR(__xludf.DUMMYFUNCTION("""COMPUTED_VALUE"""),"acx")</f>
        <v>acx</v>
      </c>
      <c r="C739" s="4" t="str">
        <f>IFERROR(__xludf.DUMMYFUNCTION("""COMPUTED_VALUE"""),"Apex Coin")</f>
        <v>Apex Coin</v>
      </c>
    </row>
    <row r="740">
      <c r="A740" s="4" t="str">
        <f>IFERROR(__xludf.DUMMYFUNCTION("""COMPUTED_VALUE"""),"apexit-finance")</f>
        <v>apexit-finance</v>
      </c>
      <c r="B740" s="4" t="str">
        <f>IFERROR(__xludf.DUMMYFUNCTION("""COMPUTED_VALUE"""),"apex")</f>
        <v>apex</v>
      </c>
      <c r="C740" s="4" t="str">
        <f>IFERROR(__xludf.DUMMYFUNCTION("""COMPUTED_VALUE"""),"ApeXit Finance")</f>
        <v>ApeXit Finance</v>
      </c>
    </row>
    <row r="741">
      <c r="A741" s="4" t="str">
        <f>IFERROR(__xludf.DUMMYFUNCTION("""COMPUTED_VALUE"""),"apex-token-2")</f>
        <v>apex-token-2</v>
      </c>
      <c r="B741" s="4" t="str">
        <f>IFERROR(__xludf.DUMMYFUNCTION("""COMPUTED_VALUE"""),"apex")</f>
        <v>apex</v>
      </c>
      <c r="C741" s="4" t="str">
        <f>IFERROR(__xludf.DUMMYFUNCTION("""COMPUTED_VALUE"""),"ApeX")</f>
        <v>ApeX</v>
      </c>
    </row>
    <row r="742">
      <c r="A742" s="4" t="str">
        <f>IFERROR(__xludf.DUMMYFUNCTION("""COMPUTED_VALUE"""),"apf-coin")</f>
        <v>apf-coin</v>
      </c>
      <c r="B742" s="4" t="str">
        <f>IFERROR(__xludf.DUMMYFUNCTION("""COMPUTED_VALUE"""),"apfc")</f>
        <v>apfc</v>
      </c>
      <c r="C742" s="4" t="str">
        <f>IFERROR(__xludf.DUMMYFUNCTION("""COMPUTED_VALUE"""),"APF coin")</f>
        <v>APF coin</v>
      </c>
    </row>
    <row r="743">
      <c r="A743" s="4" t="str">
        <f>IFERROR(__xludf.DUMMYFUNCTION("""COMPUTED_VALUE"""),"api3")</f>
        <v>api3</v>
      </c>
      <c r="B743" s="4" t="str">
        <f>IFERROR(__xludf.DUMMYFUNCTION("""COMPUTED_VALUE"""),"api3")</f>
        <v>api3</v>
      </c>
      <c r="C743" s="4" t="str">
        <f>IFERROR(__xludf.DUMMYFUNCTION("""COMPUTED_VALUE"""),"API3")</f>
        <v>API3</v>
      </c>
    </row>
    <row r="744">
      <c r="A744" s="4" t="str">
        <f>IFERROR(__xludf.DUMMYFUNCTION("""COMPUTED_VALUE"""),"apidae")</f>
        <v>apidae</v>
      </c>
      <c r="B744" s="4" t="str">
        <f>IFERROR(__xludf.DUMMYFUNCTION("""COMPUTED_VALUE"""),"apt")</f>
        <v>apt</v>
      </c>
      <c r="C744" s="4" t="str">
        <f>IFERROR(__xludf.DUMMYFUNCTION("""COMPUTED_VALUE"""),"Apidae")</f>
        <v>Apidae</v>
      </c>
    </row>
    <row r="745">
      <c r="A745" s="4" t="str">
        <f>IFERROR(__xludf.DUMMYFUNCTION("""COMPUTED_VALUE"""),"aping")</f>
        <v>aping</v>
      </c>
      <c r="B745" s="4" t="str">
        <f>IFERROR(__xludf.DUMMYFUNCTION("""COMPUTED_VALUE"""),"aping")</f>
        <v>aping</v>
      </c>
      <c r="C745" s="4" t="str">
        <f>IFERROR(__xludf.DUMMYFUNCTION("""COMPUTED_VALUE"""),"aping")</f>
        <v>aping</v>
      </c>
    </row>
    <row r="746">
      <c r="A746" s="4" t="str">
        <f>IFERROR(__xludf.DUMMYFUNCTION("""COMPUTED_VALUE"""),"apin-pulse")</f>
        <v>apin-pulse</v>
      </c>
      <c r="B746" s="4" t="str">
        <f>IFERROR(__xludf.DUMMYFUNCTION("""COMPUTED_VALUE"""),"apc")</f>
        <v>apc</v>
      </c>
      <c r="C746" s="4" t="str">
        <f>IFERROR(__xludf.DUMMYFUNCTION("""COMPUTED_VALUE"""),"Apin Pulse")</f>
        <v>Apin Pulse</v>
      </c>
    </row>
    <row r="747">
      <c r="A747" s="4" t="str">
        <f>IFERROR(__xludf.DUMMYFUNCTION("""COMPUTED_VALUE"""),"apis-finance")</f>
        <v>apis-finance</v>
      </c>
      <c r="B747" s="4" t="str">
        <f>IFERROR(__xludf.DUMMYFUNCTION("""COMPUTED_VALUE"""),"bep-20")</f>
        <v>bep-20</v>
      </c>
      <c r="C747" s="4" t="str">
        <f>IFERROR(__xludf.DUMMYFUNCTION("""COMPUTED_VALUE"""),"Apis finance")</f>
        <v>Apis finance</v>
      </c>
    </row>
    <row r="748">
      <c r="A748" s="4" t="str">
        <f>IFERROR(__xludf.DUMMYFUNCTION("""COMPUTED_VALUE"""),"apm-coin")</f>
        <v>apm-coin</v>
      </c>
      <c r="B748" s="4" t="str">
        <f>IFERROR(__xludf.DUMMYFUNCTION("""COMPUTED_VALUE"""),"apm")</f>
        <v>apm</v>
      </c>
      <c r="C748" s="4" t="str">
        <f>IFERROR(__xludf.DUMMYFUNCTION("""COMPUTED_VALUE"""),"apM Coin")</f>
        <v>apM Coin</v>
      </c>
    </row>
    <row r="749">
      <c r="A749" s="4" t="str">
        <f>IFERROR(__xludf.DUMMYFUNCTION("""COMPUTED_VALUE"""),"apollo")</f>
        <v>apollo</v>
      </c>
      <c r="B749" s="4" t="str">
        <f>IFERROR(__xludf.DUMMYFUNCTION("""COMPUTED_VALUE"""),"apl")</f>
        <v>apl</v>
      </c>
      <c r="C749" s="4" t="str">
        <f>IFERROR(__xludf.DUMMYFUNCTION("""COMPUTED_VALUE"""),"Apollo")</f>
        <v>Apollo</v>
      </c>
    </row>
    <row r="750">
      <c r="A750" s="4" t="str">
        <f>IFERROR(__xludf.DUMMYFUNCTION("""COMPUTED_VALUE"""),"apollo-2")</f>
        <v>apollo-2</v>
      </c>
      <c r="B750" s="4" t="str">
        <f>IFERROR(__xludf.DUMMYFUNCTION("""COMPUTED_VALUE"""),"apollo")</f>
        <v>apollo</v>
      </c>
      <c r="C750" s="4" t="str">
        <f>IFERROR(__xludf.DUMMYFUNCTION("""COMPUTED_VALUE"""),"Apollo")</f>
        <v>Apollo</v>
      </c>
    </row>
    <row r="751">
      <c r="A751" s="4" t="str">
        <f>IFERROR(__xludf.DUMMYFUNCTION("""COMPUTED_VALUE"""),"apollo-crypto")</f>
        <v>apollo-crypto</v>
      </c>
      <c r="B751" s="4" t="str">
        <f>IFERROR(__xludf.DUMMYFUNCTION("""COMPUTED_VALUE"""),"apollo")</f>
        <v>apollo</v>
      </c>
      <c r="C751" s="4" t="str">
        <f>IFERROR(__xludf.DUMMYFUNCTION("""COMPUTED_VALUE"""),"Apollo Crypto")</f>
        <v>Apollo Crypto</v>
      </c>
    </row>
    <row r="752">
      <c r="A752" s="4" t="str">
        <f>IFERROR(__xludf.DUMMYFUNCTION("""COMPUTED_VALUE"""),"apollon-limassol")</f>
        <v>apollon-limassol</v>
      </c>
      <c r="B752" s="4" t="str">
        <f>IFERROR(__xludf.DUMMYFUNCTION("""COMPUTED_VALUE"""),"apl")</f>
        <v>apl</v>
      </c>
      <c r="C752" s="4" t="str">
        <f>IFERROR(__xludf.DUMMYFUNCTION("""COMPUTED_VALUE"""),"Apollon Limassol Fan Token")</f>
        <v>Apollon Limassol Fan Token</v>
      </c>
    </row>
    <row r="753">
      <c r="A753" s="4" t="str">
        <f>IFERROR(__xludf.DUMMYFUNCTION("""COMPUTED_VALUE"""),"apollo-token")</f>
        <v>apollo-token</v>
      </c>
      <c r="B753" s="4" t="str">
        <f>IFERROR(__xludf.DUMMYFUNCTION("""COMPUTED_VALUE"""),"apollo")</f>
        <v>apollo</v>
      </c>
      <c r="C753" s="4" t="str">
        <f>IFERROR(__xludf.DUMMYFUNCTION("""COMPUTED_VALUE"""),"Apollo Token")</f>
        <v>Apollo Token</v>
      </c>
    </row>
    <row r="754">
      <c r="A754" s="4" t="str">
        <f>IFERROR(__xludf.DUMMYFUNCTION("""COMPUTED_VALUE"""),"apollox-2")</f>
        <v>apollox-2</v>
      </c>
      <c r="B754" s="4" t="str">
        <f>IFERROR(__xludf.DUMMYFUNCTION("""COMPUTED_VALUE"""),"apx")</f>
        <v>apx</v>
      </c>
      <c r="C754" s="4" t="str">
        <f>IFERROR(__xludf.DUMMYFUNCTION("""COMPUTED_VALUE"""),"APX")</f>
        <v>APX</v>
      </c>
    </row>
    <row r="755">
      <c r="A755" s="4" t="str">
        <f>IFERROR(__xludf.DUMMYFUNCTION("""COMPUTED_VALUE"""),"appcoins")</f>
        <v>appcoins</v>
      </c>
      <c r="B755" s="4" t="str">
        <f>IFERROR(__xludf.DUMMYFUNCTION("""COMPUTED_VALUE"""),"appc")</f>
        <v>appc</v>
      </c>
      <c r="C755" s="4" t="str">
        <f>IFERROR(__xludf.DUMMYFUNCTION("""COMPUTED_VALUE"""),"AppCoins")</f>
        <v>AppCoins</v>
      </c>
    </row>
    <row r="756">
      <c r="A756" s="4" t="str">
        <f>IFERROR(__xludf.DUMMYFUNCTION("""COMPUTED_VALUE"""),"appics")</f>
        <v>appics</v>
      </c>
      <c r="B756" s="4" t="str">
        <f>IFERROR(__xludf.DUMMYFUNCTION("""COMPUTED_VALUE"""),"apx")</f>
        <v>apx</v>
      </c>
      <c r="C756" s="4" t="str">
        <f>IFERROR(__xludf.DUMMYFUNCTION("""COMPUTED_VALUE"""),"Appics")</f>
        <v>Appics</v>
      </c>
    </row>
    <row r="757">
      <c r="A757" s="4" t="str">
        <f>IFERROR(__xludf.DUMMYFUNCTION("""COMPUTED_VALUE"""),"apple-cat")</f>
        <v>apple-cat</v>
      </c>
      <c r="B757" s="4" t="str">
        <f>IFERROR(__xludf.DUMMYFUNCTION("""COMPUTED_VALUE"""),"$acat")</f>
        <v>$acat</v>
      </c>
      <c r="C757" s="4" t="str">
        <f>IFERROR(__xludf.DUMMYFUNCTION("""COMPUTED_VALUE"""),"Apple Cat")</f>
        <v>Apple Cat</v>
      </c>
    </row>
    <row r="758">
      <c r="A758" s="4" t="str">
        <f>IFERROR(__xludf.DUMMYFUNCTION("""COMPUTED_VALUE"""),"apple-pie")</f>
        <v>apple-pie</v>
      </c>
      <c r="B758" s="4" t="str">
        <f>IFERROR(__xludf.DUMMYFUNCTION("""COMPUTED_VALUE"""),"pie")</f>
        <v>pie</v>
      </c>
      <c r="C758" s="4" t="str">
        <f>IFERROR(__xludf.DUMMYFUNCTION("""COMPUTED_VALUE"""),"Apple Pie")</f>
        <v>Apple Pie</v>
      </c>
    </row>
    <row r="759">
      <c r="A759" s="4" t="str">
        <f>IFERROR(__xludf.DUMMYFUNCTION("""COMPUTED_VALUE"""),"apple-tokenized-stock-defichain")</f>
        <v>apple-tokenized-stock-defichain</v>
      </c>
      <c r="B759" s="4" t="str">
        <f>IFERROR(__xludf.DUMMYFUNCTION("""COMPUTED_VALUE"""),"daapl")</f>
        <v>daapl</v>
      </c>
      <c r="C759" s="4" t="str">
        <f>IFERROR(__xludf.DUMMYFUNCTION("""COMPUTED_VALUE"""),"Apple Tokenized Stock Defichain")</f>
        <v>Apple Tokenized Stock Defichain</v>
      </c>
    </row>
    <row r="760">
      <c r="A760" s="4" t="str">
        <f>IFERROR(__xludf.DUMMYFUNCTION("""COMPUTED_VALUE"""),"apricot")</f>
        <v>apricot</v>
      </c>
      <c r="B760" s="4" t="str">
        <f>IFERROR(__xludf.DUMMYFUNCTION("""COMPUTED_VALUE"""),"aprt")</f>
        <v>aprt</v>
      </c>
      <c r="C760" s="4" t="str">
        <f>IFERROR(__xludf.DUMMYFUNCTION("""COMPUTED_VALUE"""),"Apricot")</f>
        <v>Apricot</v>
      </c>
    </row>
    <row r="761">
      <c r="A761" s="4" t="str">
        <f>IFERROR(__xludf.DUMMYFUNCTION("""COMPUTED_VALUE"""),"april")</f>
        <v>april</v>
      </c>
      <c r="B761" s="4" t="str">
        <f>IFERROR(__xludf.DUMMYFUNCTION("""COMPUTED_VALUE"""),"april")</f>
        <v>april</v>
      </c>
      <c r="C761" s="4" t="str">
        <f>IFERROR(__xludf.DUMMYFUNCTION("""COMPUTED_VALUE"""),"April")</f>
        <v>April</v>
      </c>
    </row>
    <row r="762">
      <c r="A762" s="4" t="str">
        <f>IFERROR(__xludf.DUMMYFUNCTION("""COMPUTED_VALUE"""),"apron")</f>
        <v>apron</v>
      </c>
      <c r="B762" s="4" t="str">
        <f>IFERROR(__xludf.DUMMYFUNCTION("""COMPUTED_VALUE"""),"apn")</f>
        <v>apn</v>
      </c>
      <c r="C762" s="4" t="str">
        <f>IFERROR(__xludf.DUMMYFUNCTION("""COMPUTED_VALUE"""),"Apron")</f>
        <v>Apron</v>
      </c>
    </row>
    <row r="763">
      <c r="A763" s="4" t="str">
        <f>IFERROR(__xludf.DUMMYFUNCTION("""COMPUTED_VALUE"""),"apsis")</f>
        <v>apsis</v>
      </c>
      <c r="B763" s="4" t="str">
        <f>IFERROR(__xludf.DUMMYFUNCTION("""COMPUTED_VALUE"""),"aps")</f>
        <v>aps</v>
      </c>
      <c r="C763" s="4" t="str">
        <f>IFERROR(__xludf.DUMMYFUNCTION("""COMPUTED_VALUE"""),"Apsis")</f>
        <v>Apsis</v>
      </c>
    </row>
    <row r="764">
      <c r="A764" s="4" t="str">
        <f>IFERROR(__xludf.DUMMYFUNCTION("""COMPUTED_VALUE"""),"aptopad")</f>
        <v>aptopad</v>
      </c>
      <c r="B764" s="4" t="str">
        <f>IFERROR(__xludf.DUMMYFUNCTION("""COMPUTED_VALUE"""),"apd")</f>
        <v>apd</v>
      </c>
      <c r="C764" s="4" t="str">
        <f>IFERROR(__xludf.DUMMYFUNCTION("""COMPUTED_VALUE"""),"Aptopad")</f>
        <v>Aptopad</v>
      </c>
    </row>
    <row r="765">
      <c r="A765" s="4" t="str">
        <f>IFERROR(__xludf.DUMMYFUNCTION("""COMPUTED_VALUE"""),"aptos")</f>
        <v>aptos</v>
      </c>
      <c r="B765" s="4" t="str">
        <f>IFERROR(__xludf.DUMMYFUNCTION("""COMPUTED_VALUE"""),"apt")</f>
        <v>apt</v>
      </c>
      <c r="C765" s="4" t="str">
        <f>IFERROR(__xludf.DUMMYFUNCTION("""COMPUTED_VALUE"""),"Aptos")</f>
        <v>Aptos</v>
      </c>
    </row>
    <row r="766">
      <c r="A766" s="4" t="str">
        <f>IFERROR(__xludf.DUMMYFUNCTION("""COMPUTED_VALUE"""),"aptos-launch-token")</f>
        <v>aptos-launch-token</v>
      </c>
      <c r="B766" s="4" t="str">
        <f>IFERROR(__xludf.DUMMYFUNCTION("""COMPUTED_VALUE"""),"alt")</f>
        <v>alt</v>
      </c>
      <c r="C766" s="4" t="str">
        <f>IFERROR(__xludf.DUMMYFUNCTION("""COMPUTED_VALUE"""),"AptosLaunch Token")</f>
        <v>AptosLaunch Token</v>
      </c>
    </row>
    <row r="767">
      <c r="A767" s="4" t="str">
        <f>IFERROR(__xludf.DUMMYFUNCTION("""COMPUTED_VALUE"""),"apu-s-club")</f>
        <v>apu-s-club</v>
      </c>
      <c r="B767" s="4" t="str">
        <f>IFERROR(__xludf.DUMMYFUNCTION("""COMPUTED_VALUE"""),"apu")</f>
        <v>apu</v>
      </c>
      <c r="C767" s="4" t="str">
        <f>IFERROR(__xludf.DUMMYFUNCTION("""COMPUTED_VALUE"""),"Apu Apustaja")</f>
        <v>Apu Apustaja</v>
      </c>
    </row>
    <row r="768">
      <c r="A768" s="4" t="str">
        <f>IFERROR(__xludf.DUMMYFUNCTION("""COMPUTED_VALUE"""),"apwine")</f>
        <v>apwine</v>
      </c>
      <c r="B768" s="4" t="str">
        <f>IFERROR(__xludf.DUMMYFUNCTION("""COMPUTED_VALUE"""),"apw")</f>
        <v>apw</v>
      </c>
      <c r="C768" s="4" t="str">
        <f>IFERROR(__xludf.DUMMYFUNCTION("""COMPUTED_VALUE"""),"Spectra")</f>
        <v>Spectra</v>
      </c>
    </row>
    <row r="769">
      <c r="A769" s="4" t="str">
        <f>IFERROR(__xludf.DUMMYFUNCTION("""COMPUTED_VALUE"""),"apy-finance")</f>
        <v>apy-finance</v>
      </c>
      <c r="B769" s="4" t="str">
        <f>IFERROR(__xludf.DUMMYFUNCTION("""COMPUTED_VALUE"""),"apy")</f>
        <v>apy</v>
      </c>
      <c r="C769" s="4" t="str">
        <f>IFERROR(__xludf.DUMMYFUNCTION("""COMPUTED_VALUE"""),"APY.Finance")</f>
        <v>APY.Finance</v>
      </c>
    </row>
    <row r="770">
      <c r="A770" s="4" t="str">
        <f>IFERROR(__xludf.DUMMYFUNCTION("""COMPUTED_VALUE"""),"apyswap")</f>
        <v>apyswap</v>
      </c>
      <c r="B770" s="4" t="str">
        <f>IFERROR(__xludf.DUMMYFUNCTION("""COMPUTED_VALUE"""),"apys")</f>
        <v>apys</v>
      </c>
      <c r="C770" s="4" t="str">
        <f>IFERROR(__xludf.DUMMYFUNCTION("""COMPUTED_VALUE"""),"APYSwap")</f>
        <v>APYSwap</v>
      </c>
    </row>
    <row r="771">
      <c r="A771" s="4" t="str">
        <f>IFERROR(__xludf.DUMMYFUNCTION("""COMPUTED_VALUE"""),"apy-vision")</f>
        <v>apy-vision</v>
      </c>
      <c r="B771" s="4" t="str">
        <f>IFERROR(__xludf.DUMMYFUNCTION("""COMPUTED_VALUE"""),"vision")</f>
        <v>vision</v>
      </c>
      <c r="C771" s="4" t="str">
        <f>IFERROR(__xludf.DUMMYFUNCTION("""COMPUTED_VALUE"""),"APY.vision")</f>
        <v>APY.vision</v>
      </c>
    </row>
    <row r="772">
      <c r="A772" s="4" t="str">
        <f>IFERROR(__xludf.DUMMYFUNCTION("""COMPUTED_VALUE"""),"aqtis")</f>
        <v>aqtis</v>
      </c>
      <c r="B772" s="4" t="str">
        <f>IFERROR(__xludf.DUMMYFUNCTION("""COMPUTED_VALUE"""),"aqtis")</f>
        <v>aqtis</v>
      </c>
      <c r="C772" s="4" t="str">
        <f>IFERROR(__xludf.DUMMYFUNCTION("""COMPUTED_VALUE"""),"AQTIS")</f>
        <v>AQTIS</v>
      </c>
    </row>
    <row r="773">
      <c r="A773" s="4" t="str">
        <f>IFERROR(__xludf.DUMMYFUNCTION("""COMPUTED_VALUE"""),"aquadao")</f>
        <v>aquadao</v>
      </c>
      <c r="B773" s="4" t="str">
        <f>IFERROR(__xludf.DUMMYFUNCTION("""COMPUTED_VALUE"""),"$aqua")</f>
        <v>$aqua</v>
      </c>
      <c r="C773" s="4" t="str">
        <f>IFERROR(__xludf.DUMMYFUNCTION("""COMPUTED_VALUE"""),"AquaDAO")</f>
        <v>AquaDAO</v>
      </c>
    </row>
    <row r="774">
      <c r="A774" s="4" t="str">
        <f>IFERROR(__xludf.DUMMYFUNCTION("""COMPUTED_VALUE"""),"aqua-goat")</f>
        <v>aqua-goat</v>
      </c>
      <c r="B774" s="4" t="str">
        <f>IFERROR(__xludf.DUMMYFUNCTION("""COMPUTED_VALUE"""),"aquagoat")</f>
        <v>aquagoat</v>
      </c>
      <c r="C774" s="4" t="str">
        <f>IFERROR(__xludf.DUMMYFUNCTION("""COMPUTED_VALUE"""),"Aqua Goat")</f>
        <v>Aqua Goat</v>
      </c>
    </row>
    <row r="775">
      <c r="A775" s="4" t="str">
        <f>IFERROR(__xludf.DUMMYFUNCTION("""COMPUTED_VALUE"""),"aqualibre")</f>
        <v>aqualibre</v>
      </c>
      <c r="B775" s="4" t="str">
        <f>IFERROR(__xludf.DUMMYFUNCTION("""COMPUTED_VALUE"""),"aqla")</f>
        <v>aqla</v>
      </c>
      <c r="C775" s="4" t="str">
        <f>IFERROR(__xludf.DUMMYFUNCTION("""COMPUTED_VALUE"""),"Aqualibre")</f>
        <v>Aqualibre</v>
      </c>
    </row>
    <row r="776">
      <c r="A776" s="4" t="str">
        <f>IFERROR(__xludf.DUMMYFUNCTION("""COMPUTED_VALUE"""),"aquanee")</f>
        <v>aquanee</v>
      </c>
      <c r="B776" s="4" t="str">
        <f>IFERROR(__xludf.DUMMYFUNCTION("""COMPUTED_VALUE"""),"aqdc")</f>
        <v>aqdc</v>
      </c>
      <c r="C776" s="4" t="str">
        <f>IFERROR(__xludf.DUMMYFUNCTION("""COMPUTED_VALUE"""),"Aquanee")</f>
        <v>Aquanee</v>
      </c>
    </row>
    <row r="777">
      <c r="A777" s="4" t="str">
        <f>IFERROR(__xludf.DUMMYFUNCTION("""COMPUTED_VALUE"""),"aquari")</f>
        <v>aquari</v>
      </c>
      <c r="B777" s="4" t="str">
        <f>IFERROR(__xludf.DUMMYFUNCTION("""COMPUTED_VALUE"""),"aquari")</f>
        <v>aquari</v>
      </c>
      <c r="C777" s="4" t="str">
        <f>IFERROR(__xludf.DUMMYFUNCTION("""COMPUTED_VALUE"""),"Aquari")</f>
        <v>Aquari</v>
      </c>
    </row>
    <row r="778">
      <c r="A778" s="4" t="str">
        <f>IFERROR(__xludf.DUMMYFUNCTION("""COMPUTED_VALUE"""),"aquarius")</f>
        <v>aquarius</v>
      </c>
      <c r="B778" s="4" t="str">
        <f>IFERROR(__xludf.DUMMYFUNCTION("""COMPUTED_VALUE"""),"aqua")</f>
        <v>aqua</v>
      </c>
      <c r="C778" s="4" t="str">
        <f>IFERROR(__xludf.DUMMYFUNCTION("""COMPUTED_VALUE"""),"Aquarius")</f>
        <v>Aquarius</v>
      </c>
    </row>
    <row r="779">
      <c r="A779" s="4" t="str">
        <f>IFERROR(__xludf.DUMMYFUNCTION("""COMPUTED_VALUE"""),"aquariuscoin")</f>
        <v>aquariuscoin</v>
      </c>
      <c r="B779" s="4" t="str">
        <f>IFERROR(__xludf.DUMMYFUNCTION("""COMPUTED_VALUE"""),"arco")</f>
        <v>arco</v>
      </c>
      <c r="C779" s="4" t="str">
        <f>IFERROR(__xludf.DUMMYFUNCTION("""COMPUTED_VALUE"""),"AquariusCoin")</f>
        <v>AquariusCoin</v>
      </c>
    </row>
    <row r="780">
      <c r="A780" s="4" t="str">
        <f>IFERROR(__xludf.DUMMYFUNCTION("""COMPUTED_VALUE"""),"aquarius-loan")</f>
        <v>aquarius-loan</v>
      </c>
      <c r="B780" s="4" t="str">
        <f>IFERROR(__xludf.DUMMYFUNCTION("""COMPUTED_VALUE"""),"ars")</f>
        <v>ars</v>
      </c>
      <c r="C780" s="4" t="str">
        <f>IFERROR(__xludf.DUMMYFUNCTION("""COMPUTED_VALUE"""),"Aquarius Loan")</f>
        <v>Aquarius Loan</v>
      </c>
    </row>
    <row r="781">
      <c r="A781" s="4" t="str">
        <f>IFERROR(__xludf.DUMMYFUNCTION("""COMPUTED_VALUE"""),"arab-cat")</f>
        <v>arab-cat</v>
      </c>
      <c r="B781" s="4" t="str">
        <f>IFERROR(__xludf.DUMMYFUNCTION("""COMPUTED_VALUE"""),"arab")</f>
        <v>arab</v>
      </c>
      <c r="C781" s="4" t="str">
        <f>IFERROR(__xludf.DUMMYFUNCTION("""COMPUTED_VALUE"""),"Arab cat")</f>
        <v>Arab cat</v>
      </c>
    </row>
    <row r="782">
      <c r="A782" s="4" t="str">
        <f>IFERROR(__xludf.DUMMYFUNCTION("""COMPUTED_VALUE"""),"arabianchain")</f>
        <v>arabianchain</v>
      </c>
      <c r="B782" s="4" t="str">
        <f>IFERROR(__xludf.DUMMYFUNCTION("""COMPUTED_VALUE"""),"dubx")</f>
        <v>dubx</v>
      </c>
      <c r="C782" s="4" t="str">
        <f>IFERROR(__xludf.DUMMYFUNCTION("""COMPUTED_VALUE"""),"ArabianChain")</f>
        <v>ArabianChain</v>
      </c>
    </row>
    <row r="783">
      <c r="A783" s="4" t="str">
        <f>IFERROR(__xludf.DUMMYFUNCTION("""COMPUTED_VALUE"""),"arabian-dragon")</f>
        <v>arabian-dragon</v>
      </c>
      <c r="B783" s="4" t="str">
        <f>IFERROR(__xludf.DUMMYFUNCTION("""COMPUTED_VALUE"""),"agon")</f>
        <v>agon</v>
      </c>
      <c r="C783" s="4" t="str">
        <f>IFERROR(__xludf.DUMMYFUNCTION("""COMPUTED_VALUE"""),"Arabian Dragon")</f>
        <v>Arabian Dragon</v>
      </c>
    </row>
    <row r="784">
      <c r="A784" s="4" t="str">
        <f>IFERROR(__xludf.DUMMYFUNCTION("""COMPUTED_VALUE"""),"arabic")</f>
        <v>arabic</v>
      </c>
      <c r="B784" s="4" t="str">
        <f>IFERROR(__xludf.DUMMYFUNCTION("""COMPUTED_VALUE"""),"abic")</f>
        <v>abic</v>
      </c>
      <c r="C784" s="4" t="str">
        <f>IFERROR(__xludf.DUMMYFUNCTION("""COMPUTED_VALUE"""),"Arabic")</f>
        <v>Arabic</v>
      </c>
    </row>
    <row r="785">
      <c r="A785" s="4" t="str">
        <f>IFERROR(__xludf.DUMMYFUNCTION("""COMPUTED_VALUE"""),"arable-protocol")</f>
        <v>arable-protocol</v>
      </c>
      <c r="B785" s="4" t="str">
        <f>IFERROR(__xludf.DUMMYFUNCTION("""COMPUTED_VALUE"""),"acre")</f>
        <v>acre</v>
      </c>
      <c r="C785" s="4" t="str">
        <f>IFERROR(__xludf.DUMMYFUNCTION("""COMPUTED_VALUE"""),"Arable Protocol")</f>
        <v>Arable Protocol</v>
      </c>
    </row>
    <row r="786">
      <c r="A786" s="4" t="str">
        <f>IFERROR(__xludf.DUMMYFUNCTION("""COMPUTED_VALUE"""),"arafi")</f>
        <v>arafi</v>
      </c>
      <c r="B786" s="4" t="str">
        <f>IFERROR(__xludf.DUMMYFUNCTION("""COMPUTED_VALUE"""),"ara")</f>
        <v>ara</v>
      </c>
      <c r="C786" s="4" t="str">
        <f>IFERROR(__xludf.DUMMYFUNCTION("""COMPUTED_VALUE"""),"AraFi")</f>
        <v>AraFi</v>
      </c>
    </row>
    <row r="787">
      <c r="A787" s="4" t="str">
        <f>IFERROR(__xludf.DUMMYFUNCTION("""COMPUTED_VALUE"""),"aragon")</f>
        <v>aragon</v>
      </c>
      <c r="B787" s="4" t="str">
        <f>IFERROR(__xludf.DUMMYFUNCTION("""COMPUTED_VALUE"""),"ant")</f>
        <v>ant</v>
      </c>
      <c r="C787" s="4" t="str">
        <f>IFERROR(__xludf.DUMMYFUNCTION("""COMPUTED_VALUE"""),"Aragon")</f>
        <v>Aragon</v>
      </c>
    </row>
    <row r="788">
      <c r="A788" s="4" t="str">
        <f>IFERROR(__xludf.DUMMYFUNCTION("""COMPUTED_VALUE"""),"ara-token")</f>
        <v>ara-token</v>
      </c>
      <c r="B788" s="4" t="str">
        <f>IFERROR(__xludf.DUMMYFUNCTION("""COMPUTED_VALUE"""),"ara")</f>
        <v>ara</v>
      </c>
      <c r="C788" s="4" t="str">
        <f>IFERROR(__xludf.DUMMYFUNCTION("""COMPUTED_VALUE"""),"Ara")</f>
        <v>Ara</v>
      </c>
    </row>
    <row r="789">
      <c r="A789" s="4" t="str">
        <f>IFERROR(__xludf.DUMMYFUNCTION("""COMPUTED_VALUE"""),"arbdoge-ai")</f>
        <v>arbdoge-ai</v>
      </c>
      <c r="B789" s="4" t="str">
        <f>IFERROR(__xludf.DUMMYFUNCTION("""COMPUTED_VALUE"""),"aidoge")</f>
        <v>aidoge</v>
      </c>
      <c r="C789" s="4" t="str">
        <f>IFERROR(__xludf.DUMMYFUNCTION("""COMPUTED_VALUE"""),"ArbDoge AI")</f>
        <v>ArbDoge AI</v>
      </c>
    </row>
    <row r="790">
      <c r="A790" s="4" t="str">
        <f>IFERROR(__xludf.DUMMYFUNCTION("""COMPUTED_VALUE"""),"arbidoge")</f>
        <v>arbidoge</v>
      </c>
      <c r="B790" s="4" t="str">
        <f>IFERROR(__xludf.DUMMYFUNCTION("""COMPUTED_VALUE"""),"adoge")</f>
        <v>adoge</v>
      </c>
      <c r="C790" s="4" t="str">
        <f>IFERROR(__xludf.DUMMYFUNCTION("""COMPUTED_VALUE"""),"ArbiDoge")</f>
        <v>ArbiDoge</v>
      </c>
    </row>
    <row r="791">
      <c r="A791" s="4" t="str">
        <f>IFERROR(__xludf.DUMMYFUNCTION("""COMPUTED_VALUE"""),"arbinyan")</f>
        <v>arbinyan</v>
      </c>
      <c r="B791" s="4" t="str">
        <f>IFERROR(__xludf.DUMMYFUNCTION("""COMPUTED_VALUE"""),"nyan")</f>
        <v>nyan</v>
      </c>
      <c r="C791" s="4" t="str">
        <f>IFERROR(__xludf.DUMMYFUNCTION("""COMPUTED_VALUE"""),"ArbiNYAN")</f>
        <v>ArbiNYAN</v>
      </c>
    </row>
    <row r="792">
      <c r="A792" s="4" t="str">
        <f>IFERROR(__xludf.DUMMYFUNCTION("""COMPUTED_VALUE"""),"arbipad")</f>
        <v>arbipad</v>
      </c>
      <c r="B792" s="4" t="str">
        <f>IFERROR(__xludf.DUMMYFUNCTION("""COMPUTED_VALUE"""),"arbi")</f>
        <v>arbi</v>
      </c>
      <c r="C792" s="4" t="str">
        <f>IFERROR(__xludf.DUMMYFUNCTION("""COMPUTED_VALUE"""),"ArbiPad")</f>
        <v>ArbiPad</v>
      </c>
    </row>
    <row r="793">
      <c r="A793" s="4" t="str">
        <f>IFERROR(__xludf.DUMMYFUNCTION("""COMPUTED_VALUE"""),"arbismart-token")</f>
        <v>arbismart-token</v>
      </c>
      <c r="B793" s="4" t="str">
        <f>IFERROR(__xludf.DUMMYFUNCTION("""COMPUTED_VALUE"""),"rbis")</f>
        <v>rbis</v>
      </c>
      <c r="C793" s="4" t="str">
        <f>IFERROR(__xludf.DUMMYFUNCTION("""COMPUTED_VALUE"""),"ArbiSmart")</f>
        <v>ArbiSmart</v>
      </c>
    </row>
    <row r="794">
      <c r="A794" s="4" t="str">
        <f>IFERROR(__xludf.DUMMYFUNCTION("""COMPUTED_VALUE"""),"arbiten-10share")</f>
        <v>arbiten-10share</v>
      </c>
      <c r="B794" s="4" t="str">
        <f>IFERROR(__xludf.DUMMYFUNCTION("""COMPUTED_VALUE"""),"10share")</f>
        <v>10share</v>
      </c>
      <c r="C794" s="4" t="str">
        <f>IFERROR(__xludf.DUMMYFUNCTION("""COMPUTED_VALUE"""),"ArbiTen 10SHARE")</f>
        <v>ArbiTen 10SHARE</v>
      </c>
    </row>
    <row r="795">
      <c r="A795" s="4" t="str">
        <f>IFERROR(__xludf.DUMMYFUNCTION("""COMPUTED_VALUE"""),"arbitrove-alp")</f>
        <v>arbitrove-alp</v>
      </c>
      <c r="B795" s="4" t="str">
        <f>IFERROR(__xludf.DUMMYFUNCTION("""COMPUTED_VALUE"""),"alp")</f>
        <v>alp</v>
      </c>
      <c r="C795" s="4" t="str">
        <f>IFERROR(__xludf.DUMMYFUNCTION("""COMPUTED_VALUE"""),"Arbitrove ALP")</f>
        <v>Arbitrove ALP</v>
      </c>
    </row>
    <row r="796">
      <c r="A796" s="4" t="str">
        <f>IFERROR(__xludf.DUMMYFUNCTION("""COMPUTED_VALUE"""),"arbitrum")</f>
        <v>arbitrum</v>
      </c>
      <c r="B796" s="4" t="str">
        <f>IFERROR(__xludf.DUMMYFUNCTION("""COMPUTED_VALUE"""),"arb")</f>
        <v>arb</v>
      </c>
      <c r="C796" s="4" t="str">
        <f>IFERROR(__xludf.DUMMYFUNCTION("""COMPUTED_VALUE"""),"Arbitrum")</f>
        <v>Arbitrum</v>
      </c>
    </row>
    <row r="797">
      <c r="A797" s="4" t="str">
        <f>IFERROR(__xludf.DUMMYFUNCTION("""COMPUTED_VALUE"""),"arbitrum-bridged-usdt-arbitrum")</f>
        <v>arbitrum-bridged-usdt-arbitrum</v>
      </c>
      <c r="B797" s="4" t="str">
        <f>IFERROR(__xludf.DUMMYFUNCTION("""COMPUTED_VALUE"""),"usdt")</f>
        <v>usdt</v>
      </c>
      <c r="C797" s="4" t="str">
        <f>IFERROR(__xludf.DUMMYFUNCTION("""COMPUTED_VALUE"""),"Arbitrum Bridged USDT (Arbitrum)")</f>
        <v>Arbitrum Bridged USDT (Arbitrum)</v>
      </c>
    </row>
    <row r="798">
      <c r="A798" s="4" t="str">
        <f>IFERROR(__xludf.DUMMYFUNCTION("""COMPUTED_VALUE"""),"arbitrum-charts")</f>
        <v>arbitrum-charts</v>
      </c>
      <c r="B798" s="4" t="str">
        <f>IFERROR(__xludf.DUMMYFUNCTION("""COMPUTED_VALUE"""),"arcs")</f>
        <v>arcs</v>
      </c>
      <c r="C798" s="4" t="str">
        <f>IFERROR(__xludf.DUMMYFUNCTION("""COMPUTED_VALUE"""),"Arbitrum Charts")</f>
        <v>Arbitrum Charts</v>
      </c>
    </row>
    <row r="799">
      <c r="A799" s="4" t="str">
        <f>IFERROR(__xludf.DUMMYFUNCTION("""COMPUTED_VALUE"""),"arbitrum-ecosystem-index")</f>
        <v>arbitrum-ecosystem-index</v>
      </c>
      <c r="B799" s="4" t="str">
        <f>IFERROR(__xludf.DUMMYFUNCTION("""COMPUTED_VALUE"""),"arbi")</f>
        <v>arbi</v>
      </c>
      <c r="C799" s="4" t="str">
        <f>IFERROR(__xludf.DUMMYFUNCTION("""COMPUTED_VALUE"""),"Arbitrum Ecosystem Index")</f>
        <v>Arbitrum Ecosystem Index</v>
      </c>
    </row>
    <row r="800">
      <c r="A800" s="4" t="str">
        <f>IFERROR(__xludf.DUMMYFUNCTION("""COMPUTED_VALUE"""),"arbitrum-exchange")</f>
        <v>arbitrum-exchange</v>
      </c>
      <c r="B800" s="4" t="str">
        <f>IFERROR(__xludf.DUMMYFUNCTION("""COMPUTED_VALUE"""),"arx")</f>
        <v>arx</v>
      </c>
      <c r="C800" s="4" t="str">
        <f>IFERROR(__xludf.DUMMYFUNCTION("""COMPUTED_VALUE"""),"Arbidex")</f>
        <v>Arbidex</v>
      </c>
    </row>
    <row r="801">
      <c r="A801" s="4" t="str">
        <f>IFERROR(__xludf.DUMMYFUNCTION("""COMPUTED_VALUE"""),"arbitrumpad")</f>
        <v>arbitrumpad</v>
      </c>
      <c r="B801" s="4" t="str">
        <f>IFERROR(__xludf.DUMMYFUNCTION("""COMPUTED_VALUE"""),"arbpad")</f>
        <v>arbpad</v>
      </c>
      <c r="C801" s="4" t="str">
        <f>IFERROR(__xludf.DUMMYFUNCTION("""COMPUTED_VALUE"""),"ArbitrumPad")</f>
        <v>ArbitrumPad</v>
      </c>
    </row>
    <row r="802">
      <c r="A802" s="4" t="str">
        <f>IFERROR(__xludf.DUMMYFUNCTION("""COMPUTED_VALUE"""),"arbius")</f>
        <v>arbius</v>
      </c>
      <c r="B802" s="4" t="str">
        <f>IFERROR(__xludf.DUMMYFUNCTION("""COMPUTED_VALUE"""),"aius")</f>
        <v>aius</v>
      </c>
      <c r="C802" s="4" t="str">
        <f>IFERROR(__xludf.DUMMYFUNCTION("""COMPUTED_VALUE"""),"Arbius")</f>
        <v>Arbius</v>
      </c>
    </row>
    <row r="803">
      <c r="A803" s="4" t="str">
        <f>IFERROR(__xludf.DUMMYFUNCTION("""COMPUTED_VALUE"""),"arb-protocol")</f>
        <v>arb-protocol</v>
      </c>
      <c r="B803" s="4" t="str">
        <f>IFERROR(__xludf.DUMMYFUNCTION("""COMPUTED_VALUE"""),"arb")</f>
        <v>arb</v>
      </c>
      <c r="C803" s="4" t="str">
        <f>IFERROR(__xludf.DUMMYFUNCTION("""COMPUTED_VALUE"""),"ARB Protocol")</f>
        <v>ARB Protocol</v>
      </c>
    </row>
    <row r="804">
      <c r="A804" s="4" t="str">
        <f>IFERROR(__xludf.DUMMYFUNCTION("""COMPUTED_VALUE"""),"arbshib")</f>
        <v>arbshib</v>
      </c>
      <c r="B804" s="4" t="str">
        <f>IFERROR(__xludf.DUMMYFUNCTION("""COMPUTED_VALUE"""),"aishib")</f>
        <v>aishib</v>
      </c>
      <c r="C804" s="4" t="str">
        <f>IFERROR(__xludf.DUMMYFUNCTION("""COMPUTED_VALUE"""),"ArbShib")</f>
        <v>ArbShib</v>
      </c>
    </row>
    <row r="805">
      <c r="A805" s="4" t="str">
        <f>IFERROR(__xludf.DUMMYFUNCTION("""COMPUTED_VALUE"""),"arbswap")</f>
        <v>arbswap</v>
      </c>
      <c r="B805" s="4" t="str">
        <f>IFERROR(__xludf.DUMMYFUNCTION("""COMPUTED_VALUE"""),"arbs")</f>
        <v>arbs</v>
      </c>
      <c r="C805" s="4" t="str">
        <f>IFERROR(__xludf.DUMMYFUNCTION("""COMPUTED_VALUE"""),"Arbswap")</f>
        <v>Arbswap</v>
      </c>
    </row>
    <row r="806">
      <c r="A806" s="4" t="str">
        <f>IFERROR(__xludf.DUMMYFUNCTION("""COMPUTED_VALUE"""),"arbuz")</f>
        <v>arbuz</v>
      </c>
      <c r="B806" s="4" t="str">
        <f>IFERROR(__xludf.DUMMYFUNCTION("""COMPUTED_VALUE"""),"arbuz")</f>
        <v>arbuz</v>
      </c>
      <c r="C806" s="4" t="str">
        <f>IFERROR(__xludf.DUMMYFUNCTION("""COMPUTED_VALUE"""),"ARBUZ")</f>
        <v>ARBUZ</v>
      </c>
    </row>
    <row r="807">
      <c r="A807" s="4" t="str">
        <f>IFERROR(__xludf.DUMMYFUNCTION("""COMPUTED_VALUE"""),"arc")</f>
        <v>arc</v>
      </c>
      <c r="B807" s="4" t="str">
        <f>IFERROR(__xludf.DUMMYFUNCTION("""COMPUTED_VALUE"""),"arc")</f>
        <v>arc</v>
      </c>
      <c r="C807" s="4" t="str">
        <f>IFERROR(__xludf.DUMMYFUNCTION("""COMPUTED_VALUE"""),"Arc")</f>
        <v>Arc</v>
      </c>
    </row>
    <row r="808">
      <c r="A808" s="4" t="str">
        <f>IFERROR(__xludf.DUMMYFUNCTION("""COMPUTED_VALUE"""),"arcade-2")</f>
        <v>arcade-2</v>
      </c>
      <c r="B808" s="4" t="str">
        <f>IFERROR(__xludf.DUMMYFUNCTION("""COMPUTED_VALUE"""),"arc")</f>
        <v>arc</v>
      </c>
      <c r="C808" s="4" t="str">
        <f>IFERROR(__xludf.DUMMYFUNCTION("""COMPUTED_VALUE"""),"Arcade")</f>
        <v>Arcade</v>
      </c>
    </row>
    <row r="809">
      <c r="A809" s="4" t="str">
        <f>IFERROR(__xludf.DUMMYFUNCTION("""COMPUTED_VALUE"""),"arcade-arcoin")</f>
        <v>arcade-arcoin</v>
      </c>
      <c r="B809" s="4" t="str">
        <f>IFERROR(__xludf.DUMMYFUNCTION("""COMPUTED_VALUE"""),"arcn")</f>
        <v>arcn</v>
      </c>
      <c r="C809" s="4" t="str">
        <f>IFERROR(__xludf.DUMMYFUNCTION("""COMPUTED_VALUE"""),"Arcade Arcoin")</f>
        <v>Arcade Arcoin</v>
      </c>
    </row>
    <row r="810">
      <c r="A810" s="4" t="str">
        <f>IFERROR(__xludf.DUMMYFUNCTION("""COMPUTED_VALUE"""),"arcadefi")</f>
        <v>arcadefi</v>
      </c>
      <c r="B810" s="4" t="str">
        <f>IFERROR(__xludf.DUMMYFUNCTION("""COMPUTED_VALUE"""),"arcade")</f>
        <v>arcade</v>
      </c>
      <c r="C810" s="4" t="str">
        <f>IFERROR(__xludf.DUMMYFUNCTION("""COMPUTED_VALUE"""),"ArcadeFi")</f>
        <v>ArcadeFi</v>
      </c>
    </row>
    <row r="811">
      <c r="A811" s="4" t="str">
        <f>IFERROR(__xludf.DUMMYFUNCTION("""COMPUTED_VALUE"""),"arcade-protocol")</f>
        <v>arcade-protocol</v>
      </c>
      <c r="B811" s="4" t="str">
        <f>IFERROR(__xludf.DUMMYFUNCTION("""COMPUTED_VALUE"""),"arcd")</f>
        <v>arcd</v>
      </c>
      <c r="C811" s="4" t="str">
        <f>IFERROR(__xludf.DUMMYFUNCTION("""COMPUTED_VALUE"""),"Arcade")</f>
        <v>Arcade</v>
      </c>
    </row>
    <row r="812">
      <c r="A812" s="4" t="str">
        <f>IFERROR(__xludf.DUMMYFUNCTION("""COMPUTED_VALUE"""),"arcadeum")</f>
        <v>arcadeum</v>
      </c>
      <c r="B812" s="4" t="str">
        <f>IFERROR(__xludf.DUMMYFUNCTION("""COMPUTED_VALUE"""),"arc")</f>
        <v>arc</v>
      </c>
      <c r="C812" s="4" t="str">
        <f>IFERROR(__xludf.DUMMYFUNCTION("""COMPUTED_VALUE"""),"Arcadeum")</f>
        <v>Arcadeum</v>
      </c>
    </row>
    <row r="813">
      <c r="A813" s="4" t="str">
        <f>IFERROR(__xludf.DUMMYFUNCTION("""COMPUTED_VALUE"""),"arcadium")</f>
        <v>arcadium</v>
      </c>
      <c r="B813" s="4" t="str">
        <f>IFERROR(__xludf.DUMMYFUNCTION("""COMPUTED_VALUE"""),"arcadium")</f>
        <v>arcadium</v>
      </c>
      <c r="C813" s="4" t="str">
        <f>IFERROR(__xludf.DUMMYFUNCTION("""COMPUTED_VALUE"""),"Arcadium")</f>
        <v>Arcadium</v>
      </c>
    </row>
    <row r="814">
      <c r="A814" s="4" t="str">
        <f>IFERROR(__xludf.DUMMYFUNCTION("""COMPUTED_VALUE"""),"arcana-token")</f>
        <v>arcana-token</v>
      </c>
      <c r="B814" s="4" t="str">
        <f>IFERROR(__xludf.DUMMYFUNCTION("""COMPUTED_VALUE"""),"xar")</f>
        <v>xar</v>
      </c>
      <c r="C814" s="4" t="str">
        <f>IFERROR(__xludf.DUMMYFUNCTION("""COMPUTED_VALUE"""),"Arcana Network")</f>
        <v>Arcana Network</v>
      </c>
    </row>
    <row r="815">
      <c r="A815" s="4" t="str">
        <f>IFERROR(__xludf.DUMMYFUNCTION("""COMPUTED_VALUE"""),"arcanedex")</f>
        <v>arcanedex</v>
      </c>
      <c r="B815" s="4" t="str">
        <f>IFERROR(__xludf.DUMMYFUNCTION("""COMPUTED_VALUE"""),"arc")</f>
        <v>arc</v>
      </c>
      <c r="C815" s="4" t="str">
        <f>IFERROR(__xludf.DUMMYFUNCTION("""COMPUTED_VALUE"""),"ArcaneDEX")</f>
        <v>ArcaneDEX</v>
      </c>
    </row>
    <row r="816">
      <c r="A816" s="4" t="str">
        <f>IFERROR(__xludf.DUMMYFUNCTION("""COMPUTED_VALUE"""),"arcblock")</f>
        <v>arcblock</v>
      </c>
      <c r="B816" s="4" t="str">
        <f>IFERROR(__xludf.DUMMYFUNCTION("""COMPUTED_VALUE"""),"abt")</f>
        <v>abt</v>
      </c>
      <c r="C816" s="4" t="str">
        <f>IFERROR(__xludf.DUMMYFUNCTION("""COMPUTED_VALUE"""),"Arcblock")</f>
        <v>Arcblock</v>
      </c>
    </row>
    <row r="817">
      <c r="A817" s="4" t="str">
        <f>IFERROR(__xludf.DUMMYFUNCTION("""COMPUTED_VALUE"""),"arch-aggressive-portfolio")</f>
        <v>arch-aggressive-portfolio</v>
      </c>
      <c r="B817" s="4" t="str">
        <f>IFERROR(__xludf.DUMMYFUNCTION("""COMPUTED_VALUE"""),"aagg")</f>
        <v>aagg</v>
      </c>
      <c r="C817" s="4" t="str">
        <f>IFERROR(__xludf.DUMMYFUNCTION("""COMPUTED_VALUE"""),"Arch Aggressive Portfolio")</f>
        <v>Arch Aggressive Portfolio</v>
      </c>
    </row>
    <row r="818">
      <c r="A818" s="4" t="str">
        <f>IFERROR(__xludf.DUMMYFUNCTION("""COMPUTED_VALUE"""),"archangel-token")</f>
        <v>archangel-token</v>
      </c>
      <c r="B818" s="4" t="str">
        <f>IFERROR(__xludf.DUMMYFUNCTION("""COMPUTED_VALUE"""),"archa")</f>
        <v>archa</v>
      </c>
      <c r="C818" s="4" t="str">
        <f>IFERROR(__xludf.DUMMYFUNCTION("""COMPUTED_VALUE"""),"ArchAngel")</f>
        <v>ArchAngel</v>
      </c>
    </row>
    <row r="819">
      <c r="A819" s="4" t="str">
        <f>IFERROR(__xludf.DUMMYFUNCTION("""COMPUTED_VALUE"""),"arch-balanced-portfolio")</f>
        <v>arch-balanced-portfolio</v>
      </c>
      <c r="B819" s="4" t="str">
        <f>IFERROR(__xludf.DUMMYFUNCTION("""COMPUTED_VALUE"""),"abal")</f>
        <v>abal</v>
      </c>
      <c r="C819" s="4" t="str">
        <f>IFERROR(__xludf.DUMMYFUNCTION("""COMPUTED_VALUE"""),"Arch Balanced Portfolio")</f>
        <v>Arch Balanced Portfolio</v>
      </c>
    </row>
    <row r="820">
      <c r="A820" s="4" t="str">
        <f>IFERROR(__xludf.DUMMYFUNCTION("""COMPUTED_VALUE"""),"archerswap-bow")</f>
        <v>archerswap-bow</v>
      </c>
      <c r="B820" s="4" t="str">
        <f>IFERROR(__xludf.DUMMYFUNCTION("""COMPUTED_VALUE"""),"bow")</f>
        <v>bow</v>
      </c>
      <c r="C820" s="4" t="str">
        <f>IFERROR(__xludf.DUMMYFUNCTION("""COMPUTED_VALUE"""),"Archerswap BOW")</f>
        <v>Archerswap BOW</v>
      </c>
    </row>
    <row r="821">
      <c r="A821" s="4" t="str">
        <f>IFERROR(__xludf.DUMMYFUNCTION("""COMPUTED_VALUE"""),"archerswap-hunter")</f>
        <v>archerswap-hunter</v>
      </c>
      <c r="B821" s="4" t="str">
        <f>IFERROR(__xludf.DUMMYFUNCTION("""COMPUTED_VALUE"""),"hunt")</f>
        <v>hunt</v>
      </c>
      <c r="C821" s="4" t="str">
        <f>IFERROR(__xludf.DUMMYFUNCTION("""COMPUTED_VALUE"""),"ArcherSwap Hunter")</f>
        <v>ArcherSwap Hunter</v>
      </c>
    </row>
    <row r="822">
      <c r="A822" s="4" t="str">
        <f>IFERROR(__xludf.DUMMYFUNCTION("""COMPUTED_VALUE"""),"arch-ethereum-div-yield")</f>
        <v>arch-ethereum-div-yield</v>
      </c>
      <c r="B822" s="4" t="str">
        <f>IFERROR(__xludf.DUMMYFUNCTION("""COMPUTED_VALUE"""),"aedy")</f>
        <v>aedy</v>
      </c>
      <c r="C822" s="4" t="str">
        <f>IFERROR(__xludf.DUMMYFUNCTION("""COMPUTED_VALUE"""),"Arch Ethereum Div. Yield")</f>
        <v>Arch Ethereum Div. Yield</v>
      </c>
    </row>
    <row r="823">
      <c r="A823" s="4" t="str">
        <f>IFERROR(__xludf.DUMMYFUNCTION("""COMPUTED_VALUE"""),"arch-ethereum-web3")</f>
        <v>arch-ethereum-web3</v>
      </c>
      <c r="B823" s="4" t="str">
        <f>IFERROR(__xludf.DUMMYFUNCTION("""COMPUTED_VALUE"""),"web3")</f>
        <v>web3</v>
      </c>
      <c r="C823" s="4" t="str">
        <f>IFERROR(__xludf.DUMMYFUNCTION("""COMPUTED_VALUE"""),"Arch Ethereum Web3")</f>
        <v>Arch Ethereum Web3</v>
      </c>
    </row>
    <row r="824">
      <c r="A824" s="4" t="str">
        <f>IFERROR(__xludf.DUMMYFUNCTION("""COMPUTED_VALUE"""),"archethic")</f>
        <v>archethic</v>
      </c>
      <c r="B824" s="4" t="str">
        <f>IFERROR(__xludf.DUMMYFUNCTION("""COMPUTED_VALUE"""),"uco")</f>
        <v>uco</v>
      </c>
      <c r="C824" s="4" t="str">
        <f>IFERROR(__xludf.DUMMYFUNCTION("""COMPUTED_VALUE"""),"Archethic")</f>
        <v>Archethic</v>
      </c>
    </row>
    <row r="825">
      <c r="A825" s="4" t="str">
        <f>IFERROR(__xludf.DUMMYFUNCTION("""COMPUTED_VALUE"""),"archimedes")</f>
        <v>archimedes</v>
      </c>
      <c r="B825" s="4" t="str">
        <f>IFERROR(__xludf.DUMMYFUNCTION("""COMPUTED_VALUE"""),"arch")</f>
        <v>arch</v>
      </c>
      <c r="C825" s="4" t="str">
        <f>IFERROR(__xludf.DUMMYFUNCTION("""COMPUTED_VALUE"""),"Archimedes Finance")</f>
        <v>Archimedes Finance</v>
      </c>
    </row>
    <row r="826">
      <c r="A826" s="4" t="str">
        <f>IFERROR(__xludf.DUMMYFUNCTION("""COMPUTED_VALUE"""),"architex")</f>
        <v>architex</v>
      </c>
      <c r="B826" s="4" t="str">
        <f>IFERROR(__xludf.DUMMYFUNCTION("""COMPUTED_VALUE"""),"arcx")</f>
        <v>arcx</v>
      </c>
      <c r="C826" s="4" t="str">
        <f>IFERROR(__xludf.DUMMYFUNCTION("""COMPUTED_VALUE"""),"Architex")</f>
        <v>Architex</v>
      </c>
    </row>
    <row r="827">
      <c r="A827" s="4" t="str">
        <f>IFERROR(__xludf.DUMMYFUNCTION("""COMPUTED_VALUE"""),"archi-token")</f>
        <v>archi-token</v>
      </c>
      <c r="B827" s="4" t="str">
        <f>IFERROR(__xludf.DUMMYFUNCTION("""COMPUTED_VALUE"""),"archi")</f>
        <v>archi</v>
      </c>
      <c r="C827" s="4" t="str">
        <f>IFERROR(__xludf.DUMMYFUNCTION("""COMPUTED_VALUE"""),"Archi Token")</f>
        <v>Archi Token</v>
      </c>
    </row>
    <row r="828">
      <c r="A828" s="4" t="str">
        <f>IFERROR(__xludf.DUMMYFUNCTION("""COMPUTED_VALUE"""),"archive-ai")</f>
        <v>archive-ai</v>
      </c>
      <c r="B828" s="4" t="str">
        <f>IFERROR(__xludf.DUMMYFUNCTION("""COMPUTED_VALUE"""),"arcai")</f>
        <v>arcai</v>
      </c>
      <c r="C828" s="4" t="str">
        <f>IFERROR(__xludf.DUMMYFUNCTION("""COMPUTED_VALUE"""),"Archive AI")</f>
        <v>Archive AI</v>
      </c>
    </row>
    <row r="829">
      <c r="A829" s="4" t="str">
        <f>IFERROR(__xludf.DUMMYFUNCTION("""COMPUTED_VALUE"""),"archloot")</f>
        <v>archloot</v>
      </c>
      <c r="B829" s="4" t="str">
        <f>IFERROR(__xludf.DUMMYFUNCTION("""COMPUTED_VALUE"""),"alt")</f>
        <v>alt</v>
      </c>
      <c r="C829" s="4" t="str">
        <f>IFERROR(__xludf.DUMMYFUNCTION("""COMPUTED_VALUE"""),"ArchLoot")</f>
        <v>ArchLoot</v>
      </c>
    </row>
    <row r="830">
      <c r="A830" s="4" t="str">
        <f>IFERROR(__xludf.DUMMYFUNCTION("""COMPUTED_VALUE"""),"arch-usd-div-yield")</f>
        <v>arch-usd-div-yield</v>
      </c>
      <c r="B830" s="4" t="str">
        <f>IFERROR(__xludf.DUMMYFUNCTION("""COMPUTED_VALUE"""),"addy")</f>
        <v>addy</v>
      </c>
      <c r="C830" s="4" t="str">
        <f>IFERROR(__xludf.DUMMYFUNCTION("""COMPUTED_VALUE"""),"Arch USD Div. Yield")</f>
        <v>Arch USD Div. Yield</v>
      </c>
    </row>
    <row r="831">
      <c r="A831" s="4" t="str">
        <f>IFERROR(__xludf.DUMMYFUNCTION("""COMPUTED_VALUE"""),"archway")</f>
        <v>archway</v>
      </c>
      <c r="B831" s="4" t="str">
        <f>IFERROR(__xludf.DUMMYFUNCTION("""COMPUTED_VALUE"""),"arch")</f>
        <v>arch</v>
      </c>
      <c r="C831" s="4" t="str">
        <f>IFERROR(__xludf.DUMMYFUNCTION("""COMPUTED_VALUE"""),"Archway")</f>
        <v>Archway</v>
      </c>
    </row>
    <row r="832">
      <c r="A832" s="4" t="str">
        <f>IFERROR(__xludf.DUMMYFUNCTION("""COMPUTED_VALUE"""),"arcona")</f>
        <v>arcona</v>
      </c>
      <c r="B832" s="4" t="str">
        <f>IFERROR(__xludf.DUMMYFUNCTION("""COMPUTED_VALUE"""),"arcona")</f>
        <v>arcona</v>
      </c>
      <c r="C832" s="4" t="str">
        <f>IFERROR(__xludf.DUMMYFUNCTION("""COMPUTED_VALUE"""),"Arcona")</f>
        <v>Arcona</v>
      </c>
    </row>
    <row r="833">
      <c r="A833" s="4" t="str">
        <f>IFERROR(__xludf.DUMMYFUNCTION("""COMPUTED_VALUE"""),"arcs")</f>
        <v>arcs</v>
      </c>
      <c r="B833" s="4" t="str">
        <f>IFERROR(__xludf.DUMMYFUNCTION("""COMPUTED_VALUE"""),"arx")</f>
        <v>arx</v>
      </c>
      <c r="C833" s="4" t="str">
        <f>IFERROR(__xludf.DUMMYFUNCTION("""COMPUTED_VALUE"""),"ARCS")</f>
        <v>ARCS</v>
      </c>
    </row>
    <row r="834">
      <c r="A834" s="4" t="str">
        <f>IFERROR(__xludf.DUMMYFUNCTION("""COMPUTED_VALUE"""),"ardana")</f>
        <v>ardana</v>
      </c>
      <c r="B834" s="4" t="str">
        <f>IFERROR(__xludf.DUMMYFUNCTION("""COMPUTED_VALUE"""),"dana")</f>
        <v>dana</v>
      </c>
      <c r="C834" s="4" t="str">
        <f>IFERROR(__xludf.DUMMYFUNCTION("""COMPUTED_VALUE"""),"Ardana")</f>
        <v>Ardana</v>
      </c>
    </row>
    <row r="835">
      <c r="A835" s="4" t="str">
        <f>IFERROR(__xludf.DUMMYFUNCTION("""COMPUTED_VALUE"""),"ardor")</f>
        <v>ardor</v>
      </c>
      <c r="B835" s="4" t="str">
        <f>IFERROR(__xludf.DUMMYFUNCTION("""COMPUTED_VALUE"""),"ardr")</f>
        <v>ardr</v>
      </c>
      <c r="C835" s="4" t="str">
        <f>IFERROR(__xludf.DUMMYFUNCTION("""COMPUTED_VALUE"""),"Ardor")</f>
        <v>Ardor</v>
      </c>
    </row>
    <row r="836">
      <c r="A836" s="4" t="str">
        <f>IFERROR(__xludf.DUMMYFUNCTION("""COMPUTED_VALUE"""),"area")</f>
        <v>area</v>
      </c>
      <c r="B836" s="4" t="str">
        <f>IFERROR(__xludf.DUMMYFUNCTION("""COMPUTED_VALUE"""),"area")</f>
        <v>area</v>
      </c>
      <c r="C836" s="4" t="str">
        <f>IFERROR(__xludf.DUMMYFUNCTION("""COMPUTED_VALUE"""),"AREA")</f>
        <v>AREA</v>
      </c>
    </row>
    <row r="837">
      <c r="A837" s="4" t="str">
        <f>IFERROR(__xludf.DUMMYFUNCTION("""COMPUTED_VALUE"""),"aree-shards")</f>
        <v>aree-shards</v>
      </c>
      <c r="B837" s="4" t="str">
        <f>IFERROR(__xludf.DUMMYFUNCTION("""COMPUTED_VALUE"""),"aes")</f>
        <v>aes</v>
      </c>
      <c r="C837" s="4" t="str">
        <f>IFERROR(__xludf.DUMMYFUNCTION("""COMPUTED_VALUE"""),"Aree Shards")</f>
        <v>Aree Shards</v>
      </c>
    </row>
    <row r="838">
      <c r="A838" s="4" t="str">
        <f>IFERROR(__xludf.DUMMYFUNCTION("""COMPUTED_VALUE"""),"arena-supply-crate")</f>
        <v>arena-supply-crate</v>
      </c>
      <c r="B838" s="4" t="str">
        <f>IFERROR(__xludf.DUMMYFUNCTION("""COMPUTED_VALUE"""),"sply")</f>
        <v>sply</v>
      </c>
      <c r="C838" s="4" t="str">
        <f>IFERROR(__xludf.DUMMYFUNCTION("""COMPUTED_VALUE"""),"ARENA SUPPLY CRATE")</f>
        <v>ARENA SUPPLY CRATE</v>
      </c>
    </row>
    <row r="839">
      <c r="A839" s="4" t="str">
        <f>IFERROR(__xludf.DUMMYFUNCTION("""COMPUTED_VALUE"""),"arena-token")</f>
        <v>arena-token</v>
      </c>
      <c r="B839" s="4" t="str">
        <f>IFERROR(__xludf.DUMMYFUNCTION("""COMPUTED_VALUE"""),"arena")</f>
        <v>arena</v>
      </c>
      <c r="C839" s="4" t="str">
        <f>IFERROR(__xludf.DUMMYFUNCTION("""COMPUTED_VALUE"""),"ArenaSwap")</f>
        <v>ArenaSwap</v>
      </c>
    </row>
    <row r="840">
      <c r="A840" s="4" t="str">
        <f>IFERROR(__xludf.DUMMYFUNCTION("""COMPUTED_VALUE"""),"areon-network")</f>
        <v>areon-network</v>
      </c>
      <c r="B840" s="4" t="str">
        <f>IFERROR(__xludf.DUMMYFUNCTION("""COMPUTED_VALUE"""),"area")</f>
        <v>area</v>
      </c>
      <c r="C840" s="4" t="str">
        <f>IFERROR(__xludf.DUMMYFUNCTION("""COMPUTED_VALUE"""),"Areon Network")</f>
        <v>Areon Network</v>
      </c>
    </row>
    <row r="841">
      <c r="A841" s="4" t="str">
        <f>IFERROR(__xludf.DUMMYFUNCTION("""COMPUTED_VALUE"""),"ares3-network")</f>
        <v>ares3-network</v>
      </c>
      <c r="B841" s="4" t="str">
        <f>IFERROR(__xludf.DUMMYFUNCTION("""COMPUTED_VALUE"""),"ares")</f>
        <v>ares</v>
      </c>
      <c r="C841" s="4" t="str">
        <f>IFERROR(__xludf.DUMMYFUNCTION("""COMPUTED_VALUE"""),"Ares3 Network")</f>
        <v>Ares3 Network</v>
      </c>
    </row>
    <row r="842">
      <c r="A842" s="4" t="str">
        <f>IFERROR(__xludf.DUMMYFUNCTION("""COMPUTED_VALUE"""),"ares-protocol")</f>
        <v>ares-protocol</v>
      </c>
      <c r="B842" s="4" t="str">
        <f>IFERROR(__xludf.DUMMYFUNCTION("""COMPUTED_VALUE"""),"ares")</f>
        <v>ares</v>
      </c>
      <c r="C842" s="4" t="str">
        <f>IFERROR(__xludf.DUMMYFUNCTION("""COMPUTED_VALUE"""),"Ares Protocol")</f>
        <v>Ares Protocol</v>
      </c>
    </row>
    <row r="843">
      <c r="A843" s="4" t="str">
        <f>IFERROR(__xludf.DUMMYFUNCTION("""COMPUTED_VALUE"""),"argentine-football-association-fan-token")</f>
        <v>argentine-football-association-fan-token</v>
      </c>
      <c r="B843" s="4" t="str">
        <f>IFERROR(__xludf.DUMMYFUNCTION("""COMPUTED_VALUE"""),"arg")</f>
        <v>arg</v>
      </c>
      <c r="C843" s="4" t="str">
        <f>IFERROR(__xludf.DUMMYFUNCTION("""COMPUTED_VALUE"""),"Argentine Football Association Fan Token")</f>
        <v>Argentine Football Association Fan Token</v>
      </c>
    </row>
    <row r="844">
      <c r="A844" s="4" t="str">
        <f>IFERROR(__xludf.DUMMYFUNCTION("""COMPUTED_VALUE"""),"argo")</f>
        <v>argo</v>
      </c>
      <c r="B844" s="4" t="str">
        <f>IFERROR(__xludf.DUMMYFUNCTION("""COMPUTED_VALUE"""),"argo")</f>
        <v>argo</v>
      </c>
      <c r="C844" s="4" t="str">
        <f>IFERROR(__xludf.DUMMYFUNCTION("""COMPUTED_VALUE"""),"ArGoApp")</f>
        <v>ArGoApp</v>
      </c>
    </row>
    <row r="845">
      <c r="A845" s="4" t="str">
        <f>IFERROR(__xludf.DUMMYFUNCTION("""COMPUTED_VALUE"""),"argocoin")</f>
        <v>argocoin</v>
      </c>
      <c r="B845" s="4" t="str">
        <f>IFERROR(__xludf.DUMMYFUNCTION("""COMPUTED_VALUE"""),"agc")</f>
        <v>agc</v>
      </c>
      <c r="C845" s="4" t="str">
        <f>IFERROR(__xludf.DUMMYFUNCTION("""COMPUTED_VALUE"""),"Argocoin")</f>
        <v>Argocoin</v>
      </c>
    </row>
    <row r="846">
      <c r="A846" s="4" t="str">
        <f>IFERROR(__xludf.DUMMYFUNCTION("""COMPUTED_VALUE"""),"argo-finance")</f>
        <v>argo-finance</v>
      </c>
      <c r="B846" s="4" t="str">
        <f>IFERROR(__xludf.DUMMYFUNCTION("""COMPUTED_VALUE"""),"argo")</f>
        <v>argo</v>
      </c>
      <c r="C846" s="4" t="str">
        <f>IFERROR(__xludf.DUMMYFUNCTION("""COMPUTED_VALUE"""),"Argo Finance")</f>
        <v>Argo Finance</v>
      </c>
    </row>
    <row r="847">
      <c r="A847" s="4" t="str">
        <f>IFERROR(__xludf.DUMMYFUNCTION("""COMPUTED_VALUE"""),"argon")</f>
        <v>argon</v>
      </c>
      <c r="B847" s="4" t="str">
        <f>IFERROR(__xludf.DUMMYFUNCTION("""COMPUTED_VALUE"""),"argon")</f>
        <v>argon</v>
      </c>
      <c r="C847" s="4" t="str">
        <f>IFERROR(__xludf.DUMMYFUNCTION("""COMPUTED_VALUE"""),"Argon")</f>
        <v>Argon</v>
      </c>
    </row>
    <row r="848">
      <c r="A848" s="4" t="str">
        <f>IFERROR(__xludf.DUMMYFUNCTION("""COMPUTED_VALUE"""),"argonon-helium")</f>
        <v>argonon-helium</v>
      </c>
      <c r="B848" s="4" t="str">
        <f>IFERROR(__xludf.DUMMYFUNCTION("""COMPUTED_VALUE"""),"arg")</f>
        <v>arg</v>
      </c>
      <c r="C848" s="4" t="str">
        <f>IFERROR(__xludf.DUMMYFUNCTION("""COMPUTED_VALUE"""),"Argonon Helium")</f>
        <v>Argonon Helium</v>
      </c>
    </row>
    <row r="849">
      <c r="A849" s="4" t="str">
        <f>IFERROR(__xludf.DUMMYFUNCTION("""COMPUTED_VALUE"""),"ari10")</f>
        <v>ari10</v>
      </c>
      <c r="B849" s="4" t="str">
        <f>IFERROR(__xludf.DUMMYFUNCTION("""COMPUTED_VALUE"""),"ari10")</f>
        <v>ari10</v>
      </c>
      <c r="C849" s="4" t="str">
        <f>IFERROR(__xludf.DUMMYFUNCTION("""COMPUTED_VALUE"""),"Ari10")</f>
        <v>Ari10</v>
      </c>
    </row>
    <row r="850">
      <c r="A850" s="4" t="str">
        <f>IFERROR(__xludf.DUMMYFUNCTION("""COMPUTED_VALUE"""),"aria-currency")</f>
        <v>aria-currency</v>
      </c>
      <c r="B850" s="4" t="str">
        <f>IFERROR(__xludf.DUMMYFUNCTION("""COMPUTED_VALUE"""),"ria")</f>
        <v>ria</v>
      </c>
      <c r="C850" s="4" t="str">
        <f>IFERROR(__xludf.DUMMYFUNCTION("""COMPUTED_VALUE"""),"aRIA Currency")</f>
        <v>aRIA Currency</v>
      </c>
    </row>
    <row r="851">
      <c r="A851" s="4" t="str">
        <f>IFERROR(__xludf.DUMMYFUNCTION("""COMPUTED_VALUE"""),"arianee")</f>
        <v>arianee</v>
      </c>
      <c r="B851" s="4" t="str">
        <f>IFERROR(__xludf.DUMMYFUNCTION("""COMPUTED_VALUE"""),"aria20")</f>
        <v>aria20</v>
      </c>
      <c r="C851" s="4" t="str">
        <f>IFERROR(__xludf.DUMMYFUNCTION("""COMPUTED_VALUE"""),"Arianee")</f>
        <v>Arianee</v>
      </c>
    </row>
    <row r="852">
      <c r="A852" s="4" t="str">
        <f>IFERROR(__xludf.DUMMYFUNCTION("""COMPUTED_VALUE"""),"arion")</f>
        <v>arion</v>
      </c>
      <c r="B852" s="4" t="str">
        <f>IFERROR(__xludf.DUMMYFUNCTION("""COMPUTED_VALUE"""),"arion")</f>
        <v>arion</v>
      </c>
      <c r="C852" s="4" t="str">
        <f>IFERROR(__xludf.DUMMYFUNCTION("""COMPUTED_VALUE"""),"Arion")</f>
        <v>Arion</v>
      </c>
    </row>
    <row r="853">
      <c r="A853" s="4" t="str">
        <f>IFERROR(__xludf.DUMMYFUNCTION("""COMPUTED_VALUE"""),"arise-chikun")</f>
        <v>arise-chikun</v>
      </c>
      <c r="B853" s="4" t="str">
        <f>IFERROR(__xludf.DUMMYFUNCTION("""COMPUTED_VALUE"""),"chikun")</f>
        <v>chikun</v>
      </c>
      <c r="C853" s="4" t="str">
        <f>IFERROR(__xludf.DUMMYFUNCTION("""COMPUTED_VALUE"""),"Arise Chikun")</f>
        <v>Arise Chikun</v>
      </c>
    </row>
    <row r="854">
      <c r="A854" s="4" t="str">
        <f>IFERROR(__xludf.DUMMYFUNCTION("""COMPUTED_VALUE"""),"ari-swap")</f>
        <v>ari-swap</v>
      </c>
      <c r="B854" s="4" t="str">
        <f>IFERROR(__xludf.DUMMYFUNCTION("""COMPUTED_VALUE"""),"ari")</f>
        <v>ari</v>
      </c>
      <c r="C854" s="4" t="str">
        <f>IFERROR(__xludf.DUMMYFUNCTION("""COMPUTED_VALUE"""),"Ari Swap")</f>
        <v>Ari Swap</v>
      </c>
    </row>
    <row r="855">
      <c r="A855" s="4" t="str">
        <f>IFERROR(__xludf.DUMMYFUNCTION("""COMPUTED_VALUE"""),"arithfi")</f>
        <v>arithfi</v>
      </c>
      <c r="B855" s="4" t="str">
        <f>IFERROR(__xludf.DUMMYFUNCTION("""COMPUTED_VALUE"""),"atf")</f>
        <v>atf</v>
      </c>
      <c r="C855" s="4" t="str">
        <f>IFERROR(__xludf.DUMMYFUNCTION("""COMPUTED_VALUE"""),"ArithFi")</f>
        <v>ArithFi</v>
      </c>
    </row>
    <row r="856">
      <c r="A856" s="4" t="str">
        <f>IFERROR(__xludf.DUMMYFUNCTION("""COMPUTED_VALUE"""),"ariva")</f>
        <v>ariva</v>
      </c>
      <c r="B856" s="4" t="str">
        <f>IFERROR(__xludf.DUMMYFUNCTION("""COMPUTED_VALUE"""),"arv")</f>
        <v>arv</v>
      </c>
      <c r="C856" s="4" t="str">
        <f>IFERROR(__xludf.DUMMYFUNCTION("""COMPUTED_VALUE"""),"Ariva")</f>
        <v>Ariva</v>
      </c>
    </row>
    <row r="857">
      <c r="A857" s="4" t="str">
        <f>IFERROR(__xludf.DUMMYFUNCTION("""COMPUTED_VALUE"""),"arix")</f>
        <v>arix</v>
      </c>
      <c r="B857" s="4" t="str">
        <f>IFERROR(__xludf.DUMMYFUNCTION("""COMPUTED_VALUE"""),"arix")</f>
        <v>arix</v>
      </c>
      <c r="C857" s="4" t="str">
        <f>IFERROR(__xludf.DUMMYFUNCTION("""COMPUTED_VALUE"""),"Arix")</f>
        <v>Arix</v>
      </c>
    </row>
    <row r="858">
      <c r="A858" s="4" t="str">
        <f>IFERROR(__xludf.DUMMYFUNCTION("""COMPUTED_VALUE"""),"ark")</f>
        <v>ark</v>
      </c>
      <c r="B858" s="4" t="str">
        <f>IFERROR(__xludf.DUMMYFUNCTION("""COMPUTED_VALUE"""),"ark")</f>
        <v>ark</v>
      </c>
      <c r="C858" s="4" t="str">
        <f>IFERROR(__xludf.DUMMYFUNCTION("""COMPUTED_VALUE"""),"ARK")</f>
        <v>ARK</v>
      </c>
    </row>
    <row r="859">
      <c r="A859" s="4" t="str">
        <f>IFERROR(__xludf.DUMMYFUNCTION("""COMPUTED_VALUE"""),"arkadiko-protocol")</f>
        <v>arkadiko-protocol</v>
      </c>
      <c r="B859" s="4" t="str">
        <f>IFERROR(__xludf.DUMMYFUNCTION("""COMPUTED_VALUE"""),"diko")</f>
        <v>diko</v>
      </c>
      <c r="C859" s="4" t="str">
        <f>IFERROR(__xludf.DUMMYFUNCTION("""COMPUTED_VALUE"""),"Arkadiko")</f>
        <v>Arkadiko</v>
      </c>
    </row>
    <row r="860">
      <c r="A860" s="4" t="str">
        <f>IFERROR(__xludf.DUMMYFUNCTION("""COMPUTED_VALUE"""),"arken-finance")</f>
        <v>arken-finance</v>
      </c>
      <c r="B860" s="4" t="str">
        <f>IFERROR(__xludf.DUMMYFUNCTION("""COMPUTED_VALUE"""),"$arken")</f>
        <v>$arken</v>
      </c>
      <c r="C860" s="4" t="str">
        <f>IFERROR(__xludf.DUMMYFUNCTION("""COMPUTED_VALUE"""),"Arken Finance")</f>
        <v>Arken Finance</v>
      </c>
    </row>
    <row r="861">
      <c r="A861" s="4" t="str">
        <f>IFERROR(__xludf.DUMMYFUNCTION("""COMPUTED_VALUE"""),"arker-2")</f>
        <v>arker-2</v>
      </c>
      <c r="B861" s="4" t="str">
        <f>IFERROR(__xludf.DUMMYFUNCTION("""COMPUTED_VALUE"""),"arker")</f>
        <v>arker</v>
      </c>
      <c r="C861" s="4" t="str">
        <f>IFERROR(__xludf.DUMMYFUNCTION("""COMPUTED_VALUE"""),"Arker")</f>
        <v>Arker</v>
      </c>
    </row>
    <row r="862">
      <c r="A862" s="4" t="str">
        <f>IFERROR(__xludf.DUMMYFUNCTION("""COMPUTED_VALUE"""),"arkham")</f>
        <v>arkham</v>
      </c>
      <c r="B862" s="4" t="str">
        <f>IFERROR(__xludf.DUMMYFUNCTION("""COMPUTED_VALUE"""),"arkm")</f>
        <v>arkm</v>
      </c>
      <c r="C862" s="4" t="str">
        <f>IFERROR(__xludf.DUMMYFUNCTION("""COMPUTED_VALUE"""),"Arkham")</f>
        <v>Arkham</v>
      </c>
    </row>
    <row r="863">
      <c r="A863" s="4" t="str">
        <f>IFERROR(__xludf.DUMMYFUNCTION("""COMPUTED_VALUE"""),"ark-innovation-etf-defichain")</f>
        <v>ark-innovation-etf-defichain</v>
      </c>
      <c r="B863" s="4" t="str">
        <f>IFERROR(__xludf.DUMMYFUNCTION("""COMPUTED_VALUE"""),"darkk")</f>
        <v>darkk</v>
      </c>
      <c r="C863" s="4" t="str">
        <f>IFERROR(__xludf.DUMMYFUNCTION("""COMPUTED_VALUE"""),"ARK Innovation ETF Defichain")</f>
        <v>ARK Innovation ETF Defichain</v>
      </c>
    </row>
    <row r="864">
      <c r="A864" s="4" t="str">
        <f>IFERROR(__xludf.DUMMYFUNCTION("""COMPUTED_VALUE"""),"arkitech")</f>
        <v>arkitech</v>
      </c>
      <c r="B864" s="4" t="str">
        <f>IFERROR(__xludf.DUMMYFUNCTION("""COMPUTED_VALUE"""),"arki")</f>
        <v>arki</v>
      </c>
      <c r="C864" s="4" t="str">
        <f>IFERROR(__xludf.DUMMYFUNCTION("""COMPUTED_VALUE"""),"ArkiTech")</f>
        <v>ArkiTech</v>
      </c>
    </row>
    <row r="865">
      <c r="A865" s="4" t="str">
        <f>IFERROR(__xludf.DUMMYFUNCTION("""COMPUTED_VALUE"""),"arkreen-token")</f>
        <v>arkreen-token</v>
      </c>
      <c r="B865" s="4" t="str">
        <f>IFERROR(__xludf.DUMMYFUNCTION("""COMPUTED_VALUE"""),"akre")</f>
        <v>akre</v>
      </c>
      <c r="C865" s="4" t="str">
        <f>IFERROR(__xludf.DUMMYFUNCTION("""COMPUTED_VALUE"""),"Arkreen Token")</f>
        <v>Arkreen Token</v>
      </c>
    </row>
    <row r="866">
      <c r="A866" s="4" t="str">
        <f>IFERROR(__xludf.DUMMYFUNCTION("""COMPUTED_VALUE"""),"ark-rivals")</f>
        <v>ark-rivals</v>
      </c>
      <c r="B866" s="4" t="str">
        <f>IFERROR(__xludf.DUMMYFUNCTION("""COMPUTED_VALUE"""),"arkn")</f>
        <v>arkn</v>
      </c>
      <c r="C866" s="4" t="str">
        <f>IFERROR(__xludf.DUMMYFUNCTION("""COMPUTED_VALUE"""),"Ark Rivals")</f>
        <v>Ark Rivals</v>
      </c>
    </row>
    <row r="867">
      <c r="A867" s="4" t="str">
        <f>IFERROR(__xludf.DUMMYFUNCTION("""COMPUTED_VALUE"""),"arkstart")</f>
        <v>arkstart</v>
      </c>
      <c r="B867" s="4" t="str">
        <f>IFERROR(__xludf.DUMMYFUNCTION("""COMPUTED_VALUE"""),"arks")</f>
        <v>arks</v>
      </c>
      <c r="C867" s="4" t="str">
        <f>IFERROR(__xludf.DUMMYFUNCTION("""COMPUTED_VALUE"""),"ArkStart")</f>
        <v>ArkStart</v>
      </c>
    </row>
    <row r="868">
      <c r="A868" s="4" t="str">
        <f>IFERROR(__xludf.DUMMYFUNCTION("""COMPUTED_VALUE"""),"armor")</f>
        <v>armor</v>
      </c>
      <c r="B868" s="4" t="str">
        <f>IFERROR(__xludf.DUMMYFUNCTION("""COMPUTED_VALUE"""),"armor")</f>
        <v>armor</v>
      </c>
      <c r="C868" s="4" t="str">
        <f>IFERROR(__xludf.DUMMYFUNCTION("""COMPUTED_VALUE"""),"ARMOR")</f>
        <v>ARMOR</v>
      </c>
    </row>
    <row r="869">
      <c r="A869" s="4" t="str">
        <f>IFERROR(__xludf.DUMMYFUNCTION("""COMPUTED_VALUE"""),"armour-wallet")</f>
        <v>armour-wallet</v>
      </c>
      <c r="B869" s="4" t="str">
        <f>IFERROR(__xludf.DUMMYFUNCTION("""COMPUTED_VALUE"""),"armour")</f>
        <v>armour</v>
      </c>
      <c r="C869" s="4" t="str">
        <f>IFERROR(__xludf.DUMMYFUNCTION("""COMPUTED_VALUE"""),"Armour Wallet")</f>
        <v>Armour Wallet</v>
      </c>
    </row>
    <row r="870">
      <c r="A870" s="4" t="str">
        <f>IFERROR(__xludf.DUMMYFUNCTION("""COMPUTED_VALUE"""),"army-of-fortune-gem")</f>
        <v>army-of-fortune-gem</v>
      </c>
      <c r="B870" s="4" t="str">
        <f>IFERROR(__xludf.DUMMYFUNCTION("""COMPUTED_VALUE"""),"afg")</f>
        <v>afg</v>
      </c>
      <c r="C870" s="4" t="str">
        <f>IFERROR(__xludf.DUMMYFUNCTION("""COMPUTED_VALUE"""),"Army of Fortune Gem")</f>
        <v>Army of Fortune Gem</v>
      </c>
    </row>
    <row r="871">
      <c r="A871" s="4" t="str">
        <f>IFERROR(__xludf.DUMMYFUNCTION("""COMPUTED_VALUE"""),"army-of-fortune-metaverse")</f>
        <v>army-of-fortune-metaverse</v>
      </c>
      <c r="B871" s="4" t="str">
        <f>IFERROR(__xludf.DUMMYFUNCTION("""COMPUTED_VALUE"""),"afc")</f>
        <v>afc</v>
      </c>
      <c r="C871" s="4" t="str">
        <f>IFERROR(__xludf.DUMMYFUNCTION("""COMPUTED_VALUE"""),"Army of Fortune Metaverse")</f>
        <v>Army of Fortune Metaverse</v>
      </c>
    </row>
    <row r="872">
      <c r="A872" s="4" t="str">
        <f>IFERROR(__xludf.DUMMYFUNCTION("""COMPUTED_VALUE"""),"arowana-token")</f>
        <v>arowana-token</v>
      </c>
      <c r="B872" s="4" t="str">
        <f>IFERROR(__xludf.DUMMYFUNCTION("""COMPUTED_VALUE"""),"arw")</f>
        <v>arw</v>
      </c>
      <c r="C872" s="4" t="str">
        <f>IFERROR(__xludf.DUMMYFUNCTION("""COMPUTED_VALUE"""),"Arowana")</f>
        <v>Arowana</v>
      </c>
    </row>
    <row r="873">
      <c r="A873" s="4" t="str">
        <f>IFERROR(__xludf.DUMMYFUNCTION("""COMPUTED_VALUE"""),"arpa")</f>
        <v>arpa</v>
      </c>
      <c r="B873" s="4" t="str">
        <f>IFERROR(__xludf.DUMMYFUNCTION("""COMPUTED_VALUE"""),"arpa")</f>
        <v>arpa</v>
      </c>
      <c r="C873" s="4" t="str">
        <f>IFERROR(__xludf.DUMMYFUNCTION("""COMPUTED_VALUE"""),"ARPA")</f>
        <v>ARPA</v>
      </c>
    </row>
    <row r="874">
      <c r="A874" s="4" t="str">
        <f>IFERROR(__xludf.DUMMYFUNCTION("""COMPUTED_VALUE"""),"arqma")</f>
        <v>arqma</v>
      </c>
      <c r="B874" s="4" t="str">
        <f>IFERROR(__xludf.DUMMYFUNCTION("""COMPUTED_VALUE"""),"arq")</f>
        <v>arq</v>
      </c>
      <c r="C874" s="4" t="str">
        <f>IFERROR(__xludf.DUMMYFUNCTION("""COMPUTED_VALUE"""),"ArQmA")</f>
        <v>ArQmA</v>
      </c>
    </row>
    <row r="875">
      <c r="A875" s="4" t="str">
        <f>IFERROR(__xludf.DUMMYFUNCTION("""COMPUTED_VALUE"""),"arrland-arrc")</f>
        <v>arrland-arrc</v>
      </c>
      <c r="B875" s="4" t="str">
        <f>IFERROR(__xludf.DUMMYFUNCTION("""COMPUTED_VALUE"""),"arrc")</f>
        <v>arrc</v>
      </c>
      <c r="C875" s="4" t="str">
        <f>IFERROR(__xludf.DUMMYFUNCTION("""COMPUTED_VALUE"""),"Arrland ARRC")</f>
        <v>Arrland ARRC</v>
      </c>
    </row>
    <row r="876">
      <c r="A876" s="4" t="str">
        <f>IFERROR(__xludf.DUMMYFUNCTION("""COMPUTED_VALUE"""),"arrland-rum")</f>
        <v>arrland-rum</v>
      </c>
      <c r="B876" s="4" t="str">
        <f>IFERROR(__xludf.DUMMYFUNCTION("""COMPUTED_VALUE"""),"rum")</f>
        <v>rum</v>
      </c>
      <c r="C876" s="4" t="str">
        <f>IFERROR(__xludf.DUMMYFUNCTION("""COMPUTED_VALUE"""),"Arrland RUM")</f>
        <v>Arrland RUM</v>
      </c>
    </row>
    <row r="877">
      <c r="A877" s="4" t="str">
        <f>IFERROR(__xludf.DUMMYFUNCTION("""COMPUTED_VALUE"""),"arsenal-fan-token")</f>
        <v>arsenal-fan-token</v>
      </c>
      <c r="B877" s="4" t="str">
        <f>IFERROR(__xludf.DUMMYFUNCTION("""COMPUTED_VALUE"""),"afc")</f>
        <v>afc</v>
      </c>
      <c r="C877" s="4" t="str">
        <f>IFERROR(__xludf.DUMMYFUNCTION("""COMPUTED_VALUE"""),"Arsenal Fan Token")</f>
        <v>Arsenal Fan Token</v>
      </c>
    </row>
    <row r="878">
      <c r="A878" s="4" t="str">
        <f>IFERROR(__xludf.DUMMYFUNCTION("""COMPUTED_VALUE"""),"artbyte")</f>
        <v>artbyte</v>
      </c>
      <c r="B878" s="4" t="str">
        <f>IFERROR(__xludf.DUMMYFUNCTION("""COMPUTED_VALUE"""),"aby")</f>
        <v>aby</v>
      </c>
      <c r="C878" s="4" t="str">
        <f>IFERROR(__xludf.DUMMYFUNCTION("""COMPUTED_VALUE"""),"ArtByte")</f>
        <v>ArtByte</v>
      </c>
    </row>
    <row r="879">
      <c r="A879" s="4" t="str">
        <f>IFERROR(__xludf.DUMMYFUNCTION("""COMPUTED_VALUE"""),"artcoin")</f>
        <v>artcoin</v>
      </c>
      <c r="B879" s="4" t="str">
        <f>IFERROR(__xludf.DUMMYFUNCTION("""COMPUTED_VALUE"""),"ac")</f>
        <v>ac</v>
      </c>
      <c r="C879" s="4" t="str">
        <f>IFERROR(__xludf.DUMMYFUNCTION("""COMPUTED_VALUE"""),"ArtCoin")</f>
        <v>ArtCoin</v>
      </c>
    </row>
    <row r="880">
      <c r="A880" s="4" t="str">
        <f>IFERROR(__xludf.DUMMYFUNCTION("""COMPUTED_VALUE"""),"artcpaclub")</f>
        <v>artcpaclub</v>
      </c>
      <c r="B880" s="4" t="str">
        <f>IFERROR(__xludf.DUMMYFUNCTION("""COMPUTED_VALUE"""),"cpa-97530")</f>
        <v>cpa-97530</v>
      </c>
      <c r="C880" s="4" t="str">
        <f>IFERROR(__xludf.DUMMYFUNCTION("""COMPUTED_VALUE"""),"ArtCPAclub")</f>
        <v>ArtCPAclub</v>
      </c>
    </row>
    <row r="881">
      <c r="A881" s="4" t="str">
        <f>IFERROR(__xludf.DUMMYFUNCTION("""COMPUTED_VALUE"""),"art-de-finance")</f>
        <v>art-de-finance</v>
      </c>
      <c r="B881" s="4" t="str">
        <f>IFERROR(__xludf.DUMMYFUNCTION("""COMPUTED_VALUE"""),"adf")</f>
        <v>adf</v>
      </c>
      <c r="C881" s="4" t="str">
        <f>IFERROR(__xludf.DUMMYFUNCTION("""COMPUTED_VALUE"""),"Art de Finance")</f>
        <v>Art de Finance</v>
      </c>
    </row>
    <row r="882">
      <c r="A882" s="4" t="str">
        <f>IFERROR(__xludf.DUMMYFUNCTION("""COMPUTED_VALUE"""),"artem")</f>
        <v>artem</v>
      </c>
      <c r="B882" s="4" t="str">
        <f>IFERROR(__xludf.DUMMYFUNCTION("""COMPUTED_VALUE"""),"artem")</f>
        <v>artem</v>
      </c>
      <c r="C882" s="4" t="str">
        <f>IFERROR(__xludf.DUMMYFUNCTION("""COMPUTED_VALUE"""),"Artem")</f>
        <v>Artem</v>
      </c>
    </row>
    <row r="883">
      <c r="A883" s="4" t="str">
        <f>IFERROR(__xludf.DUMMYFUNCTION("""COMPUTED_VALUE"""),"artemis")</f>
        <v>artemis</v>
      </c>
      <c r="B883" s="4" t="str">
        <f>IFERROR(__xludf.DUMMYFUNCTION("""COMPUTED_VALUE"""),"mis")</f>
        <v>mis</v>
      </c>
      <c r="C883" s="4" t="str">
        <f>IFERROR(__xludf.DUMMYFUNCTION("""COMPUTED_VALUE"""),"Artemis")</f>
        <v>Artemis</v>
      </c>
    </row>
    <row r="884">
      <c r="A884" s="4" t="str">
        <f>IFERROR(__xludf.DUMMYFUNCTION("""COMPUTED_VALUE"""),"artemisai")</f>
        <v>artemisai</v>
      </c>
      <c r="B884" s="4" t="str">
        <f>IFERROR(__xludf.DUMMYFUNCTION("""COMPUTED_VALUE"""),"atai")</f>
        <v>atai</v>
      </c>
      <c r="C884" s="4" t="str">
        <f>IFERROR(__xludf.DUMMYFUNCTION("""COMPUTED_VALUE"""),"ArtemisAI")</f>
        <v>ArtemisAI</v>
      </c>
    </row>
    <row r="885">
      <c r="A885" s="4" t="str">
        <f>IFERROR(__xludf.DUMMYFUNCTION("""COMPUTED_VALUE"""),"artemis-vision")</f>
        <v>artemis-vision</v>
      </c>
      <c r="B885" s="4" t="str">
        <f>IFERROR(__xludf.DUMMYFUNCTION("""COMPUTED_VALUE"""),"arv")</f>
        <v>arv</v>
      </c>
      <c r="C885" s="4" t="str">
        <f>IFERROR(__xludf.DUMMYFUNCTION("""COMPUTED_VALUE"""),"Artemis Vision")</f>
        <v>Artemis Vision</v>
      </c>
    </row>
    <row r="886">
      <c r="A886" s="4" t="str">
        <f>IFERROR(__xludf.DUMMYFUNCTION("""COMPUTED_VALUE"""),"artery")</f>
        <v>artery</v>
      </c>
      <c r="B886" s="4" t="str">
        <f>IFERROR(__xludf.DUMMYFUNCTION("""COMPUTED_VALUE"""),"artr")</f>
        <v>artr</v>
      </c>
      <c r="C886" s="4" t="str">
        <f>IFERROR(__xludf.DUMMYFUNCTION("""COMPUTED_VALUE"""),"Artery")</f>
        <v>Artery</v>
      </c>
    </row>
    <row r="887">
      <c r="A887" s="4" t="str">
        <f>IFERROR(__xludf.DUMMYFUNCTION("""COMPUTED_VALUE"""),"artgpt")</f>
        <v>artgpt</v>
      </c>
      <c r="B887" s="4" t="str">
        <f>IFERROR(__xludf.DUMMYFUNCTION("""COMPUTED_VALUE"""),"agpt")</f>
        <v>agpt</v>
      </c>
      <c r="C887" s="4" t="str">
        <f>IFERROR(__xludf.DUMMYFUNCTION("""COMPUTED_VALUE"""),"artGPT")</f>
        <v>artGPT</v>
      </c>
    </row>
    <row r="888">
      <c r="A888" s="4" t="str">
        <f>IFERROR(__xludf.DUMMYFUNCTION("""COMPUTED_VALUE"""),"arth")</f>
        <v>arth</v>
      </c>
      <c r="B888" s="4" t="str">
        <f>IFERROR(__xludf.DUMMYFUNCTION("""COMPUTED_VALUE"""),"arth")</f>
        <v>arth</v>
      </c>
      <c r="C888" s="4" t="str">
        <f>IFERROR(__xludf.DUMMYFUNCTION("""COMPUTED_VALUE"""),"ARTH")</f>
        <v>ARTH</v>
      </c>
    </row>
    <row r="889">
      <c r="A889" s="4" t="str">
        <f>IFERROR(__xludf.DUMMYFUNCTION("""COMPUTED_VALUE"""),"arthswap")</f>
        <v>arthswap</v>
      </c>
      <c r="B889" s="4" t="str">
        <f>IFERROR(__xludf.DUMMYFUNCTION("""COMPUTED_VALUE"""),"arsw")</f>
        <v>arsw</v>
      </c>
      <c r="C889" s="4" t="str">
        <f>IFERROR(__xludf.DUMMYFUNCTION("""COMPUTED_VALUE"""),"ArthSwap")</f>
        <v>ArthSwap</v>
      </c>
    </row>
    <row r="890">
      <c r="A890" s="4" t="str">
        <f>IFERROR(__xludf.DUMMYFUNCTION("""COMPUTED_VALUE"""),"artichoke")</f>
        <v>artichoke</v>
      </c>
      <c r="B890" s="4" t="str">
        <f>IFERROR(__xludf.DUMMYFUNCTION("""COMPUTED_VALUE"""),"choke")</f>
        <v>choke</v>
      </c>
      <c r="C890" s="4" t="str">
        <f>IFERROR(__xludf.DUMMYFUNCTION("""COMPUTED_VALUE"""),"Artichoke")</f>
        <v>Artichoke</v>
      </c>
    </row>
    <row r="891">
      <c r="A891" s="4" t="str">
        <f>IFERROR(__xludf.DUMMYFUNCTION("""COMPUTED_VALUE"""),"artificial-idiot")</f>
        <v>artificial-idiot</v>
      </c>
      <c r="B891" s="4" t="str">
        <f>IFERROR(__xludf.DUMMYFUNCTION("""COMPUTED_VALUE"""),"aii")</f>
        <v>aii</v>
      </c>
      <c r="C891" s="4" t="str">
        <f>IFERROR(__xludf.DUMMYFUNCTION("""COMPUTED_VALUE"""),"Artificial idiot")</f>
        <v>Artificial idiot</v>
      </c>
    </row>
    <row r="892">
      <c r="A892" s="4" t="str">
        <f>IFERROR(__xludf.DUMMYFUNCTION("""COMPUTED_VALUE"""),"artificial-intelligence")</f>
        <v>artificial-intelligence</v>
      </c>
      <c r="B892" s="4" t="str">
        <f>IFERROR(__xludf.DUMMYFUNCTION("""COMPUTED_VALUE"""),"ai")</f>
        <v>ai</v>
      </c>
      <c r="C892" s="4" t="str">
        <f>IFERROR(__xludf.DUMMYFUNCTION("""COMPUTED_VALUE"""),"Artificial Intelligence")</f>
        <v>Artificial Intelligence</v>
      </c>
    </row>
    <row r="893">
      <c r="A893" s="4" t="str">
        <f>IFERROR(__xludf.DUMMYFUNCTION("""COMPUTED_VALUE"""),"artificial-intelligence-2")</f>
        <v>artificial-intelligence-2</v>
      </c>
      <c r="B893" s="4" t="str">
        <f>IFERROR(__xludf.DUMMYFUNCTION("""COMPUTED_VALUE"""),"aid")</f>
        <v>aid</v>
      </c>
      <c r="C893" s="4" t="str">
        <f>IFERROR(__xludf.DUMMYFUNCTION("""COMPUTED_VALUE"""),"Artificial Intelligence")</f>
        <v>Artificial Intelligence</v>
      </c>
    </row>
    <row r="894">
      <c r="A894" s="4" t="str">
        <f>IFERROR(__xludf.DUMMYFUNCTION("""COMPUTED_VALUE"""),"artificial-neural-network-ordinals")</f>
        <v>artificial-neural-network-ordinals</v>
      </c>
      <c r="B894" s="4" t="str">
        <f>IFERROR(__xludf.DUMMYFUNCTION("""COMPUTED_VALUE"""),"ainn")</f>
        <v>ainn</v>
      </c>
      <c r="C894" s="4" t="str">
        <f>IFERROR(__xludf.DUMMYFUNCTION("""COMPUTED_VALUE"""),"Artificial Neural Network (Ordinals)")</f>
        <v>Artificial Neural Network (Ordinals)</v>
      </c>
    </row>
    <row r="895">
      <c r="A895" s="4" t="str">
        <f>IFERROR(__xludf.DUMMYFUNCTION("""COMPUTED_VALUE"""),"artificial-robotic-tapestry-volts")</f>
        <v>artificial-robotic-tapestry-volts</v>
      </c>
      <c r="B895" s="4" t="str">
        <f>IFERROR(__xludf.DUMMYFUNCTION("""COMPUTED_VALUE"""),"volts")</f>
        <v>volts</v>
      </c>
      <c r="C895" s="4" t="str">
        <f>IFERROR(__xludf.DUMMYFUNCTION("""COMPUTED_VALUE"""),"Artificial Robotic Tapestry VOLTS")</f>
        <v>Artificial Robotic Tapestry VOLTS</v>
      </c>
    </row>
    <row r="896">
      <c r="A896" s="4" t="str">
        <f>IFERROR(__xludf.DUMMYFUNCTION("""COMPUTED_VALUE"""),"arti-project")</f>
        <v>arti-project</v>
      </c>
      <c r="B896" s="4" t="str">
        <f>IFERROR(__xludf.DUMMYFUNCTION("""COMPUTED_VALUE"""),"arti")</f>
        <v>arti</v>
      </c>
      <c r="C896" s="4" t="str">
        <f>IFERROR(__xludf.DUMMYFUNCTION("""COMPUTED_VALUE"""),"Arti Project")</f>
        <v>Arti Project</v>
      </c>
    </row>
    <row r="897">
      <c r="A897" s="4" t="str">
        <f>IFERROR(__xludf.DUMMYFUNCTION("""COMPUTED_VALUE"""),"artizen")</f>
        <v>artizen</v>
      </c>
      <c r="B897" s="4" t="str">
        <f>IFERROR(__xludf.DUMMYFUNCTION("""COMPUTED_VALUE"""),"atnt")</f>
        <v>atnt</v>
      </c>
      <c r="C897" s="4" t="str">
        <f>IFERROR(__xludf.DUMMYFUNCTION("""COMPUTED_VALUE"""),"Artizen")</f>
        <v>Artizen</v>
      </c>
    </row>
    <row r="898">
      <c r="A898" s="4" t="str">
        <f>IFERROR(__xludf.DUMMYFUNCTION("""COMPUTED_VALUE"""),"artl")</f>
        <v>artl</v>
      </c>
      <c r="B898" s="4" t="str">
        <f>IFERROR(__xludf.DUMMYFUNCTION("""COMPUTED_VALUE"""),"artl")</f>
        <v>artl</v>
      </c>
      <c r="C898" s="4" t="str">
        <f>IFERROR(__xludf.DUMMYFUNCTION("""COMPUTED_VALUE"""),"ARTL")</f>
        <v>ARTL</v>
      </c>
    </row>
    <row r="899">
      <c r="A899" s="4" t="str">
        <f>IFERROR(__xludf.DUMMYFUNCTION("""COMPUTED_VALUE"""),"artmeta")</f>
        <v>artmeta</v>
      </c>
      <c r="B899" s="4" t="str">
        <f>IFERROR(__xludf.DUMMYFUNCTION("""COMPUTED_VALUE"""),"$mart")</f>
        <v>$mart</v>
      </c>
      <c r="C899" s="4" t="str">
        <f>IFERROR(__xludf.DUMMYFUNCTION("""COMPUTED_VALUE"""),"ArtMeta")</f>
        <v>ArtMeta</v>
      </c>
    </row>
    <row r="900">
      <c r="A900" s="4" t="str">
        <f>IFERROR(__xludf.DUMMYFUNCTION("""COMPUTED_VALUE"""),"artrade")</f>
        <v>artrade</v>
      </c>
      <c r="B900" s="4" t="str">
        <f>IFERROR(__xludf.DUMMYFUNCTION("""COMPUTED_VALUE"""),"atr")</f>
        <v>atr</v>
      </c>
      <c r="C900" s="4" t="str">
        <f>IFERROR(__xludf.DUMMYFUNCTION("""COMPUTED_VALUE"""),"Artrade")</f>
        <v>Artrade</v>
      </c>
    </row>
    <row r="901">
      <c r="A901" s="4" t="str">
        <f>IFERROR(__xludf.DUMMYFUNCTION("""COMPUTED_VALUE"""),"artt-network")</f>
        <v>artt-network</v>
      </c>
      <c r="B901" s="4" t="str">
        <f>IFERROR(__xludf.DUMMYFUNCTION("""COMPUTED_VALUE"""),"artt")</f>
        <v>artt</v>
      </c>
      <c r="C901" s="4" t="str">
        <f>IFERROR(__xludf.DUMMYFUNCTION("""COMPUTED_VALUE"""),"ARTT Network")</f>
        <v>ARTT Network</v>
      </c>
    </row>
    <row r="902">
      <c r="A902" s="4" t="str">
        <f>IFERROR(__xludf.DUMMYFUNCTION("""COMPUTED_VALUE"""),"artx")</f>
        <v>artx</v>
      </c>
      <c r="B902" s="4" t="str">
        <f>IFERROR(__xludf.DUMMYFUNCTION("""COMPUTED_VALUE"""),"artx")</f>
        <v>artx</v>
      </c>
      <c r="C902" s="4" t="str">
        <f>IFERROR(__xludf.DUMMYFUNCTION("""COMPUTED_VALUE"""),"ARTX")</f>
        <v>ARTX</v>
      </c>
    </row>
    <row r="903">
      <c r="A903" s="4" t="str">
        <f>IFERROR(__xludf.DUMMYFUNCTION("""COMPUTED_VALUE"""),"artyfact")</f>
        <v>artyfact</v>
      </c>
      <c r="B903" s="4" t="str">
        <f>IFERROR(__xludf.DUMMYFUNCTION("""COMPUTED_VALUE"""),"arty")</f>
        <v>arty</v>
      </c>
      <c r="C903" s="4" t="str">
        <f>IFERROR(__xludf.DUMMYFUNCTION("""COMPUTED_VALUE"""),"Artyfact")</f>
        <v>Artyfact</v>
      </c>
    </row>
    <row r="904">
      <c r="A904" s="4" t="str">
        <f>IFERROR(__xludf.DUMMYFUNCTION("""COMPUTED_VALUE"""),"arweave")</f>
        <v>arweave</v>
      </c>
      <c r="B904" s="4" t="str">
        <f>IFERROR(__xludf.DUMMYFUNCTION("""COMPUTED_VALUE"""),"ar")</f>
        <v>ar</v>
      </c>
      <c r="C904" s="4" t="str">
        <f>IFERROR(__xludf.DUMMYFUNCTION("""COMPUTED_VALUE"""),"Arweave")</f>
        <v>Arweave</v>
      </c>
    </row>
    <row r="905">
      <c r="A905" s="4" t="str">
        <f>IFERROR(__xludf.DUMMYFUNCTION("""COMPUTED_VALUE"""),"aryacoin")</f>
        <v>aryacoin</v>
      </c>
      <c r="B905" s="4" t="str">
        <f>IFERROR(__xludf.DUMMYFUNCTION("""COMPUTED_VALUE"""),"aya")</f>
        <v>aya</v>
      </c>
      <c r="C905" s="4" t="str">
        <f>IFERROR(__xludf.DUMMYFUNCTION("""COMPUTED_VALUE"""),"Aryacoin")</f>
        <v>Aryacoin</v>
      </c>
    </row>
    <row r="906">
      <c r="A906" s="4" t="str">
        <f>IFERROR(__xludf.DUMMYFUNCTION("""COMPUTED_VALUE"""),"aryze-eeur")</f>
        <v>aryze-eeur</v>
      </c>
      <c r="B906" s="4" t="str">
        <f>IFERROR(__xludf.DUMMYFUNCTION("""COMPUTED_VALUE"""),"eeur")</f>
        <v>eeur</v>
      </c>
      <c r="C906" s="4" t="str">
        <f>IFERROR(__xludf.DUMMYFUNCTION("""COMPUTED_VALUE"""),"ARYZE eEUR")</f>
        <v>ARYZE eEUR</v>
      </c>
    </row>
    <row r="907">
      <c r="A907" s="4" t="str">
        <f>IFERROR(__xludf.DUMMYFUNCTION("""COMPUTED_VALUE"""),"aryze-egbp")</f>
        <v>aryze-egbp</v>
      </c>
      <c r="B907" s="4" t="str">
        <f>IFERROR(__xludf.DUMMYFUNCTION("""COMPUTED_VALUE"""),"egbp")</f>
        <v>egbp</v>
      </c>
      <c r="C907" s="4" t="str">
        <f>IFERROR(__xludf.DUMMYFUNCTION("""COMPUTED_VALUE"""),"ARYZE eGBP")</f>
        <v>ARYZE eGBP</v>
      </c>
    </row>
    <row r="908">
      <c r="A908" s="4" t="str">
        <f>IFERROR(__xludf.DUMMYFUNCTION("""COMPUTED_VALUE"""),"aryze-eusd")</f>
        <v>aryze-eusd</v>
      </c>
      <c r="B908" s="4" t="str">
        <f>IFERROR(__xludf.DUMMYFUNCTION("""COMPUTED_VALUE"""),"eusd")</f>
        <v>eusd</v>
      </c>
      <c r="C908" s="4" t="str">
        <f>IFERROR(__xludf.DUMMYFUNCTION("""COMPUTED_VALUE"""),"ARYZE eUSD")</f>
        <v>ARYZE eUSD</v>
      </c>
    </row>
    <row r="909">
      <c r="A909" s="4" t="str">
        <f>IFERROR(__xludf.DUMMYFUNCTION("""COMPUTED_VALUE"""),"asan-verse")</f>
        <v>asan-verse</v>
      </c>
      <c r="B909" s="4" t="str">
        <f>IFERROR(__xludf.DUMMYFUNCTION("""COMPUTED_VALUE"""),"asan")</f>
        <v>asan</v>
      </c>
      <c r="C909" s="4" t="str">
        <f>IFERROR(__xludf.DUMMYFUNCTION("""COMPUTED_VALUE"""),"ASAN VERSE")</f>
        <v>ASAN VERSE</v>
      </c>
    </row>
    <row r="910">
      <c r="A910" s="4" t="str">
        <f>IFERROR(__xludf.DUMMYFUNCTION("""COMPUTED_VALUE"""),"asap-sniper-bot")</f>
        <v>asap-sniper-bot</v>
      </c>
      <c r="B910" s="4" t="str">
        <f>IFERROR(__xludf.DUMMYFUNCTION("""COMPUTED_VALUE"""),"asap")</f>
        <v>asap</v>
      </c>
      <c r="C910" s="4" t="str">
        <f>IFERROR(__xludf.DUMMYFUNCTION("""COMPUTED_VALUE"""),"Asap Sniper Bot")</f>
        <v>Asap Sniper Bot</v>
      </c>
    </row>
    <row r="911">
      <c r="A911" s="4" t="str">
        <f>IFERROR(__xludf.DUMMYFUNCTION("""COMPUTED_VALUE"""),"ascend-2")</f>
        <v>ascend-2</v>
      </c>
      <c r="B911" s="4" t="str">
        <f>IFERROR(__xludf.DUMMYFUNCTION("""COMPUTED_VALUE"""),"asc")</f>
        <v>asc</v>
      </c>
      <c r="C911" s="4" t="str">
        <f>IFERROR(__xludf.DUMMYFUNCTION("""COMPUTED_VALUE"""),"Ascend")</f>
        <v>Ascend</v>
      </c>
    </row>
    <row r="912">
      <c r="A912" s="4" t="str">
        <f>IFERROR(__xludf.DUMMYFUNCTION("""COMPUTED_VALUE"""),"asct-avax-inscription")</f>
        <v>asct-avax-inscription</v>
      </c>
      <c r="B912" s="4" t="str">
        <f>IFERROR(__xludf.DUMMYFUNCTION("""COMPUTED_VALUE"""),"asct")</f>
        <v>asct</v>
      </c>
      <c r="C912" s="4" t="str">
        <f>IFERROR(__xludf.DUMMYFUNCTION("""COMPUTED_VALUE"""),"ASCT AVAX INSCRIPTION")</f>
        <v>ASCT AVAX INSCRIPTION</v>
      </c>
    </row>
    <row r="913">
      <c r="A913" s="4" t="str">
        <f>IFERROR(__xludf.DUMMYFUNCTION("""COMPUTED_VALUE"""),"asd")</f>
        <v>asd</v>
      </c>
      <c r="B913" s="4" t="str">
        <f>IFERROR(__xludf.DUMMYFUNCTION("""COMPUTED_VALUE"""),"asd")</f>
        <v>asd</v>
      </c>
      <c r="C913" s="4" t="str">
        <f>IFERROR(__xludf.DUMMYFUNCTION("""COMPUTED_VALUE"""),"AscendEx")</f>
        <v>AscendEx</v>
      </c>
    </row>
    <row r="914">
      <c r="A914" s="4" t="str">
        <f>IFERROR(__xludf.DUMMYFUNCTION("""COMPUTED_VALUE"""),"asdi")</f>
        <v>asdi</v>
      </c>
      <c r="B914" s="4" t="str">
        <f>IFERROR(__xludf.DUMMYFUNCTION("""COMPUTED_VALUE"""),"asdi")</f>
        <v>asdi</v>
      </c>
      <c r="C914" s="4" t="str">
        <f>IFERROR(__xludf.DUMMYFUNCTION("""COMPUTED_VALUE"""),"ASDI")</f>
        <v>ASDI</v>
      </c>
    </row>
    <row r="915">
      <c r="A915" s="4" t="str">
        <f>IFERROR(__xludf.DUMMYFUNCTION("""COMPUTED_VALUE"""),"asdi-reward")</f>
        <v>asdi-reward</v>
      </c>
      <c r="B915" s="4" t="str">
        <f>IFERROR(__xludf.DUMMYFUNCTION("""COMPUTED_VALUE"""),"asdir")</f>
        <v>asdir</v>
      </c>
      <c r="C915" s="4" t="str">
        <f>IFERROR(__xludf.DUMMYFUNCTION("""COMPUTED_VALUE"""),"ASDI Reward")</f>
        <v>ASDI Reward</v>
      </c>
    </row>
    <row r="916">
      <c r="A916" s="4" t="str">
        <f>IFERROR(__xludf.DUMMYFUNCTION("""COMPUTED_VALUE"""),"asgardx")</f>
        <v>asgardx</v>
      </c>
      <c r="B916" s="4" t="str">
        <f>IFERROR(__xludf.DUMMYFUNCTION("""COMPUTED_VALUE"""),"odin")</f>
        <v>odin</v>
      </c>
      <c r="C916" s="4" t="str">
        <f>IFERROR(__xludf.DUMMYFUNCTION("""COMPUTED_VALUE"""),"AsgardX")</f>
        <v>AsgardX</v>
      </c>
    </row>
    <row r="917">
      <c r="A917" s="4" t="str">
        <f>IFERROR(__xludf.DUMMYFUNCTION("""COMPUTED_VALUE"""),"ash")</f>
        <v>ash</v>
      </c>
      <c r="B917" s="4" t="str">
        <f>IFERROR(__xludf.DUMMYFUNCTION("""COMPUTED_VALUE"""),"ash")</f>
        <v>ash</v>
      </c>
      <c r="C917" s="4" t="str">
        <f>IFERROR(__xludf.DUMMYFUNCTION("""COMPUTED_VALUE"""),"ASH")</f>
        <v>ASH</v>
      </c>
    </row>
    <row r="918">
      <c r="A918" s="4" t="str">
        <f>IFERROR(__xludf.DUMMYFUNCTION("""COMPUTED_VALUE"""),"ash-dao")</f>
        <v>ash-dao</v>
      </c>
      <c r="B918" s="4" t="str">
        <f>IFERROR(__xludf.DUMMYFUNCTION("""COMPUTED_VALUE"""),"ash")</f>
        <v>ash</v>
      </c>
      <c r="C918" s="4" t="str">
        <f>IFERROR(__xludf.DUMMYFUNCTION("""COMPUTED_VALUE"""),"ASH DAO")</f>
        <v>ASH DAO</v>
      </c>
    </row>
    <row r="919">
      <c r="A919" s="4" t="str">
        <f>IFERROR(__xludf.DUMMYFUNCTION("""COMPUTED_VALUE"""),"ashswap")</f>
        <v>ashswap</v>
      </c>
      <c r="B919" s="4" t="str">
        <f>IFERROR(__xludf.DUMMYFUNCTION("""COMPUTED_VALUE"""),"ash")</f>
        <v>ash</v>
      </c>
      <c r="C919" s="4" t="str">
        <f>IFERROR(__xludf.DUMMYFUNCTION("""COMPUTED_VALUE"""),"AshSwap")</f>
        <v>AshSwap</v>
      </c>
    </row>
    <row r="920">
      <c r="A920" s="4" t="str">
        <f>IFERROR(__xludf.DUMMYFUNCTION("""COMPUTED_VALUE"""),"ash-token")</f>
        <v>ash-token</v>
      </c>
      <c r="B920" s="4" t="str">
        <f>IFERROR(__xludf.DUMMYFUNCTION("""COMPUTED_VALUE"""),"ash")</f>
        <v>ash</v>
      </c>
      <c r="C920" s="4" t="str">
        <f>IFERROR(__xludf.DUMMYFUNCTION("""COMPUTED_VALUE"""),"Ash Token")</f>
        <v>Ash Token</v>
      </c>
    </row>
    <row r="921">
      <c r="A921" s="4" t="str">
        <f>IFERROR(__xludf.DUMMYFUNCTION("""COMPUTED_VALUE"""),"asia-coin")</f>
        <v>asia-coin</v>
      </c>
      <c r="B921" s="4" t="str">
        <f>IFERROR(__xludf.DUMMYFUNCTION("""COMPUTED_VALUE"""),"asia")</f>
        <v>asia</v>
      </c>
      <c r="C921" s="4" t="str">
        <f>IFERROR(__xludf.DUMMYFUNCTION("""COMPUTED_VALUE"""),"Asia Coin")</f>
        <v>Asia Coin</v>
      </c>
    </row>
    <row r="922">
      <c r="A922" s="4" t="str">
        <f>IFERROR(__xludf.DUMMYFUNCTION("""COMPUTED_VALUE"""),"asic-token-pulsechain")</f>
        <v>asic-token-pulsechain</v>
      </c>
      <c r="B922" s="4" t="str">
        <f>IFERROR(__xludf.DUMMYFUNCTION("""COMPUTED_VALUE"""),"asic")</f>
        <v>asic</v>
      </c>
      <c r="C922" s="4" t="str">
        <f>IFERROR(__xludf.DUMMYFUNCTION("""COMPUTED_VALUE"""),"ASIC Token (Pulsechain)")</f>
        <v>ASIC Token (Pulsechain)</v>
      </c>
    </row>
    <row r="923">
      <c r="A923" s="4" t="str">
        <f>IFERROR(__xludf.DUMMYFUNCTION("""COMPUTED_VALUE"""),"asix")</f>
        <v>asix</v>
      </c>
      <c r="B923" s="4" t="str">
        <f>IFERROR(__xludf.DUMMYFUNCTION("""COMPUTED_VALUE"""),"asix")</f>
        <v>asix</v>
      </c>
      <c r="C923" s="4" t="str">
        <f>IFERROR(__xludf.DUMMYFUNCTION("""COMPUTED_VALUE"""),"ASIX")</f>
        <v>ASIX</v>
      </c>
    </row>
    <row r="924">
      <c r="A924" s="4" t="str">
        <f>IFERROR(__xludf.DUMMYFUNCTION("""COMPUTED_VALUE"""),"askobar-network")</f>
        <v>askobar-network</v>
      </c>
      <c r="B924" s="4" t="str">
        <f>IFERROR(__xludf.DUMMYFUNCTION("""COMPUTED_VALUE"""),"asko")</f>
        <v>asko</v>
      </c>
      <c r="C924" s="4" t="str">
        <f>IFERROR(__xludf.DUMMYFUNCTION("""COMPUTED_VALUE"""),"Asko")</f>
        <v>Asko</v>
      </c>
    </row>
    <row r="925">
      <c r="A925" s="4" t="str">
        <f>IFERROR(__xludf.DUMMYFUNCTION("""COMPUTED_VALUE"""),"asmatch")</f>
        <v>asmatch</v>
      </c>
      <c r="B925" s="4" t="str">
        <f>IFERROR(__xludf.DUMMYFUNCTION("""COMPUTED_VALUE"""),"asm")</f>
        <v>asm</v>
      </c>
      <c r="C925" s="4" t="str">
        <f>IFERROR(__xludf.DUMMYFUNCTION("""COMPUTED_VALUE"""),"AsMatch")</f>
        <v>AsMatch</v>
      </c>
    </row>
    <row r="926">
      <c r="A926" s="4" t="str">
        <f>IFERROR(__xludf.DUMMYFUNCTION("""COMPUTED_VALUE"""),"as-monaco-fan-token")</f>
        <v>as-monaco-fan-token</v>
      </c>
      <c r="B926" s="4" t="str">
        <f>IFERROR(__xludf.DUMMYFUNCTION("""COMPUTED_VALUE"""),"asm")</f>
        <v>asm</v>
      </c>
      <c r="C926" s="4" t="str">
        <f>IFERROR(__xludf.DUMMYFUNCTION("""COMPUTED_VALUE"""),"AS Monaco Fan Token")</f>
        <v>AS Monaco Fan Token</v>
      </c>
    </row>
    <row r="927">
      <c r="A927" s="4" t="str">
        <f>IFERROR(__xludf.DUMMYFUNCTION("""COMPUTED_VALUE"""),"aspo-world")</f>
        <v>aspo-world</v>
      </c>
      <c r="B927" s="4" t="str">
        <f>IFERROR(__xludf.DUMMYFUNCTION("""COMPUTED_VALUE"""),"aspo")</f>
        <v>aspo</v>
      </c>
      <c r="C927" s="4" t="str">
        <f>IFERROR(__xludf.DUMMYFUNCTION("""COMPUTED_VALUE"""),"ASPO World")</f>
        <v>ASPO World</v>
      </c>
    </row>
    <row r="928">
      <c r="A928" s="4" t="str">
        <f>IFERROR(__xludf.DUMMYFUNCTION("""COMPUTED_VALUE"""),"asr-coin")</f>
        <v>asr-coin</v>
      </c>
      <c r="B928" s="4" t="str">
        <f>IFERROR(__xludf.DUMMYFUNCTION("""COMPUTED_VALUE"""),"asr")</f>
        <v>asr</v>
      </c>
      <c r="C928" s="4" t="str">
        <f>IFERROR(__xludf.DUMMYFUNCTION("""COMPUTED_VALUE"""),"ASR Coin")</f>
        <v>ASR Coin</v>
      </c>
    </row>
    <row r="929">
      <c r="A929" s="4" t="str">
        <f>IFERROR(__xludf.DUMMYFUNCTION("""COMPUTED_VALUE"""),"as-roma-fan-token")</f>
        <v>as-roma-fan-token</v>
      </c>
      <c r="B929" s="4" t="str">
        <f>IFERROR(__xludf.DUMMYFUNCTION("""COMPUTED_VALUE"""),"asr")</f>
        <v>asr</v>
      </c>
      <c r="C929" s="4" t="str">
        <f>IFERROR(__xludf.DUMMYFUNCTION("""COMPUTED_VALUE"""),"AS Roma Fan Token")</f>
        <v>AS Roma Fan Token</v>
      </c>
    </row>
    <row r="930">
      <c r="A930" s="4" t="str">
        <f>IFERROR(__xludf.DUMMYFUNCTION("""COMPUTED_VALUE"""),"assangedao")</f>
        <v>assangedao</v>
      </c>
      <c r="B930" s="4" t="str">
        <f>IFERROR(__xludf.DUMMYFUNCTION("""COMPUTED_VALUE"""),"justice")</f>
        <v>justice</v>
      </c>
      <c r="C930" s="4" t="str">
        <f>IFERROR(__xludf.DUMMYFUNCTION("""COMPUTED_VALUE"""),"AssangeDAO")</f>
        <v>AssangeDAO</v>
      </c>
    </row>
    <row r="931">
      <c r="A931" s="4" t="str">
        <f>IFERROR(__xludf.DUMMYFUNCTION("""COMPUTED_VALUE"""),"assaplay")</f>
        <v>assaplay</v>
      </c>
      <c r="B931" s="4" t="str">
        <f>IFERROR(__xludf.DUMMYFUNCTION("""COMPUTED_VALUE"""),"assa")</f>
        <v>assa</v>
      </c>
      <c r="C931" s="4" t="str">
        <f>IFERROR(__xludf.DUMMYFUNCTION("""COMPUTED_VALUE"""),"AssaPlay")</f>
        <v>AssaPlay</v>
      </c>
    </row>
    <row r="932">
      <c r="A932" s="4" t="str">
        <f>IFERROR(__xludf.DUMMYFUNCTION("""COMPUTED_VALUE"""),"assemble-protocol")</f>
        <v>assemble-protocol</v>
      </c>
      <c r="B932" s="4" t="str">
        <f>IFERROR(__xludf.DUMMYFUNCTION("""COMPUTED_VALUE"""),"asm")</f>
        <v>asm</v>
      </c>
      <c r="C932" s="4" t="str">
        <f>IFERROR(__xludf.DUMMYFUNCTION("""COMPUTED_VALUE"""),"Assemble Protocol")</f>
        <v>Assemble Protocol</v>
      </c>
    </row>
    <row r="933">
      <c r="A933" s="4" t="str">
        <f>IFERROR(__xludf.DUMMYFUNCTION("""COMPUTED_VALUE"""),"assent-protocol")</f>
        <v>assent-protocol</v>
      </c>
      <c r="B933" s="4" t="str">
        <f>IFERROR(__xludf.DUMMYFUNCTION("""COMPUTED_VALUE"""),"asnt")</f>
        <v>asnt</v>
      </c>
      <c r="C933" s="4" t="str">
        <f>IFERROR(__xludf.DUMMYFUNCTION("""COMPUTED_VALUE"""),"Assent Protocol")</f>
        <v>Assent Protocol</v>
      </c>
    </row>
    <row r="934">
      <c r="A934" s="4" t="str">
        <f>IFERROR(__xludf.DUMMYFUNCTION("""COMPUTED_VALUE"""),"assetlink")</f>
        <v>assetlink</v>
      </c>
      <c r="B934" s="4" t="str">
        <f>IFERROR(__xludf.DUMMYFUNCTION("""COMPUTED_VALUE"""),"aset")</f>
        <v>aset</v>
      </c>
      <c r="C934" s="4" t="str">
        <f>IFERROR(__xludf.DUMMYFUNCTION("""COMPUTED_VALUE"""),"AssetLink")</f>
        <v>AssetLink</v>
      </c>
    </row>
    <row r="935">
      <c r="A935" s="4" t="str">
        <f>IFERROR(__xludf.DUMMYFUNCTION("""COMPUTED_VALUE"""),"assetmantle")</f>
        <v>assetmantle</v>
      </c>
      <c r="B935" s="4" t="str">
        <f>IFERROR(__xludf.DUMMYFUNCTION("""COMPUTED_VALUE"""),"mntl")</f>
        <v>mntl</v>
      </c>
      <c r="C935" s="4" t="str">
        <f>IFERROR(__xludf.DUMMYFUNCTION("""COMPUTED_VALUE"""),"AssetMantle")</f>
        <v>AssetMantle</v>
      </c>
    </row>
    <row r="936">
      <c r="A936" s="4" t="str">
        <f>IFERROR(__xludf.DUMMYFUNCTION("""COMPUTED_VALUE"""),"astar")</f>
        <v>astar</v>
      </c>
      <c r="B936" s="4" t="str">
        <f>IFERROR(__xludf.DUMMYFUNCTION("""COMPUTED_VALUE"""),"astr")</f>
        <v>astr</v>
      </c>
      <c r="C936" s="4" t="str">
        <f>IFERROR(__xludf.DUMMYFUNCTION("""COMPUTED_VALUE"""),"Astar")</f>
        <v>Astar</v>
      </c>
    </row>
    <row r="937">
      <c r="A937" s="4" t="str">
        <f>IFERROR(__xludf.DUMMYFUNCTION("""COMPUTED_VALUE"""),"astar-moonbeam")</f>
        <v>astar-moonbeam</v>
      </c>
      <c r="B937" s="4" t="str">
        <f>IFERROR(__xludf.DUMMYFUNCTION("""COMPUTED_VALUE"""),"$xcastr")</f>
        <v>$xcastr</v>
      </c>
      <c r="C937" s="4" t="str">
        <f>IFERROR(__xludf.DUMMYFUNCTION("""COMPUTED_VALUE"""),"Astar (Moonbeam)")</f>
        <v>Astar (Moonbeam)</v>
      </c>
    </row>
    <row r="938">
      <c r="A938" s="4" t="str">
        <f>IFERROR(__xludf.DUMMYFUNCTION("""COMPUTED_VALUE"""),"astarter")</f>
        <v>astarter</v>
      </c>
      <c r="B938" s="4" t="str">
        <f>IFERROR(__xludf.DUMMYFUNCTION("""COMPUTED_VALUE"""),"aa")</f>
        <v>aa</v>
      </c>
      <c r="C938" s="4" t="str">
        <f>IFERROR(__xludf.DUMMYFUNCTION("""COMPUTED_VALUE"""),"Astarter")</f>
        <v>Astarter</v>
      </c>
    </row>
    <row r="939">
      <c r="A939" s="4" t="str">
        <f>IFERROR(__xludf.DUMMYFUNCTION("""COMPUTED_VALUE"""),"aster")</f>
        <v>aster</v>
      </c>
      <c r="B939" s="4" t="str">
        <f>IFERROR(__xludf.DUMMYFUNCTION("""COMPUTED_VALUE"""),"atc")</f>
        <v>atc</v>
      </c>
      <c r="C939" s="4" t="str">
        <f>IFERROR(__xludf.DUMMYFUNCTION("""COMPUTED_VALUE"""),"Aster")</f>
        <v>Aster</v>
      </c>
    </row>
    <row r="940">
      <c r="A940" s="4" t="str">
        <f>IFERROR(__xludf.DUMMYFUNCTION("""COMPUTED_VALUE"""),"asterix")</f>
        <v>asterix</v>
      </c>
      <c r="B940" s="4" t="str">
        <f>IFERROR(__xludf.DUMMYFUNCTION("""COMPUTED_VALUE"""),"astx")</f>
        <v>astx</v>
      </c>
      <c r="C940" s="4" t="str">
        <f>IFERROR(__xludf.DUMMYFUNCTION("""COMPUTED_VALUE"""),"Asterix")</f>
        <v>Asterix</v>
      </c>
    </row>
    <row r="941">
      <c r="A941" s="4" t="str">
        <f>IFERROR(__xludf.DUMMYFUNCTION("""COMPUTED_VALUE"""),"asteroids")</f>
        <v>asteroids</v>
      </c>
      <c r="B941" s="4" t="str">
        <f>IFERROR(__xludf.DUMMYFUNCTION("""COMPUTED_VALUE"""),"roids")</f>
        <v>roids</v>
      </c>
      <c r="C941" s="4" t="str">
        <f>IFERROR(__xludf.DUMMYFUNCTION("""COMPUTED_VALUE"""),"Asteroids")</f>
        <v>Asteroids</v>
      </c>
    </row>
    <row r="942">
      <c r="A942" s="4" t="str">
        <f>IFERROR(__xludf.DUMMYFUNCTION("""COMPUTED_VALUE"""),"aston-martin-cognizant-fan-token")</f>
        <v>aston-martin-cognizant-fan-token</v>
      </c>
      <c r="B942" s="4" t="str">
        <f>IFERROR(__xludf.DUMMYFUNCTION("""COMPUTED_VALUE"""),"am")</f>
        <v>am</v>
      </c>
      <c r="C942" s="4" t="str">
        <f>IFERROR(__xludf.DUMMYFUNCTION("""COMPUTED_VALUE"""),"Aston Martin Cognizant Fan Token")</f>
        <v>Aston Martin Cognizant Fan Token</v>
      </c>
    </row>
    <row r="943">
      <c r="A943" s="4" t="str">
        <f>IFERROR(__xludf.DUMMYFUNCTION("""COMPUTED_VALUE"""),"aston-villa-fan-token")</f>
        <v>aston-villa-fan-token</v>
      </c>
      <c r="B943" s="4" t="str">
        <f>IFERROR(__xludf.DUMMYFUNCTION("""COMPUTED_VALUE"""),"avl")</f>
        <v>avl</v>
      </c>
      <c r="C943" s="4" t="str">
        <f>IFERROR(__xludf.DUMMYFUNCTION("""COMPUTED_VALUE"""),"Aston Villa Fan Token")</f>
        <v>Aston Villa Fan Token</v>
      </c>
    </row>
    <row r="944">
      <c r="A944" s="4" t="str">
        <f>IFERROR(__xludf.DUMMYFUNCTION("""COMPUTED_VALUE"""),"astraai")</f>
        <v>astraai</v>
      </c>
      <c r="B944" s="4" t="str">
        <f>IFERROR(__xludf.DUMMYFUNCTION("""COMPUTED_VALUE"""),"astra")</f>
        <v>astra</v>
      </c>
      <c r="C944" s="4" t="str">
        <f>IFERROR(__xludf.DUMMYFUNCTION("""COMPUTED_VALUE"""),"AstraAI")</f>
        <v>AstraAI</v>
      </c>
    </row>
    <row r="945">
      <c r="A945" s="4" t="str">
        <f>IFERROR(__xludf.DUMMYFUNCTION("""COMPUTED_VALUE"""),"astra-dao-2")</f>
        <v>astra-dao-2</v>
      </c>
      <c r="B945" s="4" t="str">
        <f>IFERROR(__xludf.DUMMYFUNCTION("""COMPUTED_VALUE"""),"astradao")</f>
        <v>astradao</v>
      </c>
      <c r="C945" s="4" t="str">
        <f>IFERROR(__xludf.DUMMYFUNCTION("""COMPUTED_VALUE"""),"Astra DAO")</f>
        <v>Astra DAO</v>
      </c>
    </row>
    <row r="946">
      <c r="A946" s="4" t="str">
        <f>IFERROR(__xludf.DUMMYFUNCTION("""COMPUTED_VALUE"""),"astrafer")</f>
        <v>astrafer</v>
      </c>
      <c r="B946" s="4" t="str">
        <f>IFERROR(__xludf.DUMMYFUNCTION("""COMPUTED_VALUE"""),"astrafer")</f>
        <v>astrafer</v>
      </c>
      <c r="C946" s="4" t="str">
        <f>IFERROR(__xludf.DUMMYFUNCTION("""COMPUTED_VALUE"""),"Astrafer")</f>
        <v>Astrafer</v>
      </c>
    </row>
    <row r="947">
      <c r="A947" s="4" t="str">
        <f>IFERROR(__xludf.DUMMYFUNCTION("""COMPUTED_VALUE"""),"astral-credits")</f>
        <v>astral-credits</v>
      </c>
      <c r="B947" s="4" t="str">
        <f>IFERROR(__xludf.DUMMYFUNCTION("""COMPUTED_VALUE"""),"xac")</f>
        <v>xac</v>
      </c>
      <c r="C947" s="4" t="str">
        <f>IFERROR(__xludf.DUMMYFUNCTION("""COMPUTED_VALUE"""),"Astral Credits")</f>
        <v>Astral Credits</v>
      </c>
    </row>
    <row r="948">
      <c r="A948" s="4" t="str">
        <f>IFERROR(__xludf.DUMMYFUNCTION("""COMPUTED_VALUE"""),"astrals-glxy")</f>
        <v>astrals-glxy</v>
      </c>
      <c r="B948" s="4" t="str">
        <f>IFERROR(__xludf.DUMMYFUNCTION("""COMPUTED_VALUE"""),"glxy")</f>
        <v>glxy</v>
      </c>
      <c r="C948" s="4" t="str">
        <f>IFERROR(__xludf.DUMMYFUNCTION("""COMPUTED_VALUE"""),"Astrals GLXY")</f>
        <v>Astrals GLXY</v>
      </c>
    </row>
    <row r="949">
      <c r="A949" s="4" t="str">
        <f>IFERROR(__xludf.DUMMYFUNCTION("""COMPUTED_VALUE"""),"astra-nova")</f>
        <v>astra-nova</v>
      </c>
      <c r="B949" s="4" t="str">
        <f>IFERROR(__xludf.DUMMYFUNCTION("""COMPUTED_VALUE"""),"$rvv")</f>
        <v>$rvv</v>
      </c>
      <c r="C949" s="4" t="str">
        <f>IFERROR(__xludf.DUMMYFUNCTION("""COMPUTED_VALUE"""),"Astra Nova")</f>
        <v>Astra Nova</v>
      </c>
    </row>
    <row r="950">
      <c r="A950" s="4" t="str">
        <f>IFERROR(__xludf.DUMMYFUNCTION("""COMPUTED_VALUE"""),"astra-protocol-2")</f>
        <v>astra-protocol-2</v>
      </c>
      <c r="B950" s="4" t="str">
        <f>IFERROR(__xludf.DUMMYFUNCTION("""COMPUTED_VALUE"""),"astra")</f>
        <v>astra</v>
      </c>
      <c r="C950" s="4" t="str">
        <f>IFERROR(__xludf.DUMMYFUNCTION("""COMPUTED_VALUE"""),"Astra Protocol")</f>
        <v>Astra Protocol</v>
      </c>
    </row>
    <row r="951">
      <c r="A951" s="4" t="str">
        <f>IFERROR(__xludf.DUMMYFUNCTION("""COMPUTED_VALUE"""),"astrazion")</f>
        <v>astrazion</v>
      </c>
      <c r="B951" s="4" t="str">
        <f>IFERROR(__xludf.DUMMYFUNCTION("""COMPUTED_VALUE"""),"aznt")</f>
        <v>aznt</v>
      </c>
      <c r="C951" s="4" t="str">
        <f>IFERROR(__xludf.DUMMYFUNCTION("""COMPUTED_VALUE"""),"AstraZion")</f>
        <v>AstraZion</v>
      </c>
    </row>
    <row r="952">
      <c r="A952" s="4" t="str">
        <f>IFERROR(__xludf.DUMMYFUNCTION("""COMPUTED_VALUE"""),"astriddao-token")</f>
        <v>astriddao-token</v>
      </c>
      <c r="B952" s="4" t="str">
        <f>IFERROR(__xludf.DUMMYFUNCTION("""COMPUTED_VALUE"""),"atid")</f>
        <v>atid</v>
      </c>
      <c r="C952" s="4" t="str">
        <f>IFERROR(__xludf.DUMMYFUNCTION("""COMPUTED_VALUE"""),"AstridDAO")</f>
        <v>AstridDAO</v>
      </c>
    </row>
    <row r="953">
      <c r="A953" s="4" t="str">
        <f>IFERROR(__xludf.DUMMYFUNCTION("""COMPUTED_VALUE"""),"astrid-restaked-cbeth")</f>
        <v>astrid-restaked-cbeth</v>
      </c>
      <c r="B953" s="4" t="str">
        <f>IFERROR(__xludf.DUMMYFUNCTION("""COMPUTED_VALUE"""),"rcbeth")</f>
        <v>rcbeth</v>
      </c>
      <c r="C953" s="4" t="str">
        <f>IFERROR(__xludf.DUMMYFUNCTION("""COMPUTED_VALUE"""),"Astrid Restaked cbETH")</f>
        <v>Astrid Restaked cbETH</v>
      </c>
    </row>
    <row r="954">
      <c r="A954" s="4" t="str">
        <f>IFERROR(__xludf.DUMMYFUNCTION("""COMPUTED_VALUE"""),"astrid-restaked-reth")</f>
        <v>astrid-restaked-reth</v>
      </c>
      <c r="B954" s="4" t="str">
        <f>IFERROR(__xludf.DUMMYFUNCTION("""COMPUTED_VALUE"""),"rreth")</f>
        <v>rreth</v>
      </c>
      <c r="C954" s="4" t="str">
        <f>IFERROR(__xludf.DUMMYFUNCTION("""COMPUTED_VALUE"""),"Astrid Restaked rETH")</f>
        <v>Astrid Restaked rETH</v>
      </c>
    </row>
    <row r="955">
      <c r="A955" s="4" t="str">
        <f>IFERROR(__xludf.DUMMYFUNCTION("""COMPUTED_VALUE"""),"astrid-restaked-steth")</f>
        <v>astrid-restaked-steth</v>
      </c>
      <c r="B955" s="4" t="str">
        <f>IFERROR(__xludf.DUMMYFUNCTION("""COMPUTED_VALUE"""),"rsteth")</f>
        <v>rsteth</v>
      </c>
      <c r="C955" s="4" t="str">
        <f>IFERROR(__xludf.DUMMYFUNCTION("""COMPUTED_VALUE"""),"Astrid Restaked stETH")</f>
        <v>Astrid Restaked stETH</v>
      </c>
    </row>
    <row r="956">
      <c r="A956" s="4" t="str">
        <f>IFERROR(__xludf.DUMMYFUNCTION("""COMPUTED_VALUE"""),"astro-2")</f>
        <v>astro-2</v>
      </c>
      <c r="B956" s="4" t="str">
        <f>IFERROR(__xludf.DUMMYFUNCTION("""COMPUTED_VALUE"""),"astro")</f>
        <v>astro</v>
      </c>
      <c r="C956" s="4" t="str">
        <f>IFERROR(__xludf.DUMMYFUNCTION("""COMPUTED_VALUE"""),"Astro")</f>
        <v>Astro</v>
      </c>
    </row>
    <row r="957">
      <c r="A957" s="4" t="str">
        <f>IFERROR(__xludf.DUMMYFUNCTION("""COMPUTED_VALUE"""),"astroai")</f>
        <v>astroai</v>
      </c>
      <c r="B957" s="4" t="str">
        <f>IFERROR(__xludf.DUMMYFUNCTION("""COMPUTED_VALUE"""),"astroai")</f>
        <v>astroai</v>
      </c>
      <c r="C957" s="4" t="str">
        <f>IFERROR(__xludf.DUMMYFUNCTION("""COMPUTED_VALUE"""),"AstroAI")</f>
        <v>AstroAI</v>
      </c>
    </row>
    <row r="958">
      <c r="A958" s="4" t="str">
        <f>IFERROR(__xludf.DUMMYFUNCTION("""COMPUTED_VALUE"""),"astro-babies")</f>
        <v>astro-babies</v>
      </c>
      <c r="B958" s="4" t="str">
        <f>IFERROR(__xludf.DUMMYFUNCTION("""COMPUTED_VALUE"""),"abb")</f>
        <v>abb</v>
      </c>
      <c r="C958" s="4" t="str">
        <f>IFERROR(__xludf.DUMMYFUNCTION("""COMPUTED_VALUE"""),"Astro Babies")</f>
        <v>Astro Babies</v>
      </c>
    </row>
    <row r="959">
      <c r="A959" s="4" t="str">
        <f>IFERROR(__xludf.DUMMYFUNCTION("""COMPUTED_VALUE"""),"astrobits")</f>
        <v>astrobits</v>
      </c>
      <c r="B959" s="4" t="str">
        <f>IFERROR(__xludf.DUMMYFUNCTION("""COMPUTED_VALUE"""),"astrb")</f>
        <v>astrb</v>
      </c>
      <c r="C959" s="4" t="str">
        <f>IFERROR(__xludf.DUMMYFUNCTION("""COMPUTED_VALUE"""),"ASTROBITS")</f>
        <v>ASTROBITS</v>
      </c>
    </row>
    <row r="960">
      <c r="A960" s="4" t="str">
        <f>IFERROR(__xludf.DUMMYFUNCTION("""COMPUTED_VALUE"""),"astro-cash")</f>
        <v>astro-cash</v>
      </c>
      <c r="B960" s="4" t="str">
        <f>IFERROR(__xludf.DUMMYFUNCTION("""COMPUTED_VALUE"""),"astro")</f>
        <v>astro</v>
      </c>
      <c r="C960" s="4" t="str">
        <f>IFERROR(__xludf.DUMMYFUNCTION("""COMPUTED_VALUE"""),"Astro Cash")</f>
        <v>Astro Cash</v>
      </c>
    </row>
    <row r="961">
      <c r="A961" s="4" t="str">
        <f>IFERROR(__xludf.DUMMYFUNCTION("""COMPUTED_VALUE"""),"astroelon")</f>
        <v>astroelon</v>
      </c>
      <c r="B961" s="4" t="str">
        <f>IFERROR(__xludf.DUMMYFUNCTION("""COMPUTED_VALUE"""),"elonone")</f>
        <v>elonone</v>
      </c>
      <c r="C961" s="4" t="str">
        <f>IFERROR(__xludf.DUMMYFUNCTION("""COMPUTED_VALUE"""),"AstroElon")</f>
        <v>AstroElon</v>
      </c>
    </row>
    <row r="962">
      <c r="A962" s="4" t="str">
        <f>IFERROR(__xludf.DUMMYFUNCTION("""COMPUTED_VALUE"""),"astrolescent")</f>
        <v>astrolescent</v>
      </c>
      <c r="B962" s="4" t="str">
        <f>IFERROR(__xludf.DUMMYFUNCTION("""COMPUTED_VALUE"""),"astrl")</f>
        <v>astrl</v>
      </c>
      <c r="C962" s="4" t="str">
        <f>IFERROR(__xludf.DUMMYFUNCTION("""COMPUTED_VALUE"""),"Astrolescent")</f>
        <v>Astrolescent</v>
      </c>
    </row>
    <row r="963">
      <c r="A963" s="4" t="str">
        <f>IFERROR(__xludf.DUMMYFUNCTION("""COMPUTED_VALUE"""),"astro-pepe")</f>
        <v>astro-pepe</v>
      </c>
      <c r="B963" s="4" t="str">
        <f>IFERROR(__xludf.DUMMYFUNCTION("""COMPUTED_VALUE"""),"astropepe")</f>
        <v>astropepe</v>
      </c>
      <c r="C963" s="4" t="str">
        <f>IFERROR(__xludf.DUMMYFUNCTION("""COMPUTED_VALUE"""),"Astro Pepe")</f>
        <v>Astro Pepe</v>
      </c>
    </row>
    <row r="964">
      <c r="A964" s="4" t="str">
        <f>IFERROR(__xludf.DUMMYFUNCTION("""COMPUTED_VALUE"""),"astropepex")</f>
        <v>astropepex</v>
      </c>
      <c r="B964" s="4" t="str">
        <f>IFERROR(__xludf.DUMMYFUNCTION("""COMPUTED_VALUE"""),"apx")</f>
        <v>apx</v>
      </c>
      <c r="C964" s="4" t="str">
        <f>IFERROR(__xludf.DUMMYFUNCTION("""COMPUTED_VALUE"""),"AstroPepeX")</f>
        <v>AstroPepeX</v>
      </c>
    </row>
    <row r="965">
      <c r="A965" s="4" t="str">
        <f>IFERROR(__xludf.DUMMYFUNCTION("""COMPUTED_VALUE"""),"astroport")</f>
        <v>astroport</v>
      </c>
      <c r="B965" s="4" t="str">
        <f>IFERROR(__xludf.DUMMYFUNCTION("""COMPUTED_VALUE"""),"astroc")</f>
        <v>astroc</v>
      </c>
      <c r="C965" s="4" t="str">
        <f>IFERROR(__xludf.DUMMYFUNCTION("""COMPUTED_VALUE"""),"Astroport Classic")</f>
        <v>Astroport Classic</v>
      </c>
    </row>
    <row r="966">
      <c r="A966" s="4" t="str">
        <f>IFERROR(__xludf.DUMMYFUNCTION("""COMPUTED_VALUE"""),"astroport-fi")</f>
        <v>astroport-fi</v>
      </c>
      <c r="B966" s="4" t="str">
        <f>IFERROR(__xludf.DUMMYFUNCTION("""COMPUTED_VALUE"""),"astro")</f>
        <v>astro</v>
      </c>
      <c r="C966" s="4" t="str">
        <f>IFERROR(__xludf.DUMMYFUNCTION("""COMPUTED_VALUE"""),"Astroport")</f>
        <v>Astroport</v>
      </c>
    </row>
    <row r="967">
      <c r="A967" s="4" t="str">
        <f>IFERROR(__xludf.DUMMYFUNCTION("""COMPUTED_VALUE"""),"astrospaces-io")</f>
        <v>astrospaces-io</v>
      </c>
      <c r="B967" s="4" t="str">
        <f>IFERROR(__xludf.DUMMYFUNCTION("""COMPUTED_VALUE"""),"spaces")</f>
        <v>spaces</v>
      </c>
      <c r="C967" s="5" t="str">
        <f>IFERROR(__xludf.DUMMYFUNCTION("""COMPUTED_VALUE"""),"AstroSpaces.io")</f>
        <v>AstroSpaces.io</v>
      </c>
    </row>
    <row r="968">
      <c r="A968" s="4" t="str">
        <f>IFERROR(__xludf.DUMMYFUNCTION("""COMPUTED_VALUE"""),"astroswap")</f>
        <v>astroswap</v>
      </c>
      <c r="B968" s="4" t="str">
        <f>IFERROR(__xludf.DUMMYFUNCTION("""COMPUTED_VALUE"""),"astro")</f>
        <v>astro</v>
      </c>
      <c r="C968" s="4" t="str">
        <f>IFERROR(__xludf.DUMMYFUNCTION("""COMPUTED_VALUE"""),"AstroSwap")</f>
        <v>AstroSwap</v>
      </c>
    </row>
    <row r="969">
      <c r="A969" s="4" t="str">
        <f>IFERROR(__xludf.DUMMYFUNCTION("""COMPUTED_VALUE"""),"astrotools")</f>
        <v>astrotools</v>
      </c>
      <c r="B969" s="4" t="str">
        <f>IFERROR(__xludf.DUMMYFUNCTION("""COMPUTED_VALUE"""),"astro")</f>
        <v>astro</v>
      </c>
      <c r="C969" s="4" t="str">
        <f>IFERROR(__xludf.DUMMYFUNCTION("""COMPUTED_VALUE"""),"AstroTools")</f>
        <v>AstroTools</v>
      </c>
    </row>
    <row r="970">
      <c r="A970" s="4" t="str">
        <f>IFERROR(__xludf.DUMMYFUNCTION("""COMPUTED_VALUE"""),"astrovault")</f>
        <v>astrovault</v>
      </c>
      <c r="B970" s="4" t="str">
        <f>IFERROR(__xludf.DUMMYFUNCTION("""COMPUTED_VALUE"""),"axv")</f>
        <v>axv</v>
      </c>
      <c r="C970" s="4" t="str">
        <f>IFERROR(__xludf.DUMMYFUNCTION("""COMPUTED_VALUE"""),"Astrovault")</f>
        <v>Astrovault</v>
      </c>
    </row>
    <row r="971">
      <c r="A971" s="4" t="str">
        <f>IFERROR(__xludf.DUMMYFUNCTION("""COMPUTED_VALUE"""),"astrovault-xarch")</f>
        <v>astrovault-xarch</v>
      </c>
      <c r="B971" s="4" t="str">
        <f>IFERROR(__xludf.DUMMYFUNCTION("""COMPUTED_VALUE"""),"xarch")</f>
        <v>xarch</v>
      </c>
      <c r="C971" s="4" t="str">
        <f>IFERROR(__xludf.DUMMYFUNCTION("""COMPUTED_VALUE"""),"xARCH_Astrovault")</f>
        <v>xARCH_Astrovault</v>
      </c>
    </row>
    <row r="972">
      <c r="A972" s="4" t="str">
        <f>IFERROR(__xludf.DUMMYFUNCTION("""COMPUTED_VALUE"""),"astrovault-xatom")</f>
        <v>astrovault-xatom</v>
      </c>
      <c r="B972" s="4" t="str">
        <f>IFERROR(__xludf.DUMMYFUNCTION("""COMPUTED_VALUE"""),"xatom")</f>
        <v>xatom</v>
      </c>
      <c r="C972" s="4" t="str">
        <f>IFERROR(__xludf.DUMMYFUNCTION("""COMPUTED_VALUE"""),"xATOM_Astrovault")</f>
        <v>xATOM_Astrovault</v>
      </c>
    </row>
    <row r="973">
      <c r="A973" s="4" t="str">
        <f>IFERROR(__xludf.DUMMYFUNCTION("""COMPUTED_VALUE"""),"astrovault-xjkl")</f>
        <v>astrovault-xjkl</v>
      </c>
      <c r="B973" s="4" t="str">
        <f>IFERROR(__xludf.DUMMYFUNCTION("""COMPUTED_VALUE"""),"xjkl")</f>
        <v>xjkl</v>
      </c>
      <c r="C973" s="4" t="str">
        <f>IFERROR(__xludf.DUMMYFUNCTION("""COMPUTED_VALUE"""),"xJKL_Astrovault")</f>
        <v>xJKL_Astrovault</v>
      </c>
    </row>
    <row r="974">
      <c r="A974" s="4" t="str">
        <f>IFERROR(__xludf.DUMMYFUNCTION("""COMPUTED_VALUE"""),"astro-x")</f>
        <v>astro-x</v>
      </c>
      <c r="B974" s="4" t="str">
        <f>IFERROR(__xludf.DUMMYFUNCTION("""COMPUTED_VALUE"""),"astrox")</f>
        <v>astrox</v>
      </c>
      <c r="C974" s="4" t="str">
        <f>IFERROR(__xludf.DUMMYFUNCTION("""COMPUTED_VALUE"""),"Astro-X")</f>
        <v>Astro-X</v>
      </c>
    </row>
    <row r="975">
      <c r="A975" s="4" t="str">
        <f>IFERROR(__xludf.DUMMYFUNCTION("""COMPUTED_VALUE"""),"asva")</f>
        <v>asva</v>
      </c>
      <c r="B975" s="4" t="str">
        <f>IFERROR(__xludf.DUMMYFUNCTION("""COMPUTED_VALUE"""),"asva")</f>
        <v>asva</v>
      </c>
      <c r="C975" s="4" t="str">
        <f>IFERROR(__xludf.DUMMYFUNCTION("""COMPUTED_VALUE"""),"Asva Labs")</f>
        <v>Asva Labs</v>
      </c>
    </row>
    <row r="976">
      <c r="A976" s="4" t="str">
        <f>IFERROR(__xludf.DUMMYFUNCTION("""COMPUTED_VALUE"""),"asx-capital")</f>
        <v>asx-capital</v>
      </c>
      <c r="B976" s="4" t="str">
        <f>IFERROR(__xludf.DUMMYFUNCTION("""COMPUTED_VALUE"""),"asx")</f>
        <v>asx</v>
      </c>
      <c r="C976" s="4" t="str">
        <f>IFERROR(__xludf.DUMMYFUNCTION("""COMPUTED_VALUE"""),"ASX Capital")</f>
        <v>ASX Capital</v>
      </c>
    </row>
    <row r="977">
      <c r="A977" s="4" t="str">
        <f>IFERROR(__xludf.DUMMYFUNCTION("""COMPUTED_VALUE"""),"asyagro")</f>
        <v>asyagro</v>
      </c>
      <c r="B977" s="4" t="str">
        <f>IFERROR(__xludf.DUMMYFUNCTION("""COMPUTED_VALUE"""),"asy")</f>
        <v>asy</v>
      </c>
      <c r="C977" s="4" t="str">
        <f>IFERROR(__xludf.DUMMYFUNCTION("""COMPUTED_VALUE"""),"ASYAGRO")</f>
        <v>ASYAGRO</v>
      </c>
    </row>
    <row r="978">
      <c r="A978" s="4" t="str">
        <f>IFERROR(__xludf.DUMMYFUNCTION("""COMPUTED_VALUE"""),"asymetrix")</f>
        <v>asymetrix</v>
      </c>
      <c r="B978" s="4" t="str">
        <f>IFERROR(__xludf.DUMMYFUNCTION("""COMPUTED_VALUE"""),"asx")</f>
        <v>asx</v>
      </c>
      <c r="C978" s="4" t="str">
        <f>IFERROR(__xludf.DUMMYFUNCTION("""COMPUTED_VALUE"""),"Asymetrix")</f>
        <v>Asymetrix</v>
      </c>
    </row>
    <row r="979">
      <c r="A979" s="4" t="str">
        <f>IFERROR(__xludf.DUMMYFUNCTION("""COMPUTED_VALUE"""),"atalexv2")</f>
        <v>atalexv2</v>
      </c>
      <c r="B979" s="4" t="str">
        <f>IFERROR(__xludf.DUMMYFUNCTION("""COMPUTED_VALUE"""),"atalexv2")</f>
        <v>atalexv2</v>
      </c>
      <c r="C979" s="4" t="str">
        <f>IFERROR(__xludf.DUMMYFUNCTION("""COMPUTED_VALUE"""),"atALEXv2")</f>
        <v>atALEXv2</v>
      </c>
    </row>
    <row r="980">
      <c r="A980" s="4" t="str">
        <f>IFERROR(__xludf.DUMMYFUNCTION("""COMPUTED_VALUE"""),"atalis")</f>
        <v>atalis</v>
      </c>
      <c r="B980" s="4" t="str">
        <f>IFERROR(__xludf.DUMMYFUNCTION("""COMPUTED_VALUE"""),"als")</f>
        <v>als</v>
      </c>
      <c r="C980" s="4" t="str">
        <f>IFERROR(__xludf.DUMMYFUNCTION("""COMPUTED_VALUE"""),"Atalis")</f>
        <v>Atalis</v>
      </c>
    </row>
    <row r="981">
      <c r="A981" s="4" t="str">
        <f>IFERROR(__xludf.DUMMYFUNCTION("""COMPUTED_VALUE"""),"atari")</f>
        <v>atari</v>
      </c>
      <c r="B981" s="4" t="str">
        <f>IFERROR(__xludf.DUMMYFUNCTION("""COMPUTED_VALUE"""),"atri")</f>
        <v>atri</v>
      </c>
      <c r="C981" s="4" t="str">
        <f>IFERROR(__xludf.DUMMYFUNCTION("""COMPUTED_VALUE"""),"Atari")</f>
        <v>Atari</v>
      </c>
    </row>
    <row r="982">
      <c r="A982" s="4" t="str">
        <f>IFERROR(__xludf.DUMMYFUNCTION("""COMPUTED_VALUE"""),"atc-launchpad")</f>
        <v>atc-launchpad</v>
      </c>
      <c r="B982" s="4" t="str">
        <f>IFERROR(__xludf.DUMMYFUNCTION("""COMPUTED_VALUE"""),"atcp")</f>
        <v>atcp</v>
      </c>
      <c r="C982" s="4" t="str">
        <f>IFERROR(__xludf.DUMMYFUNCTION("""COMPUTED_VALUE"""),"ATC Launchpad")</f>
        <v>ATC Launchpad</v>
      </c>
    </row>
    <row r="983">
      <c r="A983" s="4" t="str">
        <f>IFERROR(__xludf.DUMMYFUNCTION("""COMPUTED_VALUE"""),"atem-network")</f>
        <v>atem-network</v>
      </c>
      <c r="B983" s="4" t="str">
        <f>IFERROR(__xludf.DUMMYFUNCTION("""COMPUTED_VALUE"""),"atem")</f>
        <v>atem</v>
      </c>
      <c r="C983" s="4" t="str">
        <f>IFERROR(__xludf.DUMMYFUNCTION("""COMPUTED_VALUE"""),"Atem Network")</f>
        <v>Atem Network</v>
      </c>
    </row>
    <row r="984">
      <c r="A984" s="4" t="str">
        <f>IFERROR(__xludf.DUMMYFUNCTION("""COMPUTED_VALUE"""),"aternos-chain")</f>
        <v>aternos-chain</v>
      </c>
      <c r="B984" s="4" t="str">
        <f>IFERROR(__xludf.DUMMYFUNCTION("""COMPUTED_VALUE"""),"atr")</f>
        <v>atr</v>
      </c>
      <c r="C984" s="4" t="str">
        <f>IFERROR(__xludf.DUMMYFUNCTION("""COMPUTED_VALUE"""),"Aternos Chain")</f>
        <v>Aternos Chain</v>
      </c>
    </row>
    <row r="985">
      <c r="A985" s="4" t="str">
        <f>IFERROR(__xludf.DUMMYFUNCTION("""COMPUTED_VALUE"""),"athenadao-token")</f>
        <v>athenadao-token</v>
      </c>
      <c r="B985" s="4" t="str">
        <f>IFERROR(__xludf.DUMMYFUNCTION("""COMPUTED_VALUE"""),"ath")</f>
        <v>ath</v>
      </c>
      <c r="C985" s="4" t="str">
        <f>IFERROR(__xludf.DUMMYFUNCTION("""COMPUTED_VALUE"""),"AthenaDAO")</f>
        <v>AthenaDAO</v>
      </c>
    </row>
    <row r="986">
      <c r="A986" s="4" t="str">
        <f>IFERROR(__xludf.DUMMYFUNCTION("""COMPUTED_VALUE"""),"athena-dexfi")</f>
        <v>athena-dexfi</v>
      </c>
      <c r="B986" s="4" t="str">
        <f>IFERROR(__xludf.DUMMYFUNCTION("""COMPUTED_VALUE"""),"ath")</f>
        <v>ath</v>
      </c>
      <c r="C986" s="4" t="str">
        <f>IFERROR(__xludf.DUMMYFUNCTION("""COMPUTED_VALUE"""),"Athena DexFi")</f>
        <v>Athena DexFi</v>
      </c>
    </row>
    <row r="987">
      <c r="A987" s="4" t="str">
        <f>IFERROR(__xludf.DUMMYFUNCTION("""COMPUTED_VALUE"""),"athena-finance")</f>
        <v>athena-finance</v>
      </c>
      <c r="B987" s="4" t="str">
        <f>IFERROR(__xludf.DUMMYFUNCTION("""COMPUTED_VALUE"""),"ath")</f>
        <v>ath</v>
      </c>
      <c r="C987" s="4" t="str">
        <f>IFERROR(__xludf.DUMMYFUNCTION("""COMPUTED_VALUE"""),"Athena Finance")</f>
        <v>Athena Finance</v>
      </c>
    </row>
    <row r="988">
      <c r="A988" s="4" t="str">
        <f>IFERROR(__xludf.DUMMYFUNCTION("""COMPUTED_VALUE"""),"athena-returns-olea")</f>
        <v>athena-returns-olea</v>
      </c>
      <c r="B988" s="4" t="str">
        <f>IFERROR(__xludf.DUMMYFUNCTION("""COMPUTED_VALUE"""),"olea")</f>
        <v>olea</v>
      </c>
      <c r="C988" s="4" t="str">
        <f>IFERROR(__xludf.DUMMYFUNCTION("""COMPUTED_VALUE"""),"Olea Token")</f>
        <v>Olea Token</v>
      </c>
    </row>
    <row r="989">
      <c r="A989" s="4" t="str">
        <f>IFERROR(__xludf.DUMMYFUNCTION("""COMPUTED_VALUE"""),"athenas")</f>
        <v>athenas</v>
      </c>
      <c r="B989" s="4" t="str">
        <f>IFERROR(__xludf.DUMMYFUNCTION("""COMPUTED_VALUE"""),"athenasv2")</f>
        <v>athenasv2</v>
      </c>
      <c r="C989" s="4" t="str">
        <f>IFERROR(__xludf.DUMMYFUNCTION("""COMPUTED_VALUE"""),"Athenas")</f>
        <v>Athenas</v>
      </c>
    </row>
    <row r="990">
      <c r="A990" s="4" t="str">
        <f>IFERROR(__xludf.DUMMYFUNCTION("""COMPUTED_VALUE"""),"athenas-ai")</f>
        <v>athenas-ai</v>
      </c>
      <c r="B990" s="4" t="str">
        <f>IFERROR(__xludf.DUMMYFUNCTION("""COMPUTED_VALUE"""),"ath")</f>
        <v>ath</v>
      </c>
      <c r="C990" s="4" t="str">
        <f>IFERROR(__xludf.DUMMYFUNCTION("""COMPUTED_VALUE"""),"Athenas AI")</f>
        <v>Athenas AI</v>
      </c>
    </row>
    <row r="991">
      <c r="A991" s="4" t="str">
        <f>IFERROR(__xludf.DUMMYFUNCTION("""COMPUTED_VALUE"""),"atheneum")</f>
        <v>atheneum</v>
      </c>
      <c r="B991" s="4" t="str">
        <f>IFERROR(__xludf.DUMMYFUNCTION("""COMPUTED_VALUE"""),"aem")</f>
        <v>aem</v>
      </c>
      <c r="C991" s="4" t="str">
        <f>IFERROR(__xludf.DUMMYFUNCTION("""COMPUTED_VALUE"""),"Atheneum")</f>
        <v>Atheneum</v>
      </c>
    </row>
    <row r="992">
      <c r="A992" s="4" t="str">
        <f>IFERROR(__xludf.DUMMYFUNCTION("""COMPUTED_VALUE"""),"athens")</f>
        <v>athens</v>
      </c>
      <c r="B992" s="4" t="str">
        <f>IFERROR(__xludf.DUMMYFUNCTION("""COMPUTED_VALUE"""),"ath")</f>
        <v>ath</v>
      </c>
      <c r="C992" s="4" t="str">
        <f>IFERROR(__xludf.DUMMYFUNCTION("""COMPUTED_VALUE"""),"Athens")</f>
        <v>Athens</v>
      </c>
    </row>
    <row r="993">
      <c r="A993" s="4" t="str">
        <f>IFERROR(__xludf.DUMMYFUNCTION("""COMPUTED_VALUE"""),"athos-finance")</f>
        <v>athos-finance</v>
      </c>
      <c r="B993" s="4" t="str">
        <f>IFERROR(__xludf.DUMMYFUNCTION("""COMPUTED_VALUE"""),"ath")</f>
        <v>ath</v>
      </c>
      <c r="C993" s="4" t="str">
        <f>IFERROR(__xludf.DUMMYFUNCTION("""COMPUTED_VALUE"""),"Athos Finance")</f>
        <v>Athos Finance</v>
      </c>
    </row>
    <row r="994">
      <c r="A994" s="4" t="str">
        <f>IFERROR(__xludf.DUMMYFUNCTION("""COMPUTED_VALUE"""),"athos-finance-usd")</f>
        <v>athos-finance-usd</v>
      </c>
      <c r="B994" s="4" t="str">
        <f>IFERROR(__xludf.DUMMYFUNCTION("""COMPUTED_VALUE"""),"athusd")</f>
        <v>athusd</v>
      </c>
      <c r="C994" s="4" t="str">
        <f>IFERROR(__xludf.DUMMYFUNCTION("""COMPUTED_VALUE"""),"Athos Finance USD")</f>
        <v>Athos Finance USD</v>
      </c>
    </row>
    <row r="995">
      <c r="A995" s="4" t="str">
        <f>IFERROR(__xludf.DUMMYFUNCTION("""COMPUTED_VALUE"""),"atlantis-loans")</f>
        <v>atlantis-loans</v>
      </c>
      <c r="B995" s="4" t="str">
        <f>IFERROR(__xludf.DUMMYFUNCTION("""COMPUTED_VALUE"""),"atl")</f>
        <v>atl</v>
      </c>
      <c r="C995" s="4" t="str">
        <f>IFERROR(__xludf.DUMMYFUNCTION("""COMPUTED_VALUE"""),"Atlantis Loans")</f>
        <v>Atlantis Loans</v>
      </c>
    </row>
    <row r="996">
      <c r="A996" s="4" t="str">
        <f>IFERROR(__xludf.DUMMYFUNCTION("""COMPUTED_VALUE"""),"atlas-aggregator")</f>
        <v>atlas-aggregator</v>
      </c>
      <c r="B996" s="4" t="str">
        <f>IFERROR(__xludf.DUMMYFUNCTION("""COMPUTED_VALUE"""),"ata")</f>
        <v>ata</v>
      </c>
      <c r="C996" s="4" t="str">
        <f>IFERROR(__xludf.DUMMYFUNCTION("""COMPUTED_VALUE"""),"Atlas Aggregator")</f>
        <v>Atlas Aggregator</v>
      </c>
    </row>
    <row r="997">
      <c r="A997" s="4" t="str">
        <f>IFERROR(__xludf.DUMMYFUNCTION("""COMPUTED_VALUE"""),"atlas-dex")</f>
        <v>atlas-dex</v>
      </c>
      <c r="B997" s="4" t="str">
        <f>IFERROR(__xludf.DUMMYFUNCTION("""COMPUTED_VALUE"""),"ats")</f>
        <v>ats</v>
      </c>
      <c r="C997" s="4" t="str">
        <f>IFERROR(__xludf.DUMMYFUNCTION("""COMPUTED_VALUE"""),"Atlas DEX")</f>
        <v>Atlas DEX</v>
      </c>
    </row>
    <row r="998">
      <c r="A998" s="4" t="str">
        <f>IFERROR(__xludf.DUMMYFUNCTION("""COMPUTED_VALUE"""),"atlas-fc-fan-token")</f>
        <v>atlas-fc-fan-token</v>
      </c>
      <c r="B998" s="4" t="str">
        <f>IFERROR(__xludf.DUMMYFUNCTION("""COMPUTED_VALUE"""),"atlas")</f>
        <v>atlas</v>
      </c>
      <c r="C998" s="4" t="str">
        <f>IFERROR(__xludf.DUMMYFUNCTION("""COMPUTED_VALUE"""),"Atlas FC Fan Token")</f>
        <v>Atlas FC Fan Token</v>
      </c>
    </row>
    <row r="999">
      <c r="A999" s="4" t="str">
        <f>IFERROR(__xludf.DUMMYFUNCTION("""COMPUTED_VALUE"""),"atlas-navi")</f>
        <v>atlas-navi</v>
      </c>
      <c r="B999" s="4" t="str">
        <f>IFERROR(__xludf.DUMMYFUNCTION("""COMPUTED_VALUE"""),"navi")</f>
        <v>navi</v>
      </c>
      <c r="C999" s="4" t="str">
        <f>IFERROR(__xludf.DUMMYFUNCTION("""COMPUTED_VALUE"""),"Atlas Navi")</f>
        <v>Atlas Navi</v>
      </c>
    </row>
    <row r="1000">
      <c r="A1000" s="4" t="str">
        <f>IFERROR(__xludf.DUMMYFUNCTION("""COMPUTED_VALUE"""),"atlas-protocol")</f>
        <v>atlas-protocol</v>
      </c>
      <c r="B1000" s="4" t="str">
        <f>IFERROR(__xludf.DUMMYFUNCTION("""COMPUTED_VALUE"""),"atp")</f>
        <v>atp</v>
      </c>
      <c r="C1000" s="4" t="str">
        <f>IFERROR(__xludf.DUMMYFUNCTION("""COMPUTED_VALUE"""),"Atlas Protocol")</f>
        <v>Atlas Protocol</v>
      </c>
    </row>
    <row r="1001">
      <c r="A1001" s="4" t="str">
        <f>IFERROR(__xludf.DUMMYFUNCTION("""COMPUTED_VALUE"""),"atlas-usv")</f>
        <v>atlas-usv</v>
      </c>
      <c r="B1001" s="4" t="str">
        <f>IFERROR(__xludf.DUMMYFUNCTION("""COMPUTED_VALUE"""),"usv")</f>
        <v>usv</v>
      </c>
      <c r="C1001" s="4" t="str">
        <f>IFERROR(__xludf.DUMMYFUNCTION("""COMPUTED_VALUE"""),"Atlas USV")</f>
        <v>Atlas USV</v>
      </c>
    </row>
    <row r="1002">
      <c r="A1002" s="4" t="str">
        <f>IFERROR(__xludf.DUMMYFUNCTION("""COMPUTED_VALUE"""),"atletico-madrid")</f>
        <v>atletico-madrid</v>
      </c>
      <c r="B1002" s="4" t="str">
        <f>IFERROR(__xludf.DUMMYFUNCTION("""COMPUTED_VALUE"""),"atm")</f>
        <v>atm</v>
      </c>
      <c r="C1002" s="4" t="str">
        <f>IFERROR(__xludf.DUMMYFUNCTION("""COMPUTED_VALUE"""),"Atletico Madrid Fan Token")</f>
        <v>Atletico Madrid Fan Token</v>
      </c>
    </row>
    <row r="1003">
      <c r="A1003" s="4" t="str">
        <f>IFERROR(__xludf.DUMMYFUNCTION("""COMPUTED_VALUE"""),"atomicals")</f>
        <v>atomicals</v>
      </c>
      <c r="B1003" s="4" t="str">
        <f>IFERROR(__xludf.DUMMYFUNCTION("""COMPUTED_VALUE"""),"atomarc20")</f>
        <v>atomarc20</v>
      </c>
      <c r="C1003" s="4" t="str">
        <f>IFERROR(__xludf.DUMMYFUNCTION("""COMPUTED_VALUE"""),"Atomicals")</f>
        <v>Atomicals</v>
      </c>
    </row>
    <row r="1004">
      <c r="A1004" s="4" t="str">
        <f>IFERROR(__xludf.DUMMYFUNCTION("""COMPUTED_VALUE"""),"atomic-wallet-coin")</f>
        <v>atomic-wallet-coin</v>
      </c>
      <c r="B1004" s="4" t="str">
        <f>IFERROR(__xludf.DUMMYFUNCTION("""COMPUTED_VALUE"""),"awc")</f>
        <v>awc</v>
      </c>
      <c r="C1004" s="4" t="str">
        <f>IFERROR(__xludf.DUMMYFUNCTION("""COMPUTED_VALUE"""),"Atomic Wallet Coin")</f>
        <v>Atomic Wallet Coin</v>
      </c>
    </row>
    <row r="1005">
      <c r="A1005" s="4" t="str">
        <f>IFERROR(__xludf.DUMMYFUNCTION("""COMPUTED_VALUE"""),"atomone")</f>
        <v>atomone</v>
      </c>
      <c r="B1005" s="4" t="str">
        <f>IFERROR(__xludf.DUMMYFUNCTION("""COMPUTED_VALUE"""),"atom1")</f>
        <v>atom1</v>
      </c>
      <c r="C1005" s="4" t="str">
        <f>IFERROR(__xludf.DUMMYFUNCTION("""COMPUTED_VALUE"""),"AtomOne")</f>
        <v>AtomOne</v>
      </c>
    </row>
    <row r="1006">
      <c r="A1006" s="4" t="str">
        <f>IFERROR(__xludf.DUMMYFUNCTION("""COMPUTED_VALUE"""),"atpay")</f>
        <v>atpay</v>
      </c>
      <c r="B1006" s="4" t="str">
        <f>IFERROR(__xludf.DUMMYFUNCTION("""COMPUTED_VALUE"""),"atpay")</f>
        <v>atpay</v>
      </c>
      <c r="C1006" s="4" t="str">
        <f>IFERROR(__xludf.DUMMYFUNCTION("""COMPUTED_VALUE"""),"AtPay")</f>
        <v>AtPay</v>
      </c>
    </row>
    <row r="1007">
      <c r="A1007" s="4" t="str">
        <f>IFERROR(__xludf.DUMMYFUNCTION("""COMPUTED_VALUE"""),"atrno")</f>
        <v>atrno</v>
      </c>
      <c r="B1007" s="4" t="str">
        <f>IFERROR(__xludf.DUMMYFUNCTION("""COMPUTED_VALUE"""),"atrno")</f>
        <v>atrno</v>
      </c>
      <c r="C1007" s="4" t="str">
        <f>IFERROR(__xludf.DUMMYFUNCTION("""COMPUTED_VALUE"""),"ATRNO")</f>
        <v>ATRNO</v>
      </c>
    </row>
    <row r="1008">
      <c r="A1008" s="4" t="str">
        <f>IFERROR(__xludf.DUMMYFUNCTION("""COMPUTED_VALUE"""),"atrofarm")</f>
        <v>atrofarm</v>
      </c>
      <c r="B1008" s="4" t="str">
        <f>IFERROR(__xludf.DUMMYFUNCTION("""COMPUTED_VALUE"""),"atrofa")</f>
        <v>atrofa</v>
      </c>
      <c r="C1008" s="4" t="str">
        <f>IFERROR(__xludf.DUMMYFUNCTION("""COMPUTED_VALUE"""),"Atrofarm")</f>
        <v>Atrofarm</v>
      </c>
    </row>
    <row r="1009">
      <c r="A1009" s="4" t="str">
        <f>IFERROR(__xludf.DUMMYFUNCTION("""COMPUTED_VALUE"""),"atromg8")</f>
        <v>atromg8</v>
      </c>
      <c r="B1009" s="4" t="str">
        <f>IFERROR(__xludf.DUMMYFUNCTION("""COMPUTED_VALUE"""),"ag8")</f>
        <v>ag8</v>
      </c>
      <c r="C1009" s="4" t="str">
        <f>IFERROR(__xludf.DUMMYFUNCTION("""COMPUTED_VALUE"""),"ATROMG8")</f>
        <v>ATROMG8</v>
      </c>
    </row>
    <row r="1010">
      <c r="A1010" s="4" t="str">
        <f>IFERROR(__xludf.DUMMYFUNCTION("""COMPUTED_VALUE"""),"atropine")</f>
        <v>atropine</v>
      </c>
      <c r="B1010" s="4" t="str">
        <f>IFERROR(__xludf.DUMMYFUNCTION("""COMPUTED_VALUE"""),"pine")</f>
        <v>pine</v>
      </c>
      <c r="C1010" s="4" t="str">
        <f>IFERROR(__xludf.DUMMYFUNCTION("""COMPUTED_VALUE"""),"Atropine")</f>
        <v>Atropine</v>
      </c>
    </row>
    <row r="1011">
      <c r="A1011" s="4" t="str">
        <f>IFERROR(__xludf.DUMMYFUNCTION("""COMPUTED_VALUE"""),"attack-wagon")</f>
        <v>attack-wagon</v>
      </c>
      <c r="B1011" s="4" t="str">
        <f>IFERROR(__xludf.DUMMYFUNCTION("""COMPUTED_VALUE"""),"atk")</f>
        <v>atk</v>
      </c>
      <c r="C1011" s="4" t="str">
        <f>IFERROR(__xludf.DUMMYFUNCTION("""COMPUTED_VALUE"""),"Attack Wagon")</f>
        <v>Attack Wagon</v>
      </c>
    </row>
    <row r="1012">
      <c r="A1012" s="4" t="str">
        <f>IFERROR(__xludf.DUMMYFUNCTION("""COMPUTED_VALUE"""),"attila")</f>
        <v>attila</v>
      </c>
      <c r="B1012" s="4" t="str">
        <f>IFERROR(__xludf.DUMMYFUNCTION("""COMPUTED_VALUE"""),"att")</f>
        <v>att</v>
      </c>
      <c r="C1012" s="4" t="str">
        <f>IFERROR(__xludf.DUMMYFUNCTION("""COMPUTED_VALUE"""),"Attila")</f>
        <v>Attila</v>
      </c>
    </row>
    <row r="1013">
      <c r="A1013" s="4" t="str">
        <f>IFERROR(__xludf.DUMMYFUNCTION("""COMPUTED_VALUE"""),"auction")</f>
        <v>auction</v>
      </c>
      <c r="B1013" s="4" t="str">
        <f>IFERROR(__xludf.DUMMYFUNCTION("""COMPUTED_VALUE"""),"auction")</f>
        <v>auction</v>
      </c>
      <c r="C1013" s="4" t="str">
        <f>IFERROR(__xludf.DUMMYFUNCTION("""COMPUTED_VALUE"""),"Bounce")</f>
        <v>Bounce</v>
      </c>
    </row>
    <row r="1014">
      <c r="A1014" s="4" t="str">
        <f>IFERROR(__xludf.DUMMYFUNCTION("""COMPUTED_VALUE"""),"auctus")</f>
        <v>auctus</v>
      </c>
      <c r="B1014" s="4" t="str">
        <f>IFERROR(__xludf.DUMMYFUNCTION("""COMPUTED_VALUE"""),"auc")</f>
        <v>auc</v>
      </c>
      <c r="C1014" s="4" t="str">
        <f>IFERROR(__xludf.DUMMYFUNCTION("""COMPUTED_VALUE"""),"Auctus")</f>
        <v>Auctus</v>
      </c>
    </row>
    <row r="1015">
      <c r="A1015" s="4" t="str">
        <f>IFERROR(__xludf.DUMMYFUNCTION("""COMPUTED_VALUE"""),"audify")</f>
        <v>audify</v>
      </c>
      <c r="B1015" s="4" t="str">
        <f>IFERROR(__xludf.DUMMYFUNCTION("""COMPUTED_VALUE"""),"audi")</f>
        <v>audi</v>
      </c>
      <c r="C1015" s="4" t="str">
        <f>IFERROR(__xludf.DUMMYFUNCTION("""COMPUTED_VALUE"""),"Audify")</f>
        <v>Audify</v>
      </c>
    </row>
    <row r="1016">
      <c r="A1016" s="4" t="str">
        <f>IFERROR(__xludf.DUMMYFUNCTION("""COMPUTED_VALUE"""),"auditchain")</f>
        <v>auditchain</v>
      </c>
      <c r="B1016" s="4" t="str">
        <f>IFERROR(__xludf.DUMMYFUNCTION("""COMPUTED_VALUE"""),"audt")</f>
        <v>audt</v>
      </c>
      <c r="C1016" s="4" t="str">
        <f>IFERROR(__xludf.DUMMYFUNCTION("""COMPUTED_VALUE"""),"Auditchain")</f>
        <v>Auditchain</v>
      </c>
    </row>
    <row r="1017">
      <c r="A1017" s="4" t="str">
        <f>IFERROR(__xludf.DUMMYFUNCTION("""COMPUTED_VALUE"""),"audius")</f>
        <v>audius</v>
      </c>
      <c r="B1017" s="4" t="str">
        <f>IFERROR(__xludf.DUMMYFUNCTION("""COMPUTED_VALUE"""),"audio")</f>
        <v>audio</v>
      </c>
      <c r="C1017" s="4" t="str">
        <f>IFERROR(__xludf.DUMMYFUNCTION("""COMPUTED_VALUE"""),"Audius")</f>
        <v>Audius</v>
      </c>
    </row>
    <row r="1018">
      <c r="A1018" s="4" t="str">
        <f>IFERROR(__xludf.DUMMYFUNCTION("""COMPUTED_VALUE"""),"audius-wormhole")</f>
        <v>audius-wormhole</v>
      </c>
      <c r="B1018" s="4" t="str">
        <f>IFERROR(__xludf.DUMMYFUNCTION("""COMPUTED_VALUE"""),"audio")</f>
        <v>audio</v>
      </c>
      <c r="C1018" s="4" t="str">
        <f>IFERROR(__xludf.DUMMYFUNCTION("""COMPUTED_VALUE"""),"Audius (Wormhole)")</f>
        <v>Audius (Wormhole)</v>
      </c>
    </row>
    <row r="1019">
      <c r="A1019" s="4" t="str">
        <f>IFERROR(__xludf.DUMMYFUNCTION("""COMPUTED_VALUE"""),"augur")</f>
        <v>augur</v>
      </c>
      <c r="B1019" s="4" t="str">
        <f>IFERROR(__xludf.DUMMYFUNCTION("""COMPUTED_VALUE"""),"rep")</f>
        <v>rep</v>
      </c>
      <c r="C1019" s="4" t="str">
        <f>IFERROR(__xludf.DUMMYFUNCTION("""COMPUTED_VALUE"""),"Augur")</f>
        <v>Augur</v>
      </c>
    </row>
    <row r="1020">
      <c r="A1020" s="4" t="str">
        <f>IFERROR(__xludf.DUMMYFUNCTION("""COMPUTED_VALUE"""),"augury-finance")</f>
        <v>augury-finance</v>
      </c>
      <c r="B1020" s="4" t="str">
        <f>IFERROR(__xludf.DUMMYFUNCTION("""COMPUTED_VALUE"""),"omen")</f>
        <v>omen</v>
      </c>
      <c r="C1020" s="4" t="str">
        <f>IFERROR(__xludf.DUMMYFUNCTION("""COMPUTED_VALUE"""),"Augury Finance")</f>
        <v>Augury Finance</v>
      </c>
    </row>
    <row r="1021">
      <c r="A1021" s="4" t="str">
        <f>IFERROR(__xludf.DUMMYFUNCTION("""COMPUTED_VALUE"""),"aura")</f>
        <v>aura</v>
      </c>
      <c r="B1021" s="4" t="str">
        <f>IFERROR(__xludf.DUMMYFUNCTION("""COMPUTED_VALUE"""),"$aura")</f>
        <v>$aura</v>
      </c>
      <c r="C1021" s="4" t="str">
        <f>IFERROR(__xludf.DUMMYFUNCTION("""COMPUTED_VALUE"""),"$AURA")</f>
        <v>$AURA</v>
      </c>
    </row>
    <row r="1022">
      <c r="A1022" s="4" t="str">
        <f>IFERROR(__xludf.DUMMYFUNCTION("""COMPUTED_VALUE"""),"aura-bal")</f>
        <v>aura-bal</v>
      </c>
      <c r="B1022" s="4" t="str">
        <f>IFERROR(__xludf.DUMMYFUNCTION("""COMPUTED_VALUE"""),"aurabal")</f>
        <v>aurabal</v>
      </c>
      <c r="C1022" s="4" t="str">
        <f>IFERROR(__xludf.DUMMYFUNCTION("""COMPUTED_VALUE"""),"Aura BAL")</f>
        <v>Aura BAL</v>
      </c>
    </row>
    <row r="1023">
      <c r="A1023" s="4" t="str">
        <f>IFERROR(__xludf.DUMMYFUNCTION("""COMPUTED_VALUE"""),"auradx")</f>
        <v>auradx</v>
      </c>
      <c r="B1023" s="4" t="str">
        <f>IFERROR(__xludf.DUMMYFUNCTION("""COMPUTED_VALUE"""),"dalle2")</f>
        <v>dalle2</v>
      </c>
      <c r="C1023" s="4" t="str">
        <f>IFERROR(__xludf.DUMMYFUNCTION("""COMPUTED_VALUE"""),"AuradX")</f>
        <v>AuradX</v>
      </c>
    </row>
    <row r="1024">
      <c r="A1024" s="4" t="str">
        <f>IFERROR(__xludf.DUMMYFUNCTION("""COMPUTED_VALUE"""),"aura-finance")</f>
        <v>aura-finance</v>
      </c>
      <c r="B1024" s="4" t="str">
        <f>IFERROR(__xludf.DUMMYFUNCTION("""COMPUTED_VALUE"""),"aura")</f>
        <v>aura</v>
      </c>
      <c r="C1024" s="4" t="str">
        <f>IFERROR(__xludf.DUMMYFUNCTION("""COMPUTED_VALUE"""),"Aura Finance")</f>
        <v>Aura Finance</v>
      </c>
    </row>
    <row r="1025">
      <c r="A1025" s="4" t="str">
        <f>IFERROR(__xludf.DUMMYFUNCTION("""COMPUTED_VALUE"""),"aura-network")</f>
        <v>aura-network</v>
      </c>
      <c r="B1025" s="4" t="str">
        <f>IFERROR(__xludf.DUMMYFUNCTION("""COMPUTED_VALUE"""),"aura")</f>
        <v>aura</v>
      </c>
      <c r="C1025" s="4" t="str">
        <f>IFERROR(__xludf.DUMMYFUNCTION("""COMPUTED_VALUE"""),"Aura Network")</f>
        <v>Aura Network</v>
      </c>
    </row>
    <row r="1026">
      <c r="A1026" s="4" t="str">
        <f>IFERROR(__xludf.DUMMYFUNCTION("""COMPUTED_VALUE"""),"aura-network-old")</f>
        <v>aura-network-old</v>
      </c>
      <c r="B1026" s="4" t="str">
        <f>IFERROR(__xludf.DUMMYFUNCTION("""COMPUTED_VALUE"""),"aura")</f>
        <v>aura</v>
      </c>
      <c r="C1026" s="4" t="str">
        <f>IFERROR(__xludf.DUMMYFUNCTION("""COMPUTED_VALUE"""),"Aura Network [OLD]")</f>
        <v>Aura Network [OLD]</v>
      </c>
    </row>
    <row r="1027">
      <c r="A1027" s="4" t="str">
        <f>IFERROR(__xludf.DUMMYFUNCTION("""COMPUTED_VALUE"""),"aureo")</f>
        <v>aureo</v>
      </c>
      <c r="B1027" s="4" t="str">
        <f>IFERROR(__xludf.DUMMYFUNCTION("""COMPUTED_VALUE"""),"aur")</f>
        <v>aur</v>
      </c>
      <c r="C1027" s="4" t="str">
        <f>IFERROR(__xludf.DUMMYFUNCTION("""COMPUTED_VALUE"""),"AUREO")</f>
        <v>AUREO</v>
      </c>
    </row>
    <row r="1028">
      <c r="A1028" s="4" t="str">
        <f>IFERROR(__xludf.DUMMYFUNCTION("""COMPUTED_VALUE"""),"aureus")</f>
        <v>aureus</v>
      </c>
      <c r="B1028" s="4" t="str">
        <f>IFERROR(__xludf.DUMMYFUNCTION("""COMPUTED_VALUE"""),"aur")</f>
        <v>aur</v>
      </c>
      <c r="C1028" s="4" t="str">
        <f>IFERROR(__xludf.DUMMYFUNCTION("""COMPUTED_VALUE"""),"Aureus")</f>
        <v>Aureus</v>
      </c>
    </row>
    <row r="1029">
      <c r="A1029" s="4" t="str">
        <f>IFERROR(__xludf.DUMMYFUNCTION("""COMPUTED_VALUE"""),"aureus-nummus-gold")</f>
        <v>aureus-nummus-gold</v>
      </c>
      <c r="B1029" s="4" t="str">
        <f>IFERROR(__xludf.DUMMYFUNCTION("""COMPUTED_VALUE"""),"ang")</f>
        <v>ang</v>
      </c>
      <c r="C1029" s="4" t="str">
        <f>IFERROR(__xludf.DUMMYFUNCTION("""COMPUTED_VALUE"""),"Aureus Nummus Gold")</f>
        <v>Aureus Nummus Gold</v>
      </c>
    </row>
    <row r="1030">
      <c r="A1030" s="4" t="str">
        <f>IFERROR(__xludf.DUMMYFUNCTION("""COMPUTED_VALUE"""),"aurigami")</f>
        <v>aurigami</v>
      </c>
      <c r="B1030" s="4" t="str">
        <f>IFERROR(__xludf.DUMMYFUNCTION("""COMPUTED_VALUE"""),"ply")</f>
        <v>ply</v>
      </c>
      <c r="C1030" s="4" t="str">
        <f>IFERROR(__xludf.DUMMYFUNCTION("""COMPUTED_VALUE"""),"Aurigami")</f>
        <v>Aurigami</v>
      </c>
    </row>
    <row r="1031">
      <c r="A1031" s="4" t="str">
        <f>IFERROR(__xludf.DUMMYFUNCTION("""COMPUTED_VALUE"""),"aurinko-network")</f>
        <v>aurinko-network</v>
      </c>
      <c r="B1031" s="4" t="str">
        <f>IFERROR(__xludf.DUMMYFUNCTION("""COMPUTED_VALUE"""),"ark")</f>
        <v>ark</v>
      </c>
      <c r="C1031" s="4" t="str">
        <f>IFERROR(__xludf.DUMMYFUNCTION("""COMPUTED_VALUE"""),"Aurinko Network")</f>
        <v>Aurinko Network</v>
      </c>
    </row>
    <row r="1032">
      <c r="A1032" s="4" t="str">
        <f>IFERROR(__xludf.DUMMYFUNCTION("""COMPUTED_VALUE"""),"aurix")</f>
        <v>aurix</v>
      </c>
      <c r="B1032" s="4" t="str">
        <f>IFERROR(__xludf.DUMMYFUNCTION("""COMPUTED_VALUE"""),"aur")</f>
        <v>aur</v>
      </c>
      <c r="C1032" s="4" t="str">
        <f>IFERROR(__xludf.DUMMYFUNCTION("""COMPUTED_VALUE"""),"Aurix")</f>
        <v>Aurix</v>
      </c>
    </row>
    <row r="1033">
      <c r="A1033" s="4" t="str">
        <f>IFERROR(__xludf.DUMMYFUNCTION("""COMPUTED_VALUE"""),"aurora")</f>
        <v>aurora</v>
      </c>
      <c r="B1033" s="4" t="str">
        <f>IFERROR(__xludf.DUMMYFUNCTION("""COMPUTED_VALUE"""),"aoa")</f>
        <v>aoa</v>
      </c>
      <c r="C1033" s="4" t="str">
        <f>IFERROR(__xludf.DUMMYFUNCTION("""COMPUTED_VALUE"""),"Aurora Chain")</f>
        <v>Aurora Chain</v>
      </c>
    </row>
    <row r="1034">
      <c r="A1034" s="4" t="str">
        <f>IFERROR(__xludf.DUMMYFUNCTION("""COMPUTED_VALUE"""),"auroracoin")</f>
        <v>auroracoin</v>
      </c>
      <c r="B1034" s="4" t="str">
        <f>IFERROR(__xludf.DUMMYFUNCTION("""COMPUTED_VALUE"""),"aur")</f>
        <v>aur</v>
      </c>
      <c r="C1034" s="4" t="str">
        <f>IFERROR(__xludf.DUMMYFUNCTION("""COMPUTED_VALUE"""),"Auroracoin")</f>
        <v>Auroracoin</v>
      </c>
    </row>
    <row r="1035">
      <c r="A1035" s="4" t="str">
        <f>IFERROR(__xludf.DUMMYFUNCTION("""COMPUTED_VALUE"""),"aurora-dao")</f>
        <v>aurora-dao</v>
      </c>
      <c r="B1035" s="4" t="str">
        <f>IFERROR(__xludf.DUMMYFUNCTION("""COMPUTED_VALUE"""),"idex")</f>
        <v>idex</v>
      </c>
      <c r="C1035" s="4" t="str">
        <f>IFERROR(__xludf.DUMMYFUNCTION("""COMPUTED_VALUE"""),"IDEX")</f>
        <v>IDEX</v>
      </c>
    </row>
    <row r="1036">
      <c r="A1036" s="4" t="str">
        <f>IFERROR(__xludf.DUMMYFUNCTION("""COMPUTED_VALUE"""),"aurora-near")</f>
        <v>aurora-near</v>
      </c>
      <c r="B1036" s="4" t="str">
        <f>IFERROR(__xludf.DUMMYFUNCTION("""COMPUTED_VALUE"""),"aurora")</f>
        <v>aurora</v>
      </c>
      <c r="C1036" s="4" t="str">
        <f>IFERROR(__xludf.DUMMYFUNCTION("""COMPUTED_VALUE"""),"Aurora")</f>
        <v>Aurora</v>
      </c>
    </row>
    <row r="1037">
      <c r="A1037" s="4" t="str">
        <f>IFERROR(__xludf.DUMMYFUNCTION("""COMPUTED_VALUE"""),"auroratoken")</f>
        <v>auroratoken</v>
      </c>
      <c r="B1037" s="4" t="str">
        <f>IFERROR(__xludf.DUMMYFUNCTION("""COMPUTED_VALUE"""),"aurora")</f>
        <v>aurora</v>
      </c>
      <c r="C1037" s="4" t="str">
        <f>IFERROR(__xludf.DUMMYFUNCTION("""COMPUTED_VALUE"""),"AuroraToken")</f>
        <v>AuroraToken</v>
      </c>
    </row>
    <row r="1038">
      <c r="A1038" s="4" t="str">
        <f>IFERROR(__xludf.DUMMYFUNCTION("""COMPUTED_VALUE"""),"aurora-token")</f>
        <v>aurora-token</v>
      </c>
      <c r="B1038" s="4" t="str">
        <f>IFERROR(__xludf.DUMMYFUNCTION("""COMPUTED_VALUE"""),"$adtx")</f>
        <v>$adtx</v>
      </c>
      <c r="C1038" s="4" t="str">
        <f>IFERROR(__xludf.DUMMYFUNCTION("""COMPUTED_VALUE"""),"Aurora Dimension")</f>
        <v>Aurora Dimension</v>
      </c>
    </row>
    <row r="1039">
      <c r="A1039" s="4" t="str">
        <f>IFERROR(__xludf.DUMMYFUNCTION("""COMPUTED_VALUE"""),"aurory")</f>
        <v>aurory</v>
      </c>
      <c r="B1039" s="4" t="str">
        <f>IFERROR(__xludf.DUMMYFUNCTION("""COMPUTED_VALUE"""),"aury")</f>
        <v>aury</v>
      </c>
      <c r="C1039" s="4" t="str">
        <f>IFERROR(__xludf.DUMMYFUNCTION("""COMPUTED_VALUE"""),"Aurory")</f>
        <v>Aurory</v>
      </c>
    </row>
    <row r="1040">
      <c r="A1040" s="4" t="str">
        <f>IFERROR(__xludf.DUMMYFUNCTION("""COMPUTED_VALUE"""),"aurum-gold")</f>
        <v>aurum-gold</v>
      </c>
      <c r="B1040" s="4" t="str">
        <f>IFERROR(__xludf.DUMMYFUNCTION("""COMPUTED_VALUE"""),"acg")</f>
        <v>acg</v>
      </c>
      <c r="C1040" s="4" t="str">
        <f>IFERROR(__xludf.DUMMYFUNCTION("""COMPUTED_VALUE"""),"Aurum Crypto Gold")</f>
        <v>Aurum Crypto Gold</v>
      </c>
    </row>
    <row r="1041">
      <c r="A1041" s="4" t="str">
        <f>IFERROR(__xludf.DUMMYFUNCTION("""COMPUTED_VALUE"""),"aurusx")</f>
        <v>aurusx</v>
      </c>
      <c r="B1041" s="4" t="str">
        <f>IFERROR(__xludf.DUMMYFUNCTION("""COMPUTED_VALUE"""),"ax")</f>
        <v>ax</v>
      </c>
      <c r="C1041" s="4" t="str">
        <f>IFERROR(__xludf.DUMMYFUNCTION("""COMPUTED_VALUE"""),"AurusX")</f>
        <v>AurusX</v>
      </c>
    </row>
    <row r="1042">
      <c r="A1042" s="4" t="str">
        <f>IFERROR(__xludf.DUMMYFUNCTION("""COMPUTED_VALUE"""),"ausdc")</f>
        <v>ausdc</v>
      </c>
      <c r="B1042" s="4" t="str">
        <f>IFERROR(__xludf.DUMMYFUNCTION("""COMPUTED_VALUE"""),"ausdc")</f>
        <v>ausdc</v>
      </c>
      <c r="C1042" s="4" t="str">
        <f>IFERROR(__xludf.DUMMYFUNCTION("""COMPUTED_VALUE"""),"SpaceShipX aUSDC")</f>
        <v>SpaceShipX aUSDC</v>
      </c>
    </row>
    <row r="1043">
      <c r="A1043" s="4" t="str">
        <f>IFERROR(__xludf.DUMMYFUNCTION("""COMPUTED_VALUE"""),"ausd-seed-acala")</f>
        <v>ausd-seed-acala</v>
      </c>
      <c r="B1043" s="4" t="str">
        <f>IFERROR(__xludf.DUMMYFUNCTION("""COMPUTED_VALUE"""),"aseed")</f>
        <v>aseed</v>
      </c>
      <c r="C1043" s="4" t="str">
        <f>IFERROR(__xludf.DUMMYFUNCTION("""COMPUTED_VALUE"""),"aUSD SEED (Acala)")</f>
        <v>aUSD SEED (Acala)</v>
      </c>
    </row>
    <row r="1044">
      <c r="A1044" s="4" t="str">
        <f>IFERROR(__xludf.DUMMYFUNCTION("""COMPUTED_VALUE"""),"ausd-seed-karura")</f>
        <v>ausd-seed-karura</v>
      </c>
      <c r="B1044" s="4" t="str">
        <f>IFERROR(__xludf.DUMMYFUNCTION("""COMPUTED_VALUE"""),"aseed")</f>
        <v>aseed</v>
      </c>
      <c r="C1044" s="4" t="str">
        <f>IFERROR(__xludf.DUMMYFUNCTION("""COMPUTED_VALUE"""),"aUSD SEED (Karura)")</f>
        <v>aUSD SEED (Karura)</v>
      </c>
    </row>
    <row r="1045">
      <c r="A1045" s="4" t="str">
        <f>IFERROR(__xludf.DUMMYFUNCTION("""COMPUTED_VALUE"""),"australian-crypto-coin-green")</f>
        <v>australian-crypto-coin-green</v>
      </c>
      <c r="B1045" s="4" t="str">
        <f>IFERROR(__xludf.DUMMYFUNCTION("""COMPUTED_VALUE"""),"accg")</f>
        <v>accg</v>
      </c>
      <c r="C1045" s="4" t="str">
        <f>IFERROR(__xludf.DUMMYFUNCTION("""COMPUTED_VALUE"""),"Australian Crypto Coin Green")</f>
        <v>Australian Crypto Coin Green</v>
      </c>
    </row>
    <row r="1046">
      <c r="A1046" s="4" t="str">
        <f>IFERROR(__xludf.DUMMYFUNCTION("""COMPUTED_VALUE"""),"australian-safe-shepherd")</f>
        <v>australian-safe-shepherd</v>
      </c>
      <c r="B1046" s="4" t="str">
        <f>IFERROR(__xludf.DUMMYFUNCTION("""COMPUTED_VALUE"""),"ass")</f>
        <v>ass</v>
      </c>
      <c r="C1046" s="4" t="str">
        <f>IFERROR(__xludf.DUMMYFUNCTION("""COMPUTED_VALUE"""),"Australian Safe Shepherd")</f>
        <v>Australian Safe Shepherd</v>
      </c>
    </row>
    <row r="1047">
      <c r="A1047" s="4" t="str">
        <f>IFERROR(__xludf.DUMMYFUNCTION("""COMPUTED_VALUE"""),"autentic")</f>
        <v>autentic</v>
      </c>
      <c r="B1047" s="4" t="str">
        <f>IFERROR(__xludf.DUMMYFUNCTION("""COMPUTED_VALUE"""),"aut")</f>
        <v>aut</v>
      </c>
      <c r="C1047" s="4" t="str">
        <f>IFERROR(__xludf.DUMMYFUNCTION("""COMPUTED_VALUE"""),"Autentic")</f>
        <v>Autentic</v>
      </c>
    </row>
    <row r="1048">
      <c r="A1048" s="4" t="str">
        <f>IFERROR(__xludf.DUMMYFUNCTION("""COMPUTED_VALUE"""),"authencity")</f>
        <v>authencity</v>
      </c>
      <c r="B1048" s="4" t="str">
        <f>IFERROR(__xludf.DUMMYFUNCTION("""COMPUTED_VALUE"""),"auth")</f>
        <v>auth</v>
      </c>
      <c r="C1048" s="4" t="str">
        <f>IFERROR(__xludf.DUMMYFUNCTION("""COMPUTED_VALUE"""),"Authencity")</f>
        <v>Authencity</v>
      </c>
    </row>
    <row r="1049">
      <c r="A1049" s="4" t="str">
        <f>IFERROR(__xludf.DUMMYFUNCTION("""COMPUTED_VALUE"""),"autism")</f>
        <v>autism</v>
      </c>
      <c r="B1049" s="4" t="str">
        <f>IFERROR(__xludf.DUMMYFUNCTION("""COMPUTED_VALUE"""),"autism")</f>
        <v>autism</v>
      </c>
      <c r="C1049" s="4" t="str">
        <f>IFERROR(__xludf.DUMMYFUNCTION("""COMPUTED_VALUE"""),"Autism")</f>
        <v>Autism</v>
      </c>
    </row>
    <row r="1050">
      <c r="A1050" s="4" t="str">
        <f>IFERROR(__xludf.DUMMYFUNCTION("""COMPUTED_VALUE"""),"auto")</f>
        <v>auto</v>
      </c>
      <c r="B1050" s="4" t="str">
        <f>IFERROR(__xludf.DUMMYFUNCTION("""COMPUTED_VALUE"""),"auto")</f>
        <v>auto</v>
      </c>
      <c r="C1050" s="4" t="str">
        <f>IFERROR(__xludf.DUMMYFUNCTION("""COMPUTED_VALUE"""),"Auto")</f>
        <v>Auto</v>
      </c>
    </row>
    <row r="1051">
      <c r="A1051" s="4" t="str">
        <f>IFERROR(__xludf.DUMMYFUNCTION("""COMPUTED_VALUE"""),"autoair-ai")</f>
        <v>autoair-ai</v>
      </c>
      <c r="B1051" s="4" t="str">
        <f>IFERROR(__xludf.DUMMYFUNCTION("""COMPUTED_VALUE"""),"aai")</f>
        <v>aai</v>
      </c>
      <c r="C1051" s="4" t="str">
        <f>IFERROR(__xludf.DUMMYFUNCTION("""COMPUTED_VALUE"""),"AutoAir AI")</f>
        <v>AutoAir AI</v>
      </c>
    </row>
    <row r="1052">
      <c r="A1052" s="4" t="str">
        <f>IFERROR(__xludf.DUMMYFUNCTION("""COMPUTED_VALUE"""),"autobahn-network")</f>
        <v>autobahn-network</v>
      </c>
      <c r="B1052" s="4" t="str">
        <f>IFERROR(__xludf.DUMMYFUNCTION("""COMPUTED_VALUE"""),"txl")</f>
        <v>txl</v>
      </c>
      <c r="C1052" s="4" t="str">
        <f>IFERROR(__xludf.DUMMYFUNCTION("""COMPUTED_VALUE"""),"Autobahn Network")</f>
        <v>Autobahn Network</v>
      </c>
    </row>
    <row r="1053">
      <c r="A1053" s="4" t="str">
        <f>IFERROR(__xludf.DUMMYFUNCTION("""COMPUTED_VALUE"""),"autocrypto")</f>
        <v>autocrypto</v>
      </c>
      <c r="B1053" s="4" t="str">
        <f>IFERROR(__xludf.DUMMYFUNCTION("""COMPUTED_VALUE"""),"au")</f>
        <v>au</v>
      </c>
      <c r="C1053" s="4" t="str">
        <f>IFERROR(__xludf.DUMMYFUNCTION("""COMPUTED_VALUE"""),"AutoCrypto")</f>
        <v>AutoCrypto</v>
      </c>
    </row>
    <row r="1054">
      <c r="A1054" s="4" t="str">
        <f>IFERROR(__xludf.DUMMYFUNCTION("""COMPUTED_VALUE"""),"automata")</f>
        <v>automata</v>
      </c>
      <c r="B1054" s="4" t="str">
        <f>IFERROR(__xludf.DUMMYFUNCTION("""COMPUTED_VALUE"""),"ata")</f>
        <v>ata</v>
      </c>
      <c r="C1054" s="4" t="str">
        <f>IFERROR(__xludf.DUMMYFUNCTION("""COMPUTED_VALUE"""),"Automata")</f>
        <v>Automata</v>
      </c>
    </row>
    <row r="1055">
      <c r="A1055" s="4" t="str">
        <f>IFERROR(__xludf.DUMMYFUNCTION("""COMPUTED_VALUE"""),"autominingtoken")</f>
        <v>autominingtoken</v>
      </c>
      <c r="B1055" s="4" t="str">
        <f>IFERROR(__xludf.DUMMYFUNCTION("""COMPUTED_VALUE"""),"amt")</f>
        <v>amt</v>
      </c>
      <c r="C1055" s="4" t="str">
        <f>IFERROR(__xludf.DUMMYFUNCTION("""COMPUTED_VALUE"""),"AutoMiningToken")</f>
        <v>AutoMiningToken</v>
      </c>
    </row>
    <row r="1056">
      <c r="A1056" s="4" t="str">
        <f>IFERROR(__xludf.DUMMYFUNCTION("""COMPUTED_VALUE"""),"auton")</f>
        <v>auton</v>
      </c>
      <c r="B1056" s="4" t="str">
        <f>IFERROR(__xludf.DUMMYFUNCTION("""COMPUTED_VALUE"""),"atn")</f>
        <v>atn</v>
      </c>
      <c r="C1056" s="4" t="str">
        <f>IFERROR(__xludf.DUMMYFUNCTION("""COMPUTED_VALUE"""),"Auton")</f>
        <v>Auton</v>
      </c>
    </row>
    <row r="1057">
      <c r="A1057" s="4" t="str">
        <f>IFERROR(__xludf.DUMMYFUNCTION("""COMPUTED_VALUE"""),"autonio")</f>
        <v>autonio</v>
      </c>
      <c r="B1057" s="4" t="str">
        <f>IFERROR(__xludf.DUMMYFUNCTION("""COMPUTED_VALUE"""),"niox")</f>
        <v>niox</v>
      </c>
      <c r="C1057" s="4" t="str">
        <f>IFERROR(__xludf.DUMMYFUNCTION("""COMPUTED_VALUE"""),"Autonio")</f>
        <v>Autonio</v>
      </c>
    </row>
    <row r="1058">
      <c r="A1058" s="4" t="str">
        <f>IFERROR(__xludf.DUMMYFUNCTION("""COMPUTED_VALUE"""),"autonolas")</f>
        <v>autonolas</v>
      </c>
      <c r="B1058" s="4" t="str">
        <f>IFERROR(__xludf.DUMMYFUNCTION("""COMPUTED_VALUE"""),"olas")</f>
        <v>olas</v>
      </c>
      <c r="C1058" s="4" t="str">
        <f>IFERROR(__xludf.DUMMYFUNCTION("""COMPUTED_VALUE"""),"Autonolas")</f>
        <v>Autonolas</v>
      </c>
    </row>
    <row r="1059">
      <c r="A1059" s="4" t="str">
        <f>IFERROR(__xludf.DUMMYFUNCTION("""COMPUTED_VALUE"""),"autoshark")</f>
        <v>autoshark</v>
      </c>
      <c r="B1059" s="4" t="str">
        <f>IFERROR(__xludf.DUMMYFUNCTION("""COMPUTED_VALUE"""),"jaws")</f>
        <v>jaws</v>
      </c>
      <c r="C1059" s="4" t="str">
        <f>IFERROR(__xludf.DUMMYFUNCTION("""COMPUTED_VALUE"""),"AutoShark")</f>
        <v>AutoShark</v>
      </c>
    </row>
    <row r="1060">
      <c r="A1060" s="4" t="str">
        <f>IFERROR(__xludf.DUMMYFUNCTION("""COMPUTED_VALUE"""),"autosingle")</f>
        <v>autosingle</v>
      </c>
      <c r="B1060" s="4" t="str">
        <f>IFERROR(__xludf.DUMMYFUNCTION("""COMPUTED_VALUE"""),"autos")</f>
        <v>autos</v>
      </c>
      <c r="C1060" s="4" t="str">
        <f>IFERROR(__xludf.DUMMYFUNCTION("""COMPUTED_VALUE"""),"AutoSingle")</f>
        <v>AutoSingle</v>
      </c>
    </row>
    <row r="1061">
      <c r="A1061" s="4" t="str">
        <f>IFERROR(__xludf.DUMMYFUNCTION("""COMPUTED_VALUE"""),"autumn")</f>
        <v>autumn</v>
      </c>
      <c r="B1061" s="4" t="str">
        <f>IFERROR(__xludf.DUMMYFUNCTION("""COMPUTED_VALUE"""),"autumn")</f>
        <v>autumn</v>
      </c>
      <c r="C1061" s="4" t="str">
        <f>IFERROR(__xludf.DUMMYFUNCTION("""COMPUTED_VALUE"""),"Autumn")</f>
        <v>Autumn</v>
      </c>
    </row>
    <row r="1062">
      <c r="A1062" s="4" t="str">
        <f>IFERROR(__xludf.DUMMYFUNCTION("""COMPUTED_VALUE"""),"aux-coin")</f>
        <v>aux-coin</v>
      </c>
      <c r="B1062" s="4" t="str">
        <f>IFERROR(__xludf.DUMMYFUNCTION("""COMPUTED_VALUE"""),"aux")</f>
        <v>aux</v>
      </c>
      <c r="C1062" s="4" t="str">
        <f>IFERROR(__xludf.DUMMYFUNCTION("""COMPUTED_VALUE"""),"AUX Coin")</f>
        <v>AUX Coin</v>
      </c>
    </row>
    <row r="1063">
      <c r="A1063" s="4" t="str">
        <f>IFERROR(__xludf.DUMMYFUNCTION("""COMPUTED_VALUE"""),"avabot")</f>
        <v>avabot</v>
      </c>
      <c r="B1063" s="4" t="str">
        <f>IFERROR(__xludf.DUMMYFUNCTION("""COMPUTED_VALUE"""),"avb")</f>
        <v>avb</v>
      </c>
      <c r="C1063" s="4" t="str">
        <f>IFERROR(__xludf.DUMMYFUNCTION("""COMPUTED_VALUE"""),"Avabot")</f>
        <v>Avabot</v>
      </c>
    </row>
    <row r="1064">
      <c r="A1064" s="4" t="str">
        <f>IFERROR(__xludf.DUMMYFUNCTION("""COMPUTED_VALUE"""),"avadex-token")</f>
        <v>avadex-token</v>
      </c>
      <c r="B1064" s="4" t="str">
        <f>IFERROR(__xludf.DUMMYFUNCTION("""COMPUTED_VALUE"""),"avex")</f>
        <v>avex</v>
      </c>
      <c r="C1064" s="4" t="str">
        <f>IFERROR(__xludf.DUMMYFUNCTION("""COMPUTED_VALUE"""),"AvaDex Token")</f>
        <v>AvaDex Token</v>
      </c>
    </row>
    <row r="1065">
      <c r="A1065" s="4" t="str">
        <f>IFERROR(__xludf.DUMMYFUNCTION("""COMPUTED_VALUE"""),"ava-foundation-bridged-ava-bsc")</f>
        <v>ava-foundation-bridged-ava-bsc</v>
      </c>
      <c r="B1065" s="4" t="str">
        <f>IFERROR(__xludf.DUMMYFUNCTION("""COMPUTED_VALUE"""),"ava")</f>
        <v>ava</v>
      </c>
      <c r="C1065" s="4" t="str">
        <f>IFERROR(__xludf.DUMMYFUNCTION("""COMPUTED_VALUE"""),"AVA Foundation Bridged AVA (BSC)")</f>
        <v>AVA Foundation Bridged AVA (BSC)</v>
      </c>
    </row>
    <row r="1066">
      <c r="A1066" s="4" t="str">
        <f>IFERROR(__xludf.DUMMYFUNCTION("""COMPUTED_VALUE"""),"avalanche-2")</f>
        <v>avalanche-2</v>
      </c>
      <c r="B1066" s="4" t="str">
        <f>IFERROR(__xludf.DUMMYFUNCTION("""COMPUTED_VALUE"""),"avax")</f>
        <v>avax</v>
      </c>
      <c r="C1066" s="4" t="str">
        <f>IFERROR(__xludf.DUMMYFUNCTION("""COMPUTED_VALUE"""),"Avalanche")</f>
        <v>Avalanche</v>
      </c>
    </row>
    <row r="1067">
      <c r="A1067" s="4" t="str">
        <f>IFERROR(__xludf.DUMMYFUNCTION("""COMPUTED_VALUE"""),"avalanche-wormhole")</f>
        <v>avalanche-wormhole</v>
      </c>
      <c r="B1067" s="4" t="str">
        <f>IFERROR(__xludf.DUMMYFUNCTION("""COMPUTED_VALUE"""),"avax")</f>
        <v>avax</v>
      </c>
      <c r="C1067" s="4" t="str">
        <f>IFERROR(__xludf.DUMMYFUNCTION("""COMPUTED_VALUE"""),"Avalanche (Wormhole)")</f>
        <v>Avalanche (Wormhole)</v>
      </c>
    </row>
    <row r="1068">
      <c r="A1068" s="4" t="str">
        <f>IFERROR(__xludf.DUMMYFUNCTION("""COMPUTED_VALUE"""),"avalaunch")</f>
        <v>avalaunch</v>
      </c>
      <c r="B1068" s="4" t="str">
        <f>IFERROR(__xludf.DUMMYFUNCTION("""COMPUTED_VALUE"""),"xava")</f>
        <v>xava</v>
      </c>
      <c r="C1068" s="4" t="str">
        <f>IFERROR(__xludf.DUMMYFUNCTION("""COMPUTED_VALUE"""),"Avalaunch")</f>
        <v>Avalaunch</v>
      </c>
    </row>
    <row r="1069">
      <c r="A1069" s="4" t="str">
        <f>IFERROR(__xludf.DUMMYFUNCTION("""COMPUTED_VALUE"""),"avalox")</f>
        <v>avalox</v>
      </c>
      <c r="B1069" s="4" t="str">
        <f>IFERROR(__xludf.DUMMYFUNCTION("""COMPUTED_VALUE"""),"avalox")</f>
        <v>avalox</v>
      </c>
      <c r="C1069" s="4" t="str">
        <f>IFERROR(__xludf.DUMMYFUNCTION("""COMPUTED_VALUE"""),"Avalox")</f>
        <v>Avalox</v>
      </c>
    </row>
    <row r="1070">
      <c r="A1070" s="4" t="str">
        <f>IFERROR(__xludf.DUMMYFUNCTION("""COMPUTED_VALUE"""),"avante")</f>
        <v>avante</v>
      </c>
      <c r="B1070" s="4" t="str">
        <f>IFERROR(__xludf.DUMMYFUNCTION("""COMPUTED_VALUE"""),"axt")</f>
        <v>axt</v>
      </c>
      <c r="C1070" s="4" t="str">
        <f>IFERROR(__xludf.DUMMYFUNCTION("""COMPUTED_VALUE"""),"Avante")</f>
        <v>Avante</v>
      </c>
    </row>
    <row r="1071">
      <c r="A1071" s="4" t="str">
        <f>IFERROR(__xludf.DUMMYFUNCTION("""COMPUTED_VALUE"""),"avaocado-dao")</f>
        <v>avaocado-dao</v>
      </c>
      <c r="B1071" s="4" t="str">
        <f>IFERROR(__xludf.DUMMYFUNCTION("""COMPUTED_VALUE"""),"avg")</f>
        <v>avg</v>
      </c>
      <c r="C1071" s="4" t="str">
        <f>IFERROR(__xludf.DUMMYFUNCTION("""COMPUTED_VALUE"""),"Avocado DAO")</f>
        <v>Avocado DAO</v>
      </c>
    </row>
    <row r="1072">
      <c r="A1072" s="4" t="str">
        <f>IFERROR(__xludf.DUMMYFUNCTION("""COMPUTED_VALUE"""),"avatago")</f>
        <v>avatago</v>
      </c>
      <c r="B1072" s="4" t="str">
        <f>IFERROR(__xludf.DUMMYFUNCTION("""COMPUTED_VALUE"""),"agt")</f>
        <v>agt</v>
      </c>
      <c r="C1072" s="4" t="str">
        <f>IFERROR(__xludf.DUMMYFUNCTION("""COMPUTED_VALUE"""),"AVATAGO")</f>
        <v>AVATAGO</v>
      </c>
    </row>
    <row r="1073">
      <c r="A1073" s="4" t="str">
        <f>IFERROR(__xludf.DUMMYFUNCTION("""COMPUTED_VALUE"""),"avata-network")</f>
        <v>avata-network</v>
      </c>
      <c r="B1073" s="4" t="str">
        <f>IFERROR(__xludf.DUMMYFUNCTION("""COMPUTED_VALUE"""),"avat")</f>
        <v>avat</v>
      </c>
      <c r="C1073" s="4" t="str">
        <f>IFERROR(__xludf.DUMMYFUNCTION("""COMPUTED_VALUE"""),"AVATA Network")</f>
        <v>AVATA Network</v>
      </c>
    </row>
    <row r="1074">
      <c r="A1074" s="4" t="str">
        <f>IFERROR(__xludf.DUMMYFUNCTION("""COMPUTED_VALUE"""),"avatar404")</f>
        <v>avatar404</v>
      </c>
      <c r="B1074" s="4" t="str">
        <f>IFERROR(__xludf.DUMMYFUNCTION("""COMPUTED_VALUE"""),"avat")</f>
        <v>avat</v>
      </c>
      <c r="C1074" s="4" t="str">
        <f>IFERROR(__xludf.DUMMYFUNCTION("""COMPUTED_VALUE"""),"Avatar404")</f>
        <v>Avatar404</v>
      </c>
    </row>
    <row r="1075">
      <c r="A1075" s="4" t="str">
        <f>IFERROR(__xludf.DUMMYFUNCTION("""COMPUTED_VALUE"""),"avatar-musk-verse")</f>
        <v>avatar-musk-verse</v>
      </c>
      <c r="B1075" s="4" t="str">
        <f>IFERROR(__xludf.DUMMYFUNCTION("""COMPUTED_VALUE"""),"amv")</f>
        <v>amv</v>
      </c>
      <c r="C1075" s="4" t="str">
        <f>IFERROR(__xludf.DUMMYFUNCTION("""COMPUTED_VALUE"""),"Avatar Musk Verse")</f>
        <v>Avatar Musk Verse</v>
      </c>
    </row>
    <row r="1076">
      <c r="A1076" s="4" t="str">
        <f>IFERROR(__xludf.DUMMYFUNCTION("""COMPUTED_VALUE"""),"avatly-2")</f>
        <v>avatly-2</v>
      </c>
      <c r="B1076" s="4" t="str">
        <f>IFERROR(__xludf.DUMMYFUNCTION("""COMPUTED_VALUE"""),"avatly")</f>
        <v>avatly</v>
      </c>
      <c r="C1076" s="4" t="str">
        <f>IFERROR(__xludf.DUMMYFUNCTION("""COMPUTED_VALUE"""),"Avatly")</f>
        <v>Avatly</v>
      </c>
    </row>
    <row r="1077">
      <c r="A1077" s="4" t="str">
        <f>IFERROR(__xludf.DUMMYFUNCTION("""COMPUTED_VALUE"""),"avav-asc-20")</f>
        <v>avav-asc-20</v>
      </c>
      <c r="B1077" s="4" t="str">
        <f>IFERROR(__xludf.DUMMYFUNCTION("""COMPUTED_VALUE"""),"avav")</f>
        <v>avav</v>
      </c>
      <c r="C1077" s="4" t="str">
        <f>IFERROR(__xludf.DUMMYFUNCTION("""COMPUTED_VALUE"""),"AVAV (ASC-20)")</f>
        <v>AVAV (ASC-20)</v>
      </c>
    </row>
    <row r="1078">
      <c r="A1078" s="4" t="str">
        <f>IFERROR(__xludf.DUMMYFUNCTION("""COMPUTED_VALUE"""),"avax-has-no-chill")</f>
        <v>avax-has-no-chill</v>
      </c>
      <c r="B1078" s="4" t="str">
        <f>IFERROR(__xludf.DUMMYFUNCTION("""COMPUTED_VALUE"""),"nochill")</f>
        <v>nochill</v>
      </c>
      <c r="C1078" s="4" t="str">
        <f>IFERROR(__xludf.DUMMYFUNCTION("""COMPUTED_VALUE"""),"AVAX HAS NO CHILL")</f>
        <v>AVAX HAS NO CHILL</v>
      </c>
    </row>
    <row r="1079">
      <c r="A1079" s="4" t="str">
        <f>IFERROR(__xludf.DUMMYFUNCTION("""COMPUTED_VALUE"""),"avaxlama")</f>
        <v>avaxlama</v>
      </c>
      <c r="B1079" s="4" t="str">
        <f>IFERROR(__xludf.DUMMYFUNCTION("""COMPUTED_VALUE"""),"lama")</f>
        <v>lama</v>
      </c>
      <c r="C1079" s="4" t="str">
        <f>IFERROR(__xludf.DUMMYFUNCTION("""COMPUTED_VALUE"""),"Lama")</f>
        <v>Lama</v>
      </c>
    </row>
    <row r="1080">
      <c r="A1080" s="4" t="str">
        <f>IFERROR(__xludf.DUMMYFUNCTION("""COMPUTED_VALUE"""),"avaxtars")</f>
        <v>avaxtars</v>
      </c>
      <c r="B1080" s="4" t="str">
        <f>IFERROR(__xludf.DUMMYFUNCTION("""COMPUTED_VALUE"""),"avxt")</f>
        <v>avxt</v>
      </c>
      <c r="C1080" s="4" t="str">
        <f>IFERROR(__xludf.DUMMYFUNCTION("""COMPUTED_VALUE"""),"Avaxtars")</f>
        <v>Avaxtars</v>
      </c>
    </row>
    <row r="1081">
      <c r="A1081" s="4" t="str">
        <f>IFERROR(__xludf.DUMMYFUNCTION("""COMPUTED_VALUE"""),"avaxtech")</f>
        <v>avaxtech</v>
      </c>
      <c r="B1081" s="4" t="str">
        <f>IFERROR(__xludf.DUMMYFUNCTION("""COMPUTED_VALUE"""),"atech")</f>
        <v>atech</v>
      </c>
      <c r="C1081" s="4" t="str">
        <f>IFERROR(__xludf.DUMMYFUNCTION("""COMPUTED_VALUE"""),"AvaxTech")</f>
        <v>AvaxTech</v>
      </c>
    </row>
    <row r="1082">
      <c r="A1082" s="4" t="str">
        <f>IFERROR(__xludf.DUMMYFUNCTION("""COMPUTED_VALUE"""),"avbot")</f>
        <v>avbot</v>
      </c>
      <c r="B1082" s="4" t="str">
        <f>IFERROR(__xludf.DUMMYFUNCTION("""COMPUTED_VALUE"""),"avbot")</f>
        <v>avbot</v>
      </c>
      <c r="C1082" s="4" t="str">
        <f>IFERROR(__xludf.DUMMYFUNCTION("""COMPUTED_VALUE"""),"AVBOT")</f>
        <v>AVBOT</v>
      </c>
    </row>
    <row r="1083">
      <c r="A1083" s="4" t="str">
        <f>IFERROR(__xludf.DUMMYFUNCTION("""COMPUTED_VALUE"""),"aventis-metaverse")</f>
        <v>aventis-metaverse</v>
      </c>
      <c r="B1083" s="4" t="str">
        <f>IFERROR(__xludf.DUMMYFUNCTION("""COMPUTED_VALUE"""),"avtm")</f>
        <v>avtm</v>
      </c>
      <c r="C1083" s="4" t="str">
        <f>IFERROR(__xludf.DUMMYFUNCTION("""COMPUTED_VALUE"""),"Aventis Metaverse")</f>
        <v>Aventis Metaverse</v>
      </c>
    </row>
    <row r="1084">
      <c r="A1084" s="4" t="str">
        <f>IFERROR(__xludf.DUMMYFUNCTION("""COMPUTED_VALUE"""),"aventus")</f>
        <v>aventus</v>
      </c>
      <c r="B1084" s="4" t="str">
        <f>IFERROR(__xludf.DUMMYFUNCTION("""COMPUTED_VALUE"""),"avt")</f>
        <v>avt</v>
      </c>
      <c r="C1084" s="4" t="str">
        <f>IFERROR(__xludf.DUMMYFUNCTION("""COMPUTED_VALUE"""),"Aventus")</f>
        <v>Aventus</v>
      </c>
    </row>
    <row r="1085">
      <c r="A1085" s="4" t="str">
        <f>IFERROR(__xludf.DUMMYFUNCTION("""COMPUTED_VALUE"""),"avenue-hamilton-token")</f>
        <v>avenue-hamilton-token</v>
      </c>
      <c r="B1085" s="4" t="str">
        <f>IFERROR(__xludf.DUMMYFUNCTION("""COMPUTED_VALUE"""),"aht")</f>
        <v>aht</v>
      </c>
      <c r="C1085" s="4" t="str">
        <f>IFERROR(__xludf.DUMMYFUNCTION("""COMPUTED_VALUE"""),"Avenue Hamilton Token")</f>
        <v>Avenue Hamilton Token</v>
      </c>
    </row>
    <row r="1086">
      <c r="A1086" s="4" t="str">
        <f>IFERROR(__xludf.DUMMYFUNCTION("""COMPUTED_VALUE"""),"aves")</f>
        <v>aves</v>
      </c>
      <c r="B1086" s="4" t="str">
        <f>IFERROR(__xludf.DUMMYFUNCTION("""COMPUTED_VALUE"""),"avs")</f>
        <v>avs</v>
      </c>
      <c r="C1086" s="4" t="str">
        <f>IFERROR(__xludf.DUMMYFUNCTION("""COMPUTED_VALUE"""),"AVES")</f>
        <v>AVES</v>
      </c>
    </row>
    <row r="1087">
      <c r="A1087" s="4" t="str">
        <f>IFERROR(__xludf.DUMMYFUNCTION("""COMPUTED_VALUE"""),"avian-network")</f>
        <v>avian-network</v>
      </c>
      <c r="B1087" s="4" t="str">
        <f>IFERROR(__xludf.DUMMYFUNCTION("""COMPUTED_VALUE"""),"avn")</f>
        <v>avn</v>
      </c>
      <c r="C1087" s="4" t="str">
        <f>IFERROR(__xludf.DUMMYFUNCTION("""COMPUTED_VALUE"""),"AVIAN")</f>
        <v>AVIAN</v>
      </c>
    </row>
    <row r="1088">
      <c r="A1088" s="4" t="str">
        <f>IFERROR(__xludf.DUMMYFUNCTION("""COMPUTED_VALUE"""),"aviator")</f>
        <v>aviator</v>
      </c>
      <c r="B1088" s="4" t="str">
        <f>IFERROR(__xludf.DUMMYFUNCTION("""COMPUTED_VALUE"""),"avi")</f>
        <v>avi</v>
      </c>
      <c r="C1088" s="4" t="str">
        <f>IFERROR(__xludf.DUMMYFUNCTION("""COMPUTED_VALUE"""),"Aviator")</f>
        <v>Aviator</v>
      </c>
    </row>
    <row r="1089">
      <c r="A1089" s="4" t="str">
        <f>IFERROR(__xludf.DUMMYFUNCTION("""COMPUTED_VALUE"""),"avinoc")</f>
        <v>avinoc</v>
      </c>
      <c r="B1089" s="4" t="str">
        <f>IFERROR(__xludf.DUMMYFUNCTION("""COMPUTED_VALUE"""),"avinoc")</f>
        <v>avinoc</v>
      </c>
      <c r="C1089" s="4" t="str">
        <f>IFERROR(__xludf.DUMMYFUNCTION("""COMPUTED_VALUE"""),"AVINOC")</f>
        <v>AVINOC</v>
      </c>
    </row>
    <row r="1090">
      <c r="A1090" s="4" t="str">
        <f>IFERROR(__xludf.DUMMYFUNCTION("""COMPUTED_VALUE"""),"avive")</f>
        <v>avive</v>
      </c>
      <c r="B1090" s="4" t="str">
        <f>IFERROR(__xludf.DUMMYFUNCTION("""COMPUTED_VALUE"""),"avive")</f>
        <v>avive</v>
      </c>
      <c r="C1090" s="4" t="str">
        <f>IFERROR(__xludf.DUMMYFUNCTION("""COMPUTED_VALUE"""),"Avive")</f>
        <v>Avive</v>
      </c>
    </row>
    <row r="1091">
      <c r="A1091" s="4" t="str">
        <f>IFERROR(__xludf.DUMMYFUNCTION("""COMPUTED_VALUE"""),"avme")</f>
        <v>avme</v>
      </c>
      <c r="B1091" s="4" t="str">
        <f>IFERROR(__xludf.DUMMYFUNCTION("""COMPUTED_VALUE"""),"avme")</f>
        <v>avme</v>
      </c>
      <c r="C1091" s="4" t="str">
        <f>IFERROR(__xludf.DUMMYFUNCTION("""COMPUTED_VALUE"""),"AVME")</f>
        <v>AVME</v>
      </c>
    </row>
    <row r="1092">
      <c r="A1092" s="4" t="str">
        <f>IFERROR(__xludf.DUMMYFUNCTION("""COMPUTED_VALUE"""),"avnrich")</f>
        <v>avnrich</v>
      </c>
      <c r="B1092" s="4" t="str">
        <f>IFERROR(__xludf.DUMMYFUNCTION("""COMPUTED_VALUE"""),"avn")</f>
        <v>avn</v>
      </c>
      <c r="C1092" s="4" t="str">
        <f>IFERROR(__xludf.DUMMYFUNCTION("""COMPUTED_VALUE"""),"AVNRich")</f>
        <v>AVNRich</v>
      </c>
    </row>
    <row r="1093">
      <c r="A1093" s="4" t="str">
        <f>IFERROR(__xludf.DUMMYFUNCTION("""COMPUTED_VALUE"""),"avocado-bg")</f>
        <v>avocado-bg</v>
      </c>
      <c r="B1093" s="4" t="str">
        <f>IFERROR(__xludf.DUMMYFUNCTION("""COMPUTED_VALUE"""),"avo")</f>
        <v>avo</v>
      </c>
      <c r="C1093" s="4" t="str">
        <f>IFERROR(__xludf.DUMMYFUNCTION("""COMPUTED_VALUE"""),"AVOCADO BG")</f>
        <v>AVOCADO BG</v>
      </c>
    </row>
    <row r="1094">
      <c r="A1094" s="4" t="str">
        <f>IFERROR(__xludf.DUMMYFUNCTION("""COMPUTED_VALUE"""),"avolend")</f>
        <v>avolend</v>
      </c>
      <c r="B1094" s="4" t="str">
        <f>IFERROR(__xludf.DUMMYFUNCTION("""COMPUTED_VALUE"""),"avo")</f>
        <v>avo</v>
      </c>
      <c r="C1094" s="4" t="str">
        <f>IFERROR(__xludf.DUMMYFUNCTION("""COMPUTED_VALUE"""),"Avolend")</f>
        <v>Avolend</v>
      </c>
    </row>
    <row r="1095">
      <c r="A1095" s="4" t="str">
        <f>IFERROR(__xludf.DUMMYFUNCTION("""COMPUTED_VALUE"""),"avoteo")</f>
        <v>avoteo</v>
      </c>
      <c r="B1095" s="4" t="str">
        <f>IFERROR(__xludf.DUMMYFUNCTION("""COMPUTED_VALUE"""),"avo")</f>
        <v>avo</v>
      </c>
      <c r="C1095" s="4" t="str">
        <f>IFERROR(__xludf.DUMMYFUNCTION("""COMPUTED_VALUE"""),"Avoteo")</f>
        <v>Avoteo</v>
      </c>
    </row>
    <row r="1096">
      <c r="A1096" s="4" t="str">
        <f>IFERROR(__xludf.DUMMYFUNCTION("""COMPUTED_VALUE"""),"awkward-look-monkey-club")</f>
        <v>awkward-look-monkey-club</v>
      </c>
      <c r="B1096" s="4" t="str">
        <f>IFERROR(__xludf.DUMMYFUNCTION("""COMPUTED_VALUE"""),"almc")</f>
        <v>almc</v>
      </c>
      <c r="C1096" s="4" t="str">
        <f>IFERROR(__xludf.DUMMYFUNCTION("""COMPUTED_VALUE"""),"Awkward Look Monkey Club")</f>
        <v>Awkward Look Monkey Club</v>
      </c>
    </row>
    <row r="1097">
      <c r="A1097" s="4" t="str">
        <f>IFERROR(__xludf.DUMMYFUNCTION("""COMPUTED_VALUE"""),"axe")</f>
        <v>axe</v>
      </c>
      <c r="B1097" s="4" t="str">
        <f>IFERROR(__xludf.DUMMYFUNCTION("""COMPUTED_VALUE"""),"axe")</f>
        <v>axe</v>
      </c>
      <c r="C1097" s="4" t="str">
        <f>IFERROR(__xludf.DUMMYFUNCTION("""COMPUTED_VALUE"""),"Axe")</f>
        <v>Axe</v>
      </c>
    </row>
    <row r="1098">
      <c r="A1098" s="4" t="str">
        <f>IFERROR(__xludf.DUMMYFUNCTION("""COMPUTED_VALUE"""),"axe-2")</f>
        <v>axe-2</v>
      </c>
      <c r="B1098" s="4" t="str">
        <f>IFERROR(__xludf.DUMMYFUNCTION("""COMPUTED_VALUE"""),"axe")</f>
        <v>axe</v>
      </c>
      <c r="C1098" s="4" t="str">
        <f>IFERROR(__xludf.DUMMYFUNCTION("""COMPUTED_VALUE"""),"AXE")</f>
        <v>AXE</v>
      </c>
    </row>
    <row r="1099">
      <c r="A1099" s="4" t="str">
        <f>IFERROR(__xludf.DUMMYFUNCTION("""COMPUTED_VALUE"""),"axe-cap")</f>
        <v>axe-cap</v>
      </c>
      <c r="B1099" s="4" t="str">
        <f>IFERROR(__xludf.DUMMYFUNCTION("""COMPUTED_VALUE"""),"axe")</f>
        <v>axe</v>
      </c>
      <c r="C1099" s="4" t="str">
        <f>IFERROR(__xludf.DUMMYFUNCTION("""COMPUTED_VALUE"""),"Axe Cap")</f>
        <v>Axe Cap</v>
      </c>
    </row>
    <row r="1100">
      <c r="A1100" s="4" t="str">
        <f>IFERROR(__xludf.DUMMYFUNCTION("""COMPUTED_VALUE"""),"axel")</f>
        <v>axel</v>
      </c>
      <c r="B1100" s="4" t="str">
        <f>IFERROR(__xludf.DUMMYFUNCTION("""COMPUTED_VALUE"""),"axel")</f>
        <v>axel</v>
      </c>
      <c r="C1100" s="4" t="str">
        <f>IFERROR(__xludf.DUMMYFUNCTION("""COMPUTED_VALUE"""),"AXEL")</f>
        <v>AXEL</v>
      </c>
    </row>
    <row r="1101">
      <c r="A1101" s="4" t="str">
        <f>IFERROR(__xludf.DUMMYFUNCTION("""COMPUTED_VALUE"""),"axelar")</f>
        <v>axelar</v>
      </c>
      <c r="B1101" s="4" t="str">
        <f>IFERROR(__xludf.DUMMYFUNCTION("""COMPUTED_VALUE"""),"axl")</f>
        <v>axl</v>
      </c>
      <c r="C1101" s="4" t="str">
        <f>IFERROR(__xludf.DUMMYFUNCTION("""COMPUTED_VALUE"""),"Axelar")</f>
        <v>Axelar</v>
      </c>
    </row>
    <row r="1102">
      <c r="A1102" s="4" t="str">
        <f>IFERROR(__xludf.DUMMYFUNCTION("""COMPUTED_VALUE"""),"axelar-bridged-usdc-cosmos")</f>
        <v>axelar-bridged-usdc-cosmos</v>
      </c>
      <c r="B1102" s="4" t="str">
        <f>IFERROR(__xludf.DUMMYFUNCTION("""COMPUTED_VALUE"""),"usdc.axl")</f>
        <v>usdc.axl</v>
      </c>
      <c r="C1102" s="4" t="str">
        <f>IFERROR(__xludf.DUMMYFUNCTION("""COMPUTED_VALUE"""),"Axelar Bridged USDC (Cosmos)")</f>
        <v>Axelar Bridged USDC (Cosmos)</v>
      </c>
    </row>
    <row r="1103">
      <c r="A1103" s="4" t="str">
        <f>IFERROR(__xludf.DUMMYFUNCTION("""COMPUTED_VALUE"""),"axelar-usdt")</f>
        <v>axelar-usdt</v>
      </c>
      <c r="B1103" s="4" t="str">
        <f>IFERROR(__xludf.DUMMYFUNCTION("""COMPUTED_VALUE"""),"axlusdt")</f>
        <v>axlusdt</v>
      </c>
      <c r="C1103" s="4" t="str">
        <f>IFERROR(__xludf.DUMMYFUNCTION("""COMPUTED_VALUE"""),"Bridged Tether (Axelar)")</f>
        <v>Bridged Tether (Axelar)</v>
      </c>
    </row>
    <row r="1104">
      <c r="A1104" s="4" t="str">
        <f>IFERROR(__xludf.DUMMYFUNCTION("""COMPUTED_VALUE"""),"axia")</f>
        <v>axia</v>
      </c>
      <c r="B1104" s="4" t="str">
        <f>IFERROR(__xludf.DUMMYFUNCTION("""COMPUTED_VALUE"""),"axiav3")</f>
        <v>axiav3</v>
      </c>
      <c r="C1104" s="4" t="str">
        <f>IFERROR(__xludf.DUMMYFUNCTION("""COMPUTED_VALUE"""),"Axia")</f>
        <v>Axia</v>
      </c>
    </row>
    <row r="1105">
      <c r="A1105" s="4" t="str">
        <f>IFERROR(__xludf.DUMMYFUNCTION("""COMPUTED_VALUE"""),"axial-token")</f>
        <v>axial-token</v>
      </c>
      <c r="B1105" s="4" t="str">
        <f>IFERROR(__xludf.DUMMYFUNCTION("""COMPUTED_VALUE"""),"axial")</f>
        <v>axial</v>
      </c>
      <c r="C1105" s="4" t="str">
        <f>IFERROR(__xludf.DUMMYFUNCTION("""COMPUTED_VALUE"""),"Axial Token")</f>
        <v>Axial Token</v>
      </c>
    </row>
    <row r="1106">
      <c r="A1106" s="4" t="str">
        <f>IFERROR(__xludf.DUMMYFUNCTION("""COMPUTED_VALUE"""),"axie-infinity")</f>
        <v>axie-infinity</v>
      </c>
      <c r="B1106" s="4" t="str">
        <f>IFERROR(__xludf.DUMMYFUNCTION("""COMPUTED_VALUE"""),"axs")</f>
        <v>axs</v>
      </c>
      <c r="C1106" s="4" t="str">
        <f>IFERROR(__xludf.DUMMYFUNCTION("""COMPUTED_VALUE"""),"Axie Infinity")</f>
        <v>Axie Infinity</v>
      </c>
    </row>
    <row r="1107">
      <c r="A1107" s="4" t="str">
        <f>IFERROR(__xludf.DUMMYFUNCTION("""COMPUTED_VALUE"""),"axie-infinity-shard-wormhole")</f>
        <v>axie-infinity-shard-wormhole</v>
      </c>
      <c r="B1107" s="4" t="str">
        <f>IFERROR(__xludf.DUMMYFUNCTION("""COMPUTED_VALUE"""),"axset")</f>
        <v>axset</v>
      </c>
      <c r="C1107" s="4" t="str">
        <f>IFERROR(__xludf.DUMMYFUNCTION("""COMPUTED_VALUE"""),"Axie Infinity Shard (Wormhole)")</f>
        <v>Axie Infinity Shard (Wormhole)</v>
      </c>
    </row>
    <row r="1108">
      <c r="A1108" s="4" t="str">
        <f>IFERROR(__xludf.DUMMYFUNCTION("""COMPUTED_VALUE"""),"axiodex")</f>
        <v>axiodex</v>
      </c>
      <c r="B1108" s="4" t="str">
        <f>IFERROR(__xludf.DUMMYFUNCTION("""COMPUTED_VALUE"""),"axn")</f>
        <v>axn</v>
      </c>
      <c r="C1108" s="4" t="str">
        <f>IFERROR(__xludf.DUMMYFUNCTION("""COMPUTED_VALUE"""),"AxioDex")</f>
        <v>AxioDex</v>
      </c>
    </row>
    <row r="1109">
      <c r="A1109" s="4" t="str">
        <f>IFERROR(__xludf.DUMMYFUNCTION("""COMPUTED_VALUE"""),"axion")</f>
        <v>axion</v>
      </c>
      <c r="B1109" s="4" t="str">
        <f>IFERROR(__xludf.DUMMYFUNCTION("""COMPUTED_VALUE"""),"axn")</f>
        <v>axn</v>
      </c>
      <c r="C1109" s="4" t="str">
        <f>IFERROR(__xludf.DUMMYFUNCTION("""COMPUTED_VALUE"""),"Axion")</f>
        <v>Axion</v>
      </c>
    </row>
    <row r="1110">
      <c r="A1110" s="4" t="str">
        <f>IFERROR(__xludf.DUMMYFUNCTION("""COMPUTED_VALUE"""),"axis-defi")</f>
        <v>axis-defi</v>
      </c>
      <c r="B1110" s="4" t="str">
        <f>IFERROR(__xludf.DUMMYFUNCTION("""COMPUTED_VALUE"""),"axis")</f>
        <v>axis</v>
      </c>
      <c r="C1110" s="4" t="str">
        <f>IFERROR(__xludf.DUMMYFUNCTION("""COMPUTED_VALUE"""),"Axis DeFi")</f>
        <v>Axis DeFi</v>
      </c>
    </row>
    <row r="1111">
      <c r="A1111" s="4" t="str">
        <f>IFERROR(__xludf.DUMMYFUNCTION("""COMPUTED_VALUE"""),"axis-token")</f>
        <v>axis-token</v>
      </c>
      <c r="B1111" s="4" t="str">
        <f>IFERROR(__xludf.DUMMYFUNCTION("""COMPUTED_VALUE"""),"axis")</f>
        <v>axis</v>
      </c>
      <c r="C1111" s="4" t="str">
        <f>IFERROR(__xludf.DUMMYFUNCTION("""COMPUTED_VALUE"""),"AXIS")</f>
        <v>AXIS</v>
      </c>
    </row>
    <row r="1112">
      <c r="A1112" s="4" t="str">
        <f>IFERROR(__xludf.DUMMYFUNCTION("""COMPUTED_VALUE"""),"axle-games")</f>
        <v>axle-games</v>
      </c>
      <c r="B1112" s="4" t="str">
        <f>IFERROR(__xludf.DUMMYFUNCTION("""COMPUTED_VALUE"""),"axle")</f>
        <v>axle</v>
      </c>
      <c r="C1112" s="4" t="str">
        <f>IFERROR(__xludf.DUMMYFUNCTION("""COMPUTED_VALUE"""),"Axle Games")</f>
        <v>Axle Games</v>
      </c>
    </row>
    <row r="1113">
      <c r="A1113" s="4" t="str">
        <f>IFERROR(__xludf.DUMMYFUNCTION("""COMPUTED_VALUE"""),"axl-inu")</f>
        <v>axl-inu</v>
      </c>
      <c r="B1113" s="4" t="str">
        <f>IFERROR(__xludf.DUMMYFUNCTION("""COMPUTED_VALUE"""),"axl")</f>
        <v>axl</v>
      </c>
      <c r="C1113" s="4" t="str">
        <f>IFERROR(__xludf.DUMMYFUNCTION("""COMPUTED_VALUE"""),"AXL INU")</f>
        <v>AXL INU</v>
      </c>
    </row>
    <row r="1114">
      <c r="A1114" s="4" t="str">
        <f>IFERROR(__xludf.DUMMYFUNCTION("""COMPUTED_VALUE"""),"axlusdc")</f>
        <v>axlusdc</v>
      </c>
      <c r="B1114" s="4" t="str">
        <f>IFERROR(__xludf.DUMMYFUNCTION("""COMPUTED_VALUE"""),"axlusdc")</f>
        <v>axlusdc</v>
      </c>
      <c r="C1114" s="4" t="str">
        <f>IFERROR(__xludf.DUMMYFUNCTION("""COMPUTED_VALUE"""),"Axelar Bridged USDC")</f>
        <v>Axelar Bridged USDC</v>
      </c>
    </row>
    <row r="1115">
      <c r="A1115" s="4" t="str">
        <f>IFERROR(__xludf.DUMMYFUNCTION("""COMPUTED_VALUE"""),"axlwbtc")</f>
        <v>axlwbtc</v>
      </c>
      <c r="B1115" s="4" t="str">
        <f>IFERROR(__xludf.DUMMYFUNCTION("""COMPUTED_VALUE"""),"axlwbtc")</f>
        <v>axlwbtc</v>
      </c>
      <c r="C1115" s="4" t="str">
        <f>IFERROR(__xludf.DUMMYFUNCTION("""COMPUTED_VALUE"""),"axlWBTC")</f>
        <v>axlWBTC</v>
      </c>
    </row>
    <row r="1116">
      <c r="A1116" s="4" t="str">
        <f>IFERROR(__xludf.DUMMYFUNCTION("""COMPUTED_VALUE"""),"axlweth")</f>
        <v>axlweth</v>
      </c>
      <c r="B1116" s="4" t="str">
        <f>IFERROR(__xludf.DUMMYFUNCTION("""COMPUTED_VALUE"""),"axleth")</f>
        <v>axleth</v>
      </c>
      <c r="C1116" s="4" t="str">
        <f>IFERROR(__xludf.DUMMYFUNCTION("""COMPUTED_VALUE"""),"Axelar Wrapped Ether")</f>
        <v>Axelar Wrapped Ether</v>
      </c>
    </row>
    <row r="1117">
      <c r="A1117" s="4" t="str">
        <f>IFERROR(__xludf.DUMMYFUNCTION("""COMPUTED_VALUE"""),"axo")</f>
        <v>axo</v>
      </c>
      <c r="B1117" s="4" t="str">
        <f>IFERROR(__xludf.DUMMYFUNCTION("""COMPUTED_VALUE"""),"axo")</f>
        <v>axo</v>
      </c>
      <c r="C1117" s="4" t="str">
        <f>IFERROR(__xludf.DUMMYFUNCTION("""COMPUTED_VALUE"""),"Axo")</f>
        <v>Axo</v>
      </c>
    </row>
    <row r="1118">
      <c r="A1118" s="4" t="str">
        <f>IFERROR(__xludf.DUMMYFUNCTION("""COMPUTED_VALUE"""),"axondao-governance-token")</f>
        <v>axondao-governance-token</v>
      </c>
      <c r="B1118" s="4" t="str">
        <f>IFERROR(__xludf.DUMMYFUNCTION("""COMPUTED_VALUE"""),"axgt")</f>
        <v>axgt</v>
      </c>
      <c r="C1118" s="4" t="str">
        <f>IFERROR(__xludf.DUMMYFUNCTION("""COMPUTED_VALUE"""),"AxonDAO Governance Token")</f>
        <v>AxonDAO Governance Token</v>
      </c>
    </row>
    <row r="1119">
      <c r="A1119" s="4" t="str">
        <f>IFERROR(__xludf.DUMMYFUNCTION("""COMPUTED_VALUE"""),"ayin")</f>
        <v>ayin</v>
      </c>
      <c r="B1119" s="4" t="str">
        <f>IFERROR(__xludf.DUMMYFUNCTION("""COMPUTED_VALUE"""),"ayin")</f>
        <v>ayin</v>
      </c>
      <c r="C1119" s="4" t="str">
        <f>IFERROR(__xludf.DUMMYFUNCTION("""COMPUTED_VALUE"""),"Ayin")</f>
        <v>Ayin</v>
      </c>
    </row>
    <row r="1120">
      <c r="A1120" s="4" t="str">
        <f>IFERROR(__xludf.DUMMYFUNCTION("""COMPUTED_VALUE"""),"azbit")</f>
        <v>azbit</v>
      </c>
      <c r="B1120" s="4" t="str">
        <f>IFERROR(__xludf.DUMMYFUNCTION("""COMPUTED_VALUE"""),"az")</f>
        <v>az</v>
      </c>
      <c r="C1120" s="4" t="str">
        <f>IFERROR(__xludf.DUMMYFUNCTION("""COMPUTED_VALUE"""),"Azbit")</f>
        <v>Azbit</v>
      </c>
    </row>
    <row r="1121">
      <c r="A1121" s="4" t="str">
        <f>IFERROR(__xludf.DUMMYFUNCTION("""COMPUTED_VALUE"""),"azcoiner")</f>
        <v>azcoiner</v>
      </c>
      <c r="B1121" s="4" t="str">
        <f>IFERROR(__xludf.DUMMYFUNCTION("""COMPUTED_VALUE"""),"azc")</f>
        <v>azc</v>
      </c>
      <c r="C1121" s="4" t="str">
        <f>IFERROR(__xludf.DUMMYFUNCTION("""COMPUTED_VALUE"""),"AZCoiner")</f>
        <v>AZCoiner</v>
      </c>
    </row>
    <row r="1122">
      <c r="A1122" s="4" t="str">
        <f>IFERROR(__xludf.DUMMYFUNCTION("""COMPUTED_VALUE"""),"azit")</f>
        <v>azit</v>
      </c>
      <c r="B1122" s="4" t="str">
        <f>IFERROR(__xludf.DUMMYFUNCTION("""COMPUTED_VALUE"""),"azit")</f>
        <v>azit</v>
      </c>
      <c r="C1122" s="4" t="str">
        <f>IFERROR(__xludf.DUMMYFUNCTION("""COMPUTED_VALUE"""),"azit")</f>
        <v>azit</v>
      </c>
    </row>
    <row r="1123">
      <c r="A1123" s="4" t="str">
        <f>IFERROR(__xludf.DUMMYFUNCTION("""COMPUTED_VALUE"""),"azmask")</f>
        <v>azmask</v>
      </c>
      <c r="B1123" s="4" t="str">
        <f>IFERROR(__xludf.DUMMYFUNCTION("""COMPUTED_VALUE"""),"azm")</f>
        <v>azm</v>
      </c>
      <c r="C1123" s="4" t="str">
        <f>IFERROR(__xludf.DUMMYFUNCTION("""COMPUTED_VALUE"""),"AZMASK")</f>
        <v>AZMASK</v>
      </c>
    </row>
    <row r="1124">
      <c r="A1124" s="4" t="str">
        <f>IFERROR(__xludf.DUMMYFUNCTION("""COMPUTED_VALUE"""),"azuki")</f>
        <v>azuki</v>
      </c>
      <c r="B1124" s="4" t="str">
        <f>IFERROR(__xludf.DUMMYFUNCTION("""COMPUTED_VALUE"""),"azuki")</f>
        <v>azuki</v>
      </c>
      <c r="C1124" s="4" t="str">
        <f>IFERROR(__xludf.DUMMYFUNCTION("""COMPUTED_VALUE"""),"Azuki")</f>
        <v>Azuki</v>
      </c>
    </row>
    <row r="1125">
      <c r="A1125" s="4" t="str">
        <f>IFERROR(__xludf.DUMMYFUNCTION("""COMPUTED_VALUE"""),"azuma-coin")</f>
        <v>azuma-coin</v>
      </c>
      <c r="B1125" s="4" t="str">
        <f>IFERROR(__xludf.DUMMYFUNCTION("""COMPUTED_VALUE"""),"azum")</f>
        <v>azum</v>
      </c>
      <c r="C1125" s="4" t="str">
        <f>IFERROR(__xludf.DUMMYFUNCTION("""COMPUTED_VALUE"""),"Azuma Coin")</f>
        <v>Azuma Coin</v>
      </c>
    </row>
    <row r="1126">
      <c r="A1126" s="4" t="str">
        <f>IFERROR(__xludf.DUMMYFUNCTION("""COMPUTED_VALUE"""),"azure")</f>
        <v>azure</v>
      </c>
      <c r="B1126" s="4" t="str">
        <f>IFERROR(__xludf.DUMMYFUNCTION("""COMPUTED_VALUE"""),"azr")</f>
        <v>azr</v>
      </c>
      <c r="C1126" s="4" t="str">
        <f>IFERROR(__xludf.DUMMYFUNCTION("""COMPUTED_VALUE"""),"Azure")</f>
        <v>Azure</v>
      </c>
    </row>
    <row r="1127">
      <c r="A1127" s="4" t="str">
        <f>IFERROR(__xludf.DUMMYFUNCTION("""COMPUTED_VALUE"""),"azure-wallet")</f>
        <v>azure-wallet</v>
      </c>
      <c r="B1127" s="4" t="str">
        <f>IFERROR(__xludf.DUMMYFUNCTION("""COMPUTED_VALUE"""),"azure")</f>
        <v>azure</v>
      </c>
      <c r="C1127" s="4" t="str">
        <f>IFERROR(__xludf.DUMMYFUNCTION("""COMPUTED_VALUE"""),"Azure Wallet")</f>
        <v>Azure Wallet</v>
      </c>
    </row>
    <row r="1128">
      <c r="A1128" s="4" t="str">
        <f>IFERROR(__xludf.DUMMYFUNCTION("""COMPUTED_VALUE"""),"azur-token")</f>
        <v>azur-token</v>
      </c>
      <c r="B1128" s="4" t="str">
        <f>IFERROR(__xludf.DUMMYFUNCTION("""COMPUTED_VALUE"""),"azur")</f>
        <v>azur</v>
      </c>
      <c r="C1128" s="4" t="str">
        <f>IFERROR(__xludf.DUMMYFUNCTION("""COMPUTED_VALUE"""),"AZUR Token")</f>
        <v>AZUR Token</v>
      </c>
    </row>
    <row r="1129">
      <c r="A1129" s="4" t="str">
        <f>IFERROR(__xludf.DUMMYFUNCTION("""COMPUTED_VALUE"""),"b20")</f>
        <v>b20</v>
      </c>
      <c r="B1129" s="4" t="str">
        <f>IFERROR(__xludf.DUMMYFUNCTION("""COMPUTED_VALUE"""),"b20")</f>
        <v>b20</v>
      </c>
      <c r="C1129" s="4" t="str">
        <f>IFERROR(__xludf.DUMMYFUNCTION("""COMPUTED_VALUE"""),"B20")</f>
        <v>B20</v>
      </c>
    </row>
    <row r="1130">
      <c r="A1130" s="4" t="str">
        <f>IFERROR(__xludf.DUMMYFUNCTION("""COMPUTED_VALUE"""),"b2b-token")</f>
        <v>b2b-token</v>
      </c>
      <c r="B1130" s="4" t="str">
        <f>IFERROR(__xludf.DUMMYFUNCTION("""COMPUTED_VALUE"""),"b2b")</f>
        <v>b2b</v>
      </c>
      <c r="C1130" s="4" t="str">
        <f>IFERROR(__xludf.DUMMYFUNCTION("""COMPUTED_VALUE"""),"B2B Token")</f>
        <v>B2B Token</v>
      </c>
    </row>
    <row r="1131">
      <c r="A1131" s="4" t="str">
        <f>IFERROR(__xludf.DUMMYFUNCTION("""COMPUTED_VALUE"""),"b2share")</f>
        <v>b2share</v>
      </c>
      <c r="B1131" s="4" t="str">
        <f>IFERROR(__xludf.DUMMYFUNCTION("""COMPUTED_VALUE"""),"b2share")</f>
        <v>b2share</v>
      </c>
      <c r="C1131" s="4" t="str">
        <f>IFERROR(__xludf.DUMMYFUNCTION("""COMPUTED_VALUE"""),"B2SHARE")</f>
        <v>B2SHARE</v>
      </c>
    </row>
    <row r="1132">
      <c r="A1132" s="4" t="str">
        <f>IFERROR(__xludf.DUMMYFUNCTION("""COMPUTED_VALUE"""),"baanx")</f>
        <v>baanx</v>
      </c>
      <c r="B1132" s="4" t="str">
        <f>IFERROR(__xludf.DUMMYFUNCTION("""COMPUTED_VALUE"""),"bxx")</f>
        <v>bxx</v>
      </c>
      <c r="C1132" s="4" t="str">
        <f>IFERROR(__xludf.DUMMYFUNCTION("""COMPUTED_VALUE"""),"Baanx")</f>
        <v>Baanx</v>
      </c>
    </row>
    <row r="1133">
      <c r="A1133" s="4" t="str">
        <f>IFERROR(__xludf.DUMMYFUNCTION("""COMPUTED_VALUE"""),"baasid")</f>
        <v>baasid</v>
      </c>
      <c r="B1133" s="4" t="str">
        <f>IFERROR(__xludf.DUMMYFUNCTION("""COMPUTED_VALUE"""),"baas")</f>
        <v>baas</v>
      </c>
      <c r="C1133" s="4" t="str">
        <f>IFERROR(__xludf.DUMMYFUNCTION("""COMPUTED_VALUE"""),"BaaSid")</f>
        <v>BaaSid</v>
      </c>
    </row>
    <row r="1134">
      <c r="A1134" s="4" t="str">
        <f>IFERROR(__xludf.DUMMYFUNCTION("""COMPUTED_VALUE"""),"baba")</f>
        <v>baba</v>
      </c>
      <c r="B1134" s="4" t="str">
        <f>IFERROR(__xludf.DUMMYFUNCTION("""COMPUTED_VALUE"""),"baba")</f>
        <v>baba</v>
      </c>
      <c r="C1134" s="4" t="str">
        <f>IFERROR(__xludf.DUMMYFUNCTION("""COMPUTED_VALUE"""),"BABA")</f>
        <v>BABA</v>
      </c>
    </row>
    <row r="1135">
      <c r="A1135" s="4" t="str">
        <f>IFERROR(__xludf.DUMMYFUNCTION("""COMPUTED_VALUE"""),"babacoin")</f>
        <v>babacoin</v>
      </c>
      <c r="B1135" s="4" t="str">
        <f>IFERROR(__xludf.DUMMYFUNCTION("""COMPUTED_VALUE"""),"bbc")</f>
        <v>bbc</v>
      </c>
      <c r="C1135" s="4" t="str">
        <f>IFERROR(__xludf.DUMMYFUNCTION("""COMPUTED_VALUE"""),"Babacoin")</f>
        <v>Babacoin</v>
      </c>
    </row>
    <row r="1136">
      <c r="A1136" s="4" t="str">
        <f>IFERROR(__xludf.DUMMYFUNCTION("""COMPUTED_VALUE"""),"babb")</f>
        <v>babb</v>
      </c>
      <c r="B1136" s="4" t="str">
        <f>IFERROR(__xludf.DUMMYFUNCTION("""COMPUTED_VALUE"""),"bax")</f>
        <v>bax</v>
      </c>
      <c r="C1136" s="4" t="str">
        <f>IFERROR(__xludf.DUMMYFUNCTION("""COMPUTED_VALUE"""),"BABB")</f>
        <v>BABB</v>
      </c>
    </row>
    <row r="1137">
      <c r="A1137" s="4" t="str">
        <f>IFERROR(__xludf.DUMMYFUNCTION("""COMPUTED_VALUE"""),"babelfish-2")</f>
        <v>babelfish-2</v>
      </c>
      <c r="B1137" s="4" t="str">
        <f>IFERROR(__xludf.DUMMYFUNCTION("""COMPUTED_VALUE"""),"$fish")</f>
        <v>$fish</v>
      </c>
      <c r="C1137" s="4" t="str">
        <f>IFERROR(__xludf.DUMMYFUNCTION("""COMPUTED_VALUE"""),"Babelfish")</f>
        <v>Babelfish</v>
      </c>
    </row>
    <row r="1138">
      <c r="A1138" s="4" t="str">
        <f>IFERROR(__xludf.DUMMYFUNCTION("""COMPUTED_VALUE"""),"baby")</f>
        <v>baby</v>
      </c>
      <c r="B1138" s="4" t="str">
        <f>IFERROR(__xludf.DUMMYFUNCTION("""COMPUTED_VALUE"""),"baby")</f>
        <v>baby</v>
      </c>
      <c r="C1138" s="4" t="str">
        <f>IFERROR(__xludf.DUMMYFUNCTION("""COMPUTED_VALUE"""),"Baby")</f>
        <v>Baby</v>
      </c>
    </row>
    <row r="1139">
      <c r="A1139" s="4" t="str">
        <f>IFERROR(__xludf.DUMMYFUNCTION("""COMPUTED_VALUE"""),"babyakita")</f>
        <v>babyakita</v>
      </c>
      <c r="B1139" s="4" t="str">
        <f>IFERROR(__xludf.DUMMYFUNCTION("""COMPUTED_VALUE"""),"babyakita")</f>
        <v>babyakita</v>
      </c>
      <c r="C1139" s="4" t="str">
        <f>IFERROR(__xludf.DUMMYFUNCTION("""COMPUTED_VALUE"""),"BabyAkita")</f>
        <v>BabyAkita</v>
      </c>
    </row>
    <row r="1140">
      <c r="A1140" s="4" t="str">
        <f>IFERROR(__xludf.DUMMYFUNCTION("""COMPUTED_VALUE"""),"baby-alienb")</f>
        <v>baby-alienb</v>
      </c>
      <c r="B1140" s="4" t="str">
        <f>IFERROR(__xludf.DUMMYFUNCTION("""COMPUTED_VALUE"""),"baby")</f>
        <v>baby</v>
      </c>
      <c r="C1140" s="4" t="str">
        <f>IFERROR(__xludf.DUMMYFUNCTION("""COMPUTED_VALUE"""),"Baby AlienB")</f>
        <v>Baby AlienB</v>
      </c>
    </row>
    <row r="1141">
      <c r="A1141" s="4" t="str">
        <f>IFERROR(__xludf.DUMMYFUNCTION("""COMPUTED_VALUE"""),"baby-alvey")</f>
        <v>baby-alvey</v>
      </c>
      <c r="B1141" s="4" t="str">
        <f>IFERROR(__xludf.DUMMYFUNCTION("""COMPUTED_VALUE"""),"balvey")</f>
        <v>balvey</v>
      </c>
      <c r="C1141" s="4" t="str">
        <f>IFERROR(__xludf.DUMMYFUNCTION("""COMPUTED_VALUE"""),"Baby Alvey")</f>
        <v>Baby Alvey</v>
      </c>
    </row>
    <row r="1142">
      <c r="A1142" s="4" t="str">
        <f>IFERROR(__xludf.DUMMYFUNCTION("""COMPUTED_VALUE"""),"baby-aptos")</f>
        <v>baby-aptos</v>
      </c>
      <c r="B1142" s="4" t="str">
        <f>IFERROR(__xludf.DUMMYFUNCTION("""COMPUTED_VALUE"""),"baptos")</f>
        <v>baptos</v>
      </c>
      <c r="C1142" s="4" t="str">
        <f>IFERROR(__xludf.DUMMYFUNCTION("""COMPUTED_VALUE"""),"Baby Aptos")</f>
        <v>Baby Aptos</v>
      </c>
    </row>
    <row r="1143">
      <c r="A1143" s="4" t="str">
        <f>IFERROR(__xludf.DUMMYFUNCTION("""COMPUTED_VALUE"""),"baby-arbitrum")</f>
        <v>baby-arbitrum</v>
      </c>
      <c r="B1143" s="4" t="str">
        <f>IFERROR(__xludf.DUMMYFUNCTION("""COMPUTED_VALUE"""),"barb")</f>
        <v>barb</v>
      </c>
      <c r="C1143" s="4" t="str">
        <f>IFERROR(__xludf.DUMMYFUNCTION("""COMPUTED_VALUE"""),"Baby Arbitrum")</f>
        <v>Baby Arbitrum</v>
      </c>
    </row>
    <row r="1144">
      <c r="A1144" s="4" t="str">
        <f>IFERROR(__xludf.DUMMYFUNCTION("""COMPUTED_VALUE"""),"baby-arof")</f>
        <v>baby-arof</v>
      </c>
      <c r="B1144" s="4" t="str">
        <f>IFERROR(__xludf.DUMMYFUNCTION("""COMPUTED_VALUE"""),"baby arof")</f>
        <v>baby arof</v>
      </c>
      <c r="C1144" s="4" t="str">
        <f>IFERROR(__xludf.DUMMYFUNCTION("""COMPUTED_VALUE"""),"BABY AROF")</f>
        <v>BABY AROF</v>
      </c>
    </row>
    <row r="1145">
      <c r="A1145" s="4" t="str">
        <f>IFERROR(__xludf.DUMMYFUNCTION("""COMPUTED_VALUE"""),"baby-bali")</f>
        <v>baby-bali</v>
      </c>
      <c r="B1145" s="4" t="str">
        <f>IFERROR(__xludf.DUMMYFUNCTION("""COMPUTED_VALUE"""),"bb")</f>
        <v>bb</v>
      </c>
      <c r="C1145" s="4" t="str">
        <f>IFERROR(__xludf.DUMMYFUNCTION("""COMPUTED_VALUE"""),"Baby Bali")</f>
        <v>Baby Bali</v>
      </c>
    </row>
    <row r="1146">
      <c r="A1146" s="4" t="str">
        <f>IFERROR(__xludf.DUMMYFUNCTION("""COMPUTED_VALUE"""),"babybnbtiger")</f>
        <v>babybnbtiger</v>
      </c>
      <c r="B1146" s="4" t="str">
        <f>IFERROR(__xludf.DUMMYFUNCTION("""COMPUTED_VALUE"""),"babybnbtig")</f>
        <v>babybnbtig</v>
      </c>
      <c r="C1146" s="4" t="str">
        <f>IFERROR(__xludf.DUMMYFUNCTION("""COMPUTED_VALUE"""),"BabyBNBTiger")</f>
        <v>BabyBNBTiger</v>
      </c>
    </row>
    <row r="1147">
      <c r="A1147" s="4" t="str">
        <f>IFERROR(__xludf.DUMMYFUNCTION("""COMPUTED_VALUE"""),"babybonk")</f>
        <v>babybonk</v>
      </c>
      <c r="B1147" s="4" t="str">
        <f>IFERROR(__xludf.DUMMYFUNCTION("""COMPUTED_VALUE"""),"babybonk")</f>
        <v>babybonk</v>
      </c>
      <c r="C1147" s="4" t="str">
        <f>IFERROR(__xludf.DUMMYFUNCTION("""COMPUTED_VALUE"""),"BabyBonk")</f>
        <v>BabyBonk</v>
      </c>
    </row>
    <row r="1148">
      <c r="A1148" s="4" t="str">
        <f>IFERROR(__xludf.DUMMYFUNCTION("""COMPUTED_VALUE"""),"babybonk-2")</f>
        <v>babybonk-2</v>
      </c>
      <c r="B1148" s="4" t="str">
        <f>IFERROR(__xludf.DUMMYFUNCTION("""COMPUTED_VALUE"""),"babybonk")</f>
        <v>babybonk</v>
      </c>
      <c r="C1148" s="4" t="str">
        <f>IFERROR(__xludf.DUMMYFUNCTION("""COMPUTED_VALUE"""),"BabyBonk")</f>
        <v>BabyBonk</v>
      </c>
    </row>
    <row r="1149">
      <c r="A1149" s="4" t="str">
        <f>IFERROR(__xludf.DUMMYFUNCTION("""COMPUTED_VALUE"""),"babyboo")</f>
        <v>babyboo</v>
      </c>
      <c r="B1149" s="4" t="str">
        <f>IFERROR(__xludf.DUMMYFUNCTION("""COMPUTED_VALUE"""),"babyboo")</f>
        <v>babyboo</v>
      </c>
      <c r="C1149" s="4" t="str">
        <f>IFERROR(__xludf.DUMMYFUNCTION("""COMPUTED_VALUE"""),"BabyBoo")</f>
        <v>BabyBoo</v>
      </c>
    </row>
    <row r="1150">
      <c r="A1150" s="4" t="str">
        <f>IFERROR(__xludf.DUMMYFUNCTION("""COMPUTED_VALUE"""),"baby-boo")</f>
        <v>baby-boo</v>
      </c>
      <c r="B1150" s="4" t="str">
        <f>IFERROR(__xludf.DUMMYFUNCTION("""COMPUTED_VALUE"""),"boo")</f>
        <v>boo</v>
      </c>
      <c r="C1150" s="4" t="str">
        <f>IFERROR(__xludf.DUMMYFUNCTION("""COMPUTED_VALUE"""),"Baby Boo")</f>
        <v>Baby Boo</v>
      </c>
    </row>
    <row r="1151">
      <c r="A1151" s="4" t="str">
        <f>IFERROR(__xludf.DUMMYFUNCTION("""COMPUTED_VALUE"""),"baby-brett")</f>
        <v>baby-brett</v>
      </c>
      <c r="B1151" s="4" t="str">
        <f>IFERROR(__xludf.DUMMYFUNCTION("""COMPUTED_VALUE"""),"babybrett")</f>
        <v>babybrett</v>
      </c>
      <c r="C1151" s="4" t="str">
        <f>IFERROR(__xludf.DUMMYFUNCTION("""COMPUTED_VALUE"""),"Baby Brett")</f>
        <v>Baby Brett</v>
      </c>
    </row>
    <row r="1152">
      <c r="A1152" s="4" t="str">
        <f>IFERROR(__xludf.DUMMYFUNCTION("""COMPUTED_VALUE"""),"babybtc-token")</f>
        <v>babybtc-token</v>
      </c>
      <c r="B1152" s="4" t="str">
        <f>IFERROR(__xludf.DUMMYFUNCTION("""COMPUTED_VALUE"""),"babybtc")</f>
        <v>babybtc</v>
      </c>
      <c r="C1152" s="4" t="str">
        <f>IFERROR(__xludf.DUMMYFUNCTION("""COMPUTED_VALUE"""),"BABYBTC TOKEN")</f>
        <v>BABYBTC TOKEN</v>
      </c>
    </row>
    <row r="1153">
      <c r="A1153" s="4" t="str">
        <f>IFERROR(__xludf.DUMMYFUNCTION("""COMPUTED_VALUE"""),"baby-cat")</f>
        <v>baby-cat</v>
      </c>
      <c r="B1153" s="4" t="str">
        <f>IFERROR(__xludf.DUMMYFUNCTION("""COMPUTED_VALUE"""),"babycat")</f>
        <v>babycat</v>
      </c>
      <c r="C1153" s="4" t="str">
        <f>IFERROR(__xludf.DUMMYFUNCTION("""COMPUTED_VALUE"""),"Baby Cat")</f>
        <v>Baby Cat</v>
      </c>
    </row>
    <row r="1154">
      <c r="A1154" s="4" t="str">
        <f>IFERROR(__xludf.DUMMYFUNCTION("""COMPUTED_VALUE"""),"baby-coq-inu")</f>
        <v>baby-coq-inu</v>
      </c>
      <c r="B1154" s="4" t="str">
        <f>IFERROR(__xludf.DUMMYFUNCTION("""COMPUTED_VALUE"""),"bcoq")</f>
        <v>bcoq</v>
      </c>
      <c r="C1154" s="4" t="str">
        <f>IFERROR(__xludf.DUMMYFUNCTION("""COMPUTED_VALUE"""),"Baby Coq Inu")</f>
        <v>Baby Coq Inu</v>
      </c>
    </row>
    <row r="1155">
      <c r="A1155" s="4" t="str">
        <f>IFERROR(__xludf.DUMMYFUNCTION("""COMPUTED_VALUE"""),"babydoge2-0")</f>
        <v>babydoge2-0</v>
      </c>
      <c r="B1155" s="4" t="str">
        <f>IFERROR(__xludf.DUMMYFUNCTION("""COMPUTED_VALUE"""),"babydoge2.0")</f>
        <v>babydoge2.0</v>
      </c>
      <c r="C1155" s="4" t="str">
        <f>IFERROR(__xludf.DUMMYFUNCTION("""COMPUTED_VALUE"""),"Babydoge2.0")</f>
        <v>Babydoge2.0</v>
      </c>
    </row>
    <row r="1156">
      <c r="A1156" s="4" t="str">
        <f>IFERROR(__xludf.DUMMYFUNCTION("""COMPUTED_VALUE"""),"babydogearmy")</f>
        <v>babydogearmy</v>
      </c>
      <c r="B1156" s="4" t="str">
        <f>IFERROR(__xludf.DUMMYFUNCTION("""COMPUTED_VALUE"""),"army")</f>
        <v>army</v>
      </c>
      <c r="C1156" s="4" t="str">
        <f>IFERROR(__xludf.DUMMYFUNCTION("""COMPUTED_VALUE"""),"BabyDogeARMY")</f>
        <v>BabyDogeARMY</v>
      </c>
    </row>
    <row r="1157">
      <c r="A1157" s="4" t="str">
        <f>IFERROR(__xludf.DUMMYFUNCTION("""COMPUTED_VALUE"""),"baby-doge-cash")</f>
        <v>baby-doge-cash</v>
      </c>
      <c r="B1157" s="4" t="str">
        <f>IFERROR(__xludf.DUMMYFUNCTION("""COMPUTED_VALUE"""),"babydogecash")</f>
        <v>babydogecash</v>
      </c>
      <c r="C1157" s="4" t="str">
        <f>IFERROR(__xludf.DUMMYFUNCTION("""COMPUTED_VALUE"""),"Baby Doge Cash")</f>
        <v>Baby Doge Cash</v>
      </c>
    </row>
    <row r="1158">
      <c r="A1158" s="4" t="str">
        <f>IFERROR(__xludf.DUMMYFUNCTION("""COMPUTED_VALUE"""),"baby-doge-ceo")</f>
        <v>baby-doge-ceo</v>
      </c>
      <c r="B1158" s="4" t="str">
        <f>IFERROR(__xludf.DUMMYFUNCTION("""COMPUTED_VALUE"""),"babyceo")</f>
        <v>babyceo</v>
      </c>
      <c r="C1158" s="4" t="str">
        <f>IFERROR(__xludf.DUMMYFUNCTION("""COMPUTED_VALUE"""),"Baby Doge CEO")</f>
        <v>Baby Doge CEO</v>
      </c>
    </row>
    <row r="1159">
      <c r="A1159" s="4" t="str">
        <f>IFERROR(__xludf.DUMMYFUNCTION("""COMPUTED_VALUE"""),"babydoge-ceo")</f>
        <v>babydoge-ceo</v>
      </c>
      <c r="B1159" s="4" t="str">
        <f>IFERROR(__xludf.DUMMYFUNCTION("""COMPUTED_VALUE"""),"bceo")</f>
        <v>bceo</v>
      </c>
      <c r="C1159" s="4" t="str">
        <f>IFERROR(__xludf.DUMMYFUNCTION("""COMPUTED_VALUE"""),"BabyDoge CEO")</f>
        <v>BabyDoge CEO</v>
      </c>
    </row>
    <row r="1160">
      <c r="A1160" s="4" t="str">
        <f>IFERROR(__xludf.DUMMYFUNCTION("""COMPUTED_VALUE"""),"baby-doge-coin")</f>
        <v>baby-doge-coin</v>
      </c>
      <c r="B1160" s="4" t="str">
        <f>IFERROR(__xludf.DUMMYFUNCTION("""COMPUTED_VALUE"""),"babydoge")</f>
        <v>babydoge</v>
      </c>
      <c r="C1160" s="4" t="str">
        <f>IFERROR(__xludf.DUMMYFUNCTION("""COMPUTED_VALUE"""),"Baby Doge Coin")</f>
        <v>Baby Doge Coin</v>
      </c>
    </row>
    <row r="1161">
      <c r="A1161" s="4" t="str">
        <f>IFERROR(__xludf.DUMMYFUNCTION("""COMPUTED_VALUE"""),"baby-doge-inu")</f>
        <v>baby-doge-inu</v>
      </c>
      <c r="B1161" s="4" t="str">
        <f>IFERROR(__xludf.DUMMYFUNCTION("""COMPUTED_VALUE"""),"$babydogeinu")</f>
        <v>$babydogeinu</v>
      </c>
      <c r="C1161" s="4" t="str">
        <f>IFERROR(__xludf.DUMMYFUNCTION("""COMPUTED_VALUE"""),"Baby Doge Inu")</f>
        <v>Baby Doge Inu</v>
      </c>
    </row>
    <row r="1162">
      <c r="A1162" s="4" t="str">
        <f>IFERROR(__xludf.DUMMYFUNCTION("""COMPUTED_VALUE"""),"babydogwifhat")</f>
        <v>babydogwifhat</v>
      </c>
      <c r="B1162" s="4" t="str">
        <f>IFERROR(__xludf.DUMMYFUNCTION("""COMPUTED_VALUE"""),"babywif")</f>
        <v>babywif</v>
      </c>
      <c r="C1162" s="4" t="str">
        <f>IFERROR(__xludf.DUMMYFUNCTION("""COMPUTED_VALUE"""),"babydogwifhat")</f>
        <v>babydogwifhat</v>
      </c>
    </row>
    <row r="1163">
      <c r="A1163" s="4" t="str">
        <f>IFERROR(__xludf.DUMMYFUNCTION("""COMPUTED_VALUE"""),"babydojo")</f>
        <v>babydojo</v>
      </c>
      <c r="B1163" s="4" t="str">
        <f>IFERROR(__xludf.DUMMYFUNCTION("""COMPUTED_VALUE"""),"babydojo")</f>
        <v>babydojo</v>
      </c>
      <c r="C1163" s="4" t="str">
        <f>IFERROR(__xludf.DUMMYFUNCTION("""COMPUTED_VALUE"""),"BabyDojo")</f>
        <v>BabyDojo</v>
      </c>
    </row>
    <row r="1164">
      <c r="A1164" s="4" t="str">
        <f>IFERROR(__xludf.DUMMYFUNCTION("""COMPUTED_VALUE"""),"baby-dragon")</f>
        <v>baby-dragon</v>
      </c>
      <c r="B1164" s="4" t="str">
        <f>IFERROR(__xludf.DUMMYFUNCTION("""COMPUTED_VALUE"""),"babydragon")</f>
        <v>babydragon</v>
      </c>
      <c r="C1164" s="4" t="str">
        <f>IFERROR(__xludf.DUMMYFUNCTION("""COMPUTED_VALUE"""),"Baby Dragon")</f>
        <v>Baby Dragon</v>
      </c>
    </row>
    <row r="1165">
      <c r="A1165" s="4" t="str">
        <f>IFERROR(__xludf.DUMMYFUNCTION("""COMPUTED_VALUE"""),"baby-dragon-2")</f>
        <v>baby-dragon-2</v>
      </c>
      <c r="B1165" s="4" t="str">
        <f>IFERROR(__xludf.DUMMYFUNCTION("""COMPUTED_VALUE"""),"babydragon")</f>
        <v>babydragon</v>
      </c>
      <c r="C1165" s="4" t="str">
        <f>IFERROR(__xludf.DUMMYFUNCTION("""COMPUTED_VALUE"""),"Baby Dragon")</f>
        <v>Baby Dragon</v>
      </c>
    </row>
    <row r="1166">
      <c r="A1166" s="4" t="str">
        <f>IFERROR(__xludf.DUMMYFUNCTION("""COMPUTED_VALUE"""),"baby-elon")</f>
        <v>baby-elon</v>
      </c>
      <c r="B1166" s="4" t="str">
        <f>IFERROR(__xludf.DUMMYFUNCTION("""COMPUTED_VALUE"""),"babyelon")</f>
        <v>babyelon</v>
      </c>
      <c r="C1166" s="4" t="str">
        <f>IFERROR(__xludf.DUMMYFUNCTION("""COMPUTED_VALUE"""),"Baby Elon")</f>
        <v>Baby Elon</v>
      </c>
    </row>
    <row r="1167">
      <c r="A1167" s="4" t="str">
        <f>IFERROR(__xludf.DUMMYFUNCTION("""COMPUTED_VALUE"""),"babyfloki")</f>
        <v>babyfloki</v>
      </c>
      <c r="B1167" s="4" t="str">
        <f>IFERROR(__xludf.DUMMYFUNCTION("""COMPUTED_VALUE"""),"babyfloki")</f>
        <v>babyfloki</v>
      </c>
      <c r="C1167" s="4" t="str">
        <f>IFERROR(__xludf.DUMMYFUNCTION("""COMPUTED_VALUE"""),"BabyFloki")</f>
        <v>BabyFloki</v>
      </c>
    </row>
    <row r="1168">
      <c r="A1168" s="4" t="str">
        <f>IFERROR(__xludf.DUMMYFUNCTION("""COMPUTED_VALUE"""),"baby-floki")</f>
        <v>baby-floki</v>
      </c>
      <c r="B1168" s="4" t="str">
        <f>IFERROR(__xludf.DUMMYFUNCTION("""COMPUTED_VALUE"""),"babyfloki")</f>
        <v>babyfloki</v>
      </c>
      <c r="C1168" s="4" t="str">
        <f>IFERROR(__xludf.DUMMYFUNCTION("""COMPUTED_VALUE"""),"Baby Floki")</f>
        <v>Baby Floki</v>
      </c>
    </row>
    <row r="1169">
      <c r="A1169" s="4" t="str">
        <f>IFERROR(__xludf.DUMMYFUNCTION("""COMPUTED_VALUE"""),"baby-floki-coin")</f>
        <v>baby-floki-coin</v>
      </c>
      <c r="B1169" s="4" t="str">
        <f>IFERROR(__xludf.DUMMYFUNCTION("""COMPUTED_VALUE"""),"babyflokicoin")</f>
        <v>babyflokicoin</v>
      </c>
      <c r="C1169" s="4" t="str">
        <f>IFERROR(__xludf.DUMMYFUNCTION("""COMPUTED_VALUE"""),"Baby Floki Coin")</f>
        <v>Baby Floki Coin</v>
      </c>
    </row>
    <row r="1170">
      <c r="A1170" s="4" t="str">
        <f>IFERROR(__xludf.DUMMYFUNCTION("""COMPUTED_VALUE"""),"baby-floki-inu")</f>
        <v>baby-floki-inu</v>
      </c>
      <c r="B1170" s="4" t="str">
        <f>IFERROR(__xludf.DUMMYFUNCTION("""COMPUTED_VALUE"""),"bfloki")</f>
        <v>bfloki</v>
      </c>
      <c r="C1170" s="4" t="str">
        <f>IFERROR(__xludf.DUMMYFUNCTION("""COMPUTED_VALUE"""),"Baby Floki Inu")</f>
        <v>Baby Floki Inu</v>
      </c>
    </row>
    <row r="1171">
      <c r="A1171" s="4" t="str">
        <f>IFERROR(__xludf.DUMMYFUNCTION("""COMPUTED_VALUE"""),"baby-g")</f>
        <v>baby-g</v>
      </c>
      <c r="B1171" s="4" t="str">
        <f>IFERROR(__xludf.DUMMYFUNCTION("""COMPUTED_VALUE"""),"babyg")</f>
        <v>babyg</v>
      </c>
      <c r="C1171" s="4" t="str">
        <f>IFERROR(__xludf.DUMMYFUNCTION("""COMPUTED_VALUE"""),"Baby G")</f>
        <v>Baby G</v>
      </c>
    </row>
    <row r="1172">
      <c r="A1172" s="4" t="str">
        <f>IFERROR(__xludf.DUMMYFUNCTION("""COMPUTED_VALUE"""),"baby-gemini")</f>
        <v>baby-gemini</v>
      </c>
      <c r="B1172" s="4" t="str">
        <f>IFERROR(__xludf.DUMMYFUNCTION("""COMPUTED_VALUE"""),"babygemini")</f>
        <v>babygemini</v>
      </c>
      <c r="C1172" s="4" t="str">
        <f>IFERROR(__xludf.DUMMYFUNCTION("""COMPUTED_VALUE"""),"Baby Gemini")</f>
        <v>Baby Gemini</v>
      </c>
    </row>
    <row r="1173">
      <c r="A1173" s="4" t="str">
        <f>IFERROR(__xludf.DUMMYFUNCTION("""COMPUTED_VALUE"""),"baby-grok")</f>
        <v>baby-grok</v>
      </c>
      <c r="B1173" s="4" t="str">
        <f>IFERROR(__xludf.DUMMYFUNCTION("""COMPUTED_VALUE"""),"babygrok")</f>
        <v>babygrok</v>
      </c>
      <c r="C1173" s="4" t="str">
        <f>IFERROR(__xludf.DUMMYFUNCTION("""COMPUTED_VALUE"""),"Baby Grok")</f>
        <v>Baby Grok</v>
      </c>
    </row>
    <row r="1174">
      <c r="A1174" s="4" t="str">
        <f>IFERROR(__xludf.DUMMYFUNCTION("""COMPUTED_VALUE"""),"baby-grok-2")</f>
        <v>baby-grok-2</v>
      </c>
      <c r="B1174" s="4" t="str">
        <f>IFERROR(__xludf.DUMMYFUNCTION("""COMPUTED_VALUE"""),"brok")</f>
        <v>brok</v>
      </c>
      <c r="C1174" s="4" t="str">
        <f>IFERROR(__xludf.DUMMYFUNCTION("""COMPUTED_VALUE"""),"Baby GROK")</f>
        <v>Baby GROK</v>
      </c>
    </row>
    <row r="1175">
      <c r="A1175" s="4" t="str">
        <f>IFERROR(__xludf.DUMMYFUNCTION("""COMPUTED_VALUE"""),"baby-grok-3")</f>
        <v>baby-grok-3</v>
      </c>
      <c r="B1175" s="4" t="str">
        <f>IFERROR(__xludf.DUMMYFUNCTION("""COMPUTED_VALUE"""),"babygrok")</f>
        <v>babygrok</v>
      </c>
      <c r="C1175" s="4" t="str">
        <f>IFERROR(__xludf.DUMMYFUNCTION("""COMPUTED_VALUE"""),"Baby Grok")</f>
        <v>Baby Grok</v>
      </c>
    </row>
    <row r="1176">
      <c r="A1176" s="4" t="str">
        <f>IFERROR(__xludf.DUMMYFUNCTION("""COMPUTED_VALUE"""),"babygrokceo")</f>
        <v>babygrokceo</v>
      </c>
      <c r="B1176" s="4" t="str">
        <f>IFERROR(__xludf.DUMMYFUNCTION("""COMPUTED_VALUE"""),"babygrokce")</f>
        <v>babygrokce</v>
      </c>
      <c r="C1176" s="4" t="str">
        <f>IFERROR(__xludf.DUMMYFUNCTION("""COMPUTED_VALUE"""),"BabyGrokCEO")</f>
        <v>BabyGrokCEO</v>
      </c>
    </row>
    <row r="1177">
      <c r="A1177" s="4" t="str">
        <f>IFERROR(__xludf.DUMMYFUNCTION("""COMPUTED_VALUE"""),"babygrok-x")</f>
        <v>babygrok-x</v>
      </c>
      <c r="B1177" s="4" t="str">
        <f>IFERROR(__xludf.DUMMYFUNCTION("""COMPUTED_VALUE"""),"babygrok x")</f>
        <v>babygrok x</v>
      </c>
      <c r="C1177" s="4" t="str">
        <f>IFERROR(__xludf.DUMMYFUNCTION("""COMPUTED_VALUE"""),"BabyGrok X")</f>
        <v>BabyGrok X</v>
      </c>
    </row>
    <row r="1178">
      <c r="A1178" s="4" t="str">
        <f>IFERROR(__xludf.DUMMYFUNCTION("""COMPUTED_VALUE"""),"babykitty")</f>
        <v>babykitty</v>
      </c>
      <c r="B1178" s="4" t="str">
        <f>IFERROR(__xludf.DUMMYFUNCTION("""COMPUTED_VALUE"""),"babykitty")</f>
        <v>babykitty</v>
      </c>
      <c r="C1178" s="4" t="str">
        <f>IFERROR(__xludf.DUMMYFUNCTION("""COMPUTED_VALUE"""),"BabyKitty")</f>
        <v>BabyKitty</v>
      </c>
    </row>
    <row r="1179">
      <c r="A1179" s="4" t="str">
        <f>IFERROR(__xludf.DUMMYFUNCTION("""COMPUTED_VALUE"""),"baby-lambo-inu")</f>
        <v>baby-lambo-inu</v>
      </c>
      <c r="B1179" s="4" t="str">
        <f>IFERROR(__xludf.DUMMYFUNCTION("""COMPUTED_VALUE"""),"blinu")</f>
        <v>blinu</v>
      </c>
      <c r="C1179" s="4" t="str">
        <f>IFERROR(__xludf.DUMMYFUNCTION("""COMPUTED_VALUE"""),"Baby Lambo Inu")</f>
        <v>Baby Lambo Inu</v>
      </c>
    </row>
    <row r="1180">
      <c r="A1180" s="4" t="str">
        <f>IFERROR(__xludf.DUMMYFUNCTION("""COMPUTED_VALUE"""),"babylong")</f>
        <v>babylong</v>
      </c>
      <c r="B1180" s="4" t="str">
        <f>IFERROR(__xludf.DUMMYFUNCTION("""COMPUTED_VALUE"""),"$babylong")</f>
        <v>$babylong</v>
      </c>
      <c r="C1180" s="4" t="str">
        <f>IFERROR(__xludf.DUMMYFUNCTION("""COMPUTED_VALUE"""),"BABYLONG")</f>
        <v>BABYLONG</v>
      </c>
    </row>
    <row r="1181">
      <c r="A1181" s="4" t="str">
        <f>IFERROR(__xludf.DUMMYFUNCTION("""COMPUTED_VALUE"""),"baby-long")</f>
        <v>baby-long</v>
      </c>
      <c r="B1181" s="4" t="str">
        <f>IFERROR(__xludf.DUMMYFUNCTION("""COMPUTED_VALUE"""),"babylong")</f>
        <v>babylong</v>
      </c>
      <c r="C1181" s="4" t="str">
        <f>IFERROR(__xludf.DUMMYFUNCTION("""COMPUTED_VALUE"""),"Baby Long")</f>
        <v>Baby Long</v>
      </c>
    </row>
    <row r="1182">
      <c r="A1182" s="4" t="str">
        <f>IFERROR(__xludf.DUMMYFUNCTION("""COMPUTED_VALUE"""),"babylons")</f>
        <v>babylons</v>
      </c>
      <c r="B1182" s="4" t="str">
        <f>IFERROR(__xludf.DUMMYFUNCTION("""COMPUTED_VALUE"""),"babi")</f>
        <v>babi</v>
      </c>
      <c r="C1182" s="4" t="str">
        <f>IFERROR(__xludf.DUMMYFUNCTION("""COMPUTED_VALUE"""),"Babylons")</f>
        <v>Babylons</v>
      </c>
    </row>
    <row r="1183">
      <c r="A1183" s="4" t="str">
        <f>IFERROR(__xludf.DUMMYFUNCTION("""COMPUTED_VALUE"""),"baby-lovely-inu")</f>
        <v>baby-lovely-inu</v>
      </c>
      <c r="B1183" s="4" t="str">
        <f>IFERROR(__xludf.DUMMYFUNCTION("""COMPUTED_VALUE"""),"blovely")</f>
        <v>blovely</v>
      </c>
      <c r="C1183" s="4" t="str">
        <f>IFERROR(__xludf.DUMMYFUNCTION("""COMPUTED_VALUE"""),"Baby Lovely Inu")</f>
        <v>Baby Lovely Inu</v>
      </c>
    </row>
    <row r="1184">
      <c r="A1184" s="4" t="str">
        <f>IFERROR(__xludf.DUMMYFUNCTION("""COMPUTED_VALUE"""),"baby-luffy")</f>
        <v>baby-luffy</v>
      </c>
      <c r="B1184" s="4" t="str">
        <f>IFERROR(__xludf.DUMMYFUNCTION("""COMPUTED_VALUE"""),"blf")</f>
        <v>blf</v>
      </c>
      <c r="C1184" s="4" t="str">
        <f>IFERROR(__xludf.DUMMYFUNCTION("""COMPUTED_VALUE"""),"Baby Luffy")</f>
        <v>Baby Luffy</v>
      </c>
    </row>
    <row r="1185">
      <c r="A1185" s="4" t="str">
        <f>IFERROR(__xludf.DUMMYFUNCTION("""COMPUTED_VALUE"""),"baby-memecoin")</f>
        <v>baby-memecoin</v>
      </c>
      <c r="B1185" s="4" t="str">
        <f>IFERROR(__xludf.DUMMYFUNCTION("""COMPUTED_VALUE"""),"babymeme")</f>
        <v>babymeme</v>
      </c>
      <c r="C1185" s="4" t="str">
        <f>IFERROR(__xludf.DUMMYFUNCTION("""COMPUTED_VALUE"""),"Baby Memecoin")</f>
        <v>Baby Memecoin</v>
      </c>
    </row>
    <row r="1186">
      <c r="A1186" s="4" t="str">
        <f>IFERROR(__xludf.DUMMYFUNCTION("""COMPUTED_VALUE"""),"baby-meme-coin")</f>
        <v>baby-meme-coin</v>
      </c>
      <c r="B1186" s="4" t="str">
        <f>IFERROR(__xludf.DUMMYFUNCTION("""COMPUTED_VALUE"""),"babymeme")</f>
        <v>babymeme</v>
      </c>
      <c r="C1186" s="4" t="str">
        <f>IFERROR(__xludf.DUMMYFUNCTION("""COMPUTED_VALUE"""),"Baby Meme Coin")</f>
        <v>Baby Meme Coin</v>
      </c>
    </row>
    <row r="1187">
      <c r="A1187" s="4" t="str">
        <f>IFERROR(__xludf.DUMMYFUNCTION("""COMPUTED_VALUE"""),"baby-musk")</f>
        <v>baby-musk</v>
      </c>
      <c r="B1187" s="4" t="str">
        <f>IFERROR(__xludf.DUMMYFUNCTION("""COMPUTED_VALUE"""),"babymusk")</f>
        <v>babymusk</v>
      </c>
      <c r="C1187" s="4" t="str">
        <f>IFERROR(__xludf.DUMMYFUNCTION("""COMPUTED_VALUE"""),"Baby Musk")</f>
        <v>Baby Musk</v>
      </c>
    </row>
    <row r="1188">
      <c r="A1188" s="4" t="str">
        <f>IFERROR(__xludf.DUMMYFUNCTION("""COMPUTED_VALUE"""),"baby-musk-2")</f>
        <v>baby-musk-2</v>
      </c>
      <c r="B1188" s="4" t="str">
        <f>IFERROR(__xludf.DUMMYFUNCTION("""COMPUTED_VALUE"""),"babymusk")</f>
        <v>babymusk</v>
      </c>
      <c r="C1188" s="4" t="str">
        <f>IFERROR(__xludf.DUMMYFUNCTION("""COMPUTED_VALUE"""),"Baby Musk")</f>
        <v>Baby Musk</v>
      </c>
    </row>
    <row r="1189">
      <c r="A1189" s="4" t="str">
        <f>IFERROR(__xludf.DUMMYFUNCTION("""COMPUTED_VALUE"""),"babymyro")</f>
        <v>babymyro</v>
      </c>
      <c r="B1189" s="4" t="str">
        <f>IFERROR(__xludf.DUMMYFUNCTION("""COMPUTED_VALUE"""),"babymyro")</f>
        <v>babymyro</v>
      </c>
      <c r="C1189" s="4" t="str">
        <f>IFERROR(__xludf.DUMMYFUNCTION("""COMPUTED_VALUE"""),"Babymyro")</f>
        <v>Babymyro</v>
      </c>
    </row>
    <row r="1190">
      <c r="A1190" s="4" t="str">
        <f>IFERROR(__xludf.DUMMYFUNCTION("""COMPUTED_VALUE"""),"baby-myro")</f>
        <v>baby-myro</v>
      </c>
      <c r="B1190" s="4" t="str">
        <f>IFERROR(__xludf.DUMMYFUNCTION("""COMPUTED_VALUE"""),"babymyro")</f>
        <v>babymyro</v>
      </c>
      <c r="C1190" s="4" t="str">
        <f>IFERROR(__xludf.DUMMYFUNCTION("""COMPUTED_VALUE"""),"Baby Myro")</f>
        <v>Baby Myro</v>
      </c>
    </row>
    <row r="1191">
      <c r="A1191" s="4" t="str">
        <f>IFERROR(__xludf.DUMMYFUNCTION("""COMPUTED_VALUE"""),"babymyro-2")</f>
        <v>babymyro-2</v>
      </c>
      <c r="B1191" s="4" t="str">
        <f>IFERROR(__xludf.DUMMYFUNCTION("""COMPUTED_VALUE"""),"babymyro")</f>
        <v>babymyro</v>
      </c>
      <c r="C1191" s="4" t="str">
        <f>IFERROR(__xludf.DUMMYFUNCTION("""COMPUTED_VALUE"""),"BabyMyro")</f>
        <v>BabyMyro</v>
      </c>
    </row>
    <row r="1192">
      <c r="A1192" s="4" t="str">
        <f>IFERROR(__xludf.DUMMYFUNCTION("""COMPUTED_VALUE"""),"babypandora")</f>
        <v>babypandora</v>
      </c>
      <c r="B1192" s="4" t="str">
        <f>IFERROR(__xludf.DUMMYFUNCTION("""COMPUTED_VALUE"""),"babypandor")</f>
        <v>babypandor</v>
      </c>
      <c r="C1192" s="4" t="str">
        <f>IFERROR(__xludf.DUMMYFUNCTION("""COMPUTED_VALUE"""),"BabyPandora")</f>
        <v>BabyPandora</v>
      </c>
    </row>
    <row r="1193">
      <c r="A1193" s="4" t="str">
        <f>IFERROR(__xludf.DUMMYFUNCTION("""COMPUTED_VALUE"""),"babypepe")</f>
        <v>babypepe</v>
      </c>
      <c r="B1193" s="4" t="str">
        <f>IFERROR(__xludf.DUMMYFUNCTION("""COMPUTED_VALUE"""),"babypepe")</f>
        <v>babypepe</v>
      </c>
      <c r="C1193" s="4" t="str">
        <f>IFERROR(__xludf.DUMMYFUNCTION("""COMPUTED_VALUE"""),"BabyPepe")</f>
        <v>BabyPepe</v>
      </c>
    </row>
    <row r="1194">
      <c r="A1194" s="4" t="str">
        <f>IFERROR(__xludf.DUMMYFUNCTION("""COMPUTED_VALUE"""),"baby-pepe")</f>
        <v>baby-pepe</v>
      </c>
      <c r="B1194" s="4" t="str">
        <f>IFERROR(__xludf.DUMMYFUNCTION("""COMPUTED_VALUE"""),"baby pepe")</f>
        <v>baby pepe</v>
      </c>
      <c r="C1194" s="4" t="str">
        <f>IFERROR(__xludf.DUMMYFUNCTION("""COMPUTED_VALUE"""),"Baby Pepe")</f>
        <v>Baby Pepe</v>
      </c>
    </row>
    <row r="1195">
      <c r="A1195" s="4" t="str">
        <f>IFERROR(__xludf.DUMMYFUNCTION("""COMPUTED_VALUE"""),"baby-pepe-2")</f>
        <v>baby-pepe-2</v>
      </c>
      <c r="B1195" s="4" t="str">
        <f>IFERROR(__xludf.DUMMYFUNCTION("""COMPUTED_VALUE"""),"babypepe")</f>
        <v>babypepe</v>
      </c>
      <c r="C1195" s="4" t="str">
        <f>IFERROR(__xludf.DUMMYFUNCTION("""COMPUTED_VALUE"""),"Baby Pepe")</f>
        <v>Baby Pepe</v>
      </c>
    </row>
    <row r="1196">
      <c r="A1196" s="4" t="str">
        <f>IFERROR(__xludf.DUMMYFUNCTION("""COMPUTED_VALUE"""),"babypepe-2")</f>
        <v>babypepe-2</v>
      </c>
      <c r="B1196" s="4" t="str">
        <f>IFERROR(__xludf.DUMMYFUNCTION("""COMPUTED_VALUE"""),"babypepe")</f>
        <v>babypepe</v>
      </c>
      <c r="C1196" s="4" t="str">
        <f>IFERROR(__xludf.DUMMYFUNCTION("""COMPUTED_VALUE"""),"Babypepe")</f>
        <v>Babypepe</v>
      </c>
    </row>
    <row r="1197">
      <c r="A1197" s="4" t="str">
        <f>IFERROR(__xludf.DUMMYFUNCTION("""COMPUTED_VALUE"""),"baby-pepe-erc20")</f>
        <v>baby-pepe-erc20</v>
      </c>
      <c r="B1197" s="4" t="str">
        <f>IFERROR(__xludf.DUMMYFUNCTION("""COMPUTED_VALUE"""),"babypepe")</f>
        <v>babypepe</v>
      </c>
      <c r="C1197" s="4" t="str">
        <f>IFERROR(__xludf.DUMMYFUNCTION("""COMPUTED_VALUE"""),"Baby Pepe")</f>
        <v>Baby Pepe</v>
      </c>
    </row>
    <row r="1198">
      <c r="A1198" s="4" t="str">
        <f>IFERROR(__xludf.DUMMYFUNCTION("""COMPUTED_VALUE"""),"babypepefi")</f>
        <v>babypepefi</v>
      </c>
      <c r="B1198" s="4" t="str">
        <f>IFERROR(__xludf.DUMMYFUNCTION("""COMPUTED_VALUE"""),"babypepe")</f>
        <v>babypepe</v>
      </c>
      <c r="C1198" s="4" t="str">
        <f>IFERROR(__xludf.DUMMYFUNCTION("""COMPUTED_VALUE"""),"Babypepefi")</f>
        <v>Babypepefi</v>
      </c>
    </row>
    <row r="1199">
      <c r="A1199" s="4" t="str">
        <f>IFERROR(__xludf.DUMMYFUNCTION("""COMPUTED_VALUE"""),"baby-pepe-fork")</f>
        <v>baby-pepe-fork</v>
      </c>
      <c r="B1199" s="4" t="str">
        <f>IFERROR(__xludf.DUMMYFUNCTION("""COMPUTED_VALUE"""),"babypork")</f>
        <v>babypork</v>
      </c>
      <c r="C1199" s="4" t="str">
        <f>IFERROR(__xludf.DUMMYFUNCTION("""COMPUTED_VALUE"""),"Baby Pepe Fork")</f>
        <v>Baby Pepe Fork</v>
      </c>
    </row>
    <row r="1200">
      <c r="A1200" s="4" t="str">
        <f>IFERROR(__xludf.DUMMYFUNCTION("""COMPUTED_VALUE"""),"babyrabbit")</f>
        <v>babyrabbit</v>
      </c>
      <c r="B1200" s="4" t="str">
        <f>IFERROR(__xludf.DUMMYFUNCTION("""COMPUTED_VALUE"""),"babyrabbit")</f>
        <v>babyrabbit</v>
      </c>
      <c r="C1200" s="4" t="str">
        <f>IFERROR(__xludf.DUMMYFUNCTION("""COMPUTED_VALUE"""),"Babyrabbit")</f>
        <v>Babyrabbit</v>
      </c>
    </row>
    <row r="1201">
      <c r="A1201" s="4" t="str">
        <f>IFERROR(__xludf.DUMMYFUNCTION("""COMPUTED_VALUE"""),"baby-rats")</f>
        <v>baby-rats</v>
      </c>
      <c r="B1201" s="4" t="str">
        <f>IFERROR(__xludf.DUMMYFUNCTION("""COMPUTED_VALUE"""),"babyrats")</f>
        <v>babyrats</v>
      </c>
      <c r="C1201" s="4" t="str">
        <f>IFERROR(__xludf.DUMMYFUNCTION("""COMPUTED_VALUE"""),"Baby Rats")</f>
        <v>Baby Rats</v>
      </c>
    </row>
    <row r="1202">
      <c r="A1202" s="4" t="str">
        <f>IFERROR(__xludf.DUMMYFUNCTION("""COMPUTED_VALUE"""),"baby-richard-heart")</f>
        <v>baby-richard-heart</v>
      </c>
      <c r="B1202" s="4" t="str">
        <f>IFERROR(__xludf.DUMMYFUNCTION("""COMPUTED_VALUE"""),"$brich")</f>
        <v>$brich</v>
      </c>
      <c r="C1202" s="4" t="str">
        <f>IFERROR(__xludf.DUMMYFUNCTION("""COMPUTED_VALUE"""),"Baby Richard Heart")</f>
        <v>Baby Richard Heart</v>
      </c>
    </row>
    <row r="1203">
      <c r="A1203" s="4" t="str">
        <f>IFERROR(__xludf.DUMMYFUNCTION("""COMPUTED_VALUE"""),"babyrwa")</f>
        <v>babyrwa</v>
      </c>
      <c r="B1203" s="4" t="str">
        <f>IFERROR(__xludf.DUMMYFUNCTION("""COMPUTED_VALUE"""),"babyrwa")</f>
        <v>babyrwa</v>
      </c>
      <c r="C1203" s="4" t="str">
        <f>IFERROR(__xludf.DUMMYFUNCTION("""COMPUTED_VALUE"""),"BabyRWA")</f>
        <v>BabyRWA</v>
      </c>
    </row>
    <row r="1204">
      <c r="A1204" s="4" t="str">
        <f>IFERROR(__xludf.DUMMYFUNCTION("""COMPUTED_VALUE"""),"baby-samo-coin")</f>
        <v>baby-samo-coin</v>
      </c>
      <c r="B1204" s="4" t="str">
        <f>IFERROR(__xludf.DUMMYFUNCTION("""COMPUTED_VALUE"""),"baby")</f>
        <v>baby</v>
      </c>
      <c r="C1204" s="4" t="str">
        <f>IFERROR(__xludf.DUMMYFUNCTION("""COMPUTED_VALUE"""),"Baby Samo Coin")</f>
        <v>Baby Samo Coin</v>
      </c>
    </row>
    <row r="1205">
      <c r="A1205" s="4" t="str">
        <f>IFERROR(__xludf.DUMMYFUNCTION("""COMPUTED_VALUE"""),"baby-shark")</f>
        <v>baby-shark</v>
      </c>
      <c r="B1205" s="4" t="str">
        <f>IFERROR(__xludf.DUMMYFUNCTION("""COMPUTED_VALUE"""),"shark")</f>
        <v>shark</v>
      </c>
      <c r="C1205" s="4" t="str">
        <f>IFERROR(__xludf.DUMMYFUNCTION("""COMPUTED_VALUE"""),"Baby Shark")</f>
        <v>Baby Shark</v>
      </c>
    </row>
    <row r="1206">
      <c r="A1206" s="4" t="str">
        <f>IFERROR(__xludf.DUMMYFUNCTION("""COMPUTED_VALUE"""),"baby-shark-2")</f>
        <v>baby-shark-2</v>
      </c>
      <c r="B1206" s="4" t="str">
        <f>IFERROR(__xludf.DUMMYFUNCTION("""COMPUTED_VALUE"""),"babyshark")</f>
        <v>babyshark</v>
      </c>
      <c r="C1206" s="4" t="str">
        <f>IFERROR(__xludf.DUMMYFUNCTION("""COMPUTED_VALUE"""),"Baby Shark")</f>
        <v>Baby Shark</v>
      </c>
    </row>
    <row r="1207">
      <c r="A1207" s="4" t="str">
        <f>IFERROR(__xludf.DUMMYFUNCTION("""COMPUTED_VALUE"""),"baby-shark-tank")</f>
        <v>baby-shark-tank</v>
      </c>
      <c r="B1207" s="4" t="str">
        <f>IFERROR(__xludf.DUMMYFUNCTION("""COMPUTED_VALUE"""),"bashtank")</f>
        <v>bashtank</v>
      </c>
      <c r="C1207" s="4" t="str">
        <f>IFERROR(__xludf.DUMMYFUNCTION("""COMPUTED_VALUE"""),"Baby Shark Tank")</f>
        <v>Baby Shark Tank</v>
      </c>
    </row>
    <row r="1208">
      <c r="A1208" s="4" t="str">
        <f>IFERROR(__xludf.DUMMYFUNCTION("""COMPUTED_VALUE"""),"babyshiba")</f>
        <v>babyshiba</v>
      </c>
      <c r="B1208" s="4" t="str">
        <f>IFERROR(__xludf.DUMMYFUNCTION("""COMPUTED_VALUE"""),"baby shiba")</f>
        <v>baby shiba</v>
      </c>
      <c r="C1208" s="4" t="str">
        <f>IFERROR(__xludf.DUMMYFUNCTION("""COMPUTED_VALUE"""),"BabyShiba")</f>
        <v>BabyShiba</v>
      </c>
    </row>
    <row r="1209">
      <c r="A1209" s="4" t="str">
        <f>IFERROR(__xludf.DUMMYFUNCTION("""COMPUTED_VALUE"""),"baby-shiba-inu")</f>
        <v>baby-shiba-inu</v>
      </c>
      <c r="B1209" s="4" t="str">
        <f>IFERROR(__xludf.DUMMYFUNCTION("""COMPUTED_VALUE"""),"babyshibainu")</f>
        <v>babyshibainu</v>
      </c>
      <c r="C1209" s="4" t="str">
        <f>IFERROR(__xludf.DUMMYFUNCTION("""COMPUTED_VALUE"""),"Baby Shiba Inu")</f>
        <v>Baby Shiba Inu</v>
      </c>
    </row>
    <row r="1210">
      <c r="A1210" s="4" t="str">
        <f>IFERROR(__xludf.DUMMYFUNCTION("""COMPUTED_VALUE"""),"baby-shiba-inu-erc")</f>
        <v>baby-shiba-inu-erc</v>
      </c>
      <c r="B1210" s="4" t="str">
        <f>IFERROR(__xludf.DUMMYFUNCTION("""COMPUTED_VALUE"""),"babyshib")</f>
        <v>babyshib</v>
      </c>
      <c r="C1210" s="4" t="str">
        <f>IFERROR(__xludf.DUMMYFUNCTION("""COMPUTED_VALUE"""),"Baby Shiba Inu")</f>
        <v>Baby Shiba Inu</v>
      </c>
    </row>
    <row r="1211">
      <c r="A1211" s="4" t="str">
        <f>IFERROR(__xludf.DUMMYFUNCTION("""COMPUTED_VALUE"""),"babysmurf9000")</f>
        <v>babysmurf9000</v>
      </c>
      <c r="B1211" s="4" t="str">
        <f>IFERROR(__xludf.DUMMYFUNCTION("""COMPUTED_VALUE"""),"bs9000")</f>
        <v>bs9000</v>
      </c>
      <c r="C1211" s="4" t="str">
        <f>IFERROR(__xludf.DUMMYFUNCTION("""COMPUTED_VALUE"""),"BabySmurf9000")</f>
        <v>BabySmurf9000</v>
      </c>
    </row>
    <row r="1212">
      <c r="A1212" s="4" t="str">
        <f>IFERROR(__xludf.DUMMYFUNCTION("""COMPUTED_VALUE"""),"babysnek")</f>
        <v>babysnek</v>
      </c>
      <c r="B1212" s="4" t="str">
        <f>IFERROR(__xludf.DUMMYFUNCTION("""COMPUTED_VALUE"""),"babysnek")</f>
        <v>babysnek</v>
      </c>
      <c r="C1212" s="4" t="str">
        <f>IFERROR(__xludf.DUMMYFUNCTION("""COMPUTED_VALUE"""),"BabySNEK")</f>
        <v>BabySNEK</v>
      </c>
    </row>
    <row r="1213">
      <c r="A1213" s="4" t="str">
        <f>IFERROR(__xludf.DUMMYFUNCTION("""COMPUTED_VALUE"""),"babysol")</f>
        <v>babysol</v>
      </c>
      <c r="B1213" s="4" t="str">
        <f>IFERROR(__xludf.DUMMYFUNCTION("""COMPUTED_VALUE"""),"babysol")</f>
        <v>babysol</v>
      </c>
      <c r="C1213" s="4" t="str">
        <f>IFERROR(__xludf.DUMMYFUNCTION("""COMPUTED_VALUE"""),"BabySOL")</f>
        <v>BabySOL</v>
      </c>
    </row>
    <row r="1214">
      <c r="A1214" s="4" t="str">
        <f>IFERROR(__xludf.DUMMYFUNCTION("""COMPUTED_VALUE"""),"baby-sora")</f>
        <v>baby-sora</v>
      </c>
      <c r="B1214" s="4" t="str">
        <f>IFERROR(__xludf.DUMMYFUNCTION("""COMPUTED_VALUE"""),"babysora")</f>
        <v>babysora</v>
      </c>
      <c r="C1214" s="4" t="str">
        <f>IFERROR(__xludf.DUMMYFUNCTION("""COMPUTED_VALUE"""),"Baby Sora")</f>
        <v>Baby Sora</v>
      </c>
    </row>
    <row r="1215">
      <c r="A1215" s="4" t="str">
        <f>IFERROR(__xludf.DUMMYFUNCTION("""COMPUTED_VALUE"""),"baby-squid-game")</f>
        <v>baby-squid-game</v>
      </c>
      <c r="B1215" s="4" t="str">
        <f>IFERROR(__xludf.DUMMYFUNCTION("""COMPUTED_VALUE"""),"bsg")</f>
        <v>bsg</v>
      </c>
      <c r="C1215" s="4" t="str">
        <f>IFERROR(__xludf.DUMMYFUNCTION("""COMPUTED_VALUE"""),"Baby Squid Game")</f>
        <v>Baby Squid Game</v>
      </c>
    </row>
    <row r="1216">
      <c r="A1216" s="4" t="str">
        <f>IFERROR(__xludf.DUMMYFUNCTION("""COMPUTED_VALUE"""),"babyswap")</f>
        <v>babyswap</v>
      </c>
      <c r="B1216" s="4" t="str">
        <f>IFERROR(__xludf.DUMMYFUNCTION("""COMPUTED_VALUE"""),"baby")</f>
        <v>baby</v>
      </c>
      <c r="C1216" s="4" t="str">
        <f>IFERROR(__xludf.DUMMYFUNCTION("""COMPUTED_VALUE"""),"BabySwap")</f>
        <v>BabySwap</v>
      </c>
    </row>
    <row r="1217">
      <c r="A1217" s="4" t="str">
        <f>IFERROR(__xludf.DUMMYFUNCTION("""COMPUTED_VALUE"""),"baby-tomcat")</f>
        <v>baby-tomcat</v>
      </c>
      <c r="B1217" s="4" t="str">
        <f>IFERROR(__xludf.DUMMYFUNCTION("""COMPUTED_VALUE"""),"babytomcat")</f>
        <v>babytomcat</v>
      </c>
      <c r="C1217" s="4" t="str">
        <f>IFERROR(__xludf.DUMMYFUNCTION("""COMPUTED_VALUE"""),"Baby Tomcat")</f>
        <v>Baby Tomcat</v>
      </c>
    </row>
    <row r="1218">
      <c r="A1218" s="4" t="str">
        <f>IFERROR(__xludf.DUMMYFUNCTION("""COMPUTED_VALUE"""),"baby-troll")</f>
        <v>baby-troll</v>
      </c>
      <c r="B1218" s="4" t="str">
        <f>IFERROR(__xludf.DUMMYFUNCTION("""COMPUTED_VALUE"""),"babytroll")</f>
        <v>babytroll</v>
      </c>
      <c r="C1218" s="4" t="str">
        <f>IFERROR(__xludf.DUMMYFUNCTION("""COMPUTED_VALUE"""),"Baby Troll")</f>
        <v>Baby Troll</v>
      </c>
    </row>
    <row r="1219">
      <c r="A1219" s="4" t="str">
        <f>IFERROR(__xludf.DUMMYFUNCTION("""COMPUTED_VALUE"""),"babytrump")</f>
        <v>babytrump</v>
      </c>
      <c r="B1219" s="4" t="str">
        <f>IFERROR(__xludf.DUMMYFUNCTION("""COMPUTED_VALUE"""),"babytrump")</f>
        <v>babytrump</v>
      </c>
      <c r="C1219" s="4" t="str">
        <f>IFERROR(__xludf.DUMMYFUNCTION("""COMPUTED_VALUE"""),"BABYTRUMP")</f>
        <v>BABYTRUMP</v>
      </c>
    </row>
    <row r="1220">
      <c r="A1220" s="4" t="str">
        <f>IFERROR(__xludf.DUMMYFUNCTION("""COMPUTED_VALUE"""),"baby-wall-street-memes")</f>
        <v>baby-wall-street-memes</v>
      </c>
      <c r="B1220" s="4" t="str">
        <f>IFERROR(__xludf.DUMMYFUNCTION("""COMPUTED_VALUE"""),"bwsm")</f>
        <v>bwsm</v>
      </c>
      <c r="C1220" s="4" t="str">
        <f>IFERROR(__xludf.DUMMYFUNCTION("""COMPUTED_VALUE"""),"BABY WALL STREET MEMES")</f>
        <v>BABY WALL STREET MEMES</v>
      </c>
    </row>
    <row r="1221">
      <c r="A1221" s="4" t="str">
        <f>IFERROR(__xludf.DUMMYFUNCTION("""COMPUTED_VALUE"""),"babywhale")</f>
        <v>babywhale</v>
      </c>
      <c r="B1221" s="4" t="str">
        <f>IFERROR(__xludf.DUMMYFUNCTION("""COMPUTED_VALUE"""),"bbw")</f>
        <v>bbw</v>
      </c>
      <c r="C1221" s="4" t="str">
        <f>IFERROR(__xludf.DUMMYFUNCTION("""COMPUTED_VALUE"""),"BabyWhale")</f>
        <v>BabyWhale</v>
      </c>
    </row>
    <row r="1222">
      <c r="A1222" s="4" t="str">
        <f>IFERROR(__xludf.DUMMYFUNCTION("""COMPUTED_VALUE"""),"baby-x")</f>
        <v>baby-x</v>
      </c>
      <c r="B1222" s="4" t="str">
        <f>IFERROR(__xludf.DUMMYFUNCTION("""COMPUTED_VALUE"""),"babyx")</f>
        <v>babyx</v>
      </c>
      <c r="C1222" s="4" t="str">
        <f>IFERROR(__xludf.DUMMYFUNCTION("""COMPUTED_VALUE"""),"Baby X")</f>
        <v>Baby X</v>
      </c>
    </row>
    <row r="1223">
      <c r="A1223" s="4" t="str">
        <f>IFERROR(__xludf.DUMMYFUNCTION("""COMPUTED_VALUE"""),"babyxrp")</f>
        <v>babyxrp</v>
      </c>
      <c r="B1223" s="4" t="str">
        <f>IFERROR(__xludf.DUMMYFUNCTION("""COMPUTED_VALUE"""),"bbyxrp")</f>
        <v>bbyxrp</v>
      </c>
      <c r="C1223" s="4" t="str">
        <f>IFERROR(__xludf.DUMMYFUNCTION("""COMPUTED_VALUE"""),"BabyXrp")</f>
        <v>BabyXrp</v>
      </c>
    </row>
    <row r="1224">
      <c r="A1224" s="4" t="str">
        <f>IFERROR(__xludf.DUMMYFUNCTION("""COMPUTED_VALUE"""),"babyx-swap")</f>
        <v>babyx-swap</v>
      </c>
      <c r="B1224" s="4" t="str">
        <f>IFERROR(__xludf.DUMMYFUNCTION("""COMPUTED_VALUE"""),"babyx")</f>
        <v>babyx</v>
      </c>
      <c r="C1224" s="4" t="str">
        <f>IFERROR(__xludf.DUMMYFUNCTION("""COMPUTED_VALUE"""),"BabyX Swap")</f>
        <v>BabyX Swap</v>
      </c>
    </row>
    <row r="1225">
      <c r="A1225" s="4" t="str">
        <f>IFERROR(__xludf.DUMMYFUNCTION("""COMPUTED_VALUE"""),"baby-zeek")</f>
        <v>baby-zeek</v>
      </c>
      <c r="B1225" s="4" t="str">
        <f>IFERROR(__xludf.DUMMYFUNCTION("""COMPUTED_VALUE"""),"kitten")</f>
        <v>kitten</v>
      </c>
      <c r="C1225" s="4" t="str">
        <f>IFERROR(__xludf.DUMMYFUNCTION("""COMPUTED_VALUE"""),"Baby Zeek")</f>
        <v>Baby Zeek</v>
      </c>
    </row>
    <row r="1226">
      <c r="A1226" s="4" t="str">
        <f>IFERROR(__xludf.DUMMYFUNCTION("""COMPUTED_VALUE"""),"backbone-labs-staked-huahua")</f>
        <v>backbone-labs-staked-huahua</v>
      </c>
      <c r="B1226" s="4" t="str">
        <f>IFERROR(__xludf.DUMMYFUNCTION("""COMPUTED_VALUE"""),"bhuahua")</f>
        <v>bhuahua</v>
      </c>
      <c r="C1226" s="4" t="str">
        <f>IFERROR(__xludf.DUMMYFUNCTION("""COMPUTED_VALUE"""),"Backbone Labs Staked HUAHUA")</f>
        <v>Backbone Labs Staked HUAHUA</v>
      </c>
    </row>
    <row r="1227">
      <c r="A1227" s="4" t="str">
        <f>IFERROR(__xludf.DUMMYFUNCTION("""COMPUTED_VALUE"""),"backbone-labs-staked-juno")</f>
        <v>backbone-labs-staked-juno</v>
      </c>
      <c r="B1227" s="4" t="str">
        <f>IFERROR(__xludf.DUMMYFUNCTION("""COMPUTED_VALUE"""),"bjuno")</f>
        <v>bjuno</v>
      </c>
      <c r="C1227" s="4" t="str">
        <f>IFERROR(__xludf.DUMMYFUNCTION("""COMPUTED_VALUE"""),"Backbone Labs Staked JUNO")</f>
        <v>Backbone Labs Staked JUNO</v>
      </c>
    </row>
    <row r="1228">
      <c r="A1228" s="4" t="str">
        <f>IFERROR(__xludf.DUMMYFUNCTION("""COMPUTED_VALUE"""),"backbone-labs-staked-luna")</f>
        <v>backbone-labs-staked-luna</v>
      </c>
      <c r="B1228" s="4" t="str">
        <f>IFERROR(__xludf.DUMMYFUNCTION("""COMPUTED_VALUE"""),"bluna")</f>
        <v>bluna</v>
      </c>
      <c r="C1228" s="4" t="str">
        <f>IFERROR(__xludf.DUMMYFUNCTION("""COMPUTED_VALUE"""),"Backbone Labs Staked LUNA")</f>
        <v>Backbone Labs Staked LUNA</v>
      </c>
    </row>
    <row r="1229">
      <c r="A1229" s="4" t="str">
        <f>IFERROR(__xludf.DUMMYFUNCTION("""COMPUTED_VALUE"""),"backbone-labs-staked-whale")</f>
        <v>backbone-labs-staked-whale</v>
      </c>
      <c r="B1229" s="4" t="str">
        <f>IFERROR(__xludf.DUMMYFUNCTION("""COMPUTED_VALUE"""),"bwhale")</f>
        <v>bwhale</v>
      </c>
      <c r="C1229" s="4" t="str">
        <f>IFERROR(__xludf.DUMMYFUNCTION("""COMPUTED_VALUE"""),"Backbone Labs Staked WHALE")</f>
        <v>Backbone Labs Staked WHALE</v>
      </c>
    </row>
    <row r="1230">
      <c r="A1230" s="4" t="str">
        <f>IFERROR(__xludf.DUMMYFUNCTION("""COMPUTED_VALUE"""),"backed-coinbase-global")</f>
        <v>backed-coinbase-global</v>
      </c>
      <c r="B1230" s="4" t="str">
        <f>IFERROR(__xludf.DUMMYFUNCTION("""COMPUTED_VALUE"""),"bcoin")</f>
        <v>bcoin</v>
      </c>
      <c r="C1230" s="4" t="str">
        <f>IFERROR(__xludf.DUMMYFUNCTION("""COMPUTED_VALUE"""),"Backed Coinbase Global")</f>
        <v>Backed Coinbase Global</v>
      </c>
    </row>
    <row r="1231">
      <c r="A1231" s="4" t="str">
        <f>IFERROR(__xludf.DUMMYFUNCTION("""COMPUTED_VALUE"""),"backed-cspx-core-s-p-500")</f>
        <v>backed-cspx-core-s-p-500</v>
      </c>
      <c r="B1231" s="4" t="str">
        <f>IFERROR(__xludf.DUMMYFUNCTION("""COMPUTED_VALUE"""),"bcspx")</f>
        <v>bcspx</v>
      </c>
      <c r="C1231" s="4" t="str">
        <f>IFERROR(__xludf.DUMMYFUNCTION("""COMPUTED_VALUE"""),"Backed CSPX Core S&amp;P 500")</f>
        <v>Backed CSPX Core S&amp;P 500</v>
      </c>
    </row>
    <row r="1232">
      <c r="A1232" s="4" t="str">
        <f>IFERROR(__xludf.DUMMYFUNCTION("""COMPUTED_VALUE"""),"backed-erna-bond")</f>
        <v>backed-erna-bond</v>
      </c>
      <c r="B1232" s="4" t="str">
        <f>IFERROR(__xludf.DUMMYFUNCTION("""COMPUTED_VALUE"""),"berna")</f>
        <v>berna</v>
      </c>
      <c r="C1232" s="4" t="str">
        <f>IFERROR(__xludf.DUMMYFUNCTION("""COMPUTED_VALUE"""),"Backed ERNA $ Bond")</f>
        <v>Backed ERNA $ Bond</v>
      </c>
    </row>
    <row r="1233">
      <c r="A1233" s="4" t="str">
        <f>IFERROR(__xludf.DUMMYFUNCTION("""COMPUTED_VALUE"""),"backed-ernx-bond")</f>
        <v>backed-ernx-bond</v>
      </c>
      <c r="B1233" s="4" t="str">
        <f>IFERROR(__xludf.DUMMYFUNCTION("""COMPUTED_VALUE"""),"bernx")</f>
        <v>bernx</v>
      </c>
      <c r="C1233" s="4" t="str">
        <f>IFERROR(__xludf.DUMMYFUNCTION("""COMPUTED_VALUE"""),"Backed ERNX € Bond")</f>
        <v>Backed ERNX € Bond</v>
      </c>
    </row>
    <row r="1234">
      <c r="A1234" s="4" t="str">
        <f>IFERROR(__xludf.DUMMYFUNCTION("""COMPUTED_VALUE"""),"backed-govies-0-6-months-euro")</f>
        <v>backed-govies-0-6-months-euro</v>
      </c>
      <c r="B1234" s="4" t="str">
        <f>IFERROR(__xludf.DUMMYFUNCTION("""COMPUTED_VALUE"""),"bc3m")</f>
        <v>bc3m</v>
      </c>
      <c r="C1234" s="4" t="str">
        <f>IFERROR(__xludf.DUMMYFUNCTION("""COMPUTED_VALUE"""),"Backed GOVIES 0-6 months EURO")</f>
        <v>Backed GOVIES 0-6 months EURO</v>
      </c>
    </row>
    <row r="1235">
      <c r="A1235" s="4" t="str">
        <f>IFERROR(__xludf.DUMMYFUNCTION("""COMPUTED_VALUE"""),"backed-high-high-yield-corp-bond")</f>
        <v>backed-high-high-yield-corp-bond</v>
      </c>
      <c r="B1235" s="4" t="str">
        <f>IFERROR(__xludf.DUMMYFUNCTION("""COMPUTED_VALUE"""),"bhigh")</f>
        <v>bhigh</v>
      </c>
      <c r="C1235" s="4" t="str">
        <f>IFERROR(__xludf.DUMMYFUNCTION("""COMPUTED_VALUE"""),"Backed HIGH € High Yield Corp Bond")</f>
        <v>Backed HIGH € High Yield Corp Bond</v>
      </c>
    </row>
    <row r="1236">
      <c r="A1236" s="4" t="str">
        <f>IFERROR(__xludf.DUMMYFUNCTION("""COMPUTED_VALUE"""),"backed-ib01-treasury-bond-0-1yr")</f>
        <v>backed-ib01-treasury-bond-0-1yr</v>
      </c>
      <c r="B1236" s="4" t="str">
        <f>IFERROR(__xludf.DUMMYFUNCTION("""COMPUTED_VALUE"""),"bib01")</f>
        <v>bib01</v>
      </c>
      <c r="C1236" s="4" t="str">
        <f>IFERROR(__xludf.DUMMYFUNCTION("""COMPUTED_VALUE"""),"Backed IB01 $ Treasury Bond 0-1yr")</f>
        <v>Backed IB01 $ Treasury Bond 0-1yr</v>
      </c>
    </row>
    <row r="1237">
      <c r="A1237" s="4" t="str">
        <f>IFERROR(__xludf.DUMMYFUNCTION("""COMPUTED_VALUE"""),"backed-ibta-treasury-bond-1-3yr")</f>
        <v>backed-ibta-treasury-bond-1-3yr</v>
      </c>
      <c r="B1237" s="4" t="str">
        <f>IFERROR(__xludf.DUMMYFUNCTION("""COMPUTED_VALUE"""),"bibta")</f>
        <v>bibta</v>
      </c>
      <c r="C1237" s="4" t="str">
        <f>IFERROR(__xludf.DUMMYFUNCTION("""COMPUTED_VALUE"""),"Backed IBTA $ Treasury Bond 1-3yr")</f>
        <v>Backed IBTA $ Treasury Bond 1-3yr</v>
      </c>
    </row>
    <row r="1238">
      <c r="A1238" s="4" t="str">
        <f>IFERROR(__xludf.DUMMYFUNCTION("""COMPUTED_VALUE"""),"backed-niu-technologies")</f>
        <v>backed-niu-technologies</v>
      </c>
      <c r="B1238" s="4" t="str">
        <f>IFERROR(__xludf.DUMMYFUNCTION("""COMPUTED_VALUE"""),"bniu")</f>
        <v>bniu</v>
      </c>
      <c r="C1238" s="4" t="str">
        <f>IFERROR(__xludf.DUMMYFUNCTION("""COMPUTED_VALUE"""),"Backed NIU Technologies")</f>
        <v>Backed NIU Technologies</v>
      </c>
    </row>
    <row r="1239">
      <c r="A1239" s="4" t="str">
        <f>IFERROR(__xludf.DUMMYFUNCTION("""COMPUTED_VALUE"""),"backed-zpr1-1-3-month-t-bill")</f>
        <v>backed-zpr1-1-3-month-t-bill</v>
      </c>
      <c r="B1239" s="4" t="str">
        <f>IFERROR(__xludf.DUMMYFUNCTION("""COMPUTED_VALUE"""),"bzpr1")</f>
        <v>bzpr1</v>
      </c>
      <c r="C1239" s="4" t="str">
        <f>IFERROR(__xludf.DUMMYFUNCTION("""COMPUTED_VALUE"""),"Backed ZPR1 $ 1-3 Month T-Bill")</f>
        <v>Backed ZPR1 $ 1-3 Month T-Bill</v>
      </c>
    </row>
    <row r="1240">
      <c r="A1240" s="4" t="str">
        <f>IFERROR(__xludf.DUMMYFUNCTION("""COMPUTED_VALUE"""),"backstage-pass-notes")</f>
        <v>backstage-pass-notes</v>
      </c>
      <c r="B1240" s="4" t="str">
        <f>IFERROR(__xludf.DUMMYFUNCTION("""COMPUTED_VALUE"""),"notes")</f>
        <v>notes</v>
      </c>
      <c r="C1240" s="4" t="str">
        <f>IFERROR(__xludf.DUMMYFUNCTION("""COMPUTED_VALUE"""),"Backstage Pass Notes")</f>
        <v>Backstage Pass Notes</v>
      </c>
    </row>
    <row r="1241">
      <c r="A1241" s="4" t="str">
        <f>IFERROR(__xludf.DUMMYFUNCTION("""COMPUTED_VALUE"""),"bacon-2")</f>
        <v>bacon-2</v>
      </c>
      <c r="B1241" s="4" t="str">
        <f>IFERROR(__xludf.DUMMYFUNCTION("""COMPUTED_VALUE"""),"bacon")</f>
        <v>bacon</v>
      </c>
      <c r="C1241" s="4" t="str">
        <f>IFERROR(__xludf.DUMMYFUNCTION("""COMPUTED_VALUE"""),"Bacon")</f>
        <v>Bacon</v>
      </c>
    </row>
    <row r="1242">
      <c r="A1242" s="4" t="str">
        <f>IFERROR(__xludf.DUMMYFUNCTION("""COMPUTED_VALUE"""),"bacondao")</f>
        <v>bacondao</v>
      </c>
      <c r="B1242" s="4" t="str">
        <f>IFERROR(__xludf.DUMMYFUNCTION("""COMPUTED_VALUE"""),"bacon")</f>
        <v>bacon</v>
      </c>
      <c r="C1242" s="4" t="str">
        <f>IFERROR(__xludf.DUMMYFUNCTION("""COMPUTED_VALUE"""),"BaconDAO")</f>
        <v>BaconDAO</v>
      </c>
    </row>
    <row r="1243">
      <c r="A1243" s="4" t="str">
        <f>IFERROR(__xludf.DUMMYFUNCTION("""COMPUTED_VALUE"""),"badger-dao")</f>
        <v>badger-dao</v>
      </c>
      <c r="B1243" s="4" t="str">
        <f>IFERROR(__xludf.DUMMYFUNCTION("""COMPUTED_VALUE"""),"badger")</f>
        <v>badger</v>
      </c>
      <c r="C1243" s="4" t="str">
        <f>IFERROR(__xludf.DUMMYFUNCTION("""COMPUTED_VALUE"""),"Badger")</f>
        <v>Badger</v>
      </c>
    </row>
    <row r="1244">
      <c r="A1244" s="4" t="str">
        <f>IFERROR(__xludf.DUMMYFUNCTION("""COMPUTED_VALUE"""),"badger-sett-badger")</f>
        <v>badger-sett-badger</v>
      </c>
      <c r="B1244" s="4" t="str">
        <f>IFERROR(__xludf.DUMMYFUNCTION("""COMPUTED_VALUE"""),"bbadger")</f>
        <v>bbadger</v>
      </c>
      <c r="C1244" s="4" t="str">
        <f>IFERROR(__xludf.DUMMYFUNCTION("""COMPUTED_VALUE"""),"Badger Sett Badger")</f>
        <v>Badger Sett Badger</v>
      </c>
    </row>
    <row r="1245">
      <c r="A1245" s="4" t="str">
        <f>IFERROR(__xludf.DUMMYFUNCTION("""COMPUTED_VALUE"""),"bad-idea-ai")</f>
        <v>bad-idea-ai</v>
      </c>
      <c r="B1245" s="4" t="str">
        <f>IFERROR(__xludf.DUMMYFUNCTION("""COMPUTED_VALUE"""),"bad")</f>
        <v>bad</v>
      </c>
      <c r="C1245" s="4" t="str">
        <f>IFERROR(__xludf.DUMMYFUNCTION("""COMPUTED_VALUE"""),"Bad Idea AI")</f>
        <v>Bad Idea AI</v>
      </c>
    </row>
    <row r="1246">
      <c r="A1246" s="4" t="str">
        <f>IFERROR(__xludf.DUMMYFUNCTION("""COMPUTED_VALUE"""),"bad-santa")</f>
        <v>bad-santa</v>
      </c>
      <c r="B1246" s="4" t="str">
        <f>IFERROR(__xludf.DUMMYFUNCTION("""COMPUTED_VALUE"""),"bad")</f>
        <v>bad</v>
      </c>
      <c r="C1246" s="4" t="str">
        <f>IFERROR(__xludf.DUMMYFUNCTION("""COMPUTED_VALUE"""),"Bad Santa")</f>
        <v>Bad Santa</v>
      </c>
    </row>
    <row r="1247">
      <c r="A1247" s="4" t="str">
        <f>IFERROR(__xludf.DUMMYFUNCTION("""COMPUTED_VALUE"""),"bafi-finance-token")</f>
        <v>bafi-finance-token</v>
      </c>
      <c r="B1247" s="4" t="str">
        <f>IFERROR(__xludf.DUMMYFUNCTION("""COMPUTED_VALUE"""),"bafi")</f>
        <v>bafi</v>
      </c>
      <c r="C1247" s="4" t="str">
        <f>IFERROR(__xludf.DUMMYFUNCTION("""COMPUTED_VALUE"""),"Bafi Finance")</f>
        <v>Bafi Finance</v>
      </c>
    </row>
    <row r="1248">
      <c r="A1248" s="4" t="str">
        <f>IFERROR(__xludf.DUMMYFUNCTION("""COMPUTED_VALUE"""),"bag")</f>
        <v>bag</v>
      </c>
      <c r="B1248" s="4" t="str">
        <f>IFERROR(__xludf.DUMMYFUNCTION("""COMPUTED_VALUE"""),"bag")</f>
        <v>bag</v>
      </c>
      <c r="C1248" s="4" t="str">
        <f>IFERROR(__xludf.DUMMYFUNCTION("""COMPUTED_VALUE"""),"Bag")</f>
        <v>Bag</v>
      </c>
    </row>
    <row r="1249">
      <c r="A1249" s="4" t="str">
        <f>IFERROR(__xludf.DUMMYFUNCTION("""COMPUTED_VALUE"""),"bagholder")</f>
        <v>bagholder</v>
      </c>
      <c r="B1249" s="4" t="str">
        <f>IFERROR(__xludf.DUMMYFUNCTION("""COMPUTED_VALUE"""),"bag")</f>
        <v>bag</v>
      </c>
      <c r="C1249" s="4" t="str">
        <f>IFERROR(__xludf.DUMMYFUNCTION("""COMPUTED_VALUE"""),"Bagholder")</f>
        <v>Bagholder</v>
      </c>
    </row>
    <row r="1250">
      <c r="A1250" s="4" t="str">
        <f>IFERROR(__xludf.DUMMYFUNCTION("""COMPUTED_VALUE"""),"bahamas")</f>
        <v>bahamas</v>
      </c>
      <c r="B1250" s="4" t="str">
        <f>IFERROR(__xludf.DUMMYFUNCTION("""COMPUTED_VALUE"""),"bahamas")</f>
        <v>bahamas</v>
      </c>
      <c r="C1250" s="4" t="str">
        <f>IFERROR(__xludf.DUMMYFUNCTION("""COMPUTED_VALUE"""),"Bahamas")</f>
        <v>Bahamas</v>
      </c>
    </row>
    <row r="1251">
      <c r="A1251" s="4" t="str">
        <f>IFERROR(__xludf.DUMMYFUNCTION("""COMPUTED_VALUE"""),"bai-stablecoin")</f>
        <v>bai-stablecoin</v>
      </c>
      <c r="B1251" s="4" t="str">
        <f>IFERROR(__xludf.DUMMYFUNCTION("""COMPUTED_VALUE"""),"bai")</f>
        <v>bai</v>
      </c>
      <c r="C1251" s="4" t="str">
        <f>IFERROR(__xludf.DUMMYFUNCTION("""COMPUTED_VALUE"""),"BAI Stablecoin")</f>
        <v>BAI Stablecoin</v>
      </c>
    </row>
    <row r="1252">
      <c r="A1252" s="4" t="str">
        <f>IFERROR(__xludf.DUMMYFUNCTION("""COMPUTED_VALUE"""),"baked-token")</f>
        <v>baked-token</v>
      </c>
      <c r="B1252" s="4" t="str">
        <f>IFERROR(__xludf.DUMMYFUNCTION("""COMPUTED_VALUE"""),"baked")</f>
        <v>baked</v>
      </c>
      <c r="C1252" s="4" t="str">
        <f>IFERROR(__xludf.DUMMYFUNCTION("""COMPUTED_VALUE"""),"Baked")</f>
        <v>Baked</v>
      </c>
    </row>
    <row r="1253">
      <c r="A1253" s="4" t="str">
        <f>IFERROR(__xludf.DUMMYFUNCTION("""COMPUTED_VALUE"""),"bakerytoken")</f>
        <v>bakerytoken</v>
      </c>
      <c r="B1253" s="4" t="str">
        <f>IFERROR(__xludf.DUMMYFUNCTION("""COMPUTED_VALUE"""),"bake")</f>
        <v>bake</v>
      </c>
      <c r="C1253" s="4" t="str">
        <f>IFERROR(__xludf.DUMMYFUNCTION("""COMPUTED_VALUE"""),"BakerySwap")</f>
        <v>BakerySwap</v>
      </c>
    </row>
    <row r="1254">
      <c r="A1254" s="4" t="str">
        <f>IFERROR(__xludf.DUMMYFUNCTION("""COMPUTED_VALUE"""),"bakerytools")</f>
        <v>bakerytools</v>
      </c>
      <c r="B1254" s="4" t="str">
        <f>IFERROR(__xludf.DUMMYFUNCTION("""COMPUTED_VALUE"""),"tbake")</f>
        <v>tbake</v>
      </c>
      <c r="C1254" s="4" t="str">
        <f>IFERROR(__xludf.DUMMYFUNCTION("""COMPUTED_VALUE"""),"BakeryTools")</f>
        <v>BakeryTools</v>
      </c>
    </row>
    <row r="1255">
      <c r="A1255" s="4" t="str">
        <f>IFERROR(__xludf.DUMMYFUNCTION("""COMPUTED_VALUE"""),"baklava")</f>
        <v>baklava</v>
      </c>
      <c r="B1255" s="4" t="str">
        <f>IFERROR(__xludf.DUMMYFUNCTION("""COMPUTED_VALUE"""),"bava")</f>
        <v>bava</v>
      </c>
      <c r="C1255" s="4" t="str">
        <f>IFERROR(__xludf.DUMMYFUNCTION("""COMPUTED_VALUE"""),"Baklava")</f>
        <v>Baklava</v>
      </c>
    </row>
    <row r="1256">
      <c r="A1256" s="4" t="str">
        <f>IFERROR(__xludf.DUMMYFUNCTION("""COMPUTED_VALUE"""),"balance-ai")</f>
        <v>balance-ai</v>
      </c>
      <c r="B1256" s="4" t="str">
        <f>IFERROR(__xludf.DUMMYFUNCTION("""COMPUTED_VALUE"""),"bai")</f>
        <v>bai</v>
      </c>
      <c r="C1256" s="4" t="str">
        <f>IFERROR(__xludf.DUMMYFUNCTION("""COMPUTED_VALUE"""),"Balance AI")</f>
        <v>Balance AI</v>
      </c>
    </row>
    <row r="1257">
      <c r="A1257" s="4" t="str">
        <f>IFERROR(__xludf.DUMMYFUNCTION("""COMPUTED_VALUE"""),"balanced-dollars")</f>
        <v>balanced-dollars</v>
      </c>
      <c r="B1257" s="4" t="str">
        <f>IFERROR(__xludf.DUMMYFUNCTION("""COMPUTED_VALUE"""),"bnusd")</f>
        <v>bnusd</v>
      </c>
      <c r="C1257" s="4" t="str">
        <f>IFERROR(__xludf.DUMMYFUNCTION("""COMPUTED_VALUE"""),"Balanced Dollars")</f>
        <v>Balanced Dollars</v>
      </c>
    </row>
    <row r="1258">
      <c r="A1258" s="4" t="str">
        <f>IFERROR(__xludf.DUMMYFUNCTION("""COMPUTED_VALUE"""),"balance-network-finance")</f>
        <v>balance-network-finance</v>
      </c>
      <c r="B1258" s="4" t="str">
        <f>IFERROR(__xludf.DUMMYFUNCTION("""COMPUTED_VALUE"""),"balance")</f>
        <v>balance</v>
      </c>
      <c r="C1258" s="4" t="str">
        <f>IFERROR(__xludf.DUMMYFUNCTION("""COMPUTED_VALUE"""),"Balance Network Finance")</f>
        <v>Balance Network Finance</v>
      </c>
    </row>
    <row r="1259">
      <c r="A1259" s="4" t="str">
        <f>IFERROR(__xludf.DUMMYFUNCTION("""COMPUTED_VALUE"""),"balancer")</f>
        <v>balancer</v>
      </c>
      <c r="B1259" s="4" t="str">
        <f>IFERROR(__xludf.DUMMYFUNCTION("""COMPUTED_VALUE"""),"bal")</f>
        <v>bal</v>
      </c>
      <c r="C1259" s="4" t="str">
        <f>IFERROR(__xludf.DUMMYFUNCTION("""COMPUTED_VALUE"""),"Balancer")</f>
        <v>Balancer</v>
      </c>
    </row>
    <row r="1260">
      <c r="A1260" s="4" t="str">
        <f>IFERROR(__xludf.DUMMYFUNCTION("""COMPUTED_VALUE"""),"balancer-80-bal-20-weth")</f>
        <v>balancer-80-bal-20-weth</v>
      </c>
      <c r="B1260" s="4" t="str">
        <f>IFERROR(__xludf.DUMMYFUNCTION("""COMPUTED_VALUE"""),"b-80bal-20weth")</f>
        <v>b-80bal-20weth</v>
      </c>
      <c r="C1260" s="4" t="str">
        <f>IFERROR(__xludf.DUMMYFUNCTION("""COMPUTED_VALUE"""),"Balancer 80 BAL 20 WETH")</f>
        <v>Balancer 80 BAL 20 WETH</v>
      </c>
    </row>
    <row r="1261">
      <c r="A1261" s="4" t="str">
        <f>IFERROR(__xludf.DUMMYFUNCTION("""COMPUTED_VALUE"""),"balancer-80-rdnt-20-weth")</f>
        <v>balancer-80-rdnt-20-weth</v>
      </c>
      <c r="B1261" s="4" t="str">
        <f>IFERROR(__xludf.DUMMYFUNCTION("""COMPUTED_VALUE"""),"dlp")</f>
        <v>dlp</v>
      </c>
      <c r="C1261" s="4" t="str">
        <f>IFERROR(__xludf.DUMMYFUNCTION("""COMPUTED_VALUE"""),"Balancer 80 RDNT 20 WETH")</f>
        <v>Balancer 80 RDNT 20 WETH</v>
      </c>
    </row>
    <row r="1262">
      <c r="A1262" s="4" t="str">
        <f>IFERROR(__xludf.DUMMYFUNCTION("""COMPUTED_VALUE"""),"balancer-stable-usd")</f>
        <v>balancer-stable-usd</v>
      </c>
      <c r="B1262" s="4" t="str">
        <f>IFERROR(__xludf.DUMMYFUNCTION("""COMPUTED_VALUE"""),"stabal3")</f>
        <v>stabal3</v>
      </c>
      <c r="C1262" s="4" t="str">
        <f>IFERROR(__xludf.DUMMYFUNCTION("""COMPUTED_VALUE"""),"Balancer Stable USD")</f>
        <v>Balancer Stable USD</v>
      </c>
    </row>
    <row r="1263">
      <c r="A1263" s="4" t="str">
        <f>IFERROR(__xludf.DUMMYFUNCTION("""COMPUTED_VALUE"""),"balancer-usdc-usdbc-axlusdc")</f>
        <v>balancer-usdc-usdbc-axlusdc</v>
      </c>
      <c r="B1263" s="4" t="str">
        <f>IFERROR(__xludf.DUMMYFUNCTION("""COMPUTED_VALUE"""),"usdc-usdbc-axlusdc")</f>
        <v>usdc-usdbc-axlusdc</v>
      </c>
      <c r="C1263" s="4" t="str">
        <f>IFERROR(__xludf.DUMMYFUNCTION("""COMPUTED_VALUE"""),"Balancer USDC/USDbC/axlUSDC")</f>
        <v>Balancer USDC/USDbC/axlUSDC</v>
      </c>
    </row>
    <row r="1264">
      <c r="A1264" s="4" t="str">
        <f>IFERROR(__xludf.DUMMYFUNCTION("""COMPUTED_VALUE"""),"balance-tokens")</f>
        <v>balance-tokens</v>
      </c>
      <c r="B1264" s="4" t="str">
        <f>IFERROR(__xludf.DUMMYFUNCTION("""COMPUTED_VALUE"""),"baln")</f>
        <v>baln</v>
      </c>
      <c r="C1264" s="4" t="str">
        <f>IFERROR(__xludf.DUMMYFUNCTION("""COMPUTED_VALUE"""),"Balanced")</f>
        <v>Balanced</v>
      </c>
    </row>
    <row r="1265">
      <c r="A1265" s="4" t="str">
        <f>IFERROR(__xludf.DUMMYFUNCTION("""COMPUTED_VALUE"""),"bald")</f>
        <v>bald</v>
      </c>
      <c r="B1265" s="4" t="str">
        <f>IFERROR(__xludf.DUMMYFUNCTION("""COMPUTED_VALUE"""),"bald")</f>
        <v>bald</v>
      </c>
      <c r="C1265" s="4" t="str">
        <f>IFERROR(__xludf.DUMMYFUNCTION("""COMPUTED_VALUE"""),"Bald")</f>
        <v>Bald</v>
      </c>
    </row>
    <row r="1266">
      <c r="A1266" s="4" t="str">
        <f>IFERROR(__xludf.DUMMYFUNCTION("""COMPUTED_VALUE"""),"bald-dog")</f>
        <v>bald-dog</v>
      </c>
      <c r="B1266" s="4" t="str">
        <f>IFERROR(__xludf.DUMMYFUNCTION("""COMPUTED_VALUE"""),"baldo")</f>
        <v>baldo</v>
      </c>
      <c r="C1266" s="4" t="str">
        <f>IFERROR(__xludf.DUMMYFUNCTION("""COMPUTED_VALUE"""),"Bald Dog")</f>
        <v>Bald Dog</v>
      </c>
    </row>
    <row r="1267">
      <c r="A1267" s="4" t="str">
        <f>IFERROR(__xludf.DUMMYFUNCTION("""COMPUTED_VALUE"""),"bali-united-fc-fan-token")</f>
        <v>bali-united-fc-fan-token</v>
      </c>
      <c r="B1267" s="4" t="str">
        <f>IFERROR(__xludf.DUMMYFUNCTION("""COMPUTED_VALUE"""),"bufc")</f>
        <v>bufc</v>
      </c>
      <c r="C1267" s="4" t="str">
        <f>IFERROR(__xludf.DUMMYFUNCTION("""COMPUTED_VALUE"""),"Bali United FC Fan Token")</f>
        <v>Bali United FC Fan Token</v>
      </c>
    </row>
    <row r="1268">
      <c r="A1268" s="4" t="str">
        <f>IFERROR(__xludf.DUMMYFUNCTION("""COMPUTED_VALUE"""),"ball-coin")</f>
        <v>ball-coin</v>
      </c>
      <c r="B1268" s="4" t="str">
        <f>IFERROR(__xludf.DUMMYFUNCTION("""COMPUTED_VALUE"""),"ball")</f>
        <v>ball</v>
      </c>
      <c r="C1268" s="4" t="str">
        <f>IFERROR(__xludf.DUMMYFUNCTION("""COMPUTED_VALUE"""),"BALL Coin")</f>
        <v>BALL Coin</v>
      </c>
    </row>
    <row r="1269">
      <c r="A1269" s="4" t="str">
        <f>IFERROR(__xludf.DUMMYFUNCTION("""COMPUTED_VALUE"""),"ballswap")</f>
        <v>ballswap</v>
      </c>
      <c r="B1269" s="4" t="str">
        <f>IFERROR(__xludf.DUMMYFUNCTION("""COMPUTED_VALUE"""),"bsp")</f>
        <v>bsp</v>
      </c>
      <c r="C1269" s="4" t="str">
        <f>IFERROR(__xludf.DUMMYFUNCTION("""COMPUTED_VALUE"""),"BallSwap")</f>
        <v>BallSwap</v>
      </c>
    </row>
    <row r="1270">
      <c r="A1270" s="4" t="str">
        <f>IFERROR(__xludf.DUMMYFUNCTION("""COMPUTED_VALUE"""),"ball-token")</f>
        <v>ball-token</v>
      </c>
      <c r="B1270" s="4" t="str">
        <f>IFERROR(__xludf.DUMMYFUNCTION("""COMPUTED_VALUE"""),"ball")</f>
        <v>ball</v>
      </c>
      <c r="C1270" s="4" t="str">
        <f>IFERROR(__xludf.DUMMYFUNCTION("""COMPUTED_VALUE"""),"Ball")</f>
        <v>Ball</v>
      </c>
    </row>
    <row r="1271">
      <c r="A1271" s="4" t="str">
        <f>IFERROR(__xludf.DUMMYFUNCTION("""COMPUTED_VALUE"""),"balpha")</f>
        <v>balpha</v>
      </c>
      <c r="B1271" s="4" t="str">
        <f>IFERROR(__xludf.DUMMYFUNCTION("""COMPUTED_VALUE"""),"balpha")</f>
        <v>balpha</v>
      </c>
      <c r="C1271" s="4" t="str">
        <f>IFERROR(__xludf.DUMMYFUNCTION("""COMPUTED_VALUE"""),"bAlpha")</f>
        <v>bAlpha</v>
      </c>
    </row>
    <row r="1272">
      <c r="A1272" s="4" t="str">
        <f>IFERROR(__xludf.DUMMYFUNCTION("""COMPUTED_VALUE"""),"bambi")</f>
        <v>bambi</v>
      </c>
      <c r="B1272" s="4" t="str">
        <f>IFERROR(__xludf.DUMMYFUNCTION("""COMPUTED_VALUE"""),"bam")</f>
        <v>bam</v>
      </c>
      <c r="C1272" s="4" t="str">
        <f>IFERROR(__xludf.DUMMYFUNCTION("""COMPUTED_VALUE"""),"Bambi")</f>
        <v>Bambi</v>
      </c>
    </row>
    <row r="1273">
      <c r="A1273" s="4" t="str">
        <f>IFERROR(__xludf.DUMMYFUNCTION("""COMPUTED_VALUE"""),"bamboo-coin")</f>
        <v>bamboo-coin</v>
      </c>
      <c r="B1273" s="4" t="str">
        <f>IFERROR(__xludf.DUMMYFUNCTION("""COMPUTED_VALUE"""),"bmbo")</f>
        <v>bmbo</v>
      </c>
      <c r="C1273" s="4" t="str">
        <f>IFERROR(__xludf.DUMMYFUNCTION("""COMPUTED_VALUE"""),"Bamboo Coin")</f>
        <v>Bamboo Coin</v>
      </c>
    </row>
    <row r="1274">
      <c r="A1274" s="4" t="str">
        <f>IFERROR(__xludf.DUMMYFUNCTION("""COMPUTED_VALUE"""),"bamboo-defi")</f>
        <v>bamboo-defi</v>
      </c>
      <c r="B1274" s="4" t="str">
        <f>IFERROR(__xludf.DUMMYFUNCTION("""COMPUTED_VALUE"""),"bamboo")</f>
        <v>bamboo</v>
      </c>
      <c r="C1274" s="4" t="str">
        <f>IFERROR(__xludf.DUMMYFUNCTION("""COMPUTED_VALUE"""),"Bamboo DeFi")</f>
        <v>Bamboo DeFi</v>
      </c>
    </row>
    <row r="1275">
      <c r="A1275" s="4" t="str">
        <f>IFERROR(__xludf.DUMMYFUNCTION("""COMPUTED_VALUE"""),"bamboo-token-c90b31ff-8355-41d6-a495-2b16418524c2")</f>
        <v>bamboo-token-c90b31ff-8355-41d6-a495-2b16418524c2</v>
      </c>
      <c r="B1275" s="4" t="str">
        <f>IFERROR(__xludf.DUMMYFUNCTION("""COMPUTED_VALUE"""),"bbo")</f>
        <v>bbo</v>
      </c>
      <c r="C1275" s="4" t="str">
        <f>IFERROR(__xludf.DUMMYFUNCTION("""COMPUTED_VALUE"""),"PandaFarm (BBO)")</f>
        <v>PandaFarm (BBO)</v>
      </c>
    </row>
    <row r="1276">
      <c r="A1276" s="4" t="str">
        <f>IFERROR(__xludf.DUMMYFUNCTION("""COMPUTED_VALUE"""),"banana")</f>
        <v>banana</v>
      </c>
      <c r="B1276" s="4" t="str">
        <f>IFERROR(__xludf.DUMMYFUNCTION("""COMPUTED_VALUE"""),"banana")</f>
        <v>banana</v>
      </c>
      <c r="C1276" s="4" t="str">
        <f>IFERROR(__xludf.DUMMYFUNCTION("""COMPUTED_VALUE"""),"Banana")</f>
        <v>Banana</v>
      </c>
    </row>
    <row r="1277">
      <c r="A1277" s="4" t="str">
        <f>IFERROR(__xludf.DUMMYFUNCTION("""COMPUTED_VALUE"""),"bananacat")</f>
        <v>bananacat</v>
      </c>
      <c r="B1277" s="4" t="str">
        <f>IFERROR(__xludf.DUMMYFUNCTION("""COMPUTED_VALUE"""),"bcat")</f>
        <v>bcat</v>
      </c>
      <c r="C1277" s="4" t="str">
        <f>IFERROR(__xludf.DUMMYFUNCTION("""COMPUTED_VALUE"""),"BananaCat")</f>
        <v>BananaCat</v>
      </c>
    </row>
    <row r="1278">
      <c r="A1278" s="4" t="str">
        <f>IFERROR(__xludf.DUMMYFUNCTION("""COMPUTED_VALUE"""),"bananacat-sol")</f>
        <v>bananacat-sol</v>
      </c>
      <c r="B1278" s="4" t="str">
        <f>IFERROR(__xludf.DUMMYFUNCTION("""COMPUTED_VALUE"""),"bcat")</f>
        <v>bcat</v>
      </c>
      <c r="C1278" s="4" t="str">
        <f>IFERROR(__xludf.DUMMYFUNCTION("""COMPUTED_VALUE"""),"BananaCat (Sol)")</f>
        <v>BananaCat (Sol)</v>
      </c>
    </row>
    <row r="1279">
      <c r="A1279" s="4" t="str">
        <f>IFERROR(__xludf.DUMMYFUNCTION("""COMPUTED_VALUE"""),"bananace")</f>
        <v>bananace</v>
      </c>
      <c r="B1279" s="4" t="str">
        <f>IFERROR(__xludf.DUMMYFUNCTION("""COMPUTED_VALUE"""),"nana")</f>
        <v>nana</v>
      </c>
      <c r="C1279" s="4" t="str">
        <f>IFERROR(__xludf.DUMMYFUNCTION("""COMPUTED_VALUE"""),"Bananace")</f>
        <v>Bananace</v>
      </c>
    </row>
    <row r="1280">
      <c r="A1280" s="4" t="str">
        <f>IFERROR(__xludf.DUMMYFUNCTION("""COMPUTED_VALUE"""),"banana-gun")</f>
        <v>banana-gun</v>
      </c>
      <c r="B1280" s="4" t="str">
        <f>IFERROR(__xludf.DUMMYFUNCTION("""COMPUTED_VALUE"""),"banana")</f>
        <v>banana</v>
      </c>
      <c r="C1280" s="4" t="str">
        <f>IFERROR(__xludf.DUMMYFUNCTION("""COMPUTED_VALUE"""),"Banana Gun")</f>
        <v>Banana Gun</v>
      </c>
    </row>
    <row r="1281">
      <c r="A1281" s="4" t="str">
        <f>IFERROR(__xludf.DUMMYFUNCTION("""COMPUTED_VALUE"""),"banana-market-ordinals")</f>
        <v>banana-market-ordinals</v>
      </c>
      <c r="B1281" s="4" t="str">
        <f>IFERROR(__xludf.DUMMYFUNCTION("""COMPUTED_VALUE"""),"bnan")</f>
        <v>bnan</v>
      </c>
      <c r="C1281" s="4" t="str">
        <f>IFERROR(__xludf.DUMMYFUNCTION("""COMPUTED_VALUE"""),"Banana Market (Ordinals)")</f>
        <v>Banana Market (Ordinals)</v>
      </c>
    </row>
    <row r="1282">
      <c r="A1282" s="4" t="str">
        <f>IFERROR(__xludf.DUMMYFUNCTION("""COMPUTED_VALUE"""),"bananatok")</f>
        <v>bananatok</v>
      </c>
      <c r="B1282" s="4" t="str">
        <f>IFERROR(__xludf.DUMMYFUNCTION("""COMPUTED_VALUE"""),"bna")</f>
        <v>bna</v>
      </c>
      <c r="C1282" s="4" t="str">
        <f>IFERROR(__xludf.DUMMYFUNCTION("""COMPUTED_VALUE"""),"BananaTok")</f>
        <v>BananaTok</v>
      </c>
    </row>
    <row r="1283">
      <c r="A1283" s="4" t="str">
        <f>IFERROR(__xludf.DUMMYFUNCTION("""COMPUTED_VALUE"""),"banana-token")</f>
        <v>banana-token</v>
      </c>
      <c r="B1283" s="4" t="str">
        <f>IFERROR(__xludf.DUMMYFUNCTION("""COMPUTED_VALUE"""),"bnana")</f>
        <v>bnana</v>
      </c>
      <c r="C1283" s="4" t="str">
        <f>IFERROR(__xludf.DUMMYFUNCTION("""COMPUTED_VALUE"""),"Chimpion")</f>
        <v>Chimpion</v>
      </c>
    </row>
    <row r="1284">
      <c r="A1284" s="4" t="str">
        <f>IFERROR(__xludf.DUMMYFUNCTION("""COMPUTED_VALUE"""),"banano")</f>
        <v>banano</v>
      </c>
      <c r="B1284" s="4" t="str">
        <f>IFERROR(__xludf.DUMMYFUNCTION("""COMPUTED_VALUE"""),"ban")</f>
        <v>ban</v>
      </c>
      <c r="C1284" s="4" t="str">
        <f>IFERROR(__xludf.DUMMYFUNCTION("""COMPUTED_VALUE"""),"Banano")</f>
        <v>Banano</v>
      </c>
    </row>
    <row r="1285">
      <c r="A1285" s="4" t="str">
        <f>IFERROR(__xludf.DUMMYFUNCTION("""COMPUTED_VALUE"""),"bancor")</f>
        <v>bancor</v>
      </c>
      <c r="B1285" s="4" t="str">
        <f>IFERROR(__xludf.DUMMYFUNCTION("""COMPUTED_VALUE"""),"bnt")</f>
        <v>bnt</v>
      </c>
      <c r="C1285" s="4" t="str">
        <f>IFERROR(__xludf.DUMMYFUNCTION("""COMPUTED_VALUE"""),"Bancor Network")</f>
        <v>Bancor Network</v>
      </c>
    </row>
    <row r="1286">
      <c r="A1286" s="4" t="str">
        <f>IFERROR(__xludf.DUMMYFUNCTION("""COMPUTED_VALUE"""),"bancor-governance-token")</f>
        <v>bancor-governance-token</v>
      </c>
      <c r="B1286" s="4" t="str">
        <f>IFERROR(__xludf.DUMMYFUNCTION("""COMPUTED_VALUE"""),"vbnt")</f>
        <v>vbnt</v>
      </c>
      <c r="C1286" s="4" t="str">
        <f>IFERROR(__xludf.DUMMYFUNCTION("""COMPUTED_VALUE"""),"Bancor Governance")</f>
        <v>Bancor Governance</v>
      </c>
    </row>
    <row r="1287">
      <c r="A1287" s="4" t="str">
        <f>IFERROR(__xludf.DUMMYFUNCTION("""COMPUTED_VALUE"""),"band-protocol")</f>
        <v>band-protocol</v>
      </c>
      <c r="B1287" s="4" t="str">
        <f>IFERROR(__xludf.DUMMYFUNCTION("""COMPUTED_VALUE"""),"band")</f>
        <v>band</v>
      </c>
      <c r="C1287" s="4" t="str">
        <f>IFERROR(__xludf.DUMMYFUNCTION("""COMPUTED_VALUE"""),"Band Protocol")</f>
        <v>Band Protocol</v>
      </c>
    </row>
    <row r="1288">
      <c r="A1288" s="4" t="str">
        <f>IFERROR(__xludf.DUMMYFUNCTION("""COMPUTED_VALUE"""),"bands")</f>
        <v>bands</v>
      </c>
      <c r="B1288" s="4" t="str">
        <f>IFERROR(__xludf.DUMMYFUNCTION("""COMPUTED_VALUE"""),"bands")</f>
        <v>bands</v>
      </c>
      <c r="C1288" s="4" t="str">
        <f>IFERROR(__xludf.DUMMYFUNCTION("""COMPUTED_VALUE"""),"BANDS")</f>
        <v>BANDS</v>
      </c>
    </row>
    <row r="1289">
      <c r="A1289" s="4" t="str">
        <f>IFERROR(__xludf.DUMMYFUNCTION("""COMPUTED_VALUE"""),"bandzai-token")</f>
        <v>bandzai-token</v>
      </c>
      <c r="B1289" s="4" t="str">
        <f>IFERROR(__xludf.DUMMYFUNCTION("""COMPUTED_VALUE"""),"bzai")</f>
        <v>bzai</v>
      </c>
      <c r="C1289" s="4" t="str">
        <f>IFERROR(__xludf.DUMMYFUNCTION("""COMPUTED_VALUE"""),"BandZai Token")</f>
        <v>BandZai Token</v>
      </c>
    </row>
    <row r="1290">
      <c r="A1290" s="4" t="str">
        <f>IFERROR(__xludf.DUMMYFUNCTION("""COMPUTED_VALUE"""),"banger")</f>
        <v>banger</v>
      </c>
      <c r="B1290" s="4" t="str">
        <f>IFERROR(__xludf.DUMMYFUNCTION("""COMPUTED_VALUE"""),"banger")</f>
        <v>banger</v>
      </c>
      <c r="C1290" s="4" t="str">
        <f>IFERROR(__xludf.DUMMYFUNCTION("""COMPUTED_VALUE"""),"BANGER")</f>
        <v>BANGER</v>
      </c>
    </row>
    <row r="1291">
      <c r="A1291" s="4" t="str">
        <f>IFERROR(__xludf.DUMMYFUNCTION("""COMPUTED_VALUE"""),"bank")</f>
        <v>bank</v>
      </c>
      <c r="B1291" s="4" t="str">
        <f>IFERROR(__xludf.DUMMYFUNCTION("""COMPUTED_VALUE"""),"$bank")</f>
        <v>$bank</v>
      </c>
      <c r="C1291" s="4" t="str">
        <f>IFERROR(__xludf.DUMMYFUNCTION("""COMPUTED_VALUE"""),"Bank")</f>
        <v>Bank</v>
      </c>
    </row>
    <row r="1292">
      <c r="A1292" s="4" t="str">
        <f>IFERROR(__xludf.DUMMYFUNCTION("""COMPUTED_VALUE"""),"bankbrc")</f>
        <v>bankbrc</v>
      </c>
      <c r="B1292" s="4" t="str">
        <f>IFERROR(__xludf.DUMMYFUNCTION("""COMPUTED_VALUE"""),"bank")</f>
        <v>bank</v>
      </c>
      <c r="C1292" s="4" t="str">
        <f>IFERROR(__xludf.DUMMYFUNCTION("""COMPUTED_VALUE"""),"BANK (Ordinals)")</f>
        <v>BANK (Ordinals)</v>
      </c>
    </row>
    <row r="1293">
      <c r="A1293" s="4" t="str">
        <f>IFERROR(__xludf.DUMMYFUNCTION("""COMPUTED_VALUE"""),"bank-btc")</f>
        <v>bank-btc</v>
      </c>
      <c r="B1293" s="4" t="str">
        <f>IFERROR(__xludf.DUMMYFUNCTION("""COMPUTED_VALUE"""),"bankbtc")</f>
        <v>bankbtc</v>
      </c>
      <c r="C1293" s="4" t="str">
        <f>IFERROR(__xludf.DUMMYFUNCTION("""COMPUTED_VALUE"""),"Bank BTC")</f>
        <v>Bank BTC</v>
      </c>
    </row>
    <row r="1294">
      <c r="A1294" s="4" t="str">
        <f>IFERROR(__xludf.DUMMYFUNCTION("""COMPUTED_VALUE"""),"bank-btc-2")</f>
        <v>bank-btc-2</v>
      </c>
      <c r="B1294" s="4" t="str">
        <f>IFERROR(__xludf.DUMMYFUNCTION("""COMPUTED_VALUE"""),"bankbtc")</f>
        <v>bankbtc</v>
      </c>
      <c r="C1294" s="4" t="str">
        <f>IFERROR(__xludf.DUMMYFUNCTION("""COMPUTED_VALUE"""),"Bank BTC")</f>
        <v>Bank BTC</v>
      </c>
    </row>
    <row r="1295">
      <c r="A1295" s="4" t="str">
        <f>IFERROR(__xludf.DUMMYFUNCTION("""COMPUTED_VALUE"""),"bankera")</f>
        <v>bankera</v>
      </c>
      <c r="B1295" s="4" t="str">
        <f>IFERROR(__xludf.DUMMYFUNCTION("""COMPUTED_VALUE"""),"bnk")</f>
        <v>bnk</v>
      </c>
      <c r="C1295" s="4" t="str">
        <f>IFERROR(__xludf.DUMMYFUNCTION("""COMPUTED_VALUE"""),"Bankera")</f>
        <v>Bankera</v>
      </c>
    </row>
    <row r="1296">
      <c r="A1296" s="4" t="str">
        <f>IFERROR(__xludf.DUMMYFUNCTION("""COMPUTED_VALUE"""),"bankercoin")</f>
        <v>bankercoin</v>
      </c>
      <c r="B1296" s="4" t="str">
        <f>IFERROR(__xludf.DUMMYFUNCTION("""COMPUTED_VALUE"""),"$bank")</f>
        <v>$bank</v>
      </c>
      <c r="C1296" s="4" t="str">
        <f>IFERROR(__xludf.DUMMYFUNCTION("""COMPUTED_VALUE"""),"Bankercoin")</f>
        <v>Bankercoin</v>
      </c>
    </row>
    <row r="1297">
      <c r="A1297" s="4" t="str">
        <f>IFERROR(__xludf.DUMMYFUNCTION("""COMPUTED_VALUE"""),"bankers-dream")</f>
        <v>bankers-dream</v>
      </c>
      <c r="B1297" s="4" t="str">
        <f>IFERROR(__xludf.DUMMYFUNCTION("""COMPUTED_VALUE"""),"bank$")</f>
        <v>bank$</v>
      </c>
      <c r="C1297" s="4" t="str">
        <f>IFERROR(__xludf.DUMMYFUNCTION("""COMPUTED_VALUE"""),"Bankers Dream")</f>
        <v>Bankers Dream</v>
      </c>
    </row>
    <row r="1298">
      <c r="A1298" s="4" t="str">
        <f>IFERROR(__xludf.DUMMYFUNCTION("""COMPUTED_VALUE"""),"bankless-bed-index")</f>
        <v>bankless-bed-index</v>
      </c>
      <c r="B1298" s="4" t="str">
        <f>IFERROR(__xludf.DUMMYFUNCTION("""COMPUTED_VALUE"""),"bed")</f>
        <v>bed</v>
      </c>
      <c r="C1298" s="4" t="str">
        <f>IFERROR(__xludf.DUMMYFUNCTION("""COMPUTED_VALUE"""),"Bankless BED Index")</f>
        <v>Bankless BED Index</v>
      </c>
    </row>
    <row r="1299">
      <c r="A1299" s="4" t="str">
        <f>IFERROR(__xludf.DUMMYFUNCTION("""COMPUTED_VALUE"""),"bankless-dao")</f>
        <v>bankless-dao</v>
      </c>
      <c r="B1299" s="4" t="str">
        <f>IFERROR(__xludf.DUMMYFUNCTION("""COMPUTED_VALUE"""),"bank")</f>
        <v>bank</v>
      </c>
      <c r="C1299" s="4" t="str">
        <f>IFERROR(__xludf.DUMMYFUNCTION("""COMPUTED_VALUE"""),"Bankless DAO")</f>
        <v>Bankless DAO</v>
      </c>
    </row>
    <row r="1300">
      <c r="A1300" s="4" t="str">
        <f>IFERROR(__xludf.DUMMYFUNCTION("""COMPUTED_VALUE"""),"bankroll-vault")</f>
        <v>bankroll-vault</v>
      </c>
      <c r="B1300" s="4" t="str">
        <f>IFERROR(__xludf.DUMMYFUNCTION("""COMPUTED_VALUE"""),"vlt")</f>
        <v>vlt</v>
      </c>
      <c r="C1300" s="4" t="str">
        <f>IFERROR(__xludf.DUMMYFUNCTION("""COMPUTED_VALUE"""),"Bankroll Vault")</f>
        <v>Bankroll Vault</v>
      </c>
    </row>
    <row r="1301">
      <c r="A1301" s="4" t="str">
        <f>IFERROR(__xludf.DUMMYFUNCTION("""COMPUTED_VALUE"""),"banksocial")</f>
        <v>banksocial</v>
      </c>
      <c r="B1301" s="4" t="str">
        <f>IFERROR(__xludf.DUMMYFUNCTION("""COMPUTED_VALUE"""),"bsl")</f>
        <v>bsl</v>
      </c>
      <c r="C1301" s="4" t="str">
        <f>IFERROR(__xludf.DUMMYFUNCTION("""COMPUTED_VALUE"""),"BankSocial")</f>
        <v>BankSocial</v>
      </c>
    </row>
    <row r="1302">
      <c r="A1302" s="4" t="str">
        <f>IFERROR(__xludf.DUMMYFUNCTION("""COMPUTED_VALUE"""),"banque-universal")</f>
        <v>banque-universal</v>
      </c>
      <c r="B1302" s="4" t="str">
        <f>IFERROR(__xludf.DUMMYFUNCTION("""COMPUTED_VALUE"""),"cbu")</f>
        <v>cbu</v>
      </c>
      <c r="C1302" s="4" t="str">
        <f>IFERROR(__xludf.DUMMYFUNCTION("""COMPUTED_VALUE"""),"Banque Universal")</f>
        <v>Banque Universal</v>
      </c>
    </row>
    <row r="1303">
      <c r="A1303" s="4" t="str">
        <f>IFERROR(__xludf.DUMMYFUNCTION("""COMPUTED_VALUE"""),"bantu")</f>
        <v>bantu</v>
      </c>
      <c r="B1303" s="4" t="str">
        <f>IFERROR(__xludf.DUMMYFUNCTION("""COMPUTED_VALUE"""),"xbn")</f>
        <v>xbn</v>
      </c>
      <c r="C1303" s="4" t="str">
        <f>IFERROR(__xludf.DUMMYFUNCTION("""COMPUTED_VALUE"""),"Bantu")</f>
        <v>Bantu</v>
      </c>
    </row>
    <row r="1304">
      <c r="A1304" s="4" t="str">
        <f>IFERROR(__xludf.DUMMYFUNCTION("""COMPUTED_VALUE"""),"banus-finance")</f>
        <v>banus-finance</v>
      </c>
      <c r="B1304" s="4" t="str">
        <f>IFERROR(__xludf.DUMMYFUNCTION("""COMPUTED_VALUE"""),"banus")</f>
        <v>banus</v>
      </c>
      <c r="C1304" s="4" t="str">
        <f>IFERROR(__xludf.DUMMYFUNCTION("""COMPUTED_VALUE"""),"Banus Finance")</f>
        <v>Banus Finance</v>
      </c>
    </row>
    <row r="1305">
      <c r="A1305" s="4" t="str">
        <f>IFERROR(__xludf.DUMMYFUNCTION("""COMPUTED_VALUE"""),"banx")</f>
        <v>banx</v>
      </c>
      <c r="B1305" s="4" t="str">
        <f>IFERROR(__xludf.DUMMYFUNCTION("""COMPUTED_VALUE"""),"banx")</f>
        <v>banx</v>
      </c>
      <c r="C1305" s="4" t="str">
        <f>IFERROR(__xludf.DUMMYFUNCTION("""COMPUTED_VALUE"""),"BANX")</f>
        <v>BANX</v>
      </c>
    </row>
    <row r="1306">
      <c r="A1306" s="4" t="str">
        <f>IFERROR(__xludf.DUMMYFUNCTION("""COMPUTED_VALUE"""),"baobaosol")</f>
        <v>baobaosol</v>
      </c>
      <c r="B1306" s="4" t="str">
        <f>IFERROR(__xludf.DUMMYFUNCTION("""COMPUTED_VALUE"""),"baos")</f>
        <v>baos</v>
      </c>
      <c r="C1306" s="4" t="str">
        <f>IFERROR(__xludf.DUMMYFUNCTION("""COMPUTED_VALUE"""),"BaoBaoSol")</f>
        <v>BaoBaoSol</v>
      </c>
    </row>
    <row r="1307">
      <c r="A1307" s="4" t="str">
        <f>IFERROR(__xludf.DUMMYFUNCTION("""COMPUTED_VALUE"""),"baoeth-eth-stablepool")</f>
        <v>baoeth-eth-stablepool</v>
      </c>
      <c r="B1307" s="4" t="str">
        <f>IFERROR(__xludf.DUMMYFUNCTION("""COMPUTED_VALUE"""),"b-baoeth-eth-bpt")</f>
        <v>b-baoeth-eth-bpt</v>
      </c>
      <c r="C1307" s="4" t="str">
        <f>IFERROR(__xludf.DUMMYFUNCTION("""COMPUTED_VALUE"""),"baoETH-ETH StablePool")</f>
        <v>baoETH-ETH StablePool</v>
      </c>
    </row>
    <row r="1308">
      <c r="A1308" s="4" t="str">
        <f>IFERROR(__xludf.DUMMYFUNCTION("""COMPUTED_VALUE"""),"bao-finance")</f>
        <v>bao-finance</v>
      </c>
      <c r="B1308" s="4" t="str">
        <f>IFERROR(__xludf.DUMMYFUNCTION("""COMPUTED_VALUE"""),"bao")</f>
        <v>bao</v>
      </c>
      <c r="C1308" s="4" t="str">
        <f>IFERROR(__xludf.DUMMYFUNCTION("""COMPUTED_VALUE"""),"Bao Finance")</f>
        <v>Bao Finance</v>
      </c>
    </row>
    <row r="1309">
      <c r="A1309" s="4" t="str">
        <f>IFERROR(__xludf.DUMMYFUNCTION("""COMPUTED_VALUE"""),"bao-finance-v2")</f>
        <v>bao-finance-v2</v>
      </c>
      <c r="B1309" s="4" t="str">
        <f>IFERROR(__xludf.DUMMYFUNCTION("""COMPUTED_VALUE"""),"bao")</f>
        <v>bao</v>
      </c>
      <c r="C1309" s="4" t="str">
        <f>IFERROR(__xludf.DUMMYFUNCTION("""COMPUTED_VALUE"""),"Bao Finance V2")</f>
        <v>Bao Finance V2</v>
      </c>
    </row>
    <row r="1310">
      <c r="A1310" s="4" t="str">
        <f>IFERROR(__xludf.DUMMYFUNCTION("""COMPUTED_VALUE"""),"barbiecrashbandicootrfk88")</f>
        <v>barbiecrashbandicootrfk88</v>
      </c>
      <c r="B1310" s="4" t="str">
        <f>IFERROR(__xludf.DUMMYFUNCTION("""COMPUTED_VALUE"""),"solana")</f>
        <v>solana</v>
      </c>
      <c r="C1310" s="4" t="str">
        <f>IFERROR(__xludf.DUMMYFUNCTION("""COMPUTED_VALUE"""),"BarbieCrashBandicootRFK88")</f>
        <v>BarbieCrashBandicootRFK88</v>
      </c>
    </row>
    <row r="1311">
      <c r="A1311" s="4" t="str">
        <f>IFERROR(__xludf.DUMMYFUNCTION("""COMPUTED_VALUE"""),"bark")</f>
        <v>bark</v>
      </c>
      <c r="B1311" s="4" t="str">
        <f>IFERROR(__xludf.DUMMYFUNCTION("""COMPUTED_VALUE"""),"bark")</f>
        <v>bark</v>
      </c>
      <c r="C1311" s="4" t="str">
        <f>IFERROR(__xludf.DUMMYFUNCTION("""COMPUTED_VALUE"""),"Bark")</f>
        <v>Bark</v>
      </c>
    </row>
    <row r="1312">
      <c r="A1312" s="4" t="str">
        <f>IFERROR(__xludf.DUMMYFUNCTION("""COMPUTED_VALUE"""),"bark-ai")</f>
        <v>bark-ai</v>
      </c>
      <c r="B1312" s="4" t="str">
        <f>IFERROR(__xludf.DUMMYFUNCTION("""COMPUTED_VALUE"""),"bark")</f>
        <v>bark</v>
      </c>
      <c r="C1312" s="4" t="str">
        <f>IFERROR(__xludf.DUMMYFUNCTION("""COMPUTED_VALUE"""),"Bark AI")</f>
        <v>Bark AI</v>
      </c>
    </row>
    <row r="1313">
      <c r="A1313" s="4" t="str">
        <f>IFERROR(__xludf.DUMMYFUNCTION("""COMPUTED_VALUE"""),"bark-gas-token")</f>
        <v>bark-gas-token</v>
      </c>
      <c r="B1313" s="4" t="str">
        <f>IFERROR(__xludf.DUMMYFUNCTION("""COMPUTED_VALUE"""),"bark")</f>
        <v>bark</v>
      </c>
      <c r="C1313" s="4" t="str">
        <f>IFERROR(__xludf.DUMMYFUNCTION("""COMPUTED_VALUE"""),"Bark Gas Token")</f>
        <v>Bark Gas Token</v>
      </c>
    </row>
    <row r="1314">
      <c r="A1314" s="4" t="str">
        <f>IFERROR(__xludf.DUMMYFUNCTION("""COMPUTED_VALUE"""),"barking")</f>
        <v>barking</v>
      </c>
      <c r="B1314" s="4" t="str">
        <f>IFERROR(__xludf.DUMMYFUNCTION("""COMPUTED_VALUE"""),"bark")</f>
        <v>bark</v>
      </c>
      <c r="C1314" s="4" t="str">
        <f>IFERROR(__xludf.DUMMYFUNCTION("""COMPUTED_VALUE"""),"Barking")</f>
        <v>Barking</v>
      </c>
    </row>
    <row r="1315">
      <c r="A1315" s="4" t="str">
        <f>IFERROR(__xludf.DUMMYFUNCTION("""COMPUTED_VALUE"""),"barley-finance")</f>
        <v>barley-finance</v>
      </c>
      <c r="B1315" s="4" t="str">
        <f>IFERROR(__xludf.DUMMYFUNCTION("""COMPUTED_VALUE"""),"barl")</f>
        <v>barl</v>
      </c>
      <c r="C1315" s="4" t="str">
        <f>IFERROR(__xludf.DUMMYFUNCTION("""COMPUTED_VALUE"""),"Barley Finance")</f>
        <v>Barley Finance</v>
      </c>
    </row>
    <row r="1316">
      <c r="A1316" s="4" t="str">
        <f>IFERROR(__xludf.DUMMYFUNCTION("""COMPUTED_VALUE"""),"barnbridge")</f>
        <v>barnbridge</v>
      </c>
      <c r="B1316" s="4" t="str">
        <f>IFERROR(__xludf.DUMMYFUNCTION("""COMPUTED_VALUE"""),"bond")</f>
        <v>bond</v>
      </c>
      <c r="C1316" s="4" t="str">
        <f>IFERROR(__xludf.DUMMYFUNCTION("""COMPUTED_VALUE"""),"BarnBridge")</f>
        <v>BarnBridge</v>
      </c>
    </row>
    <row r="1317">
      <c r="A1317" s="4" t="str">
        <f>IFERROR(__xludf.DUMMYFUNCTION("""COMPUTED_VALUE"""),"barsik")</f>
        <v>barsik</v>
      </c>
      <c r="B1317" s="4" t="str">
        <f>IFERROR(__xludf.DUMMYFUNCTION("""COMPUTED_VALUE"""),"barsik")</f>
        <v>barsik</v>
      </c>
      <c r="C1317" s="4" t="str">
        <f>IFERROR(__xludf.DUMMYFUNCTION("""COMPUTED_VALUE"""),"BARSIK")</f>
        <v>BARSIK</v>
      </c>
    </row>
    <row r="1318">
      <c r="A1318" s="4" t="str">
        <f>IFERROR(__xludf.DUMMYFUNCTION("""COMPUTED_VALUE"""),"barter")</f>
        <v>barter</v>
      </c>
      <c r="B1318" s="4" t="str">
        <f>IFERROR(__xludf.DUMMYFUNCTION("""COMPUTED_VALUE"""),"brtr")</f>
        <v>brtr</v>
      </c>
      <c r="C1318" s="4" t="str">
        <f>IFERROR(__xludf.DUMMYFUNCTION("""COMPUTED_VALUE"""),"Barter")</f>
        <v>Barter</v>
      </c>
    </row>
    <row r="1319">
      <c r="A1319" s="4" t="str">
        <f>IFERROR(__xludf.DUMMYFUNCTION("""COMPUTED_VALUE"""),"base")</f>
        <v>base</v>
      </c>
      <c r="B1319" s="4" t="str">
        <f>IFERROR(__xludf.DUMMYFUNCTION("""COMPUTED_VALUE"""),"base")</f>
        <v>base</v>
      </c>
      <c r="C1319" s="4" t="str">
        <f>IFERROR(__xludf.DUMMYFUNCTION("""COMPUTED_VALUE"""),"Base")</f>
        <v>Base</v>
      </c>
    </row>
    <row r="1320">
      <c r="A1320" s="4" t="str">
        <f>IFERROR(__xludf.DUMMYFUNCTION("""COMPUTED_VALUE"""),"baseai")</f>
        <v>baseai</v>
      </c>
      <c r="B1320" s="4" t="str">
        <f>IFERROR(__xludf.DUMMYFUNCTION("""COMPUTED_VALUE"""),"baseai")</f>
        <v>baseai</v>
      </c>
      <c r="C1320" s="4" t="str">
        <f>IFERROR(__xludf.DUMMYFUNCTION("""COMPUTED_VALUE"""),"BaseAI")</f>
        <v>BaseAI</v>
      </c>
    </row>
    <row r="1321">
      <c r="A1321" s="4" t="str">
        <f>IFERROR(__xludf.DUMMYFUNCTION("""COMPUTED_VALUE"""),"baseape")</f>
        <v>baseape</v>
      </c>
      <c r="B1321" s="4" t="str">
        <f>IFERROR(__xludf.DUMMYFUNCTION("""COMPUTED_VALUE"""),"bape")</f>
        <v>bape</v>
      </c>
      <c r="C1321" s="4" t="str">
        <f>IFERROR(__xludf.DUMMYFUNCTION("""COMPUTED_VALUE"""),"Baseape")</f>
        <v>Baseape</v>
      </c>
    </row>
    <row r="1322">
      <c r="A1322" s="4" t="str">
        <f>IFERROR(__xludf.DUMMYFUNCTION("""COMPUTED_VALUE"""),"base-baboon")</f>
        <v>base-baboon</v>
      </c>
      <c r="B1322" s="4" t="str">
        <f>IFERROR(__xludf.DUMMYFUNCTION("""COMPUTED_VALUE"""),"boon")</f>
        <v>boon</v>
      </c>
      <c r="C1322" s="4" t="str">
        <f>IFERROR(__xludf.DUMMYFUNCTION("""COMPUTED_VALUE"""),"Base Baboon")</f>
        <v>Base Baboon</v>
      </c>
    </row>
    <row r="1323">
      <c r="A1323" s="4" t="str">
        <f>IFERROR(__xludf.DUMMYFUNCTION("""COMPUTED_VALUE"""),"basebank")</f>
        <v>basebank</v>
      </c>
      <c r="B1323" s="4" t="str">
        <f>IFERROR(__xludf.DUMMYFUNCTION("""COMPUTED_VALUE"""),"bbank")</f>
        <v>bbank</v>
      </c>
      <c r="C1323" s="4" t="str">
        <f>IFERROR(__xludf.DUMMYFUNCTION("""COMPUTED_VALUE"""),"BaseBank")</f>
        <v>BaseBank</v>
      </c>
    </row>
    <row r="1324">
      <c r="A1324" s="4" t="str">
        <f>IFERROR(__xludf.DUMMYFUNCTION("""COMPUTED_VALUE"""),"base-book")</f>
        <v>base-book</v>
      </c>
      <c r="B1324" s="4" t="str">
        <f>IFERROR(__xludf.DUMMYFUNCTION("""COMPUTED_VALUE"""),"$bbook")</f>
        <v>$bbook</v>
      </c>
      <c r="C1324" s="4" t="str">
        <f>IFERROR(__xludf.DUMMYFUNCTION("""COMPUTED_VALUE"""),"BASE BOOK")</f>
        <v>BASE BOOK</v>
      </c>
    </row>
    <row r="1325">
      <c r="A1325" s="4" t="str">
        <f>IFERROR(__xludf.DUMMYFUNCTION("""COMPUTED_VALUE"""),"basedai")</f>
        <v>basedai</v>
      </c>
      <c r="B1325" s="4" t="str">
        <f>IFERROR(__xludf.DUMMYFUNCTION("""COMPUTED_VALUE"""),"basedai")</f>
        <v>basedai</v>
      </c>
      <c r="C1325" s="4" t="str">
        <f>IFERROR(__xludf.DUMMYFUNCTION("""COMPUTED_VALUE"""),"BasedAI")</f>
        <v>BasedAI</v>
      </c>
    </row>
    <row r="1326">
      <c r="A1326" s="4" t="str">
        <f>IFERROR(__xludf.DUMMYFUNCTION("""COMPUTED_VALUE"""),"based-ai")</f>
        <v>based-ai</v>
      </c>
      <c r="B1326" s="4" t="str">
        <f>IFERROR(__xludf.DUMMYFUNCTION("""COMPUTED_VALUE"""),"bai")</f>
        <v>bai</v>
      </c>
      <c r="C1326" s="4" t="str">
        <f>IFERROR(__xludf.DUMMYFUNCTION("""COMPUTED_VALUE"""),"Based AI")</f>
        <v>Based AI</v>
      </c>
    </row>
    <row r="1327">
      <c r="A1327" s="4" t="str">
        <f>IFERROR(__xludf.DUMMYFUNCTION("""COMPUTED_VALUE"""),"based-baby")</f>
        <v>based-baby</v>
      </c>
      <c r="B1327" s="4" t="str">
        <f>IFERROR(__xludf.DUMMYFUNCTION("""COMPUTED_VALUE"""),"bbb")</f>
        <v>bbb</v>
      </c>
      <c r="C1327" s="4" t="str">
        <f>IFERROR(__xludf.DUMMYFUNCTION("""COMPUTED_VALUE"""),"Based Baby")</f>
        <v>Based Baby</v>
      </c>
    </row>
    <row r="1328">
      <c r="A1328" s="4" t="str">
        <f>IFERROR(__xludf.DUMMYFUNCTION("""COMPUTED_VALUE"""),"based-bober")</f>
        <v>based-bober</v>
      </c>
      <c r="B1328" s="4" t="str">
        <f>IFERROR(__xludf.DUMMYFUNCTION("""COMPUTED_VALUE"""),"bober")</f>
        <v>bober</v>
      </c>
      <c r="C1328" s="4" t="str">
        <f>IFERROR(__xludf.DUMMYFUNCTION("""COMPUTED_VALUE"""),"based bober")</f>
        <v>based bober</v>
      </c>
    </row>
    <row r="1329">
      <c r="A1329" s="4" t="str">
        <f>IFERROR(__xludf.DUMMYFUNCTION("""COMPUTED_VALUE"""),"based-brett")</f>
        <v>based-brett</v>
      </c>
      <c r="B1329" s="4" t="str">
        <f>IFERROR(__xludf.DUMMYFUNCTION("""COMPUTED_VALUE"""),"brett")</f>
        <v>brett</v>
      </c>
      <c r="C1329" s="4" t="str">
        <f>IFERROR(__xludf.DUMMYFUNCTION("""COMPUTED_VALUE"""),"Brett")</f>
        <v>Brett</v>
      </c>
    </row>
    <row r="1330">
      <c r="A1330" s="4" t="str">
        <f>IFERROR(__xludf.DUMMYFUNCTION("""COMPUTED_VALUE"""),"based-brians")</f>
        <v>based-brians</v>
      </c>
      <c r="B1330" s="4" t="str">
        <f>IFERROR(__xludf.DUMMYFUNCTION("""COMPUTED_VALUE"""),"cap")</f>
        <v>cap</v>
      </c>
      <c r="C1330" s="4" t="str">
        <f>IFERROR(__xludf.DUMMYFUNCTION("""COMPUTED_VALUE"""),"Based Brians")</f>
        <v>Based Brians</v>
      </c>
    </row>
    <row r="1331">
      <c r="A1331" s="4" t="str">
        <f>IFERROR(__xludf.DUMMYFUNCTION("""COMPUTED_VALUE"""),"basedchad")</f>
        <v>basedchad</v>
      </c>
      <c r="B1331" s="4" t="str">
        <f>IFERROR(__xludf.DUMMYFUNCTION("""COMPUTED_VALUE"""),"based")</f>
        <v>based</v>
      </c>
      <c r="C1331" s="4" t="str">
        <f>IFERROR(__xludf.DUMMYFUNCTION("""COMPUTED_VALUE"""),"BASEDChad")</f>
        <v>BASEDChad</v>
      </c>
    </row>
    <row r="1332">
      <c r="A1332" s="4" t="str">
        <f>IFERROR(__xludf.DUMMYFUNCTION("""COMPUTED_VALUE"""),"based-chad")</f>
        <v>based-chad</v>
      </c>
      <c r="B1332" s="4" t="str">
        <f>IFERROR(__xludf.DUMMYFUNCTION("""COMPUTED_VALUE"""),"chad")</f>
        <v>chad</v>
      </c>
      <c r="C1332" s="4" t="str">
        <f>IFERROR(__xludf.DUMMYFUNCTION("""COMPUTED_VALUE"""),"Based Chad")</f>
        <v>Based Chad</v>
      </c>
    </row>
    <row r="1333">
      <c r="A1333" s="4" t="str">
        <f>IFERROR(__xludf.DUMMYFUNCTION("""COMPUTED_VALUE"""),"based-degen-apes")</f>
        <v>based-degen-apes</v>
      </c>
      <c r="B1333" s="4" t="str">
        <f>IFERROR(__xludf.DUMMYFUNCTION("""COMPUTED_VALUE"""),"apes")</f>
        <v>apes</v>
      </c>
      <c r="C1333" s="4" t="str">
        <f>IFERROR(__xludf.DUMMYFUNCTION("""COMPUTED_VALUE"""),"Based Degen Apes")</f>
        <v>Based Degen Apes</v>
      </c>
    </row>
    <row r="1334">
      <c r="A1334" s="4" t="str">
        <f>IFERROR(__xludf.DUMMYFUNCTION("""COMPUTED_VALUE"""),"based-eth")</f>
        <v>based-eth</v>
      </c>
      <c r="B1334" s="4" t="str">
        <f>IFERROR(__xludf.DUMMYFUNCTION("""COMPUTED_VALUE"""),"bsdeth")</f>
        <v>bsdeth</v>
      </c>
      <c r="C1334" s="4" t="str">
        <f>IFERROR(__xludf.DUMMYFUNCTION("""COMPUTED_VALUE"""),"Based ETH")</f>
        <v>Based ETH</v>
      </c>
    </row>
    <row r="1335">
      <c r="A1335" s="4" t="str">
        <f>IFERROR(__xludf.DUMMYFUNCTION("""COMPUTED_VALUE"""),"based-farm")</f>
        <v>based-farm</v>
      </c>
      <c r="B1335" s="4" t="str">
        <f>IFERROR(__xludf.DUMMYFUNCTION("""COMPUTED_VALUE"""),"based")</f>
        <v>based</v>
      </c>
      <c r="C1335" s="4" t="str">
        <f>IFERROR(__xludf.DUMMYFUNCTION("""COMPUTED_VALUE"""),"Based Farm")</f>
        <v>Based Farm</v>
      </c>
    </row>
    <row r="1336">
      <c r="A1336" s="4" t="str">
        <f>IFERROR(__xludf.DUMMYFUNCTION("""COMPUTED_VALUE"""),"based-finance")</f>
        <v>based-finance</v>
      </c>
      <c r="B1336" s="4" t="str">
        <f>IFERROR(__xludf.DUMMYFUNCTION("""COMPUTED_VALUE"""),"based")</f>
        <v>based</v>
      </c>
      <c r="C1336" s="4" t="str">
        <f>IFERROR(__xludf.DUMMYFUNCTION("""COMPUTED_VALUE"""),"Based Finance")</f>
        <v>Based Finance</v>
      </c>
    </row>
    <row r="1337">
      <c r="A1337" s="4" t="str">
        <f>IFERROR(__xludf.DUMMYFUNCTION("""COMPUTED_VALUE"""),"based-fink")</f>
        <v>based-fink</v>
      </c>
      <c r="B1337" s="4" t="str">
        <f>IFERROR(__xludf.DUMMYFUNCTION("""COMPUTED_VALUE"""),"fink")</f>
        <v>fink</v>
      </c>
      <c r="C1337" s="4" t="str">
        <f>IFERROR(__xludf.DUMMYFUNCTION("""COMPUTED_VALUE"""),"Based Fink")</f>
        <v>Based Fink</v>
      </c>
    </row>
    <row r="1338">
      <c r="A1338" s="4" t="str">
        <f>IFERROR(__xludf.DUMMYFUNCTION("""COMPUTED_VALUE"""),"based-floki")</f>
        <v>based-floki</v>
      </c>
      <c r="B1338" s="4" t="str">
        <f>IFERROR(__xludf.DUMMYFUNCTION("""COMPUTED_VALUE"""),"bloki")</f>
        <v>bloki</v>
      </c>
      <c r="C1338" s="4" t="str">
        <f>IFERROR(__xludf.DUMMYFUNCTION("""COMPUTED_VALUE"""),"Based Floki")</f>
        <v>Based Floki</v>
      </c>
    </row>
    <row r="1339">
      <c r="A1339" s="4" t="str">
        <f>IFERROR(__xludf.DUMMYFUNCTION("""COMPUTED_VALUE"""),"based-markets")</f>
        <v>based-markets</v>
      </c>
      <c r="B1339" s="4" t="str">
        <f>IFERROR(__xludf.DUMMYFUNCTION("""COMPUTED_VALUE"""),"based")</f>
        <v>based</v>
      </c>
      <c r="C1339" s="4" t="str">
        <f>IFERROR(__xludf.DUMMYFUNCTION("""COMPUTED_VALUE"""),"based.markets")</f>
        <v>based.markets</v>
      </c>
    </row>
    <row r="1340">
      <c r="A1340" s="4" t="str">
        <f>IFERROR(__xludf.DUMMYFUNCTION("""COMPUTED_VALUE"""),"based-money-finance")</f>
        <v>based-money-finance</v>
      </c>
      <c r="B1340" s="4" t="str">
        <f>IFERROR(__xludf.DUMMYFUNCTION("""COMPUTED_VALUE"""),"based")</f>
        <v>based</v>
      </c>
      <c r="C1340" s="4" t="str">
        <f>IFERROR(__xludf.DUMMYFUNCTION("""COMPUTED_VALUE"""),"Based Money Finance")</f>
        <v>Based Money Finance</v>
      </c>
    </row>
    <row r="1341">
      <c r="A1341" s="4" t="str">
        <f>IFERROR(__xludf.DUMMYFUNCTION("""COMPUTED_VALUE"""),"base-dog")</f>
        <v>base-dog</v>
      </c>
      <c r="B1341" s="4" t="str">
        <f>IFERROR(__xludf.DUMMYFUNCTION("""COMPUTED_VALUE"""),"dog")</f>
        <v>dog</v>
      </c>
      <c r="C1341" s="4" t="str">
        <f>IFERROR(__xludf.DUMMYFUNCTION("""COMPUTED_VALUE"""),"Base DOG")</f>
        <v>Base DOG</v>
      </c>
    </row>
    <row r="1342">
      <c r="A1342" s="4" t="str">
        <f>IFERROR(__xludf.DUMMYFUNCTION("""COMPUTED_VALUE"""),"based-peaches")</f>
        <v>based-peaches</v>
      </c>
      <c r="B1342" s="4" t="str">
        <f>IFERROR(__xludf.DUMMYFUNCTION("""COMPUTED_VALUE"""),"peach")</f>
        <v>peach</v>
      </c>
      <c r="C1342" s="4" t="str">
        <f>IFERROR(__xludf.DUMMYFUNCTION("""COMPUTED_VALUE"""),"Based Peaches")</f>
        <v>Based Peaches</v>
      </c>
    </row>
    <row r="1343">
      <c r="A1343" s="4" t="str">
        <f>IFERROR(__xludf.DUMMYFUNCTION("""COMPUTED_VALUE"""),"based-peng")</f>
        <v>based-peng</v>
      </c>
      <c r="B1343" s="4" t="str">
        <f>IFERROR(__xludf.DUMMYFUNCTION("""COMPUTED_VALUE"""),"beng")</f>
        <v>beng</v>
      </c>
      <c r="C1343" s="4" t="str">
        <f>IFERROR(__xludf.DUMMYFUNCTION("""COMPUTED_VALUE"""),"Based Peng")</f>
        <v>Based Peng</v>
      </c>
    </row>
    <row r="1344">
      <c r="A1344" s="4" t="str">
        <f>IFERROR(__xludf.DUMMYFUNCTION("""COMPUTED_VALUE"""),"based-potato")</f>
        <v>based-potato</v>
      </c>
      <c r="B1344" s="4" t="str">
        <f>IFERROR(__xludf.DUMMYFUNCTION("""COMPUTED_VALUE"""),"potato")</f>
        <v>potato</v>
      </c>
      <c r="C1344" s="4" t="str">
        <f>IFERROR(__xludf.DUMMYFUNCTION("""COMPUTED_VALUE"""),"Based Potato")</f>
        <v>Based Potato</v>
      </c>
    </row>
    <row r="1345">
      <c r="A1345" s="4" t="str">
        <f>IFERROR(__xludf.DUMMYFUNCTION("""COMPUTED_VALUE"""),"based-rate")</f>
        <v>based-rate</v>
      </c>
      <c r="B1345" s="4" t="str">
        <f>IFERROR(__xludf.DUMMYFUNCTION("""COMPUTED_VALUE"""),"brate")</f>
        <v>brate</v>
      </c>
      <c r="C1345" s="4" t="str">
        <f>IFERROR(__xludf.DUMMYFUNCTION("""COMPUTED_VALUE"""),"Based Rate")</f>
        <v>Based Rate</v>
      </c>
    </row>
    <row r="1346">
      <c r="A1346" s="4" t="str">
        <f>IFERROR(__xludf.DUMMYFUNCTION("""COMPUTED_VALUE"""),"based-rate-share")</f>
        <v>based-rate-share</v>
      </c>
      <c r="B1346" s="4" t="str">
        <f>IFERROR(__xludf.DUMMYFUNCTION("""COMPUTED_VALUE"""),"bshare")</f>
        <v>bshare</v>
      </c>
      <c r="C1346" s="4" t="str">
        <f>IFERROR(__xludf.DUMMYFUNCTION("""COMPUTED_VALUE"""),"Based Rate Share")</f>
        <v>Based Rate Share</v>
      </c>
    </row>
    <row r="1347">
      <c r="A1347" s="4" t="str">
        <f>IFERROR(__xludf.DUMMYFUNCTION("""COMPUTED_VALUE"""),"based-shiba-inu")</f>
        <v>based-shiba-inu</v>
      </c>
      <c r="B1347" s="4" t="str">
        <f>IFERROR(__xludf.DUMMYFUNCTION("""COMPUTED_VALUE"""),"bshib")</f>
        <v>bshib</v>
      </c>
      <c r="C1347" s="4" t="str">
        <f>IFERROR(__xludf.DUMMYFUNCTION("""COMPUTED_VALUE"""),"Based Shiba Inu")</f>
        <v>Based Shiba Inu</v>
      </c>
    </row>
    <row r="1348">
      <c r="A1348" s="4" t="str">
        <f>IFERROR(__xludf.DUMMYFUNCTION("""COMPUTED_VALUE"""),"based-street-bets")</f>
        <v>based-street-bets</v>
      </c>
      <c r="B1348" s="4" t="str">
        <f>IFERROR(__xludf.DUMMYFUNCTION("""COMPUTED_VALUE"""),"bsb")</f>
        <v>bsb</v>
      </c>
      <c r="C1348" s="4" t="str">
        <f>IFERROR(__xludf.DUMMYFUNCTION("""COMPUTED_VALUE"""),"Based Street Bets")</f>
        <v>Based Street Bets</v>
      </c>
    </row>
    <row r="1349">
      <c r="A1349" s="4" t="str">
        <f>IFERROR(__xludf.DUMMYFUNCTION("""COMPUTED_VALUE"""),"base-god")</f>
        <v>base-god</v>
      </c>
      <c r="B1349" s="4" t="str">
        <f>IFERROR(__xludf.DUMMYFUNCTION("""COMPUTED_VALUE"""),"tybg")</f>
        <v>tybg</v>
      </c>
      <c r="C1349" s="4" t="str">
        <f>IFERROR(__xludf.DUMMYFUNCTION("""COMPUTED_VALUE"""),"Base God")</f>
        <v>Base God</v>
      </c>
    </row>
    <row r="1350">
      <c r="A1350" s="4" t="str">
        <f>IFERROR(__xludf.DUMMYFUNCTION("""COMPUTED_VALUE"""),"baseic")</f>
        <v>baseic</v>
      </c>
      <c r="B1350" s="4" t="str">
        <f>IFERROR(__xludf.DUMMYFUNCTION("""COMPUTED_VALUE"""),"baseic")</f>
        <v>baseic</v>
      </c>
      <c r="C1350" s="4" t="str">
        <f>IFERROR(__xludf.DUMMYFUNCTION("""COMPUTED_VALUE"""),"Baseic")</f>
        <v>Baseic</v>
      </c>
    </row>
    <row r="1351">
      <c r="A1351" s="4" t="str">
        <f>IFERROR(__xludf.DUMMYFUNCTION("""COMPUTED_VALUE"""),"baseinu")</f>
        <v>baseinu</v>
      </c>
      <c r="B1351" s="4" t="str">
        <f>IFERROR(__xludf.DUMMYFUNCTION("""COMPUTED_VALUE"""),"binu")</f>
        <v>binu</v>
      </c>
      <c r="C1351" s="4" t="str">
        <f>IFERROR(__xludf.DUMMYFUNCTION("""COMPUTED_VALUE"""),"BaseInu")</f>
        <v>BaseInu</v>
      </c>
    </row>
    <row r="1352">
      <c r="A1352" s="4" t="str">
        <f>IFERROR(__xludf.DUMMYFUNCTION("""COMPUTED_VALUE"""),"base-inu")</f>
        <v>base-inu</v>
      </c>
      <c r="B1352" s="4" t="str">
        <f>IFERROR(__xludf.DUMMYFUNCTION("""COMPUTED_VALUE"""),"binu")</f>
        <v>binu</v>
      </c>
      <c r="C1352" s="4" t="str">
        <f>IFERROR(__xludf.DUMMYFUNCTION("""COMPUTED_VALUE"""),"Base Inu")</f>
        <v>Base Inu</v>
      </c>
    </row>
    <row r="1353">
      <c r="A1353" s="4" t="str">
        <f>IFERROR(__xludf.DUMMYFUNCTION("""COMPUTED_VALUE"""),"base-name-service")</f>
        <v>base-name-service</v>
      </c>
      <c r="B1353" s="4" t="str">
        <f>IFERROR(__xludf.DUMMYFUNCTION("""COMPUTED_VALUE"""),"bns")</f>
        <v>bns</v>
      </c>
      <c r="C1353" s="4" t="str">
        <f>IFERROR(__xludf.DUMMYFUNCTION("""COMPUTED_VALUE"""),"Base Name Service")</f>
        <v>Base Name Service</v>
      </c>
    </row>
    <row r="1354">
      <c r="A1354" s="4" t="str">
        <f>IFERROR(__xludf.DUMMYFUNCTION("""COMPUTED_VALUE"""),"basenji")</f>
        <v>basenji</v>
      </c>
      <c r="B1354" s="4" t="str">
        <f>IFERROR(__xludf.DUMMYFUNCTION("""COMPUTED_VALUE"""),"benji")</f>
        <v>benji</v>
      </c>
      <c r="C1354" s="4" t="str">
        <f>IFERROR(__xludf.DUMMYFUNCTION("""COMPUTED_VALUE"""),"Basenji")</f>
        <v>Basenji</v>
      </c>
    </row>
    <row r="1355">
      <c r="A1355" s="4" t="str">
        <f>IFERROR(__xludf.DUMMYFUNCTION("""COMPUTED_VALUE"""),"base-pro-shops")</f>
        <v>base-pro-shops</v>
      </c>
      <c r="B1355" s="4" t="str">
        <f>IFERROR(__xludf.DUMMYFUNCTION("""COMPUTED_VALUE"""),"bps")</f>
        <v>bps</v>
      </c>
      <c r="C1355" s="4" t="str">
        <f>IFERROR(__xludf.DUMMYFUNCTION("""COMPUTED_VALUE"""),"Base Pro Shops")</f>
        <v>Base Pro Shops</v>
      </c>
    </row>
    <row r="1356">
      <c r="A1356" s="4" t="str">
        <f>IFERROR(__xludf.DUMMYFUNCTION("""COMPUTED_VALUE"""),"base-protocol")</f>
        <v>base-protocol</v>
      </c>
      <c r="B1356" s="4" t="str">
        <f>IFERROR(__xludf.DUMMYFUNCTION("""COMPUTED_VALUE"""),"base")</f>
        <v>base</v>
      </c>
      <c r="C1356" s="4" t="str">
        <f>IFERROR(__xludf.DUMMYFUNCTION("""COMPUTED_VALUE"""),"Base Protocol")</f>
        <v>Base Protocol</v>
      </c>
    </row>
    <row r="1357">
      <c r="A1357" s="4" t="str">
        <f>IFERROR(__xludf.DUMMYFUNCTION("""COMPUTED_VALUE"""),"basesafe")</f>
        <v>basesafe</v>
      </c>
      <c r="B1357" s="4" t="str">
        <f>IFERROR(__xludf.DUMMYFUNCTION("""COMPUTED_VALUE"""),"safe")</f>
        <v>safe</v>
      </c>
      <c r="C1357" s="4" t="str">
        <f>IFERROR(__xludf.DUMMYFUNCTION("""COMPUTED_VALUE"""),"BaseSafe")</f>
        <v>BaseSafe</v>
      </c>
    </row>
    <row r="1358">
      <c r="A1358" s="4" t="str">
        <f>IFERROR(__xludf.DUMMYFUNCTION("""COMPUTED_VALUE"""),"base-street")</f>
        <v>base-street</v>
      </c>
      <c r="B1358" s="4" t="str">
        <f>IFERROR(__xludf.DUMMYFUNCTION("""COMPUTED_VALUE"""),"street")</f>
        <v>street</v>
      </c>
      <c r="C1358" s="4" t="str">
        <f>IFERROR(__xludf.DUMMYFUNCTION("""COMPUTED_VALUE"""),"Base Street")</f>
        <v>Base Street</v>
      </c>
    </row>
    <row r="1359">
      <c r="A1359" s="4" t="str">
        <f>IFERROR(__xludf.DUMMYFUNCTION("""COMPUTED_VALUE"""),"baseswap")</f>
        <v>baseswap</v>
      </c>
      <c r="B1359" s="4" t="str">
        <f>IFERROR(__xludf.DUMMYFUNCTION("""COMPUTED_VALUE"""),"bswap")</f>
        <v>bswap</v>
      </c>
      <c r="C1359" s="4" t="str">
        <f>IFERROR(__xludf.DUMMYFUNCTION("""COMPUTED_VALUE"""),"BaseSwap")</f>
        <v>BaseSwap</v>
      </c>
    </row>
    <row r="1360">
      <c r="A1360" s="4" t="str">
        <f>IFERROR(__xludf.DUMMYFUNCTION("""COMPUTED_VALUE"""),"basetama")</f>
        <v>basetama</v>
      </c>
      <c r="B1360" s="4" t="str">
        <f>IFERROR(__xludf.DUMMYFUNCTION("""COMPUTED_VALUE"""),"btama")</f>
        <v>btama</v>
      </c>
      <c r="C1360" s="4" t="str">
        <f>IFERROR(__xludf.DUMMYFUNCTION("""COMPUTED_VALUE"""),"Basetama")</f>
        <v>Basetama</v>
      </c>
    </row>
    <row r="1361">
      <c r="A1361" s="4" t="str">
        <f>IFERROR(__xludf.DUMMYFUNCTION("""COMPUTED_VALUE"""),"base-velocimeter")</f>
        <v>base-velocimeter</v>
      </c>
      <c r="B1361" s="4" t="str">
        <f>IFERROR(__xludf.DUMMYFUNCTION("""COMPUTED_VALUE"""),"bvm")</f>
        <v>bvm</v>
      </c>
      <c r="C1361" s="4" t="str">
        <f>IFERROR(__xludf.DUMMYFUNCTION("""COMPUTED_VALUE"""),"Base Velocimeter")</f>
        <v>Base Velocimeter</v>
      </c>
    </row>
    <row r="1362">
      <c r="A1362" s="4" t="str">
        <f>IFERROR(__xludf.DUMMYFUNCTION("""COMPUTED_VALUE"""),"basex")</f>
        <v>basex</v>
      </c>
      <c r="B1362" s="4" t="str">
        <f>IFERROR(__xludf.DUMMYFUNCTION("""COMPUTED_VALUE"""),"bsx")</f>
        <v>bsx</v>
      </c>
      <c r="C1362" s="4" t="str">
        <f>IFERROR(__xludf.DUMMYFUNCTION("""COMPUTED_VALUE"""),"BaseX")</f>
        <v>BaseX</v>
      </c>
    </row>
    <row r="1363">
      <c r="A1363" s="4" t="str">
        <f>IFERROR(__xludf.DUMMYFUNCTION("""COMPUTED_VALUE"""),"basexchange")</f>
        <v>basexchange</v>
      </c>
      <c r="B1363" s="4" t="str">
        <f>IFERROR(__xludf.DUMMYFUNCTION("""COMPUTED_VALUE"""),"bex")</f>
        <v>bex</v>
      </c>
      <c r="C1363" s="4" t="str">
        <f>IFERROR(__xludf.DUMMYFUNCTION("""COMPUTED_VALUE"""),"BaseXchange")</f>
        <v>BaseXchange</v>
      </c>
    </row>
    <row r="1364">
      <c r="A1364" s="4" t="str">
        <f>IFERROR(__xludf.DUMMYFUNCTION("""COMPUTED_VALUE"""),"baseyield")</f>
        <v>baseyield</v>
      </c>
      <c r="B1364" s="4" t="str">
        <f>IFERROR(__xludf.DUMMYFUNCTION("""COMPUTED_VALUE"""),"bay")</f>
        <v>bay</v>
      </c>
      <c r="C1364" s="4" t="str">
        <f>IFERROR(__xludf.DUMMYFUNCTION("""COMPUTED_VALUE"""),"BaseYield")</f>
        <v>BaseYield</v>
      </c>
    </row>
    <row r="1365">
      <c r="A1365" s="4" t="str">
        <f>IFERROR(__xludf.DUMMYFUNCTION("""COMPUTED_VALUE"""),"basic-attention-token")</f>
        <v>basic-attention-token</v>
      </c>
      <c r="B1365" s="4" t="str">
        <f>IFERROR(__xludf.DUMMYFUNCTION("""COMPUTED_VALUE"""),"bat")</f>
        <v>bat</v>
      </c>
      <c r="C1365" s="4" t="str">
        <f>IFERROR(__xludf.DUMMYFUNCTION("""COMPUTED_VALUE"""),"Basic Attention")</f>
        <v>Basic Attention</v>
      </c>
    </row>
    <row r="1366">
      <c r="A1366" s="4" t="str">
        <f>IFERROR(__xludf.DUMMYFUNCTION("""COMPUTED_VALUE"""),"basic-dog-meme")</f>
        <v>basic-dog-meme</v>
      </c>
      <c r="B1366" s="4" t="str">
        <f>IFERROR(__xludf.DUMMYFUNCTION("""COMPUTED_VALUE"""),"dog")</f>
        <v>dog</v>
      </c>
      <c r="C1366" s="4" t="str">
        <f>IFERROR(__xludf.DUMMYFUNCTION("""COMPUTED_VALUE"""),"Basic Dog Meme")</f>
        <v>Basic Dog Meme</v>
      </c>
    </row>
    <row r="1367">
      <c r="A1367" s="4" t="str">
        <f>IFERROR(__xludf.DUMMYFUNCTION("""COMPUTED_VALUE"""),"basilisk")</f>
        <v>basilisk</v>
      </c>
      <c r="B1367" s="4" t="str">
        <f>IFERROR(__xludf.DUMMYFUNCTION("""COMPUTED_VALUE"""),"bsx")</f>
        <v>bsx</v>
      </c>
      <c r="C1367" s="4" t="str">
        <f>IFERROR(__xludf.DUMMYFUNCTION("""COMPUTED_VALUE"""),"Basilisk")</f>
        <v>Basilisk</v>
      </c>
    </row>
    <row r="1368">
      <c r="A1368" s="4" t="str">
        <f>IFERROR(__xludf.DUMMYFUNCTION("""COMPUTED_VALUE"""),"basis-cash")</f>
        <v>basis-cash</v>
      </c>
      <c r="B1368" s="4" t="str">
        <f>IFERROR(__xludf.DUMMYFUNCTION("""COMPUTED_VALUE"""),"bac")</f>
        <v>bac</v>
      </c>
      <c r="C1368" s="4" t="str">
        <f>IFERROR(__xludf.DUMMYFUNCTION("""COMPUTED_VALUE"""),"Basis Cash")</f>
        <v>Basis Cash</v>
      </c>
    </row>
    <row r="1369">
      <c r="A1369" s="4" t="str">
        <f>IFERROR(__xludf.DUMMYFUNCTION("""COMPUTED_VALUE"""),"basis-gold-share-heco")</f>
        <v>basis-gold-share-heco</v>
      </c>
      <c r="B1369" s="4" t="str">
        <f>IFERROR(__xludf.DUMMYFUNCTION("""COMPUTED_VALUE"""),"bags")</f>
        <v>bags</v>
      </c>
      <c r="C1369" s="4" t="str">
        <f>IFERROR(__xludf.DUMMYFUNCTION("""COMPUTED_VALUE"""),"Basis Gold Share (Heco)")</f>
        <v>Basis Gold Share (Heco)</v>
      </c>
    </row>
    <row r="1370">
      <c r="A1370" s="4" t="str">
        <f>IFERROR(__xludf.DUMMYFUNCTION("""COMPUTED_VALUE"""),"basis-markets")</f>
        <v>basis-markets</v>
      </c>
      <c r="B1370" s="4" t="str">
        <f>IFERROR(__xludf.DUMMYFUNCTION("""COMPUTED_VALUE"""),"basis")</f>
        <v>basis</v>
      </c>
      <c r="C1370" s="4" t="str">
        <f>IFERROR(__xludf.DUMMYFUNCTION("""COMPUTED_VALUE"""),"basis.markets")</f>
        <v>basis.markets</v>
      </c>
    </row>
    <row r="1371">
      <c r="A1371" s="4" t="str">
        <f>IFERROR(__xludf.DUMMYFUNCTION("""COMPUTED_VALUE"""),"basis-share")</f>
        <v>basis-share</v>
      </c>
      <c r="B1371" s="4" t="str">
        <f>IFERROR(__xludf.DUMMYFUNCTION("""COMPUTED_VALUE"""),"bas")</f>
        <v>bas</v>
      </c>
      <c r="C1371" s="4" t="str">
        <f>IFERROR(__xludf.DUMMYFUNCTION("""COMPUTED_VALUE"""),"Basis Share")</f>
        <v>Basis Share</v>
      </c>
    </row>
    <row r="1372">
      <c r="A1372" s="4" t="str">
        <f>IFERROR(__xludf.DUMMYFUNCTION("""COMPUTED_VALUE"""),"basket")</f>
        <v>basket</v>
      </c>
      <c r="B1372" s="4" t="str">
        <f>IFERROR(__xludf.DUMMYFUNCTION("""COMPUTED_VALUE"""),"bskt")</f>
        <v>bskt</v>
      </c>
      <c r="C1372" s="4" t="str">
        <f>IFERROR(__xludf.DUMMYFUNCTION("""COMPUTED_VALUE"""),"Basket")</f>
        <v>Basket</v>
      </c>
    </row>
    <row r="1373">
      <c r="A1373" s="4" t="str">
        <f>IFERROR(__xludf.DUMMYFUNCTION("""COMPUTED_VALUE"""),"basketball-legends")</f>
        <v>basketball-legends</v>
      </c>
      <c r="B1373" s="4" t="str">
        <f>IFERROR(__xludf.DUMMYFUNCTION("""COMPUTED_VALUE"""),"bbl")</f>
        <v>bbl</v>
      </c>
      <c r="C1373" s="4" t="str">
        <f>IFERROR(__xludf.DUMMYFUNCTION("""COMPUTED_VALUE"""),"Basketball Legends")</f>
        <v>Basketball Legends</v>
      </c>
    </row>
    <row r="1374">
      <c r="A1374" s="4" t="str">
        <f>IFERROR(__xludf.DUMMYFUNCTION("""COMPUTED_VALUE"""),"basketcoin")</f>
        <v>basketcoin</v>
      </c>
      <c r="B1374" s="4" t="str">
        <f>IFERROR(__xludf.DUMMYFUNCTION("""COMPUTED_VALUE"""),"bskt")</f>
        <v>bskt</v>
      </c>
      <c r="C1374" s="4" t="str">
        <f>IFERROR(__xludf.DUMMYFUNCTION("""COMPUTED_VALUE"""),"BasketCoin")</f>
        <v>BasketCoin</v>
      </c>
    </row>
    <row r="1375">
      <c r="A1375" s="4" t="str">
        <f>IFERROR(__xludf.DUMMYFUNCTION("""COMPUTED_VALUE"""),"baskonia-fan-token")</f>
        <v>baskonia-fan-token</v>
      </c>
      <c r="B1375" s="4" t="str">
        <f>IFERROR(__xludf.DUMMYFUNCTION("""COMPUTED_VALUE"""),"bkn")</f>
        <v>bkn</v>
      </c>
      <c r="C1375" s="4" t="str">
        <f>IFERROR(__xludf.DUMMYFUNCTION("""COMPUTED_VALUE"""),"Baskonia Fan Token")</f>
        <v>Baskonia Fan Token</v>
      </c>
    </row>
    <row r="1376">
      <c r="A1376" s="4" t="str">
        <f>IFERROR(__xludf.DUMMYFUNCTION("""COMPUTED_VALUE"""),"baso-finance")</f>
        <v>baso-finance</v>
      </c>
      <c r="B1376" s="4" t="str">
        <f>IFERROR(__xludf.DUMMYFUNCTION("""COMPUTED_VALUE"""),"baso")</f>
        <v>baso</v>
      </c>
      <c r="C1376" s="4" t="str">
        <f>IFERROR(__xludf.DUMMYFUNCTION("""COMPUTED_VALUE"""),"Baso Finance")</f>
        <v>Baso Finance</v>
      </c>
    </row>
    <row r="1377">
      <c r="A1377" s="4" t="str">
        <f>IFERROR(__xludf.DUMMYFUNCTION("""COMPUTED_VALUE"""),"bass-exchange")</f>
        <v>bass-exchange</v>
      </c>
      <c r="B1377" s="4" t="str">
        <f>IFERROR(__xludf.DUMMYFUNCTION("""COMPUTED_VALUE"""),"$bass")</f>
        <v>$bass</v>
      </c>
      <c r="C1377" s="4" t="str">
        <f>IFERROR(__xludf.DUMMYFUNCTION("""COMPUTED_VALUE"""),"Bass Exchange")</f>
        <v>Bass Exchange</v>
      </c>
    </row>
    <row r="1378">
      <c r="A1378" s="4" t="str">
        <f>IFERROR(__xludf.DUMMYFUNCTION("""COMPUTED_VALUE"""),"bata")</f>
        <v>bata</v>
      </c>
      <c r="B1378" s="4" t="str">
        <f>IFERROR(__xludf.DUMMYFUNCTION("""COMPUTED_VALUE"""),"bta")</f>
        <v>bta</v>
      </c>
      <c r="C1378" s="4" t="str">
        <f>IFERROR(__xludf.DUMMYFUNCTION("""COMPUTED_VALUE"""),"Bata")</f>
        <v>Bata</v>
      </c>
    </row>
    <row r="1379">
      <c r="A1379" s="4" t="str">
        <f>IFERROR(__xludf.DUMMYFUNCTION("""COMPUTED_VALUE"""),"batcat")</f>
        <v>batcat</v>
      </c>
      <c r="B1379" s="4" t="str">
        <f>IFERROR(__xludf.DUMMYFUNCTION("""COMPUTED_VALUE"""),"btc")</f>
        <v>btc</v>
      </c>
      <c r="C1379" s="4" t="str">
        <f>IFERROR(__xludf.DUMMYFUNCTION("""COMPUTED_VALUE"""),"batcat")</f>
        <v>batcat</v>
      </c>
    </row>
    <row r="1380">
      <c r="A1380" s="4" t="str">
        <f>IFERROR(__xludf.DUMMYFUNCTION("""COMPUTED_VALUE"""),"battlefly")</f>
        <v>battlefly</v>
      </c>
      <c r="B1380" s="4" t="str">
        <f>IFERROR(__xludf.DUMMYFUNCTION("""COMPUTED_VALUE"""),"gfly")</f>
        <v>gfly</v>
      </c>
      <c r="C1380" s="4" t="str">
        <f>IFERROR(__xludf.DUMMYFUNCTION("""COMPUTED_VALUE"""),"BattleFly")</f>
        <v>BattleFly</v>
      </c>
    </row>
    <row r="1381">
      <c r="A1381" s="4" t="str">
        <f>IFERROR(__xludf.DUMMYFUNCTION("""COMPUTED_VALUE"""),"battle-for-giostone")</f>
        <v>battle-for-giostone</v>
      </c>
      <c r="B1381" s="4" t="str">
        <f>IFERROR(__xludf.DUMMYFUNCTION("""COMPUTED_VALUE"""),"bfg")</f>
        <v>bfg</v>
      </c>
      <c r="C1381" s="4" t="str">
        <f>IFERROR(__xludf.DUMMYFUNCTION("""COMPUTED_VALUE"""),"Battle For Giostone")</f>
        <v>Battle For Giostone</v>
      </c>
    </row>
    <row r="1382">
      <c r="A1382" s="4" t="str">
        <f>IFERROR(__xludf.DUMMYFUNCTION("""COMPUTED_VALUE"""),"battleforten")</f>
        <v>battleforten</v>
      </c>
      <c r="B1382" s="4" t="str">
        <f>IFERROR(__xludf.DUMMYFUNCTION("""COMPUTED_VALUE"""),"bft")</f>
        <v>bft</v>
      </c>
      <c r="C1382" s="4" t="str">
        <f>IFERROR(__xludf.DUMMYFUNCTION("""COMPUTED_VALUE"""),"BattleForTEN")</f>
        <v>BattleForTEN</v>
      </c>
    </row>
    <row r="1383">
      <c r="A1383" s="4" t="str">
        <f>IFERROR(__xludf.DUMMYFUNCTION("""COMPUTED_VALUE"""),"battle-infinity")</f>
        <v>battle-infinity</v>
      </c>
      <c r="B1383" s="4" t="str">
        <f>IFERROR(__xludf.DUMMYFUNCTION("""COMPUTED_VALUE"""),"ibat")</f>
        <v>ibat</v>
      </c>
      <c r="C1383" s="4" t="str">
        <f>IFERROR(__xludf.DUMMYFUNCTION("""COMPUTED_VALUE"""),"Battle Infinity")</f>
        <v>Battle Infinity</v>
      </c>
    </row>
    <row r="1384">
      <c r="A1384" s="4" t="str">
        <f>IFERROR(__xludf.DUMMYFUNCTION("""COMPUTED_VALUE"""),"battle-of-guardians-share")</f>
        <v>battle-of-guardians-share</v>
      </c>
      <c r="B1384" s="4" t="str">
        <f>IFERROR(__xludf.DUMMYFUNCTION("""COMPUTED_VALUE"""),"bgs")</f>
        <v>bgs</v>
      </c>
      <c r="C1384" s="4" t="str">
        <f>IFERROR(__xludf.DUMMYFUNCTION("""COMPUTED_VALUE"""),"Battle of Guardians Share")</f>
        <v>Battle of Guardians Share</v>
      </c>
    </row>
    <row r="1385">
      <c r="A1385" s="4" t="str">
        <f>IFERROR(__xludf.DUMMYFUNCTION("""COMPUTED_VALUE"""),"battle-pets")</f>
        <v>battle-pets</v>
      </c>
      <c r="B1385" s="4" t="str">
        <f>IFERROR(__xludf.DUMMYFUNCTION("""COMPUTED_VALUE"""),"pet")</f>
        <v>pet</v>
      </c>
      <c r="C1385" s="4" t="str">
        <f>IFERROR(__xludf.DUMMYFUNCTION("""COMPUTED_VALUE"""),"Hello Pets")</f>
        <v>Hello Pets</v>
      </c>
    </row>
    <row r="1386">
      <c r="A1386" s="4" t="str">
        <f>IFERROR(__xludf.DUMMYFUNCTION("""COMPUTED_VALUE"""),"battle-saga")</f>
        <v>battle-saga</v>
      </c>
      <c r="B1386" s="4" t="str">
        <f>IFERROR(__xludf.DUMMYFUNCTION("""COMPUTED_VALUE"""),"btl")</f>
        <v>btl</v>
      </c>
      <c r="C1386" s="4" t="str">
        <f>IFERROR(__xludf.DUMMYFUNCTION("""COMPUTED_VALUE"""),"Battle Saga")</f>
        <v>Battle Saga</v>
      </c>
    </row>
    <row r="1387">
      <c r="A1387" s="4" t="str">
        <f>IFERROR(__xludf.DUMMYFUNCTION("""COMPUTED_VALUE"""),"battleverse")</f>
        <v>battleverse</v>
      </c>
      <c r="B1387" s="4" t="str">
        <f>IFERROR(__xludf.DUMMYFUNCTION("""COMPUTED_VALUE"""),"bvc")</f>
        <v>bvc</v>
      </c>
      <c r="C1387" s="4" t="str">
        <f>IFERROR(__xludf.DUMMYFUNCTION("""COMPUTED_VALUE"""),"BattleVerse")</f>
        <v>BattleVerse</v>
      </c>
    </row>
    <row r="1388">
      <c r="A1388" s="4" t="str">
        <f>IFERROR(__xludf.DUMMYFUNCTION("""COMPUTED_VALUE"""),"battle-world")</f>
        <v>battle-world</v>
      </c>
      <c r="B1388" s="4" t="str">
        <f>IFERROR(__xludf.DUMMYFUNCTION("""COMPUTED_VALUE"""),"bwo")</f>
        <v>bwo</v>
      </c>
      <c r="C1388" s="4" t="str">
        <f>IFERROR(__xludf.DUMMYFUNCTION("""COMPUTED_VALUE"""),"Battle World")</f>
        <v>Battle World</v>
      </c>
    </row>
    <row r="1389">
      <c r="A1389" s="4" t="str">
        <f>IFERROR(__xludf.DUMMYFUNCTION("""COMPUTED_VALUE"""),"bawls-onu")</f>
        <v>bawls-onu</v>
      </c>
      <c r="B1389" s="4" t="str">
        <f>IFERROR(__xludf.DUMMYFUNCTION("""COMPUTED_VALUE"""),"$bawls")</f>
        <v>$bawls</v>
      </c>
      <c r="C1389" s="4" t="str">
        <f>IFERROR(__xludf.DUMMYFUNCTION("""COMPUTED_VALUE"""),"Bawls onu")</f>
        <v>Bawls onu</v>
      </c>
    </row>
    <row r="1390">
      <c r="A1390" s="4" t="str">
        <f>IFERROR(__xludf.DUMMYFUNCTION("""COMPUTED_VALUE"""),"bayc-fraction-token")</f>
        <v>bayc-fraction-token</v>
      </c>
      <c r="B1390" s="4" t="str">
        <f>IFERROR(__xludf.DUMMYFUNCTION("""COMPUTED_VALUE"""),"$bawls")</f>
        <v>$bawls</v>
      </c>
      <c r="C1390" s="4" t="str">
        <f>IFERROR(__xludf.DUMMYFUNCTION("""COMPUTED_VALUE"""),"BAYC Fraction Token")</f>
        <v>BAYC Fraction Token</v>
      </c>
    </row>
    <row r="1391">
      <c r="A1391" s="4" t="str">
        <f>IFERROR(__xludf.DUMMYFUNCTION("""COMPUTED_VALUE"""),"bayesian")</f>
        <v>bayesian</v>
      </c>
      <c r="B1391" s="4" t="str">
        <f>IFERROR(__xludf.DUMMYFUNCTION("""COMPUTED_VALUE"""),"baye")</f>
        <v>baye</v>
      </c>
      <c r="C1391" s="4" t="str">
        <f>IFERROR(__xludf.DUMMYFUNCTION("""COMPUTED_VALUE"""),"Bayesian")</f>
        <v>Bayesian</v>
      </c>
    </row>
    <row r="1392">
      <c r="A1392" s="4" t="str">
        <f>IFERROR(__xludf.DUMMYFUNCTION("""COMPUTED_VALUE"""),"bazaars")</f>
        <v>bazaars</v>
      </c>
      <c r="B1392" s="4" t="str">
        <f>IFERROR(__xludf.DUMMYFUNCTION("""COMPUTED_VALUE"""),"bzr")</f>
        <v>bzr</v>
      </c>
      <c r="C1392" s="4" t="str">
        <f>IFERROR(__xludf.DUMMYFUNCTION("""COMPUTED_VALUE"""),"Bazaars")</f>
        <v>Bazaars</v>
      </c>
    </row>
    <row r="1393">
      <c r="A1393" s="4" t="str">
        <f>IFERROR(__xludf.DUMMYFUNCTION("""COMPUTED_VALUE"""),"bazed-games")</f>
        <v>bazed-games</v>
      </c>
      <c r="B1393" s="4" t="str">
        <f>IFERROR(__xludf.DUMMYFUNCTION("""COMPUTED_VALUE"""),"bazed")</f>
        <v>bazed</v>
      </c>
      <c r="C1393" s="4" t="str">
        <f>IFERROR(__xludf.DUMMYFUNCTION("""COMPUTED_VALUE"""),"Bazed Games")</f>
        <v>Bazed Games</v>
      </c>
    </row>
    <row r="1394">
      <c r="A1394" s="4" t="str">
        <f>IFERROR(__xludf.DUMMYFUNCTION("""COMPUTED_VALUE"""),"bbcgoldcoin")</f>
        <v>bbcgoldcoin</v>
      </c>
      <c r="B1394" s="4" t="str">
        <f>IFERROR(__xludf.DUMMYFUNCTION("""COMPUTED_VALUE"""),"bbcg")</f>
        <v>bbcg</v>
      </c>
      <c r="C1394" s="4" t="str">
        <f>IFERROR(__xludf.DUMMYFUNCTION("""COMPUTED_VALUE"""),"BBCGoldCoin")</f>
        <v>BBCGoldCoin</v>
      </c>
    </row>
    <row r="1395">
      <c r="A1395" s="4" t="str">
        <f>IFERROR(__xludf.DUMMYFUNCTION("""COMPUTED_VALUE"""),"bb-gaming")</f>
        <v>bb-gaming</v>
      </c>
      <c r="B1395" s="4" t="str">
        <f>IFERROR(__xludf.DUMMYFUNCTION("""COMPUTED_VALUE"""),"bb")</f>
        <v>bb</v>
      </c>
      <c r="C1395" s="4" t="str">
        <f>IFERROR(__xludf.DUMMYFUNCTION("""COMPUTED_VALUE"""),"BB Gaming")</f>
        <v>BB Gaming</v>
      </c>
    </row>
    <row r="1396">
      <c r="A1396" s="4" t="str">
        <f>IFERROR(__xludf.DUMMYFUNCTION("""COMPUTED_VALUE"""),"bbs-network")</f>
        <v>bbs-network</v>
      </c>
      <c r="B1396" s="4" t="str">
        <f>IFERROR(__xludf.DUMMYFUNCTION("""COMPUTED_VALUE"""),"bbs")</f>
        <v>bbs</v>
      </c>
      <c r="C1396" s="4" t="str">
        <f>IFERROR(__xludf.DUMMYFUNCTION("""COMPUTED_VALUE"""),"BBS Network")</f>
        <v>BBS Network</v>
      </c>
    </row>
    <row r="1397">
      <c r="A1397" s="4" t="str">
        <f>IFERROR(__xludf.DUMMYFUNCTION("""COMPUTED_VALUE"""),"bcoq-inu")</f>
        <v>bcoq-inu</v>
      </c>
      <c r="B1397" s="4" t="str">
        <f>IFERROR(__xludf.DUMMYFUNCTION("""COMPUTED_VALUE"""),"bcoq")</f>
        <v>bcoq</v>
      </c>
      <c r="C1397" s="4" t="str">
        <f>IFERROR(__xludf.DUMMYFUNCTION("""COMPUTED_VALUE"""),"BCOQ INU")</f>
        <v>BCOQ INU</v>
      </c>
    </row>
    <row r="1398">
      <c r="A1398" s="4" t="str">
        <f>IFERROR(__xludf.DUMMYFUNCTION("""COMPUTED_VALUE"""),"bcpay-fintech")</f>
        <v>bcpay-fintech</v>
      </c>
      <c r="B1398" s="4" t="str">
        <f>IFERROR(__xludf.DUMMYFUNCTION("""COMPUTED_VALUE"""),"bcpay")</f>
        <v>bcpay</v>
      </c>
      <c r="C1398" s="4" t="str">
        <f>IFERROR(__xludf.DUMMYFUNCTION("""COMPUTED_VALUE"""),"BCPAY FinTech")</f>
        <v>BCPAY FinTech</v>
      </c>
    </row>
    <row r="1399">
      <c r="A1399" s="4" t="str">
        <f>IFERROR(__xludf.DUMMYFUNCTION("""COMPUTED_VALUE"""),"b-cube-ai")</f>
        <v>b-cube-ai</v>
      </c>
      <c r="B1399" s="4" t="str">
        <f>IFERROR(__xludf.DUMMYFUNCTION("""COMPUTED_VALUE"""),"bcube")</f>
        <v>bcube</v>
      </c>
      <c r="C1399" s="5" t="str">
        <f>IFERROR(__xludf.DUMMYFUNCTION("""COMPUTED_VALUE"""),"B-cube.ai")</f>
        <v>B-cube.ai</v>
      </c>
    </row>
    <row r="1400">
      <c r="A1400" s="4" t="str">
        <f>IFERROR(__xludf.DUMMYFUNCTION("""COMPUTED_VALUE"""),"bdollar")</f>
        <v>bdollar</v>
      </c>
      <c r="B1400" s="4" t="str">
        <f>IFERROR(__xludf.DUMMYFUNCTION("""COMPUTED_VALUE"""),"bdo")</f>
        <v>bdo</v>
      </c>
      <c r="C1400" s="4" t="str">
        <f>IFERROR(__xludf.DUMMYFUNCTION("""COMPUTED_VALUE"""),"bDollar")</f>
        <v>bDollar</v>
      </c>
    </row>
    <row r="1401">
      <c r="A1401" s="4" t="str">
        <f>IFERROR(__xludf.DUMMYFUNCTION("""COMPUTED_VALUE"""),"beacon")</f>
        <v>beacon</v>
      </c>
      <c r="B1401" s="4" t="str">
        <f>IFERROR(__xludf.DUMMYFUNCTION("""COMPUTED_VALUE"""),"becn")</f>
        <v>becn</v>
      </c>
      <c r="C1401" s="4" t="str">
        <f>IFERROR(__xludf.DUMMYFUNCTION("""COMPUTED_VALUE"""),"Beacon")</f>
        <v>Beacon</v>
      </c>
    </row>
    <row r="1402">
      <c r="A1402" s="4" t="str">
        <f>IFERROR(__xludf.DUMMYFUNCTION("""COMPUTED_VALUE"""),"beam")</f>
        <v>beam</v>
      </c>
      <c r="B1402" s="4" t="str">
        <f>IFERROR(__xludf.DUMMYFUNCTION("""COMPUTED_VALUE"""),"beam")</f>
        <v>beam</v>
      </c>
      <c r="C1402" s="4" t="str">
        <f>IFERROR(__xludf.DUMMYFUNCTION("""COMPUTED_VALUE"""),"BEAM")</f>
        <v>BEAM</v>
      </c>
    </row>
    <row r="1403">
      <c r="A1403" s="4" t="str">
        <f>IFERROR(__xludf.DUMMYFUNCTION("""COMPUTED_VALUE"""),"beam-2")</f>
        <v>beam-2</v>
      </c>
      <c r="B1403" s="4" t="str">
        <f>IFERROR(__xludf.DUMMYFUNCTION("""COMPUTED_VALUE"""),"beam")</f>
        <v>beam</v>
      </c>
      <c r="C1403" s="4" t="str">
        <f>IFERROR(__xludf.DUMMYFUNCTION("""COMPUTED_VALUE"""),"Beam")</f>
        <v>Beam</v>
      </c>
    </row>
    <row r="1404">
      <c r="A1404" s="4" t="str">
        <f>IFERROR(__xludf.DUMMYFUNCTION("""COMPUTED_VALUE"""),"beam-bridged-avax-beam")</f>
        <v>beam-bridged-avax-beam</v>
      </c>
      <c r="B1404" s="4" t="str">
        <f>IFERROR(__xludf.DUMMYFUNCTION("""COMPUTED_VALUE"""),"avax")</f>
        <v>avax</v>
      </c>
      <c r="C1404" s="4" t="str">
        <f>IFERROR(__xludf.DUMMYFUNCTION("""COMPUTED_VALUE"""),"Beam Bridged AVAX (Beam)")</f>
        <v>Beam Bridged AVAX (Beam)</v>
      </c>
    </row>
    <row r="1405">
      <c r="A1405" s="4" t="str">
        <f>IFERROR(__xludf.DUMMYFUNCTION("""COMPUTED_VALUE"""),"beam-bridged-usdc-beam")</f>
        <v>beam-bridged-usdc-beam</v>
      </c>
      <c r="B1405" s="4" t="str">
        <f>IFERROR(__xludf.DUMMYFUNCTION("""COMPUTED_VALUE"""),"usdc")</f>
        <v>usdc</v>
      </c>
      <c r="C1405" s="4" t="str">
        <f>IFERROR(__xludf.DUMMYFUNCTION("""COMPUTED_VALUE"""),"Beam Bridged USDC (Beam)")</f>
        <v>Beam Bridged USDC (Beam)</v>
      </c>
    </row>
    <row r="1406">
      <c r="A1406" s="4" t="str">
        <f>IFERROR(__xludf.DUMMYFUNCTION("""COMPUTED_VALUE"""),"beamcat")</f>
        <v>beamcat</v>
      </c>
      <c r="B1406" s="4" t="str">
        <f>IFERROR(__xludf.DUMMYFUNCTION("""COMPUTED_VALUE"""),"bcat")</f>
        <v>bcat</v>
      </c>
      <c r="C1406" s="4" t="str">
        <f>IFERROR(__xludf.DUMMYFUNCTION("""COMPUTED_VALUE"""),"BEAMCAT")</f>
        <v>BEAMCAT</v>
      </c>
    </row>
    <row r="1407">
      <c r="A1407" s="4" t="str">
        <f>IFERROR(__xludf.DUMMYFUNCTION("""COMPUTED_VALUE"""),"beamswap")</f>
        <v>beamswap</v>
      </c>
      <c r="B1407" s="4" t="str">
        <f>IFERROR(__xludf.DUMMYFUNCTION("""COMPUTED_VALUE"""),"glint")</f>
        <v>glint</v>
      </c>
      <c r="C1407" s="4" t="str">
        <f>IFERROR(__xludf.DUMMYFUNCTION("""COMPUTED_VALUE"""),"BeamSwap")</f>
        <v>BeamSwap</v>
      </c>
    </row>
    <row r="1408">
      <c r="A1408" s="4" t="str">
        <f>IFERROR(__xludf.DUMMYFUNCTION("""COMPUTED_VALUE"""),"beamx")</f>
        <v>beamx</v>
      </c>
      <c r="B1408" s="4" t="str">
        <f>IFERROR(__xludf.DUMMYFUNCTION("""COMPUTED_VALUE"""),"beamx")</f>
        <v>beamx</v>
      </c>
      <c r="C1408" s="4" t="str">
        <f>IFERROR(__xludf.DUMMYFUNCTION("""COMPUTED_VALUE"""),"BEAMX")</f>
        <v>BEAMX</v>
      </c>
    </row>
    <row r="1409">
      <c r="A1409" s="4" t="str">
        <f>IFERROR(__xludf.DUMMYFUNCTION("""COMPUTED_VALUE"""),"bean")</f>
        <v>bean</v>
      </c>
      <c r="B1409" s="4" t="str">
        <f>IFERROR(__xludf.DUMMYFUNCTION("""COMPUTED_VALUE"""),"bean")</f>
        <v>bean</v>
      </c>
      <c r="C1409" s="4" t="str">
        <f>IFERROR(__xludf.DUMMYFUNCTION("""COMPUTED_VALUE"""),"Bean")</f>
        <v>Bean</v>
      </c>
    </row>
    <row r="1410">
      <c r="A1410" s="4" t="str">
        <f>IFERROR(__xludf.DUMMYFUNCTION("""COMPUTED_VALUE"""),"bean-2")</f>
        <v>bean-2</v>
      </c>
      <c r="B1410" s="4" t="str">
        <f>IFERROR(__xludf.DUMMYFUNCTION("""COMPUTED_VALUE"""),"bean")</f>
        <v>bean</v>
      </c>
      <c r="C1410" s="4" t="str">
        <f>IFERROR(__xludf.DUMMYFUNCTION("""COMPUTED_VALUE"""),"Bean")</f>
        <v>Bean</v>
      </c>
    </row>
    <row r="1411">
      <c r="A1411" s="4" t="str">
        <f>IFERROR(__xludf.DUMMYFUNCTION("""COMPUTED_VALUE"""),"bean-cash")</f>
        <v>bean-cash</v>
      </c>
      <c r="B1411" s="4" t="str">
        <f>IFERROR(__xludf.DUMMYFUNCTION("""COMPUTED_VALUE"""),"bitb")</f>
        <v>bitb</v>
      </c>
      <c r="C1411" s="4" t="str">
        <f>IFERROR(__xludf.DUMMYFUNCTION("""COMPUTED_VALUE"""),"Bean Cash")</f>
        <v>Bean Cash</v>
      </c>
    </row>
    <row r="1412">
      <c r="A1412" s="4" t="str">
        <f>IFERROR(__xludf.DUMMYFUNCTION("""COMPUTED_VALUE"""),"beany")</f>
        <v>beany</v>
      </c>
      <c r="B1412" s="4" t="str">
        <f>IFERROR(__xludf.DUMMYFUNCTION("""COMPUTED_VALUE"""),"beany")</f>
        <v>beany</v>
      </c>
      <c r="C1412" s="4" t="str">
        <f>IFERROR(__xludf.DUMMYFUNCTION("""COMPUTED_VALUE"""),"Beany")</f>
        <v>Beany</v>
      </c>
    </row>
    <row r="1413">
      <c r="A1413" s="4" t="str">
        <f>IFERROR(__xludf.DUMMYFUNCTION("""COMPUTED_VALUE"""),"bear")</f>
        <v>bear</v>
      </c>
      <c r="B1413" s="4" t="str">
        <f>IFERROR(__xludf.DUMMYFUNCTION("""COMPUTED_VALUE"""),"bear")</f>
        <v>bear</v>
      </c>
      <c r="C1413" s="4" t="str">
        <f>IFERROR(__xludf.DUMMYFUNCTION("""COMPUTED_VALUE"""),"Bear")</f>
        <v>Bear</v>
      </c>
    </row>
    <row r="1414">
      <c r="A1414" s="4" t="str">
        <f>IFERROR(__xludf.DUMMYFUNCTION("""COMPUTED_VALUE"""),"bear-2")</f>
        <v>bear-2</v>
      </c>
      <c r="B1414" s="4" t="str">
        <f>IFERROR(__xludf.DUMMYFUNCTION("""COMPUTED_VALUE"""),"bear")</f>
        <v>bear</v>
      </c>
      <c r="C1414" s="4" t="str">
        <f>IFERROR(__xludf.DUMMYFUNCTION("""COMPUTED_VALUE"""),"Bear")</f>
        <v>Bear</v>
      </c>
    </row>
    <row r="1415">
      <c r="A1415" s="4" t="str">
        <f>IFERROR(__xludf.DUMMYFUNCTION("""COMPUTED_VALUE"""),"beardy-dragon")</f>
        <v>beardy-dragon</v>
      </c>
      <c r="B1415" s="4" t="str">
        <f>IFERROR(__xludf.DUMMYFUNCTION("""COMPUTED_VALUE"""),"beardy")</f>
        <v>beardy</v>
      </c>
      <c r="C1415" s="4" t="str">
        <f>IFERROR(__xludf.DUMMYFUNCTION("""COMPUTED_VALUE"""),"Beardy Dragon")</f>
        <v>Beardy Dragon</v>
      </c>
    </row>
    <row r="1416">
      <c r="A1416" s="4" t="str">
        <f>IFERROR(__xludf.DUMMYFUNCTION("""COMPUTED_VALUE"""),"bear-inu")</f>
        <v>bear-inu</v>
      </c>
      <c r="B1416" s="4" t="str">
        <f>IFERROR(__xludf.DUMMYFUNCTION("""COMPUTED_VALUE"""),"bear")</f>
        <v>bear</v>
      </c>
      <c r="C1416" s="4" t="str">
        <f>IFERROR(__xludf.DUMMYFUNCTION("""COMPUTED_VALUE"""),"Bear Inu")</f>
        <v>Bear Inu</v>
      </c>
    </row>
    <row r="1417">
      <c r="A1417" s="4" t="str">
        <f>IFERROR(__xludf.DUMMYFUNCTION("""COMPUTED_VALUE"""),"bear-scrub-money")</f>
        <v>bear-scrub-money</v>
      </c>
      <c r="B1417" s="4" t="str">
        <f>IFERROR(__xludf.DUMMYFUNCTION("""COMPUTED_VALUE"""),"bear")</f>
        <v>bear</v>
      </c>
      <c r="C1417" s="4" t="str">
        <f>IFERROR(__xludf.DUMMYFUNCTION("""COMPUTED_VALUE"""),"Bear Scrub Money")</f>
        <v>Bear Scrub Money</v>
      </c>
    </row>
    <row r="1418">
      <c r="A1418" s="4" t="str">
        <f>IFERROR(__xludf.DUMMYFUNCTION("""COMPUTED_VALUE"""),"beat-2")</f>
        <v>beat-2</v>
      </c>
      <c r="B1418" s="4" t="str">
        <f>IFERROR(__xludf.DUMMYFUNCTION("""COMPUTED_VALUE"""),"beat")</f>
        <v>beat</v>
      </c>
      <c r="C1418" s="4" t="str">
        <f>IFERROR(__xludf.DUMMYFUNCTION("""COMPUTED_VALUE"""),"Beat")</f>
        <v>Beat</v>
      </c>
    </row>
    <row r="1419">
      <c r="A1419" s="4" t="str">
        <f>IFERROR(__xludf.DUMMYFUNCTION("""COMPUTED_VALUE"""),"beatgen-nft")</f>
        <v>beatgen-nft</v>
      </c>
      <c r="B1419" s="4" t="str">
        <f>IFERROR(__xludf.DUMMYFUNCTION("""COMPUTED_VALUE"""),"bgn")</f>
        <v>bgn</v>
      </c>
      <c r="C1419" s="4" t="str">
        <f>IFERROR(__xludf.DUMMYFUNCTION("""COMPUTED_VALUE"""),"BeatGen NFT")</f>
        <v>BeatGen NFT</v>
      </c>
    </row>
    <row r="1420">
      <c r="A1420" s="4" t="str">
        <f>IFERROR(__xludf.DUMMYFUNCTION("""COMPUTED_VALUE"""),"beautifulprincessdisorder")</f>
        <v>beautifulprincessdisorder</v>
      </c>
      <c r="B1420" s="4" t="str">
        <f>IFERROR(__xludf.DUMMYFUNCTION("""COMPUTED_VALUE"""),"bpd")</f>
        <v>bpd</v>
      </c>
      <c r="C1420" s="4" t="str">
        <f>IFERROR(__xludf.DUMMYFUNCTION("""COMPUTED_VALUE"""),"BeautifulPrincessDisorder")</f>
        <v>BeautifulPrincessDisorder</v>
      </c>
    </row>
    <row r="1421">
      <c r="A1421" s="4" t="str">
        <f>IFERROR(__xludf.DUMMYFUNCTION("""COMPUTED_VALUE"""),"beauty-bakery-linked-operation-transaction-technology")</f>
        <v>beauty-bakery-linked-operation-transaction-technology</v>
      </c>
      <c r="B1421" s="4" t="str">
        <f>IFERROR(__xludf.DUMMYFUNCTION("""COMPUTED_VALUE"""),"lott")</f>
        <v>lott</v>
      </c>
      <c r="C1421" s="4" t="str">
        <f>IFERROR(__xludf.DUMMYFUNCTION("""COMPUTED_VALUE"""),"Beauty Bakery Linked Operation Transaction Technology")</f>
        <v>Beauty Bakery Linked Operation Transaction Technology</v>
      </c>
    </row>
    <row r="1422">
      <c r="A1422" s="4" t="str">
        <f>IFERROR(__xludf.DUMMYFUNCTION("""COMPUTED_VALUE"""),"bebe")</f>
        <v>bebe</v>
      </c>
      <c r="B1422" s="4" t="str">
        <f>IFERROR(__xludf.DUMMYFUNCTION("""COMPUTED_VALUE"""),"bebe")</f>
        <v>bebe</v>
      </c>
      <c r="C1422" s="4" t="str">
        <f>IFERROR(__xludf.DUMMYFUNCTION("""COMPUTED_VALUE"""),"BEBE")</f>
        <v>BEBE</v>
      </c>
    </row>
    <row r="1423">
      <c r="A1423" s="4" t="str">
        <f>IFERROR(__xludf.DUMMYFUNCTION("""COMPUTED_VALUE"""),"bebe-2")</f>
        <v>bebe-2</v>
      </c>
      <c r="B1423" s="4" t="str">
        <f>IFERROR(__xludf.DUMMYFUNCTION("""COMPUTED_VALUE"""),"bebe")</f>
        <v>bebe</v>
      </c>
      <c r="C1423" s="4" t="str">
        <f>IFERROR(__xludf.DUMMYFUNCTION("""COMPUTED_VALUE"""),"BEBE")</f>
        <v>BEBE</v>
      </c>
    </row>
    <row r="1424">
      <c r="A1424" s="4" t="str">
        <f>IFERROR(__xludf.DUMMYFUNCTION("""COMPUTED_VALUE"""),"bebe-on-base")</f>
        <v>bebe-on-base</v>
      </c>
      <c r="B1424" s="4" t="str">
        <f>IFERROR(__xludf.DUMMYFUNCTION("""COMPUTED_VALUE"""),"bebe")</f>
        <v>bebe</v>
      </c>
      <c r="C1424" s="4" t="str">
        <f>IFERROR(__xludf.DUMMYFUNCTION("""COMPUTED_VALUE"""),"Bebe on Base")</f>
        <v>Bebe on Base</v>
      </c>
    </row>
    <row r="1425">
      <c r="A1425" s="4" t="str">
        <f>IFERROR(__xludf.DUMMYFUNCTION("""COMPUTED_VALUE"""),"becoswap-token")</f>
        <v>becoswap-token</v>
      </c>
      <c r="B1425" s="4" t="str">
        <f>IFERROR(__xludf.DUMMYFUNCTION("""COMPUTED_VALUE"""),"beco")</f>
        <v>beco</v>
      </c>
      <c r="C1425" s="4" t="str">
        <f>IFERROR(__xludf.DUMMYFUNCTION("""COMPUTED_VALUE"""),"BecoSwap")</f>
        <v>BecoSwap</v>
      </c>
    </row>
    <row r="1426">
      <c r="A1426" s="4" t="str">
        <f>IFERROR(__xludf.DUMMYFUNCTION("""COMPUTED_VALUE"""),"beebox")</f>
        <v>beebox</v>
      </c>
      <c r="B1426" s="4" t="str">
        <f>IFERROR(__xludf.DUMMYFUNCTION("""COMPUTED_VALUE"""),"xbbc")</f>
        <v>xbbc</v>
      </c>
      <c r="C1426" s="4" t="str">
        <f>IFERROR(__xludf.DUMMYFUNCTION("""COMPUTED_VALUE"""),"Beebox")</f>
        <v>Beebox</v>
      </c>
    </row>
    <row r="1427">
      <c r="A1427" s="4" t="str">
        <f>IFERROR(__xludf.DUMMYFUNCTION("""COMPUTED_VALUE"""),"beecasinogames")</f>
        <v>beecasinogames</v>
      </c>
      <c r="B1427" s="4" t="str">
        <f>IFERROR(__xludf.DUMMYFUNCTION("""COMPUTED_VALUE"""),"beecasino")</f>
        <v>beecasino</v>
      </c>
      <c r="C1427" s="4" t="str">
        <f>IFERROR(__xludf.DUMMYFUNCTION("""COMPUTED_VALUE"""),"beecasinogames")</f>
        <v>beecasinogames</v>
      </c>
    </row>
    <row r="1428">
      <c r="A1428" s="4" t="str">
        <f>IFERROR(__xludf.DUMMYFUNCTION("""COMPUTED_VALUE"""),"beechat")</f>
        <v>beechat</v>
      </c>
      <c r="B1428" s="4" t="str">
        <f>IFERROR(__xludf.DUMMYFUNCTION("""COMPUTED_VALUE"""),"chat")</f>
        <v>chat</v>
      </c>
      <c r="C1428" s="4" t="str">
        <f>IFERROR(__xludf.DUMMYFUNCTION("""COMPUTED_VALUE"""),"BeeChat")</f>
        <v>BeeChat</v>
      </c>
    </row>
    <row r="1429">
      <c r="A1429" s="4" t="str">
        <f>IFERROR(__xludf.DUMMYFUNCTION("""COMPUTED_VALUE"""),"beef")</f>
        <v>beef</v>
      </c>
      <c r="B1429" s="4" t="str">
        <f>IFERROR(__xludf.DUMMYFUNCTION("""COMPUTED_VALUE"""),"beef")</f>
        <v>beef</v>
      </c>
      <c r="C1429" s="4" t="str">
        <f>IFERROR(__xludf.DUMMYFUNCTION("""COMPUTED_VALUE"""),"BEEF")</f>
        <v>BEEF</v>
      </c>
    </row>
    <row r="1430">
      <c r="A1430" s="4" t="str">
        <f>IFERROR(__xludf.DUMMYFUNCTION("""COMPUTED_VALUE"""),"beefy-escrowed-fantom")</f>
        <v>beefy-escrowed-fantom</v>
      </c>
      <c r="B1430" s="4" t="str">
        <f>IFERROR(__xludf.DUMMYFUNCTION("""COMPUTED_VALUE"""),"beftm")</f>
        <v>beftm</v>
      </c>
      <c r="C1430" s="4" t="str">
        <f>IFERROR(__xludf.DUMMYFUNCTION("""COMPUTED_VALUE"""),"Beefy Escrowed Fantom")</f>
        <v>Beefy Escrowed Fantom</v>
      </c>
    </row>
    <row r="1431">
      <c r="A1431" s="4" t="str">
        <f>IFERROR(__xludf.DUMMYFUNCTION("""COMPUTED_VALUE"""),"beefy-finance")</f>
        <v>beefy-finance</v>
      </c>
      <c r="B1431" s="4" t="str">
        <f>IFERROR(__xludf.DUMMYFUNCTION("""COMPUTED_VALUE"""),"bifi")</f>
        <v>bifi</v>
      </c>
      <c r="C1431" s="4" t="str">
        <f>IFERROR(__xludf.DUMMYFUNCTION("""COMPUTED_VALUE"""),"Beefy")</f>
        <v>Beefy</v>
      </c>
    </row>
    <row r="1432">
      <c r="A1432" s="4" t="str">
        <f>IFERROR(__xludf.DUMMYFUNCTION("""COMPUTED_VALUE"""),"bee-launchpad")</f>
        <v>bee-launchpad</v>
      </c>
      <c r="B1432" s="4" t="str">
        <f>IFERROR(__xludf.DUMMYFUNCTION("""COMPUTED_VALUE"""),"bees")</f>
        <v>bees</v>
      </c>
      <c r="C1432" s="4" t="str">
        <f>IFERROR(__xludf.DUMMYFUNCTION("""COMPUTED_VALUE"""),"BEE Launchpad")</f>
        <v>BEE Launchpad</v>
      </c>
    </row>
    <row r="1433">
      <c r="A1433" s="4" t="str">
        <f>IFERROR(__xludf.DUMMYFUNCTION("""COMPUTED_VALUE"""),"beenode")</f>
        <v>beenode</v>
      </c>
      <c r="B1433" s="4" t="str">
        <f>IFERROR(__xludf.DUMMYFUNCTION("""COMPUTED_VALUE"""),"bnode")</f>
        <v>bnode</v>
      </c>
      <c r="C1433" s="4" t="str">
        <f>IFERROR(__xludf.DUMMYFUNCTION("""COMPUTED_VALUE"""),"Beenode")</f>
        <v>Beenode</v>
      </c>
    </row>
    <row r="1434">
      <c r="A1434" s="4" t="str">
        <f>IFERROR(__xludf.DUMMYFUNCTION("""COMPUTED_VALUE"""),"beep-coin")</f>
        <v>beep-coin</v>
      </c>
      <c r="B1434" s="4" t="str">
        <f>IFERROR(__xludf.DUMMYFUNCTION("""COMPUTED_VALUE"""),"beep")</f>
        <v>beep</v>
      </c>
      <c r="C1434" s="4" t="str">
        <f>IFERROR(__xludf.DUMMYFUNCTION("""COMPUTED_VALUE"""),"BEEP Coin")</f>
        <v>BEEP Coin</v>
      </c>
    </row>
    <row r="1435">
      <c r="A1435" s="4" t="str">
        <f>IFERROR(__xludf.DUMMYFUNCTION("""COMPUTED_VALUE"""),"beer-money")</f>
        <v>beer-money</v>
      </c>
      <c r="B1435" s="4" t="str">
        <f>IFERROR(__xludf.DUMMYFUNCTION("""COMPUTED_VALUE"""),"beer")</f>
        <v>beer</v>
      </c>
      <c r="C1435" s="4" t="str">
        <f>IFERROR(__xludf.DUMMYFUNCTION("""COMPUTED_VALUE"""),"Beer Money")</f>
        <v>Beer Money</v>
      </c>
    </row>
    <row r="1436">
      <c r="A1436" s="4" t="str">
        <f>IFERROR(__xludf.DUMMYFUNCTION("""COMPUTED_VALUE"""),"beethoven-x")</f>
        <v>beethoven-x</v>
      </c>
      <c r="B1436" s="4" t="str">
        <f>IFERROR(__xludf.DUMMYFUNCTION("""COMPUTED_VALUE"""),"beets")</f>
        <v>beets</v>
      </c>
      <c r="C1436" s="4" t="str">
        <f>IFERROR(__xludf.DUMMYFUNCTION("""COMPUTED_VALUE"""),"Beethoven X")</f>
        <v>Beethoven X</v>
      </c>
    </row>
    <row r="1437">
      <c r="A1437" s="4" t="str">
        <f>IFERROR(__xludf.DUMMYFUNCTION("""COMPUTED_VALUE"""),"bee-tools")</f>
        <v>bee-tools</v>
      </c>
      <c r="B1437" s="4" t="str">
        <f>IFERROR(__xludf.DUMMYFUNCTION("""COMPUTED_VALUE"""),"buzz")</f>
        <v>buzz</v>
      </c>
      <c r="C1437" s="4" t="str">
        <f>IFERROR(__xludf.DUMMYFUNCTION("""COMPUTED_VALUE"""),"Bee Tools")</f>
        <v>Bee Tools</v>
      </c>
    </row>
    <row r="1438">
      <c r="A1438" s="4" t="str">
        <f>IFERROR(__xludf.DUMMYFUNCTION("""COMPUTED_VALUE"""),"beetroot")</f>
        <v>beetroot</v>
      </c>
      <c r="B1438" s="4" t="str">
        <f>IFERROR(__xludf.DUMMYFUNCTION("""COMPUTED_VALUE"""),"beet")</f>
        <v>beet</v>
      </c>
      <c r="C1438" s="4" t="str">
        <f>IFERROR(__xludf.DUMMYFUNCTION("""COMPUTED_VALUE"""),"BEETroot")</f>
        <v>BEETroot</v>
      </c>
    </row>
    <row r="1439">
      <c r="A1439" s="4" t="str">
        <f>IFERROR(__xludf.DUMMYFUNCTION("""COMPUTED_VALUE"""),"befasterholdertoken")</f>
        <v>befasterholdertoken</v>
      </c>
      <c r="B1439" s="4" t="str">
        <f>IFERROR(__xludf.DUMMYFUNCTION("""COMPUTED_VALUE"""),"bfht")</f>
        <v>bfht</v>
      </c>
      <c r="C1439" s="4" t="str">
        <f>IFERROR(__xludf.DUMMYFUNCTION("""COMPUTED_VALUE"""),"BeFaster Holder Token")</f>
        <v>BeFaster Holder Token</v>
      </c>
    </row>
    <row r="1440">
      <c r="A1440" s="4" t="str">
        <f>IFERROR(__xludf.DUMMYFUNCTION("""COMPUTED_VALUE"""),"befe")</f>
        <v>befe</v>
      </c>
      <c r="B1440" s="4" t="str">
        <f>IFERROR(__xludf.DUMMYFUNCTION("""COMPUTED_VALUE"""),"befe")</f>
        <v>befe</v>
      </c>
      <c r="C1440" s="4" t="str">
        <f>IFERROR(__xludf.DUMMYFUNCTION("""COMPUTED_VALUE"""),"BEFE")</f>
        <v>BEFE</v>
      </c>
    </row>
    <row r="1441">
      <c r="A1441" s="4" t="str">
        <f>IFERROR(__xludf.DUMMYFUNCTION("""COMPUTED_VALUE"""),"befi-labs")</f>
        <v>befi-labs</v>
      </c>
      <c r="B1441" s="4" t="str">
        <f>IFERROR(__xludf.DUMMYFUNCTION("""COMPUTED_VALUE"""),"befi")</f>
        <v>befi</v>
      </c>
      <c r="C1441" s="4" t="str">
        <f>IFERROR(__xludf.DUMMYFUNCTION("""COMPUTED_VALUE"""),"BeFi Labs")</f>
        <v>BeFi Labs</v>
      </c>
    </row>
    <row r="1442">
      <c r="A1442" s="4" t="str">
        <f>IFERROR(__xludf.DUMMYFUNCTION("""COMPUTED_VALUE"""),"befitter")</f>
        <v>befitter</v>
      </c>
      <c r="B1442" s="4" t="str">
        <f>IFERROR(__xludf.DUMMYFUNCTION("""COMPUTED_VALUE"""),"fiu")</f>
        <v>fiu</v>
      </c>
      <c r="C1442" s="4" t="str">
        <f>IFERROR(__xludf.DUMMYFUNCTION("""COMPUTED_VALUE"""),"beFITTER")</f>
        <v>beFITTER</v>
      </c>
    </row>
    <row r="1443">
      <c r="A1443" s="4" t="str">
        <f>IFERROR(__xludf.DUMMYFUNCTION("""COMPUTED_VALUE"""),"befitter-health")</f>
        <v>befitter-health</v>
      </c>
      <c r="B1443" s="4" t="str">
        <f>IFERROR(__xludf.DUMMYFUNCTION("""COMPUTED_VALUE"""),"hee")</f>
        <v>hee</v>
      </c>
      <c r="C1443" s="4" t="str">
        <f>IFERROR(__xludf.DUMMYFUNCTION("""COMPUTED_VALUE"""),"beFITTER Health")</f>
        <v>beFITTER Health</v>
      </c>
    </row>
    <row r="1444">
      <c r="A1444" s="4" t="str">
        <f>IFERROR(__xludf.DUMMYFUNCTION("""COMPUTED_VALUE"""),"befy")</f>
        <v>befy</v>
      </c>
      <c r="B1444" s="4" t="str">
        <f>IFERROR(__xludf.DUMMYFUNCTION("""COMPUTED_VALUE"""),"befy")</f>
        <v>befy</v>
      </c>
      <c r="C1444" s="4" t="str">
        <f>IFERROR(__xludf.DUMMYFUNCTION("""COMPUTED_VALUE"""),"BEFY")</f>
        <v>BEFY</v>
      </c>
    </row>
    <row r="1445">
      <c r="A1445" s="4" t="str">
        <f>IFERROR(__xludf.DUMMYFUNCTION("""COMPUTED_VALUE"""),"beg")</f>
        <v>beg</v>
      </c>
      <c r="B1445" s="4" t="str">
        <f>IFERROR(__xludf.DUMMYFUNCTION("""COMPUTED_VALUE"""),"beg")</f>
        <v>beg</v>
      </c>
      <c r="C1445" s="4" t="str">
        <f>IFERROR(__xludf.DUMMYFUNCTION("""COMPUTED_VALUE"""),"Beg")</f>
        <v>Beg</v>
      </c>
    </row>
    <row r="1446">
      <c r="A1446" s="4" t="str">
        <f>IFERROR(__xludf.DUMMYFUNCTION("""COMPUTED_VALUE"""),"beholder")</f>
        <v>beholder</v>
      </c>
      <c r="B1446" s="4" t="str">
        <f>IFERROR(__xludf.DUMMYFUNCTION("""COMPUTED_VALUE"""),"eye")</f>
        <v>eye</v>
      </c>
      <c r="C1446" s="4" t="str">
        <f>IFERROR(__xludf.DUMMYFUNCTION("""COMPUTED_VALUE"""),"Behodler")</f>
        <v>Behodler</v>
      </c>
    </row>
    <row r="1447">
      <c r="A1447" s="4" t="str">
        <f>IFERROR(__xludf.DUMMYFUNCTION("""COMPUTED_VALUE"""),"bela")</f>
        <v>bela</v>
      </c>
      <c r="B1447" s="4" t="str">
        <f>IFERROR(__xludf.DUMMYFUNCTION("""COMPUTED_VALUE"""),"aqua")</f>
        <v>aqua</v>
      </c>
      <c r="C1447" s="4" t="str">
        <f>IFERROR(__xludf.DUMMYFUNCTION("""COMPUTED_VALUE"""),"Bela Aqua")</f>
        <v>Bela Aqua</v>
      </c>
    </row>
    <row r="1448">
      <c r="A1448" s="4" t="str">
        <f>IFERROR(__xludf.DUMMYFUNCTION("""COMPUTED_VALUE"""),"beldex")</f>
        <v>beldex</v>
      </c>
      <c r="B1448" s="4" t="str">
        <f>IFERROR(__xludf.DUMMYFUNCTION("""COMPUTED_VALUE"""),"bdx")</f>
        <v>bdx</v>
      </c>
      <c r="C1448" s="4" t="str">
        <f>IFERROR(__xludf.DUMMYFUNCTION("""COMPUTED_VALUE"""),"Beldex")</f>
        <v>Beldex</v>
      </c>
    </row>
    <row r="1449">
      <c r="A1449" s="4" t="str">
        <f>IFERROR(__xludf.DUMMYFUNCTION("""COMPUTED_VALUE"""),"belifex")</f>
        <v>belifex</v>
      </c>
      <c r="B1449" s="4" t="str">
        <f>IFERROR(__xludf.DUMMYFUNCTION("""COMPUTED_VALUE"""),"befx")</f>
        <v>befx</v>
      </c>
      <c r="C1449" s="4" t="str">
        <f>IFERROR(__xludf.DUMMYFUNCTION("""COMPUTED_VALUE"""),"Belifex")</f>
        <v>Belifex</v>
      </c>
    </row>
    <row r="1450">
      <c r="A1450" s="4" t="str">
        <f>IFERROR(__xludf.DUMMYFUNCTION("""COMPUTED_VALUE"""),"bella-protocol")</f>
        <v>bella-protocol</v>
      </c>
      <c r="B1450" s="4" t="str">
        <f>IFERROR(__xludf.DUMMYFUNCTION("""COMPUTED_VALUE"""),"bel")</f>
        <v>bel</v>
      </c>
      <c r="C1450" s="4" t="str">
        <f>IFERROR(__xludf.DUMMYFUNCTION("""COMPUTED_VALUE"""),"Bella Protocol")</f>
        <v>Bella Protocol</v>
      </c>
    </row>
    <row r="1451">
      <c r="A1451" s="4" t="str">
        <f>IFERROR(__xludf.DUMMYFUNCTION("""COMPUTED_VALUE"""),"bellcoin")</f>
        <v>bellcoin</v>
      </c>
      <c r="B1451" s="4" t="str">
        <f>IFERROR(__xludf.DUMMYFUNCTION("""COMPUTED_VALUE"""),"bell")</f>
        <v>bell</v>
      </c>
      <c r="C1451" s="4" t="str">
        <f>IFERROR(__xludf.DUMMYFUNCTION("""COMPUTED_VALUE"""),"Bellcoin")</f>
        <v>Bellcoin</v>
      </c>
    </row>
    <row r="1452">
      <c r="A1452" s="4" t="str">
        <f>IFERROR(__xludf.DUMMYFUNCTION("""COMPUTED_VALUE"""),"bell-curve-money")</f>
        <v>bell-curve-money</v>
      </c>
      <c r="B1452" s="4" t="str">
        <f>IFERROR(__xludf.DUMMYFUNCTION("""COMPUTED_VALUE"""),"bell")</f>
        <v>bell</v>
      </c>
      <c r="C1452" s="4" t="str">
        <f>IFERROR(__xludf.DUMMYFUNCTION("""COMPUTED_VALUE"""),"Bell Curve Money")</f>
        <v>Bell Curve Money</v>
      </c>
    </row>
    <row r="1453">
      <c r="A1453" s="4" t="str">
        <f>IFERROR(__xludf.DUMMYFUNCTION("""COMPUTED_VALUE"""),"bellscoin")</f>
        <v>bellscoin</v>
      </c>
      <c r="B1453" s="4" t="str">
        <f>IFERROR(__xludf.DUMMYFUNCTION("""COMPUTED_VALUE"""),"bel")</f>
        <v>bel</v>
      </c>
      <c r="C1453" s="4" t="str">
        <f>IFERROR(__xludf.DUMMYFUNCTION("""COMPUTED_VALUE"""),"Bellscoin")</f>
        <v>Bellscoin</v>
      </c>
    </row>
    <row r="1454">
      <c r="A1454" s="4" t="str">
        <f>IFERROR(__xludf.DUMMYFUNCTION("""COMPUTED_VALUE"""),"belt")</f>
        <v>belt</v>
      </c>
      <c r="B1454" s="4" t="str">
        <f>IFERROR(__xludf.DUMMYFUNCTION("""COMPUTED_VALUE"""),"belt")</f>
        <v>belt</v>
      </c>
      <c r="C1454" s="4" t="str">
        <f>IFERROR(__xludf.DUMMYFUNCTION("""COMPUTED_VALUE"""),"Belt")</f>
        <v>Belt</v>
      </c>
    </row>
    <row r="1455">
      <c r="A1455" s="4" t="str">
        <f>IFERROR(__xludf.DUMMYFUNCTION("""COMPUTED_VALUE"""),"beluga-cat")</f>
        <v>beluga-cat</v>
      </c>
      <c r="B1455" s="4" t="str">
        <f>IFERROR(__xludf.DUMMYFUNCTION("""COMPUTED_VALUE"""),"beluga")</f>
        <v>beluga</v>
      </c>
      <c r="C1455" s="4" t="str">
        <f>IFERROR(__xludf.DUMMYFUNCTION("""COMPUTED_VALUE"""),"Beluga Cat")</f>
        <v>Beluga Cat</v>
      </c>
    </row>
    <row r="1456">
      <c r="A1456" s="4" t="str">
        <f>IFERROR(__xludf.DUMMYFUNCTION("""COMPUTED_VALUE"""),"beluga-fi")</f>
        <v>beluga-fi</v>
      </c>
      <c r="B1456" s="4" t="str">
        <f>IFERROR(__xludf.DUMMYFUNCTION("""COMPUTED_VALUE"""),"beluga")</f>
        <v>beluga</v>
      </c>
      <c r="C1456" s="5" t="str">
        <f>IFERROR(__xludf.DUMMYFUNCTION("""COMPUTED_VALUE"""),"Beluga.fi")</f>
        <v>Beluga.fi</v>
      </c>
    </row>
    <row r="1457">
      <c r="A1457" s="4" t="str">
        <f>IFERROR(__xludf.DUMMYFUNCTION("""COMPUTED_VALUE"""),"bemchain")</f>
        <v>bemchain</v>
      </c>
      <c r="B1457" s="4" t="str">
        <f>IFERROR(__xludf.DUMMYFUNCTION("""COMPUTED_VALUE"""),"bcn")</f>
        <v>bcn</v>
      </c>
      <c r="C1457" s="4" t="str">
        <f>IFERROR(__xludf.DUMMYFUNCTION("""COMPUTED_VALUE"""),"Bemchain")</f>
        <v>Bemchain</v>
      </c>
    </row>
    <row r="1458">
      <c r="A1458" s="4" t="str">
        <f>IFERROR(__xludf.DUMMYFUNCTION("""COMPUTED_VALUE"""),"bemo-staked-ton")</f>
        <v>bemo-staked-ton</v>
      </c>
      <c r="B1458" s="4" t="str">
        <f>IFERROR(__xludf.DUMMYFUNCTION("""COMPUTED_VALUE"""),"stton")</f>
        <v>stton</v>
      </c>
      <c r="C1458" s="4" t="str">
        <f>IFERROR(__xludf.DUMMYFUNCTION("""COMPUTED_VALUE"""),"bemo Staked TON")</f>
        <v>bemo Staked TON</v>
      </c>
    </row>
    <row r="1459">
      <c r="A1459" s="4" t="str">
        <f>IFERROR(__xludf.DUMMYFUNCTION("""COMPUTED_VALUE"""),"ben-2")</f>
        <v>ben-2</v>
      </c>
      <c r="B1459" s="4" t="str">
        <f>IFERROR(__xludf.DUMMYFUNCTION("""COMPUTED_VALUE"""),"ben")</f>
        <v>ben</v>
      </c>
      <c r="C1459" s="4" t="str">
        <f>IFERROR(__xludf.DUMMYFUNCTION("""COMPUTED_VALUE"""),"Ben")</f>
        <v>Ben</v>
      </c>
    </row>
    <row r="1460">
      <c r="A1460" s="4" t="str">
        <f>IFERROR(__xludf.DUMMYFUNCTION("""COMPUTED_VALUE"""),"bencoin")</f>
        <v>bencoin</v>
      </c>
      <c r="B1460" s="4" t="str">
        <f>IFERROR(__xludf.DUMMYFUNCTION("""COMPUTED_VALUE"""),"$ben")</f>
        <v>$ben</v>
      </c>
      <c r="C1460" s="4" t="str">
        <f>IFERROR(__xludf.DUMMYFUNCTION("""COMPUTED_VALUE"""),"BENCOIN")</f>
        <v>BENCOIN</v>
      </c>
    </row>
    <row r="1461">
      <c r="A1461" s="4" t="str">
        <f>IFERROR(__xludf.DUMMYFUNCTION("""COMPUTED_VALUE"""),"benddao")</f>
        <v>benddao</v>
      </c>
      <c r="B1461" s="4" t="str">
        <f>IFERROR(__xludf.DUMMYFUNCTION("""COMPUTED_VALUE"""),"bend")</f>
        <v>bend</v>
      </c>
      <c r="C1461" s="4" t="str">
        <f>IFERROR(__xludf.DUMMYFUNCTION("""COMPUTED_VALUE"""),"BendDAO")</f>
        <v>BendDAO</v>
      </c>
    </row>
    <row r="1462">
      <c r="A1462" s="4" t="str">
        <f>IFERROR(__xludf.DUMMYFUNCTION("""COMPUTED_VALUE"""),"benddao-bdin-ordinals")</f>
        <v>benddao-bdin-ordinals</v>
      </c>
      <c r="B1462" s="4" t="str">
        <f>IFERROR(__xludf.DUMMYFUNCTION("""COMPUTED_VALUE"""),"bdin")</f>
        <v>bdin</v>
      </c>
      <c r="C1462" s="4" t="str">
        <f>IFERROR(__xludf.DUMMYFUNCTION("""COMPUTED_VALUE"""),"BendDAO BDIN (Ordinals)")</f>
        <v>BendDAO BDIN (Ordinals)</v>
      </c>
    </row>
    <row r="1463">
      <c r="A1463" s="4" t="str">
        <f>IFERROR(__xludf.DUMMYFUNCTION("""COMPUTED_VALUE"""),"benft-solutions")</f>
        <v>benft-solutions</v>
      </c>
      <c r="B1463" s="4" t="str">
        <f>IFERROR(__xludf.DUMMYFUNCTION("""COMPUTED_VALUE"""),"beai")</f>
        <v>beai</v>
      </c>
      <c r="C1463" s="4" t="str">
        <f>IFERROR(__xludf.DUMMYFUNCTION("""COMPUTED_VALUE"""),"BeNFT Solutions")</f>
        <v>BeNFT Solutions</v>
      </c>
    </row>
    <row r="1464">
      <c r="A1464" s="4" t="str">
        <f>IFERROR(__xludf.DUMMYFUNCTION("""COMPUTED_VALUE"""),"beni")</f>
        <v>beni</v>
      </c>
      <c r="B1464" s="4" t="str">
        <f>IFERROR(__xludf.DUMMYFUNCTION("""COMPUTED_VALUE"""),"beni")</f>
        <v>beni</v>
      </c>
      <c r="C1464" s="4" t="str">
        <f>IFERROR(__xludf.DUMMYFUNCTION("""COMPUTED_VALUE"""),"Beni")</f>
        <v>Beni</v>
      </c>
    </row>
    <row r="1465">
      <c r="A1465" s="4" t="str">
        <f>IFERROR(__xludf.DUMMYFUNCTION("""COMPUTED_VALUE"""),"benji-bananas")</f>
        <v>benji-bananas</v>
      </c>
      <c r="B1465" s="4" t="str">
        <f>IFERROR(__xludf.DUMMYFUNCTION("""COMPUTED_VALUE"""),"benji")</f>
        <v>benji</v>
      </c>
      <c r="C1465" s="4" t="str">
        <f>IFERROR(__xludf.DUMMYFUNCTION("""COMPUTED_VALUE"""),"Benji Bananas")</f>
        <v>Benji Bananas</v>
      </c>
    </row>
    <row r="1466">
      <c r="A1466" s="4" t="str">
        <f>IFERROR(__xludf.DUMMYFUNCTION("""COMPUTED_VALUE"""),"benqi")</f>
        <v>benqi</v>
      </c>
      <c r="B1466" s="4" t="str">
        <f>IFERROR(__xludf.DUMMYFUNCTION("""COMPUTED_VALUE"""),"qi")</f>
        <v>qi</v>
      </c>
      <c r="C1466" s="4" t="str">
        <f>IFERROR(__xludf.DUMMYFUNCTION("""COMPUTED_VALUE"""),"BENQI")</f>
        <v>BENQI</v>
      </c>
    </row>
    <row r="1467">
      <c r="A1467" s="4" t="str">
        <f>IFERROR(__xludf.DUMMYFUNCTION("""COMPUTED_VALUE"""),"benqi-liquid-staked-avax")</f>
        <v>benqi-liquid-staked-avax</v>
      </c>
      <c r="B1467" s="4" t="str">
        <f>IFERROR(__xludf.DUMMYFUNCTION("""COMPUTED_VALUE"""),"savax")</f>
        <v>savax</v>
      </c>
      <c r="C1467" s="4" t="str">
        <f>IFERROR(__xludf.DUMMYFUNCTION("""COMPUTED_VALUE"""),"BENQI Liquid Staked AVAX")</f>
        <v>BENQI Liquid Staked AVAX</v>
      </c>
    </row>
    <row r="1468">
      <c r="A1468" s="4" t="str">
        <f>IFERROR(__xludf.DUMMYFUNCTION("""COMPUTED_VALUE"""),"ben-s-finale")</f>
        <v>ben-s-finale</v>
      </c>
      <c r="B1468" s="4" t="str">
        <f>IFERROR(__xludf.DUMMYFUNCTION("""COMPUTED_VALUE"""),"finale")</f>
        <v>finale</v>
      </c>
      <c r="C1468" s="4" t="str">
        <f>IFERROR(__xludf.DUMMYFUNCTION("""COMPUTED_VALUE"""),"Ben's Finale")</f>
        <v>Ben's Finale</v>
      </c>
    </row>
    <row r="1469">
      <c r="A1469" s="4" t="str">
        <f>IFERROR(__xludf.DUMMYFUNCTION("""COMPUTED_VALUE"""),"bent-finance")</f>
        <v>bent-finance</v>
      </c>
      <c r="B1469" s="4" t="str">
        <f>IFERROR(__xludf.DUMMYFUNCTION("""COMPUTED_VALUE"""),"bent")</f>
        <v>bent</v>
      </c>
      <c r="C1469" s="4" t="str">
        <f>IFERROR(__xludf.DUMMYFUNCTION("""COMPUTED_VALUE"""),"Bent Finance")</f>
        <v>Bent Finance</v>
      </c>
    </row>
    <row r="1470">
      <c r="A1470" s="4" t="str">
        <f>IFERROR(__xludf.DUMMYFUNCTION("""COMPUTED_VALUE"""),"benzene")</f>
        <v>benzene</v>
      </c>
      <c r="B1470" s="4" t="str">
        <f>IFERROR(__xludf.DUMMYFUNCTION("""COMPUTED_VALUE"""),"bzn")</f>
        <v>bzn</v>
      </c>
      <c r="C1470" s="4" t="str">
        <f>IFERROR(__xludf.DUMMYFUNCTION("""COMPUTED_VALUE"""),"Benzene")</f>
        <v>Benzene</v>
      </c>
    </row>
    <row r="1471">
      <c r="A1471" s="4" t="str">
        <f>IFERROR(__xludf.DUMMYFUNCTION("""COMPUTED_VALUE"""),"beoble")</f>
        <v>beoble</v>
      </c>
      <c r="B1471" s="4" t="str">
        <f>IFERROR(__xludf.DUMMYFUNCTION("""COMPUTED_VALUE"""),"bbl")</f>
        <v>bbl</v>
      </c>
      <c r="C1471" s="4" t="str">
        <f>IFERROR(__xludf.DUMMYFUNCTION("""COMPUTED_VALUE"""),"Beoble")</f>
        <v>Beoble</v>
      </c>
    </row>
    <row r="1472">
      <c r="A1472" s="4" t="str">
        <f>IFERROR(__xludf.DUMMYFUNCTION("""COMPUTED_VALUE"""),"bep20-leo")</f>
        <v>bep20-leo</v>
      </c>
      <c r="B1472" s="4" t="str">
        <f>IFERROR(__xludf.DUMMYFUNCTION("""COMPUTED_VALUE"""),"bleo")</f>
        <v>bleo</v>
      </c>
      <c r="C1472" s="4" t="str">
        <f>IFERROR(__xludf.DUMMYFUNCTION("""COMPUTED_VALUE"""),"BEP20 LEO")</f>
        <v>BEP20 LEO</v>
      </c>
    </row>
    <row r="1473">
      <c r="A1473" s="4" t="str">
        <f>IFERROR(__xludf.DUMMYFUNCTION("""COMPUTED_VALUE"""),"bepay")</f>
        <v>bepay</v>
      </c>
      <c r="B1473" s="4" t="str">
        <f>IFERROR(__xludf.DUMMYFUNCTION("""COMPUTED_VALUE"""),"becoin")</f>
        <v>becoin</v>
      </c>
      <c r="C1473" s="4" t="str">
        <f>IFERROR(__xludf.DUMMYFUNCTION("""COMPUTED_VALUE"""),"bePAY Finance")</f>
        <v>bePAY Finance</v>
      </c>
    </row>
    <row r="1474">
      <c r="A1474" s="4" t="str">
        <f>IFERROR(__xludf.DUMMYFUNCTION("""COMPUTED_VALUE"""),"bepe")</f>
        <v>bepe</v>
      </c>
      <c r="B1474" s="4" t="str">
        <f>IFERROR(__xludf.DUMMYFUNCTION("""COMPUTED_VALUE"""),"bepe")</f>
        <v>bepe</v>
      </c>
      <c r="C1474" s="4" t="str">
        <f>IFERROR(__xludf.DUMMYFUNCTION("""COMPUTED_VALUE"""),"BEPE")</f>
        <v>BEPE</v>
      </c>
    </row>
    <row r="1475">
      <c r="A1475" s="4" t="str">
        <f>IFERROR(__xludf.DUMMYFUNCTION("""COMPUTED_VALUE"""),"bepro-network")</f>
        <v>bepro-network</v>
      </c>
      <c r="B1475" s="4" t="str">
        <f>IFERROR(__xludf.DUMMYFUNCTION("""COMPUTED_VALUE"""),"bepro")</f>
        <v>bepro</v>
      </c>
      <c r="C1475" s="4" t="str">
        <f>IFERROR(__xludf.DUMMYFUNCTION("""COMPUTED_VALUE"""),"Bepro")</f>
        <v>Bepro</v>
      </c>
    </row>
    <row r="1476">
      <c r="A1476" s="4" t="str">
        <f>IFERROR(__xludf.DUMMYFUNCTION("""COMPUTED_VALUE"""),"berachain-bera")</f>
        <v>berachain-bera</v>
      </c>
      <c r="B1476" s="4" t="str">
        <f>IFERROR(__xludf.DUMMYFUNCTION("""COMPUTED_VALUE"""),"bera")</f>
        <v>bera</v>
      </c>
      <c r="C1476" s="4" t="str">
        <f>IFERROR(__xludf.DUMMYFUNCTION("""COMPUTED_VALUE"""),"Berachain BERA")</f>
        <v>Berachain BERA</v>
      </c>
    </row>
    <row r="1477">
      <c r="A1477" s="4" t="str">
        <f>IFERROR(__xludf.DUMMYFUNCTION("""COMPUTED_VALUE"""),"beradex")</f>
        <v>beradex</v>
      </c>
      <c r="B1477" s="4" t="str">
        <f>IFERROR(__xludf.DUMMYFUNCTION("""COMPUTED_VALUE"""),"brdx")</f>
        <v>brdx</v>
      </c>
      <c r="C1477" s="4" t="str">
        <f>IFERROR(__xludf.DUMMYFUNCTION("""COMPUTED_VALUE"""),"Beradex")</f>
        <v>Beradex</v>
      </c>
    </row>
    <row r="1478">
      <c r="A1478" s="4" t="str">
        <f>IFERROR(__xludf.DUMMYFUNCTION("""COMPUTED_VALUE"""),"bergerdoge")</f>
        <v>bergerdoge</v>
      </c>
      <c r="B1478" s="4" t="str">
        <f>IFERROR(__xludf.DUMMYFUNCTION("""COMPUTED_VALUE"""),"bergerdoge")</f>
        <v>bergerdoge</v>
      </c>
      <c r="C1478" s="4" t="str">
        <f>IFERROR(__xludf.DUMMYFUNCTION("""COMPUTED_VALUE"""),"BergerDoge")</f>
        <v>BergerDoge</v>
      </c>
    </row>
    <row r="1479">
      <c r="A1479" s="4" t="str">
        <f>IFERROR(__xludf.DUMMYFUNCTION("""COMPUTED_VALUE"""),"bermuda")</f>
        <v>bermuda</v>
      </c>
      <c r="B1479" s="4" t="str">
        <f>IFERROR(__xludf.DUMMYFUNCTION("""COMPUTED_VALUE"""),"bmda")</f>
        <v>bmda</v>
      </c>
      <c r="C1479" s="4" t="str">
        <f>IFERROR(__xludf.DUMMYFUNCTION("""COMPUTED_VALUE"""),"Bermuda")</f>
        <v>Bermuda</v>
      </c>
    </row>
    <row r="1480">
      <c r="A1480" s="4" t="str">
        <f>IFERROR(__xludf.DUMMYFUNCTION("""COMPUTED_VALUE"""),"berry")</f>
        <v>berry</v>
      </c>
      <c r="B1480" s="4" t="str">
        <f>IFERROR(__xludf.DUMMYFUNCTION("""COMPUTED_VALUE"""),"berry")</f>
        <v>berry</v>
      </c>
      <c r="C1480" s="4" t="str">
        <f>IFERROR(__xludf.DUMMYFUNCTION("""COMPUTED_VALUE"""),"Berry")</f>
        <v>Berry</v>
      </c>
    </row>
    <row r="1481">
      <c r="A1481" s="4" t="str">
        <f>IFERROR(__xludf.DUMMYFUNCTION("""COMPUTED_VALUE"""),"berry-data")</f>
        <v>berry-data</v>
      </c>
      <c r="B1481" s="4" t="str">
        <f>IFERROR(__xludf.DUMMYFUNCTION("""COMPUTED_VALUE"""),"bry")</f>
        <v>bry</v>
      </c>
      <c r="C1481" s="4" t="str">
        <f>IFERROR(__xludf.DUMMYFUNCTION("""COMPUTED_VALUE"""),"Berry Data")</f>
        <v>Berry Data</v>
      </c>
    </row>
    <row r="1482">
      <c r="A1482" s="4" t="str">
        <f>IFERROR(__xludf.DUMMYFUNCTION("""COMPUTED_VALUE"""),"berry-pixels")</f>
        <v>berry-pixels</v>
      </c>
      <c r="B1482" s="4" t="str">
        <f>IFERROR(__xludf.DUMMYFUNCTION("""COMPUTED_VALUE"""),"berry")</f>
        <v>berry</v>
      </c>
      <c r="C1482" s="4" t="str">
        <f>IFERROR(__xludf.DUMMYFUNCTION("""COMPUTED_VALUE"""),"Berry")</f>
        <v>Berry</v>
      </c>
    </row>
    <row r="1483">
      <c r="A1483" s="4" t="str">
        <f>IFERROR(__xludf.DUMMYFUNCTION("""COMPUTED_VALUE"""),"berryswap")</f>
        <v>berryswap</v>
      </c>
      <c r="B1483" s="4" t="str">
        <f>IFERROR(__xludf.DUMMYFUNCTION("""COMPUTED_VALUE"""),"berry")</f>
        <v>berry</v>
      </c>
      <c r="C1483" s="4" t="str">
        <f>IFERROR(__xludf.DUMMYFUNCTION("""COMPUTED_VALUE"""),"BerrySwap")</f>
        <v>BerrySwap</v>
      </c>
    </row>
    <row r="1484">
      <c r="A1484" s="4" t="str">
        <f>IFERROR(__xludf.DUMMYFUNCTION("""COMPUTED_VALUE"""),"besa-gaming-company")</f>
        <v>besa-gaming-company</v>
      </c>
      <c r="B1484" s="4" t="str">
        <f>IFERROR(__xludf.DUMMYFUNCTION("""COMPUTED_VALUE"""),"besa")</f>
        <v>besa</v>
      </c>
      <c r="C1484" s="4" t="str">
        <f>IFERROR(__xludf.DUMMYFUNCTION("""COMPUTED_VALUE"""),"Besa Gaming Company")</f>
        <v>Besa Gaming Company</v>
      </c>
    </row>
    <row r="1485">
      <c r="A1485" s="4" t="str">
        <f>IFERROR(__xludf.DUMMYFUNCTION("""COMPUTED_VALUE"""),"besiktas")</f>
        <v>besiktas</v>
      </c>
      <c r="B1485" s="4" t="str">
        <f>IFERROR(__xludf.DUMMYFUNCTION("""COMPUTED_VALUE"""),"bjk")</f>
        <v>bjk</v>
      </c>
      <c r="C1485" s="4" t="str">
        <f>IFERROR(__xludf.DUMMYFUNCTION("""COMPUTED_VALUE"""),"Beşiktaş")</f>
        <v>Beşiktaş</v>
      </c>
    </row>
    <row r="1486">
      <c r="A1486" s="4" t="str">
        <f>IFERROR(__xludf.DUMMYFUNCTION("""COMPUTED_VALUE"""),"beskar")</f>
        <v>beskar</v>
      </c>
      <c r="B1486" s="4" t="str">
        <f>IFERROR(__xludf.DUMMYFUNCTION("""COMPUTED_VALUE"""),"bsk-baa025")</f>
        <v>bsk-baa025</v>
      </c>
      <c r="C1486" s="4" t="str">
        <f>IFERROR(__xludf.DUMMYFUNCTION("""COMPUTED_VALUE"""),"Beskar")</f>
        <v>Beskar</v>
      </c>
    </row>
    <row r="1487">
      <c r="A1487" s="4" t="str">
        <f>IFERROR(__xludf.DUMMYFUNCTION("""COMPUTED_VALUE"""),"bet45")</f>
        <v>bet45</v>
      </c>
      <c r="B1487" s="4" t="str">
        <f>IFERROR(__xludf.DUMMYFUNCTION("""COMPUTED_VALUE"""),"b45")</f>
        <v>b45</v>
      </c>
      <c r="C1487" s="4" t="str">
        <f>IFERROR(__xludf.DUMMYFUNCTION("""COMPUTED_VALUE"""),"Bet45")</f>
        <v>Bet45</v>
      </c>
    </row>
    <row r="1488">
      <c r="A1488" s="4" t="str">
        <f>IFERROR(__xludf.DUMMYFUNCTION("""COMPUTED_VALUE"""),"betacarbon")</f>
        <v>betacarbon</v>
      </c>
      <c r="B1488" s="4" t="str">
        <f>IFERROR(__xludf.DUMMYFUNCTION("""COMPUTED_VALUE"""),"bcau")</f>
        <v>bcau</v>
      </c>
      <c r="C1488" s="4" t="str">
        <f>IFERROR(__xludf.DUMMYFUNCTION("""COMPUTED_VALUE"""),"BetaCarbon")</f>
        <v>BetaCarbon</v>
      </c>
    </row>
    <row r="1489">
      <c r="A1489" s="4" t="str">
        <f>IFERROR(__xludf.DUMMYFUNCTION("""COMPUTED_VALUE"""),"beta-finance")</f>
        <v>beta-finance</v>
      </c>
      <c r="B1489" s="4" t="str">
        <f>IFERROR(__xludf.DUMMYFUNCTION("""COMPUTED_VALUE"""),"beta")</f>
        <v>beta</v>
      </c>
      <c r="C1489" s="4" t="str">
        <f>IFERROR(__xludf.DUMMYFUNCTION("""COMPUTED_VALUE"""),"Beta Finance")</f>
        <v>Beta Finance</v>
      </c>
    </row>
    <row r="1490">
      <c r="A1490" s="4" t="str">
        <f>IFERROR(__xludf.DUMMYFUNCTION("""COMPUTED_VALUE"""),"betai")</f>
        <v>betai</v>
      </c>
      <c r="B1490" s="4" t="str">
        <f>IFERROR(__xludf.DUMMYFUNCTION("""COMPUTED_VALUE"""),"bai")</f>
        <v>bai</v>
      </c>
      <c r="C1490" s="4" t="str">
        <f>IFERROR(__xludf.DUMMYFUNCTION("""COMPUTED_VALUE"""),"BetAI")</f>
        <v>BetAI</v>
      </c>
    </row>
    <row r="1491">
      <c r="A1491" s="4" t="str">
        <f>IFERROR(__xludf.DUMMYFUNCTION("""COMPUTED_VALUE"""),"betbot")</f>
        <v>betbot</v>
      </c>
      <c r="B1491" s="4" t="str">
        <f>IFERROR(__xludf.DUMMYFUNCTION("""COMPUTED_VALUE"""),"bbot")</f>
        <v>bbot</v>
      </c>
      <c r="C1491" s="4" t="str">
        <f>IFERROR(__xludf.DUMMYFUNCTION("""COMPUTED_VALUE"""),"BetBot")</f>
        <v>BetBot</v>
      </c>
    </row>
    <row r="1492">
      <c r="A1492" s="4" t="str">
        <f>IFERROR(__xludf.DUMMYFUNCTION("""COMPUTED_VALUE"""),"betbuinu")</f>
        <v>betbuinu</v>
      </c>
      <c r="B1492" s="4" t="str">
        <f>IFERROR(__xludf.DUMMYFUNCTION("""COMPUTED_VALUE"""),"crypto")</f>
        <v>crypto</v>
      </c>
      <c r="C1492" s="4" t="str">
        <f>IFERROR(__xludf.DUMMYFUNCTION("""COMPUTED_VALUE"""),"BetbuInu")</f>
        <v>BetbuInu</v>
      </c>
    </row>
    <row r="1493">
      <c r="A1493" s="4" t="str">
        <f>IFERROR(__xludf.DUMMYFUNCTION("""COMPUTED_VALUE"""),"betero")</f>
        <v>betero</v>
      </c>
      <c r="B1493" s="4" t="str">
        <f>IFERROR(__xludf.DUMMYFUNCTION("""COMPUTED_VALUE"""),"bte")</f>
        <v>bte</v>
      </c>
      <c r="C1493" s="4" t="str">
        <f>IFERROR(__xludf.DUMMYFUNCTION("""COMPUTED_VALUE"""),"Betero")</f>
        <v>Betero</v>
      </c>
    </row>
    <row r="1494">
      <c r="A1494" s="4" t="str">
        <f>IFERROR(__xludf.DUMMYFUNCTION("""COMPUTED_VALUE"""),"betit")</f>
        <v>betit</v>
      </c>
      <c r="B1494" s="4" t="str">
        <f>IFERROR(__xludf.DUMMYFUNCTION("""COMPUTED_VALUE"""),"betit")</f>
        <v>betit</v>
      </c>
      <c r="C1494" s="4" t="str">
        <f>IFERROR(__xludf.DUMMYFUNCTION("""COMPUTED_VALUE"""),"BetIT")</f>
        <v>BetIT</v>
      </c>
    </row>
    <row r="1495">
      <c r="A1495" s="4" t="str">
        <f>IFERROR(__xludf.DUMMYFUNCTION("""COMPUTED_VALUE"""),"bet-lounge")</f>
        <v>bet-lounge</v>
      </c>
      <c r="B1495" s="4" t="str">
        <f>IFERROR(__xludf.DUMMYFUNCTION("""COMPUTED_VALUE"""),"betz")</f>
        <v>betz</v>
      </c>
      <c r="C1495" s="4" t="str">
        <f>IFERROR(__xludf.DUMMYFUNCTION("""COMPUTED_VALUE"""),"Bet Lounge")</f>
        <v>Bet Lounge</v>
      </c>
    </row>
    <row r="1496">
      <c r="A1496" s="4" t="str">
        <f>IFERROR(__xludf.DUMMYFUNCTION("""COMPUTED_VALUE"""),"betswap-gg")</f>
        <v>betswap-gg</v>
      </c>
      <c r="B1496" s="4" t="str">
        <f>IFERROR(__xludf.DUMMYFUNCTION("""COMPUTED_VALUE"""),"bsgg")</f>
        <v>bsgg</v>
      </c>
      <c r="C1496" s="5" t="str">
        <f>IFERROR(__xludf.DUMMYFUNCTION("""COMPUTED_VALUE"""),"Betswap.gg")</f>
        <v>Betswap.gg</v>
      </c>
    </row>
    <row r="1497">
      <c r="A1497" s="4" t="str">
        <f>IFERROR(__xludf.DUMMYFUNCTION("""COMPUTED_VALUE"""),"betswirl")</f>
        <v>betswirl</v>
      </c>
      <c r="B1497" s="4" t="str">
        <f>IFERROR(__xludf.DUMMYFUNCTION("""COMPUTED_VALUE"""),"bets")</f>
        <v>bets</v>
      </c>
      <c r="C1497" s="4" t="str">
        <f>IFERROR(__xludf.DUMMYFUNCTION("""COMPUTED_VALUE"""),"BetSwirl")</f>
        <v>BetSwirl</v>
      </c>
    </row>
    <row r="1498">
      <c r="A1498" s="4" t="str">
        <f>IFERROR(__xludf.DUMMYFUNCTION("""COMPUTED_VALUE"""),"betted")</f>
        <v>betted</v>
      </c>
      <c r="B1498" s="4" t="str">
        <f>IFERROR(__xludf.DUMMYFUNCTION("""COMPUTED_VALUE"""),"betted")</f>
        <v>betted</v>
      </c>
      <c r="C1498" s="4" t="str">
        <f>IFERROR(__xludf.DUMMYFUNCTION("""COMPUTED_VALUE"""),"Green Games")</f>
        <v>Green Games</v>
      </c>
    </row>
    <row r="1499">
      <c r="A1499" s="4" t="str">
        <f>IFERROR(__xludf.DUMMYFUNCTION("""COMPUTED_VALUE"""),"betterbelong")</f>
        <v>betterbelong</v>
      </c>
      <c r="B1499" s="4" t="str">
        <f>IFERROR(__xludf.DUMMYFUNCTION("""COMPUTED_VALUE"""),"long")</f>
        <v>long</v>
      </c>
      <c r="C1499" s="4" t="str">
        <f>IFERROR(__xludf.DUMMYFUNCTION("""COMPUTED_VALUE"""),"LONG")</f>
        <v>LONG</v>
      </c>
    </row>
    <row r="1500">
      <c r="A1500" s="4" t="str">
        <f>IFERROR(__xludf.DUMMYFUNCTION("""COMPUTED_VALUE"""),"betterfan")</f>
        <v>betterfan</v>
      </c>
      <c r="B1500" s="4" t="str">
        <f>IFERROR(__xludf.DUMMYFUNCTION("""COMPUTED_VALUE"""),"bff")</f>
        <v>bff</v>
      </c>
      <c r="C1500" s="4" t="str">
        <f>IFERROR(__xludf.DUMMYFUNCTION("""COMPUTED_VALUE"""),"BetterFan")</f>
        <v>BetterFan</v>
      </c>
    </row>
    <row r="1501">
      <c r="A1501" s="4" t="str">
        <f>IFERROR(__xludf.DUMMYFUNCTION("""COMPUTED_VALUE"""),"betterment-digital")</f>
        <v>betterment-digital</v>
      </c>
      <c r="B1501" s="4" t="str">
        <f>IFERROR(__xludf.DUMMYFUNCTION("""COMPUTED_VALUE"""),"bemd")</f>
        <v>bemd</v>
      </c>
      <c r="C1501" s="4" t="str">
        <f>IFERROR(__xludf.DUMMYFUNCTION("""COMPUTED_VALUE"""),"Betterment Digital")</f>
        <v>Betterment Digital</v>
      </c>
    </row>
    <row r="1502">
      <c r="A1502" s="4" t="str">
        <f>IFERROR(__xludf.DUMMYFUNCTION("""COMPUTED_VALUE"""),"beyond-finance")</f>
        <v>beyond-finance</v>
      </c>
      <c r="B1502" s="4" t="str">
        <f>IFERROR(__xludf.DUMMYFUNCTION("""COMPUTED_VALUE"""),"byn")</f>
        <v>byn</v>
      </c>
      <c r="C1502" s="4" t="str">
        <f>IFERROR(__xludf.DUMMYFUNCTION("""COMPUTED_VALUE"""),"NBX")</f>
        <v>NBX</v>
      </c>
    </row>
    <row r="1503">
      <c r="A1503" s="4" t="str">
        <f>IFERROR(__xludf.DUMMYFUNCTION("""COMPUTED_VALUE"""),"beyond-protocol")</f>
        <v>beyond-protocol</v>
      </c>
      <c r="B1503" s="4" t="str">
        <f>IFERROR(__xludf.DUMMYFUNCTION("""COMPUTED_VALUE"""),"bp")</f>
        <v>bp</v>
      </c>
      <c r="C1503" s="4" t="str">
        <f>IFERROR(__xludf.DUMMYFUNCTION("""COMPUTED_VALUE"""),"Beyond Protocol")</f>
        <v>Beyond Protocol</v>
      </c>
    </row>
    <row r="1504">
      <c r="A1504" s="4" t="str">
        <f>IFERROR(__xludf.DUMMYFUNCTION("""COMPUTED_VALUE"""),"bezoge-earth")</f>
        <v>bezoge-earth</v>
      </c>
      <c r="B1504" s="4" t="str">
        <f>IFERROR(__xludf.DUMMYFUNCTION("""COMPUTED_VALUE"""),"bezoge")</f>
        <v>bezoge</v>
      </c>
      <c r="C1504" s="4" t="str">
        <f>IFERROR(__xludf.DUMMYFUNCTION("""COMPUTED_VALUE"""),"Bezoge Earth")</f>
        <v>Bezoge Earth</v>
      </c>
    </row>
    <row r="1505">
      <c r="A1505" s="4" t="str">
        <f>IFERROR(__xludf.DUMMYFUNCTION("""COMPUTED_VALUE"""),"bfg-token")</f>
        <v>bfg-token</v>
      </c>
      <c r="B1505" s="4" t="str">
        <f>IFERROR(__xludf.DUMMYFUNCTION("""COMPUTED_VALUE"""),"bfg")</f>
        <v>bfg</v>
      </c>
      <c r="C1505" s="4" t="str">
        <f>IFERROR(__xludf.DUMMYFUNCTION("""COMPUTED_VALUE"""),"BetFury")</f>
        <v>BetFury</v>
      </c>
    </row>
    <row r="1506">
      <c r="A1506" s="4" t="str">
        <f>IFERROR(__xludf.DUMMYFUNCTION("""COMPUTED_VALUE"""),"bficgold")</f>
        <v>bficgold</v>
      </c>
      <c r="B1506" s="4" t="str">
        <f>IFERROR(__xludf.DUMMYFUNCTION("""COMPUTED_VALUE"""),"bficgold")</f>
        <v>bficgold</v>
      </c>
      <c r="C1506" s="4" t="str">
        <f>IFERROR(__xludf.DUMMYFUNCTION("""COMPUTED_VALUE"""),"BFICGOLD")</f>
        <v>BFICGOLD</v>
      </c>
    </row>
    <row r="1507">
      <c r="A1507" s="4" t="str">
        <f>IFERROR(__xludf.DUMMYFUNCTION("""COMPUTED_VALUE"""),"bficoin")</f>
        <v>bficoin</v>
      </c>
      <c r="B1507" s="4" t="str">
        <f>IFERROR(__xludf.DUMMYFUNCTION("""COMPUTED_VALUE"""),"bfic")</f>
        <v>bfic</v>
      </c>
      <c r="C1507" s="4" t="str">
        <f>IFERROR(__xludf.DUMMYFUNCTION("""COMPUTED_VALUE"""),"BFICoin")</f>
        <v>BFICoin</v>
      </c>
    </row>
    <row r="1508">
      <c r="A1508" s="4" t="str">
        <f>IFERROR(__xludf.DUMMYFUNCTION("""COMPUTED_VALUE"""),"bfk-warzone")</f>
        <v>bfk-warzone</v>
      </c>
      <c r="B1508" s="4" t="str">
        <f>IFERROR(__xludf.DUMMYFUNCTION("""COMPUTED_VALUE"""),"bfk")</f>
        <v>bfk</v>
      </c>
      <c r="C1508" s="4" t="str">
        <f>IFERROR(__xludf.DUMMYFUNCTION("""COMPUTED_VALUE"""),"BFK WARZONE")</f>
        <v>BFK WARZONE</v>
      </c>
    </row>
    <row r="1509">
      <c r="A1509" s="4" t="str">
        <f>IFERROR(__xludf.DUMMYFUNCTION("""COMPUTED_VALUE"""),"bg-trade")</f>
        <v>bg-trade</v>
      </c>
      <c r="B1509" s="4" t="str">
        <f>IFERROR(__xludf.DUMMYFUNCTION("""COMPUTED_VALUE"""),"bgt")</f>
        <v>bgt</v>
      </c>
      <c r="C1509" s="4" t="str">
        <f>IFERROR(__xludf.DUMMYFUNCTION("""COMPUTED_VALUE"""),"BG Trade")</f>
        <v>BG Trade</v>
      </c>
    </row>
    <row r="1510">
      <c r="A1510" s="4" t="str">
        <f>IFERROR(__xludf.DUMMYFUNCTION("""COMPUTED_VALUE"""),"bhbd")</f>
        <v>bhbd</v>
      </c>
      <c r="B1510" s="4" t="str">
        <f>IFERROR(__xludf.DUMMYFUNCTION("""COMPUTED_VALUE"""),"bhbd")</f>
        <v>bhbd</v>
      </c>
      <c r="C1510" s="4" t="str">
        <f>IFERROR(__xludf.DUMMYFUNCTION("""COMPUTED_VALUE"""),"bHBD")</f>
        <v>bHBD</v>
      </c>
    </row>
    <row r="1511">
      <c r="A1511" s="4" t="str">
        <f>IFERROR(__xludf.DUMMYFUNCTION("""COMPUTED_VALUE"""),"bhive")</f>
        <v>bhive</v>
      </c>
      <c r="B1511" s="4" t="str">
        <f>IFERROR(__xludf.DUMMYFUNCTION("""COMPUTED_VALUE"""),"bhive")</f>
        <v>bhive</v>
      </c>
      <c r="C1511" s="4" t="str">
        <f>IFERROR(__xludf.DUMMYFUNCTION("""COMPUTED_VALUE"""),"bHIVE")</f>
        <v>bHIVE</v>
      </c>
    </row>
    <row r="1512">
      <c r="A1512" s="4" t="str">
        <f>IFERROR(__xludf.DUMMYFUNCTION("""COMPUTED_VALUE"""),"bhnetwork")</f>
        <v>bhnetwork</v>
      </c>
      <c r="B1512" s="4" t="str">
        <f>IFERROR(__xludf.DUMMYFUNCTION("""COMPUTED_VALUE"""),"bhat")</f>
        <v>bhat</v>
      </c>
      <c r="C1512" s="4" t="str">
        <f>IFERROR(__xludf.DUMMYFUNCTION("""COMPUTED_VALUE"""),"BHNetwork")</f>
        <v>BHNetwork</v>
      </c>
    </row>
    <row r="1513">
      <c r="A1513" s="4" t="str">
        <f>IFERROR(__xludf.DUMMYFUNCTION("""COMPUTED_VALUE"""),"bho-network")</f>
        <v>bho-network</v>
      </c>
      <c r="B1513" s="4" t="str">
        <f>IFERROR(__xludf.DUMMYFUNCTION("""COMPUTED_VALUE"""),"bho")</f>
        <v>bho</v>
      </c>
      <c r="C1513" s="4" t="str">
        <f>IFERROR(__xludf.DUMMYFUNCTION("""COMPUTED_VALUE"""),"BHO Network")</f>
        <v>BHO Network</v>
      </c>
    </row>
    <row r="1514">
      <c r="A1514" s="4" t="str">
        <f>IFERROR(__xludf.DUMMYFUNCTION("""COMPUTED_VALUE"""),"biaocoin")</f>
        <v>biaocoin</v>
      </c>
      <c r="B1514" s="4" t="str">
        <f>IFERROR(__xludf.DUMMYFUNCTION("""COMPUTED_VALUE"""),"biao")</f>
        <v>biao</v>
      </c>
      <c r="C1514" s="4" t="str">
        <f>IFERROR(__xludf.DUMMYFUNCTION("""COMPUTED_VALUE"""),"Biaocoin")</f>
        <v>Biaocoin</v>
      </c>
    </row>
    <row r="1515">
      <c r="A1515" s="4" t="str">
        <f>IFERROR(__xludf.DUMMYFUNCTION("""COMPUTED_VALUE"""),"biao-coin")</f>
        <v>biao-coin</v>
      </c>
      <c r="B1515" s="4" t="str">
        <f>IFERROR(__xludf.DUMMYFUNCTION("""COMPUTED_VALUE"""),"biao")</f>
        <v>biao</v>
      </c>
      <c r="C1515" s="4" t="str">
        <f>IFERROR(__xludf.DUMMYFUNCTION("""COMPUTED_VALUE"""),"Biao Coin")</f>
        <v>Biao Coin</v>
      </c>
    </row>
    <row r="1516">
      <c r="A1516" s="4" t="str">
        <f>IFERROR(__xludf.DUMMYFUNCTION("""COMPUTED_VALUE"""),"bibi")</f>
        <v>bibi</v>
      </c>
      <c r="B1516" s="4" t="str">
        <f>IFERROR(__xludf.DUMMYFUNCTION("""COMPUTED_VALUE"""),"bibi")</f>
        <v>bibi</v>
      </c>
      <c r="C1516" s="4" t="str">
        <f>IFERROR(__xludf.DUMMYFUNCTION("""COMPUTED_VALUE"""),"BIBI")</f>
        <v>BIBI</v>
      </c>
    </row>
    <row r="1517">
      <c r="A1517" s="4" t="str">
        <f>IFERROR(__xludf.DUMMYFUNCTION("""COMPUTED_VALUE"""),"bibi2-0")</f>
        <v>bibi2-0</v>
      </c>
      <c r="B1517" s="4" t="str">
        <f>IFERROR(__xludf.DUMMYFUNCTION("""COMPUTED_VALUE"""),"bibi2.0")</f>
        <v>bibi2.0</v>
      </c>
      <c r="C1517" s="4" t="str">
        <f>IFERROR(__xludf.DUMMYFUNCTION("""COMPUTED_VALUE"""),"BIBI2.0")</f>
        <v>BIBI2.0</v>
      </c>
    </row>
    <row r="1518">
      <c r="A1518" s="4" t="str">
        <f>IFERROR(__xludf.DUMMYFUNCTION("""COMPUTED_VALUE"""),"biblecoin")</f>
        <v>biblecoin</v>
      </c>
      <c r="B1518" s="4" t="str">
        <f>IFERROR(__xludf.DUMMYFUNCTION("""COMPUTED_VALUE"""),"bibl")</f>
        <v>bibl</v>
      </c>
      <c r="C1518" s="4" t="str">
        <f>IFERROR(__xludf.DUMMYFUNCTION("""COMPUTED_VALUE"""),"Biblecoin")</f>
        <v>Biblecoin</v>
      </c>
    </row>
    <row r="1519">
      <c r="A1519" s="4" t="str">
        <f>IFERROR(__xludf.DUMMYFUNCTION("""COMPUTED_VALUE"""),"biblical-truth")</f>
        <v>biblical-truth</v>
      </c>
      <c r="B1519" s="4" t="str">
        <f>IFERROR(__xludf.DUMMYFUNCTION("""COMPUTED_VALUE"""),"btru")</f>
        <v>btru</v>
      </c>
      <c r="C1519" s="4" t="str">
        <f>IFERROR(__xludf.DUMMYFUNCTION("""COMPUTED_VALUE"""),"Biblical Truth")</f>
        <v>Biblical Truth</v>
      </c>
    </row>
    <row r="1520">
      <c r="A1520" s="4" t="str">
        <f>IFERROR(__xludf.DUMMYFUNCTION("""COMPUTED_VALUE"""),"bibox-token")</f>
        <v>bibox-token</v>
      </c>
      <c r="B1520" s="4" t="str">
        <f>IFERROR(__xludf.DUMMYFUNCTION("""COMPUTED_VALUE"""),"bix")</f>
        <v>bix</v>
      </c>
      <c r="C1520" s="4" t="str">
        <f>IFERROR(__xludf.DUMMYFUNCTION("""COMPUTED_VALUE"""),"Bibox")</f>
        <v>Bibox</v>
      </c>
    </row>
    <row r="1521">
      <c r="A1521" s="4" t="str">
        <f>IFERROR(__xludf.DUMMYFUNCTION("""COMPUTED_VALUE"""),"biceps")</f>
        <v>biceps</v>
      </c>
      <c r="B1521" s="4" t="str">
        <f>IFERROR(__xludf.DUMMYFUNCTION("""COMPUTED_VALUE"""),"bics")</f>
        <v>bics</v>
      </c>
      <c r="C1521" s="4" t="str">
        <f>IFERROR(__xludf.DUMMYFUNCTION("""COMPUTED_VALUE"""),"Biceps")</f>
        <v>Biceps</v>
      </c>
    </row>
    <row r="1522">
      <c r="A1522" s="4" t="str">
        <f>IFERROR(__xludf.DUMMYFUNCTION("""COMPUTED_VALUE"""),"biconomy")</f>
        <v>biconomy</v>
      </c>
      <c r="B1522" s="4" t="str">
        <f>IFERROR(__xludf.DUMMYFUNCTION("""COMPUTED_VALUE"""),"bico")</f>
        <v>bico</v>
      </c>
      <c r="C1522" s="4" t="str">
        <f>IFERROR(__xludf.DUMMYFUNCTION("""COMPUTED_VALUE"""),"Biconomy")</f>
        <v>Biconomy</v>
      </c>
    </row>
    <row r="1523">
      <c r="A1523" s="4" t="str">
        <f>IFERROR(__xludf.DUMMYFUNCTION("""COMPUTED_VALUE"""),"biconomy-exchange-token")</f>
        <v>biconomy-exchange-token</v>
      </c>
      <c r="B1523" s="4" t="str">
        <f>IFERROR(__xludf.DUMMYFUNCTION("""COMPUTED_VALUE"""),"bit")</f>
        <v>bit</v>
      </c>
      <c r="C1523" s="4" t="str">
        <f>IFERROR(__xludf.DUMMYFUNCTION("""COMPUTED_VALUE"""),"Biconomy Exchange Token")</f>
        <v>Biconomy Exchange Token</v>
      </c>
    </row>
    <row r="1524">
      <c r="A1524" s="4" t="str">
        <f>IFERROR(__xludf.DUMMYFUNCTION("""COMPUTED_VALUE"""),"bictory")</f>
        <v>bictory</v>
      </c>
      <c r="B1524" s="4" t="str">
        <f>IFERROR(__xludf.DUMMYFUNCTION("""COMPUTED_VALUE"""),"bt")</f>
        <v>bt</v>
      </c>
      <c r="C1524" s="4" t="str">
        <f>IFERROR(__xludf.DUMMYFUNCTION("""COMPUTED_VALUE"""),"Bictory")</f>
        <v>Bictory</v>
      </c>
    </row>
    <row r="1525">
      <c r="A1525" s="4" t="str">
        <f>IFERROR(__xludf.DUMMYFUNCTION("""COMPUTED_VALUE"""),"bidao")</f>
        <v>bidao</v>
      </c>
      <c r="B1525" s="4" t="str">
        <f>IFERROR(__xludf.DUMMYFUNCTION("""COMPUTED_VALUE"""),"bid")</f>
        <v>bid</v>
      </c>
      <c r="C1525" s="4" t="str">
        <f>IFERROR(__xludf.DUMMYFUNCTION("""COMPUTED_VALUE"""),"Bidao")</f>
        <v>Bidao</v>
      </c>
    </row>
    <row r="1526">
      <c r="A1526" s="4" t="str">
        <f>IFERROR(__xludf.DUMMYFUNCTION("""COMPUTED_VALUE"""),"bidao-smart-chain")</f>
        <v>bidao-smart-chain</v>
      </c>
      <c r="B1526" s="4" t="str">
        <f>IFERROR(__xludf.DUMMYFUNCTION("""COMPUTED_VALUE"""),"bisc")</f>
        <v>bisc</v>
      </c>
      <c r="C1526" s="4" t="str">
        <f>IFERROR(__xludf.DUMMYFUNCTION("""COMPUTED_VALUE"""),"Bidao Smart Chain")</f>
        <v>Bidao Smart Chain</v>
      </c>
    </row>
    <row r="1527">
      <c r="A1527" s="4" t="str">
        <f>IFERROR(__xludf.DUMMYFUNCTION("""COMPUTED_VALUE"""),"bidipass")</f>
        <v>bidipass</v>
      </c>
      <c r="B1527" s="4" t="str">
        <f>IFERROR(__xludf.DUMMYFUNCTION("""COMPUTED_VALUE"""),"bdp")</f>
        <v>bdp</v>
      </c>
      <c r="C1527" s="4" t="str">
        <f>IFERROR(__xludf.DUMMYFUNCTION("""COMPUTED_VALUE"""),"BidiPass")</f>
        <v>BidiPass</v>
      </c>
    </row>
    <row r="1528">
      <c r="A1528" s="4" t="str">
        <f>IFERROR(__xludf.DUMMYFUNCTION("""COMPUTED_VALUE"""),"bid-protocol")</f>
        <v>bid-protocol</v>
      </c>
      <c r="B1528" s="4" t="str">
        <f>IFERROR(__xludf.DUMMYFUNCTION("""COMPUTED_VALUE"""),"bidp")</f>
        <v>bidp</v>
      </c>
      <c r="C1528" s="4" t="str">
        <f>IFERROR(__xludf.DUMMYFUNCTION("""COMPUTED_VALUE"""),"BID Protocol")</f>
        <v>BID Protocol</v>
      </c>
    </row>
    <row r="1529">
      <c r="A1529" s="4" t="str">
        <f>IFERROR(__xludf.DUMMYFUNCTION("""COMPUTED_VALUE"""),"bidz-coin")</f>
        <v>bidz-coin</v>
      </c>
      <c r="B1529" s="4" t="str">
        <f>IFERROR(__xludf.DUMMYFUNCTION("""COMPUTED_VALUE"""),"bidz")</f>
        <v>bidz</v>
      </c>
      <c r="C1529" s="4" t="str">
        <f>IFERROR(__xludf.DUMMYFUNCTION("""COMPUTED_VALUE"""),"BIDZ Coin")</f>
        <v>BIDZ Coin</v>
      </c>
    </row>
    <row r="1530">
      <c r="A1530" s="4" t="str">
        <f>IFERROR(__xludf.DUMMYFUNCTION("""COMPUTED_VALUE"""),"bifi")</f>
        <v>bifi</v>
      </c>
      <c r="B1530" s="4" t="str">
        <f>IFERROR(__xludf.DUMMYFUNCTION("""COMPUTED_VALUE"""),"bifi")</f>
        <v>bifi</v>
      </c>
      <c r="C1530" s="4" t="str">
        <f>IFERROR(__xludf.DUMMYFUNCTION("""COMPUTED_VALUE"""),"BiFi")</f>
        <v>BiFi</v>
      </c>
    </row>
    <row r="1531">
      <c r="A1531" s="4" t="str">
        <f>IFERROR(__xludf.DUMMYFUNCTION("""COMPUTED_VALUE"""),"bifinance-exchange")</f>
        <v>bifinance-exchange</v>
      </c>
      <c r="B1531" s="4" t="str">
        <f>IFERROR(__xludf.DUMMYFUNCTION("""COMPUTED_VALUE"""),"bft")</f>
        <v>bft</v>
      </c>
      <c r="C1531" s="4" t="str">
        <f>IFERROR(__xludf.DUMMYFUNCTION("""COMPUTED_VALUE"""),"BiFinance Exchange")</f>
        <v>BiFinance Exchange</v>
      </c>
    </row>
    <row r="1532">
      <c r="A1532" s="4" t="str">
        <f>IFERROR(__xludf.DUMMYFUNCTION("""COMPUTED_VALUE"""),"bifrost")</f>
        <v>bifrost</v>
      </c>
      <c r="B1532" s="4" t="str">
        <f>IFERROR(__xludf.DUMMYFUNCTION("""COMPUTED_VALUE"""),"bfc")</f>
        <v>bfc</v>
      </c>
      <c r="C1532" s="4" t="str">
        <f>IFERROR(__xludf.DUMMYFUNCTION("""COMPUTED_VALUE"""),"Bifrost")</f>
        <v>Bifrost</v>
      </c>
    </row>
    <row r="1533">
      <c r="A1533" s="4" t="str">
        <f>IFERROR(__xludf.DUMMYFUNCTION("""COMPUTED_VALUE"""),"bifrost-native-coin")</f>
        <v>bifrost-native-coin</v>
      </c>
      <c r="B1533" s="4" t="str">
        <f>IFERROR(__xludf.DUMMYFUNCTION("""COMPUTED_VALUE"""),"bnc")</f>
        <v>bnc</v>
      </c>
      <c r="C1533" s="4" t="str">
        <f>IFERROR(__xludf.DUMMYFUNCTION("""COMPUTED_VALUE"""),"Bifrost Native Coin")</f>
        <v>Bifrost Native Coin</v>
      </c>
    </row>
    <row r="1534">
      <c r="A1534" s="4" t="str">
        <f>IFERROR(__xludf.DUMMYFUNCTION("""COMPUTED_VALUE"""),"bifrost-voucher-astr")</f>
        <v>bifrost-voucher-astr</v>
      </c>
      <c r="B1534" s="4" t="str">
        <f>IFERROR(__xludf.DUMMYFUNCTION("""COMPUTED_VALUE"""),"vastr")</f>
        <v>vastr</v>
      </c>
      <c r="C1534" s="4" t="str">
        <f>IFERROR(__xludf.DUMMYFUNCTION("""COMPUTED_VALUE"""),"Bifrost Voucher ASTR")</f>
        <v>Bifrost Voucher ASTR</v>
      </c>
    </row>
    <row r="1535">
      <c r="A1535" s="4" t="str">
        <f>IFERROR(__xludf.DUMMYFUNCTION("""COMPUTED_VALUE"""),"bifrost-voucher-manta")</f>
        <v>bifrost-voucher-manta</v>
      </c>
      <c r="B1535" s="4" t="str">
        <f>IFERROR(__xludf.DUMMYFUNCTION("""COMPUTED_VALUE"""),"vmanta")</f>
        <v>vmanta</v>
      </c>
      <c r="C1535" s="4" t="str">
        <f>IFERROR(__xludf.DUMMYFUNCTION("""COMPUTED_VALUE"""),"Bifrost Voucher MANTA")</f>
        <v>Bifrost Voucher MANTA</v>
      </c>
    </row>
    <row r="1536">
      <c r="A1536" s="4" t="str">
        <f>IFERROR(__xludf.DUMMYFUNCTION("""COMPUTED_VALUE"""),"big-bonus-coin")</f>
        <v>big-bonus-coin</v>
      </c>
      <c r="B1536" s="4" t="str">
        <f>IFERROR(__xludf.DUMMYFUNCTION("""COMPUTED_VALUE"""),"bbc")</f>
        <v>bbc</v>
      </c>
      <c r="C1536" s="4" t="str">
        <f>IFERROR(__xludf.DUMMYFUNCTION("""COMPUTED_VALUE"""),"Big Bonus Coin")</f>
        <v>Big Bonus Coin</v>
      </c>
    </row>
    <row r="1537">
      <c r="A1537" s="4" t="str">
        <f>IFERROR(__xludf.DUMMYFUNCTION("""COMPUTED_VALUE"""),"big-bonus-coin-2")</f>
        <v>big-bonus-coin-2</v>
      </c>
      <c r="B1537" s="4" t="str">
        <f>IFERROR(__xludf.DUMMYFUNCTION("""COMPUTED_VALUE"""),"bbc")</f>
        <v>bbc</v>
      </c>
      <c r="C1537" s="4" t="str">
        <f>IFERROR(__xludf.DUMMYFUNCTION("""COMPUTED_VALUE"""),"Big Bonus Coin [ETH]")</f>
        <v>Big Bonus Coin [ETH]</v>
      </c>
    </row>
    <row r="1538">
      <c r="A1538" s="4" t="str">
        <f>IFERROR(__xludf.DUMMYFUNCTION("""COMPUTED_VALUE"""),"big-crypto-game")</f>
        <v>big-crypto-game</v>
      </c>
      <c r="B1538" s="4" t="str">
        <f>IFERROR(__xludf.DUMMYFUNCTION("""COMPUTED_VALUE"""),"crypto")</f>
        <v>crypto</v>
      </c>
      <c r="C1538" s="4" t="str">
        <f>IFERROR(__xludf.DUMMYFUNCTION("""COMPUTED_VALUE"""),"Big Crypto Game")</f>
        <v>Big Crypto Game</v>
      </c>
    </row>
    <row r="1539">
      <c r="A1539" s="4" t="str">
        <f>IFERROR(__xludf.DUMMYFUNCTION("""COMPUTED_VALUE"""),"big-data-protocol")</f>
        <v>big-data-protocol</v>
      </c>
      <c r="B1539" s="4" t="str">
        <f>IFERROR(__xludf.DUMMYFUNCTION("""COMPUTED_VALUE"""),"bdp")</f>
        <v>bdp</v>
      </c>
      <c r="C1539" s="4" t="str">
        <f>IFERROR(__xludf.DUMMYFUNCTION("""COMPUTED_VALUE"""),"Big Data Protocol")</f>
        <v>Big Data Protocol</v>
      </c>
    </row>
    <row r="1540">
      <c r="A1540" s="4" t="str">
        <f>IFERROR(__xludf.DUMMYFUNCTION("""COMPUTED_VALUE"""),"big-defi-energy")</f>
        <v>big-defi-energy</v>
      </c>
      <c r="B1540" s="4" t="str">
        <f>IFERROR(__xludf.DUMMYFUNCTION("""COMPUTED_VALUE"""),"bde")</f>
        <v>bde</v>
      </c>
      <c r="C1540" s="4" t="str">
        <f>IFERROR(__xludf.DUMMYFUNCTION("""COMPUTED_VALUE"""),"Big Defi Energy")</f>
        <v>Big Defi Energy</v>
      </c>
    </row>
    <row r="1541">
      <c r="A1541" s="4" t="str">
        <f>IFERROR(__xludf.DUMMYFUNCTION("""COMPUTED_VALUE"""),"big-eyes")</f>
        <v>big-eyes</v>
      </c>
      <c r="B1541" s="4" t="str">
        <f>IFERROR(__xludf.DUMMYFUNCTION("""COMPUTED_VALUE"""),"big")</f>
        <v>big</v>
      </c>
      <c r="C1541" s="4" t="str">
        <f>IFERROR(__xludf.DUMMYFUNCTION("""COMPUTED_VALUE"""),"Big Eyes")</f>
        <v>Big Eyes</v>
      </c>
    </row>
    <row r="1542">
      <c r="A1542" s="4" t="str">
        <f>IFERROR(__xludf.DUMMYFUNCTION("""COMPUTED_VALUE"""),"big-floppa")</f>
        <v>big-floppa</v>
      </c>
      <c r="B1542" s="4" t="str">
        <f>IFERROR(__xludf.DUMMYFUNCTION("""COMPUTED_VALUE"""),"$floppa")</f>
        <v>$floppa</v>
      </c>
      <c r="C1542" s="4" t="str">
        <f>IFERROR(__xludf.DUMMYFUNCTION("""COMPUTED_VALUE"""),"Big Floppa")</f>
        <v>Big Floppa</v>
      </c>
    </row>
    <row r="1543">
      <c r="A1543" s="4" t="str">
        <f>IFERROR(__xludf.DUMMYFUNCTION("""COMPUTED_VALUE"""),"bigfoot-monster")</f>
        <v>bigfoot-monster</v>
      </c>
      <c r="B1543" s="4" t="str">
        <f>IFERROR(__xludf.DUMMYFUNCTION("""COMPUTED_VALUE"""),"bigf")</f>
        <v>bigf</v>
      </c>
      <c r="C1543" s="4" t="str">
        <f>IFERROR(__xludf.DUMMYFUNCTION("""COMPUTED_VALUE"""),"Bigfoot Monster")</f>
        <v>Bigfoot Monster</v>
      </c>
    </row>
    <row r="1544">
      <c r="A1544" s="4" t="str">
        <f>IFERROR(__xludf.DUMMYFUNCTION("""COMPUTED_VALUE"""),"big-panda")</f>
        <v>big-panda</v>
      </c>
      <c r="B1544" s="4" t="str">
        <f>IFERROR(__xludf.DUMMYFUNCTION("""COMPUTED_VALUE"""),"panda")</f>
        <v>panda</v>
      </c>
      <c r="C1544" s="4" t="str">
        <f>IFERROR(__xludf.DUMMYFUNCTION("""COMPUTED_VALUE"""),"Big Panda")</f>
        <v>Big Panda</v>
      </c>
    </row>
    <row r="1545">
      <c r="A1545" s="4" t="str">
        <f>IFERROR(__xludf.DUMMYFUNCTION("""COMPUTED_VALUE"""),"big-roo")</f>
        <v>big-roo</v>
      </c>
      <c r="B1545" s="4" t="str">
        <f>IFERROR(__xludf.DUMMYFUNCTION("""COMPUTED_VALUE"""),"bigroo")</f>
        <v>bigroo</v>
      </c>
      <c r="C1545" s="4" t="str">
        <f>IFERROR(__xludf.DUMMYFUNCTION("""COMPUTED_VALUE"""),"BIG ROO")</f>
        <v>BIG ROO</v>
      </c>
    </row>
    <row r="1546">
      <c r="A1546" s="4" t="str">
        <f>IFERROR(__xludf.DUMMYFUNCTION("""COMPUTED_VALUE"""),"bigshortbets")</f>
        <v>bigshortbets</v>
      </c>
      <c r="B1546" s="4" t="str">
        <f>IFERROR(__xludf.DUMMYFUNCTION("""COMPUTED_VALUE"""),"bigsb")</f>
        <v>bigsb</v>
      </c>
      <c r="C1546" s="4" t="str">
        <f>IFERROR(__xludf.DUMMYFUNCTION("""COMPUTED_VALUE"""),"BigShortBets")</f>
        <v>BigShortBets</v>
      </c>
    </row>
    <row r="1547">
      <c r="A1547" s="4" t="str">
        <f>IFERROR(__xludf.DUMMYFUNCTION("""COMPUTED_VALUE"""),"big-time")</f>
        <v>big-time</v>
      </c>
      <c r="B1547" s="4" t="str">
        <f>IFERROR(__xludf.DUMMYFUNCTION("""COMPUTED_VALUE"""),"bigtime")</f>
        <v>bigtime</v>
      </c>
      <c r="C1547" s="4" t="str">
        <f>IFERROR(__xludf.DUMMYFUNCTION("""COMPUTED_VALUE"""),"Big Time")</f>
        <v>Big Time</v>
      </c>
    </row>
    <row r="1548">
      <c r="A1548" s="4" t="str">
        <f>IFERROR(__xludf.DUMMYFUNCTION("""COMPUTED_VALUE"""),"big-tycoon")</f>
        <v>big-tycoon</v>
      </c>
      <c r="B1548" s="4" t="str">
        <f>IFERROR(__xludf.DUMMYFUNCTION("""COMPUTED_VALUE"""),"mbtyc")</f>
        <v>mbtyc</v>
      </c>
      <c r="C1548" s="4" t="str">
        <f>IFERROR(__xludf.DUMMYFUNCTION("""COMPUTED_VALUE"""),"Big Tycoon")</f>
        <v>Big Tycoon</v>
      </c>
    </row>
    <row r="1549">
      <c r="A1549" s="4" t="str">
        <f>IFERROR(__xludf.DUMMYFUNCTION("""COMPUTED_VALUE"""),"biis-ordinals")</f>
        <v>biis-ordinals</v>
      </c>
      <c r="B1549" s="4" t="str">
        <f>IFERROR(__xludf.DUMMYFUNCTION("""COMPUTED_VALUE"""),"biis")</f>
        <v>biis</v>
      </c>
      <c r="C1549" s="4" t="str">
        <f>IFERROR(__xludf.DUMMYFUNCTION("""COMPUTED_VALUE"""),"Biis (Ordinals)")</f>
        <v>Biis (Ordinals)</v>
      </c>
    </row>
    <row r="1550">
      <c r="A1550" s="4" t="str">
        <f>IFERROR(__xludf.DUMMYFUNCTION("""COMPUTED_VALUE"""),"bikerush")</f>
        <v>bikerush</v>
      </c>
      <c r="B1550" s="4" t="str">
        <f>IFERROR(__xludf.DUMMYFUNCTION("""COMPUTED_VALUE"""),"brt")</f>
        <v>brt</v>
      </c>
      <c r="C1550" s="4" t="str">
        <f>IFERROR(__xludf.DUMMYFUNCTION("""COMPUTED_VALUE"""),"Bikerush")</f>
        <v>Bikerush</v>
      </c>
    </row>
    <row r="1551">
      <c r="A1551" s="4" t="str">
        <f>IFERROR(__xludf.DUMMYFUNCTION("""COMPUTED_VALUE"""),"bilira")</f>
        <v>bilira</v>
      </c>
      <c r="B1551" s="4" t="str">
        <f>IFERROR(__xludf.DUMMYFUNCTION("""COMPUTED_VALUE"""),"tryb")</f>
        <v>tryb</v>
      </c>
      <c r="C1551" s="4" t="str">
        <f>IFERROR(__xludf.DUMMYFUNCTION("""COMPUTED_VALUE"""),"BiLira")</f>
        <v>BiLira</v>
      </c>
    </row>
    <row r="1552">
      <c r="A1552" s="4" t="str">
        <f>IFERROR(__xludf.DUMMYFUNCTION("""COMPUTED_VALUE"""),"billiard-crypto")</f>
        <v>billiard-crypto</v>
      </c>
      <c r="B1552" s="4" t="str">
        <f>IFERROR(__xludf.DUMMYFUNCTION("""COMPUTED_VALUE"""),"bic")</f>
        <v>bic</v>
      </c>
      <c r="C1552" s="4" t="str">
        <f>IFERROR(__xludf.DUMMYFUNCTION("""COMPUTED_VALUE"""),"Billiard Crypto")</f>
        <v>Billiard Crypto</v>
      </c>
    </row>
    <row r="1553">
      <c r="A1553" s="4" t="str">
        <f>IFERROR(__xludf.DUMMYFUNCTION("""COMPUTED_VALUE"""),"billicat")</f>
        <v>billicat</v>
      </c>
      <c r="B1553" s="4" t="str">
        <f>IFERROR(__xludf.DUMMYFUNCTION("""COMPUTED_VALUE"""),"bcat")</f>
        <v>bcat</v>
      </c>
      <c r="C1553" s="4" t="str">
        <f>IFERROR(__xludf.DUMMYFUNCTION("""COMPUTED_VALUE"""),"BilliCat")</f>
        <v>BilliCat</v>
      </c>
    </row>
    <row r="1554">
      <c r="A1554" s="4" t="str">
        <f>IFERROR(__xludf.DUMMYFUNCTION("""COMPUTED_VALUE"""),"billionaires-pixel-club")</f>
        <v>billionaires-pixel-club</v>
      </c>
      <c r="B1554" s="4" t="str">
        <f>IFERROR(__xludf.DUMMYFUNCTION("""COMPUTED_VALUE"""),"bpc")</f>
        <v>bpc</v>
      </c>
      <c r="C1554" s="4" t="str">
        <f>IFERROR(__xludf.DUMMYFUNCTION("""COMPUTED_VALUE"""),"Billionaires Pixel Club")</f>
        <v>Billionaires Pixel Club</v>
      </c>
    </row>
    <row r="1555">
      <c r="A1555" s="4" t="str">
        <f>IFERROR(__xludf.DUMMYFUNCTION("""COMPUTED_VALUE"""),"billion-dollar-inu")</f>
        <v>billion-dollar-inu</v>
      </c>
      <c r="B1555" s="4" t="str">
        <f>IFERROR(__xludf.DUMMYFUNCTION("""COMPUTED_VALUE"""),"binu")</f>
        <v>binu</v>
      </c>
      <c r="C1555" s="4" t="str">
        <f>IFERROR(__xludf.DUMMYFUNCTION("""COMPUTED_VALUE"""),"Billion Dollar Inu")</f>
        <v>Billion Dollar Inu</v>
      </c>
    </row>
    <row r="1556">
      <c r="A1556" s="4" t="str">
        <f>IFERROR(__xludf.DUMMYFUNCTION("""COMPUTED_VALUE"""),"billionhappiness")</f>
        <v>billionhappiness</v>
      </c>
      <c r="B1556" s="4" t="str">
        <f>IFERROR(__xludf.DUMMYFUNCTION("""COMPUTED_VALUE"""),"bhc")</f>
        <v>bhc</v>
      </c>
      <c r="C1556" s="4" t="str">
        <f>IFERROR(__xludf.DUMMYFUNCTION("""COMPUTED_VALUE"""),"BillionHappiness")</f>
        <v>BillionHappiness</v>
      </c>
    </row>
    <row r="1557">
      <c r="A1557" s="4" t="str">
        <f>IFERROR(__xludf.DUMMYFUNCTION("""COMPUTED_VALUE"""),"billionview")</f>
        <v>billionview</v>
      </c>
      <c r="B1557" s="4" t="str">
        <f>IFERROR(__xludf.DUMMYFUNCTION("""COMPUTED_VALUE"""),"bvt")</f>
        <v>bvt</v>
      </c>
      <c r="C1557" s="4" t="str">
        <f>IFERROR(__xludf.DUMMYFUNCTION("""COMPUTED_VALUE"""),"Billionview")</f>
        <v>Billionview</v>
      </c>
    </row>
    <row r="1558">
      <c r="A1558" s="4" t="str">
        <f>IFERROR(__xludf.DUMMYFUNCTION("""COMPUTED_VALUE"""),"bim")</f>
        <v>bim</v>
      </c>
      <c r="B1558" s="4" t="str">
        <f>IFERROR(__xludf.DUMMYFUNCTION("""COMPUTED_VALUE"""),"bim")</f>
        <v>bim</v>
      </c>
      <c r="C1558" s="4" t="str">
        <f>IFERROR(__xludf.DUMMYFUNCTION("""COMPUTED_VALUE"""),"BIM")</f>
        <v>BIM</v>
      </c>
    </row>
    <row r="1559">
      <c r="A1559" s="4" t="str">
        <f>IFERROR(__xludf.DUMMYFUNCTION("""COMPUTED_VALUE"""),"bimbo-the-dog")</f>
        <v>bimbo-the-dog</v>
      </c>
      <c r="B1559" s="4" t="str">
        <f>IFERROR(__xludf.DUMMYFUNCTION("""COMPUTED_VALUE"""),"bimbo")</f>
        <v>bimbo</v>
      </c>
      <c r="C1559" s="4" t="str">
        <f>IFERROR(__xludf.DUMMYFUNCTION("""COMPUTED_VALUE"""),"Bimbo The Dog")</f>
        <v>Bimbo The Dog</v>
      </c>
    </row>
    <row r="1560">
      <c r="A1560" s="4" t="str">
        <f>IFERROR(__xludf.DUMMYFUNCTION("""COMPUTED_VALUE"""),"binamon")</f>
        <v>binamon</v>
      </c>
      <c r="B1560" s="4" t="str">
        <f>IFERROR(__xludf.DUMMYFUNCTION("""COMPUTED_VALUE"""),"bmon")</f>
        <v>bmon</v>
      </c>
      <c r="C1560" s="4" t="str">
        <f>IFERROR(__xludf.DUMMYFUNCTION("""COMPUTED_VALUE"""),"Binamon")</f>
        <v>Binamon</v>
      </c>
    </row>
    <row r="1561">
      <c r="A1561" s="4" t="str">
        <f>IFERROR(__xludf.DUMMYFUNCTION("""COMPUTED_VALUE"""),"binance-bitcoin")</f>
        <v>binance-bitcoin</v>
      </c>
      <c r="B1561" s="4" t="str">
        <f>IFERROR(__xludf.DUMMYFUNCTION("""COMPUTED_VALUE"""),"btcb")</f>
        <v>btcb</v>
      </c>
      <c r="C1561" s="4" t="str">
        <f>IFERROR(__xludf.DUMMYFUNCTION("""COMPUTED_VALUE"""),"Binance Bitcoin")</f>
        <v>Binance Bitcoin</v>
      </c>
    </row>
    <row r="1562">
      <c r="A1562" s="4" t="str">
        <f>IFERROR(__xludf.DUMMYFUNCTION("""COMPUTED_VALUE"""),"binance-bridged-usdc-bnb-smart-chain")</f>
        <v>binance-bridged-usdc-bnb-smart-chain</v>
      </c>
      <c r="B1562" s="4" t="str">
        <f>IFERROR(__xludf.DUMMYFUNCTION("""COMPUTED_VALUE"""),"usdc")</f>
        <v>usdc</v>
      </c>
      <c r="C1562" s="4" t="str">
        <f>IFERROR(__xludf.DUMMYFUNCTION("""COMPUTED_VALUE"""),"Binance Bridged USDC (BNB Smart Chain)")</f>
        <v>Binance Bridged USDC (BNB Smart Chain)</v>
      </c>
    </row>
    <row r="1563">
      <c r="A1563" s="4" t="str">
        <f>IFERROR(__xludf.DUMMYFUNCTION("""COMPUTED_VALUE"""),"binance-bridged-usdt-bnb-smart-chain")</f>
        <v>binance-bridged-usdt-bnb-smart-chain</v>
      </c>
      <c r="B1563" s="4" t="str">
        <f>IFERROR(__xludf.DUMMYFUNCTION("""COMPUTED_VALUE"""),"bsc-usd")</f>
        <v>bsc-usd</v>
      </c>
      <c r="C1563" s="4" t="str">
        <f>IFERROR(__xludf.DUMMYFUNCTION("""COMPUTED_VALUE"""),"Binance Bridged USDT (BNB Smart Chain)")</f>
        <v>Binance Bridged USDT (BNB Smart Chain)</v>
      </c>
    </row>
    <row r="1564">
      <c r="A1564" s="4" t="str">
        <f>IFERROR(__xludf.DUMMYFUNCTION("""COMPUTED_VALUE"""),"binancecoin")</f>
        <v>binancecoin</v>
      </c>
      <c r="B1564" s="4" t="str">
        <f>IFERROR(__xludf.DUMMYFUNCTION("""COMPUTED_VALUE"""),"bnb")</f>
        <v>bnb</v>
      </c>
      <c r="C1564" s="4" t="str">
        <f>IFERROR(__xludf.DUMMYFUNCTION("""COMPUTED_VALUE"""),"BNB")</f>
        <v>BNB</v>
      </c>
    </row>
    <row r="1565">
      <c r="A1565" s="4" t="str">
        <f>IFERROR(__xludf.DUMMYFUNCTION("""COMPUTED_VALUE"""),"binance-coin-wormhole")</f>
        <v>binance-coin-wormhole</v>
      </c>
      <c r="B1565" s="4" t="str">
        <f>IFERROR(__xludf.DUMMYFUNCTION("""COMPUTED_VALUE"""),"bnb")</f>
        <v>bnb</v>
      </c>
      <c r="C1565" s="4" t="str">
        <f>IFERROR(__xludf.DUMMYFUNCTION("""COMPUTED_VALUE"""),"Binance Coin (Wormhole)")</f>
        <v>Binance Coin (Wormhole)</v>
      </c>
    </row>
    <row r="1566">
      <c r="A1566" s="4" t="str">
        <f>IFERROR(__xludf.DUMMYFUNCTION("""COMPUTED_VALUE"""),"binance-eth")</f>
        <v>binance-eth</v>
      </c>
      <c r="B1566" s="4" t="str">
        <f>IFERROR(__xludf.DUMMYFUNCTION("""COMPUTED_VALUE"""),"beth")</f>
        <v>beth</v>
      </c>
      <c r="C1566" s="4" t="str">
        <f>IFERROR(__xludf.DUMMYFUNCTION("""COMPUTED_VALUE"""),"Binance ETH staking")</f>
        <v>Binance ETH staking</v>
      </c>
    </row>
    <row r="1567">
      <c r="A1567" s="4" t="str">
        <f>IFERROR(__xludf.DUMMYFUNCTION("""COMPUTED_VALUE"""),"binanceidr")</f>
        <v>binanceidr</v>
      </c>
      <c r="B1567" s="4" t="str">
        <f>IFERROR(__xludf.DUMMYFUNCTION("""COMPUTED_VALUE"""),"bidr")</f>
        <v>bidr</v>
      </c>
      <c r="C1567" s="4" t="str">
        <f>IFERROR(__xludf.DUMMYFUNCTION("""COMPUTED_VALUE"""),"BIDR")</f>
        <v>BIDR</v>
      </c>
    </row>
    <row r="1568">
      <c r="A1568" s="4" t="str">
        <f>IFERROR(__xludf.DUMMYFUNCTION("""COMPUTED_VALUE"""),"binance-peg-avalanche")</f>
        <v>binance-peg-avalanche</v>
      </c>
      <c r="B1568" s="4" t="str">
        <f>IFERROR(__xludf.DUMMYFUNCTION("""COMPUTED_VALUE"""),"avax")</f>
        <v>avax</v>
      </c>
      <c r="C1568" s="4" t="str">
        <f>IFERROR(__xludf.DUMMYFUNCTION("""COMPUTED_VALUE"""),"Binance-Peg Avalanche")</f>
        <v>Binance-Peg Avalanche</v>
      </c>
    </row>
    <row r="1569">
      <c r="A1569" s="4" t="str">
        <f>IFERROR(__xludf.DUMMYFUNCTION("""COMPUTED_VALUE"""),"binance-peg-bitcoin-cash")</f>
        <v>binance-peg-bitcoin-cash</v>
      </c>
      <c r="B1569" s="4" t="str">
        <f>IFERROR(__xludf.DUMMYFUNCTION("""COMPUTED_VALUE"""),"bch")</f>
        <v>bch</v>
      </c>
      <c r="C1569" s="4" t="str">
        <f>IFERROR(__xludf.DUMMYFUNCTION("""COMPUTED_VALUE"""),"Binance-Peg Bitcoin Cash")</f>
        <v>Binance-Peg Bitcoin Cash</v>
      </c>
    </row>
    <row r="1570">
      <c r="A1570" s="4" t="str">
        <f>IFERROR(__xludf.DUMMYFUNCTION("""COMPUTED_VALUE"""),"binance-peg-busd")</f>
        <v>binance-peg-busd</v>
      </c>
      <c r="B1570" s="4" t="str">
        <f>IFERROR(__xludf.DUMMYFUNCTION("""COMPUTED_VALUE"""),"busd")</f>
        <v>busd</v>
      </c>
      <c r="C1570" s="4" t="str">
        <f>IFERROR(__xludf.DUMMYFUNCTION("""COMPUTED_VALUE"""),"Binance-Peg BUSD")</f>
        <v>Binance-Peg BUSD</v>
      </c>
    </row>
    <row r="1571">
      <c r="A1571" s="4" t="str">
        <f>IFERROR(__xludf.DUMMYFUNCTION("""COMPUTED_VALUE"""),"binance-peg-cardano")</f>
        <v>binance-peg-cardano</v>
      </c>
      <c r="B1571" s="4" t="str">
        <f>IFERROR(__xludf.DUMMYFUNCTION("""COMPUTED_VALUE"""),"ada")</f>
        <v>ada</v>
      </c>
      <c r="C1571" s="4" t="str">
        <f>IFERROR(__xludf.DUMMYFUNCTION("""COMPUTED_VALUE"""),"Binance-Peg Cardano")</f>
        <v>Binance-Peg Cardano</v>
      </c>
    </row>
    <row r="1572">
      <c r="A1572" s="4" t="str">
        <f>IFERROR(__xludf.DUMMYFUNCTION("""COMPUTED_VALUE"""),"binance-peg-dogecoin")</f>
        <v>binance-peg-dogecoin</v>
      </c>
      <c r="B1572" s="4" t="str">
        <f>IFERROR(__xludf.DUMMYFUNCTION("""COMPUTED_VALUE"""),"doge")</f>
        <v>doge</v>
      </c>
      <c r="C1572" s="4" t="str">
        <f>IFERROR(__xludf.DUMMYFUNCTION("""COMPUTED_VALUE"""),"Binance-Peg Dogecoin")</f>
        <v>Binance-Peg Dogecoin</v>
      </c>
    </row>
    <row r="1573">
      <c r="A1573" s="4" t="str">
        <f>IFERROR(__xludf.DUMMYFUNCTION("""COMPUTED_VALUE"""),"binance-peg-eos")</f>
        <v>binance-peg-eos</v>
      </c>
      <c r="B1573" s="4" t="str">
        <f>IFERROR(__xludf.DUMMYFUNCTION("""COMPUTED_VALUE"""),"eos")</f>
        <v>eos</v>
      </c>
      <c r="C1573" s="4" t="str">
        <f>IFERROR(__xludf.DUMMYFUNCTION("""COMPUTED_VALUE"""),"Binance-Peg EOS")</f>
        <v>Binance-Peg EOS</v>
      </c>
    </row>
    <row r="1574">
      <c r="A1574" s="4" t="str">
        <f>IFERROR(__xludf.DUMMYFUNCTION("""COMPUTED_VALUE"""),"binance-peg-filecoin")</f>
        <v>binance-peg-filecoin</v>
      </c>
      <c r="B1574" s="4" t="str">
        <f>IFERROR(__xludf.DUMMYFUNCTION("""COMPUTED_VALUE"""),"fil")</f>
        <v>fil</v>
      </c>
      <c r="C1574" s="4" t="str">
        <f>IFERROR(__xludf.DUMMYFUNCTION("""COMPUTED_VALUE"""),"Binance-Peg Filecoin")</f>
        <v>Binance-Peg Filecoin</v>
      </c>
    </row>
    <row r="1575">
      <c r="A1575" s="4" t="str">
        <f>IFERROR(__xludf.DUMMYFUNCTION("""COMPUTED_VALUE"""),"binance-peg-firo")</f>
        <v>binance-peg-firo</v>
      </c>
      <c r="B1575" s="4" t="str">
        <f>IFERROR(__xludf.DUMMYFUNCTION("""COMPUTED_VALUE"""),"firo")</f>
        <v>firo</v>
      </c>
      <c r="C1575" s="4" t="str">
        <f>IFERROR(__xludf.DUMMYFUNCTION("""COMPUTED_VALUE"""),"Binance-Peg Firo")</f>
        <v>Binance-Peg Firo</v>
      </c>
    </row>
    <row r="1576">
      <c r="A1576" s="4" t="str">
        <f>IFERROR(__xludf.DUMMYFUNCTION("""COMPUTED_VALUE"""),"binance-peg-iotex")</f>
        <v>binance-peg-iotex</v>
      </c>
      <c r="B1576" s="4" t="str">
        <f>IFERROR(__xludf.DUMMYFUNCTION("""COMPUTED_VALUE"""),"iotx")</f>
        <v>iotx</v>
      </c>
      <c r="C1576" s="4" t="str">
        <f>IFERROR(__xludf.DUMMYFUNCTION("""COMPUTED_VALUE"""),"Binance-Peg IoTeX")</f>
        <v>Binance-Peg IoTeX</v>
      </c>
    </row>
    <row r="1577">
      <c r="A1577" s="4" t="str">
        <f>IFERROR(__xludf.DUMMYFUNCTION("""COMPUTED_VALUE"""),"binance-peg-litecoin")</f>
        <v>binance-peg-litecoin</v>
      </c>
      <c r="B1577" s="4" t="str">
        <f>IFERROR(__xludf.DUMMYFUNCTION("""COMPUTED_VALUE"""),"ltc")</f>
        <v>ltc</v>
      </c>
      <c r="C1577" s="4" t="str">
        <f>IFERROR(__xludf.DUMMYFUNCTION("""COMPUTED_VALUE"""),"Binance-Peg Litecoin")</f>
        <v>Binance-Peg Litecoin</v>
      </c>
    </row>
    <row r="1578">
      <c r="A1578" s="4" t="str">
        <f>IFERROR(__xludf.DUMMYFUNCTION("""COMPUTED_VALUE"""),"binance-peg-ontology")</f>
        <v>binance-peg-ontology</v>
      </c>
      <c r="B1578" s="4" t="str">
        <f>IFERROR(__xludf.DUMMYFUNCTION("""COMPUTED_VALUE"""),"ont")</f>
        <v>ont</v>
      </c>
      <c r="C1578" s="4" t="str">
        <f>IFERROR(__xludf.DUMMYFUNCTION("""COMPUTED_VALUE"""),"Binance-Peg Ontology")</f>
        <v>Binance-Peg Ontology</v>
      </c>
    </row>
    <row r="1579">
      <c r="A1579" s="4" t="str">
        <f>IFERROR(__xludf.DUMMYFUNCTION("""COMPUTED_VALUE"""),"binance-peg-polkadot")</f>
        <v>binance-peg-polkadot</v>
      </c>
      <c r="B1579" s="4" t="str">
        <f>IFERROR(__xludf.DUMMYFUNCTION("""COMPUTED_VALUE"""),"dot")</f>
        <v>dot</v>
      </c>
      <c r="C1579" s="4" t="str">
        <f>IFERROR(__xludf.DUMMYFUNCTION("""COMPUTED_VALUE"""),"Binance-Peg Polkadot")</f>
        <v>Binance-Peg Polkadot</v>
      </c>
    </row>
    <row r="1580">
      <c r="A1580" s="4" t="str">
        <f>IFERROR(__xludf.DUMMYFUNCTION("""COMPUTED_VALUE"""),"binance-peg-xrp")</f>
        <v>binance-peg-xrp</v>
      </c>
      <c r="B1580" s="4" t="str">
        <f>IFERROR(__xludf.DUMMYFUNCTION("""COMPUTED_VALUE"""),"xrp")</f>
        <v>xrp</v>
      </c>
      <c r="C1580" s="4" t="str">
        <f>IFERROR(__xludf.DUMMYFUNCTION("""COMPUTED_VALUE"""),"Binance-Peg XRP")</f>
        <v>Binance-Peg XRP</v>
      </c>
    </row>
    <row r="1581">
      <c r="A1581" s="4" t="str">
        <f>IFERROR(__xludf.DUMMYFUNCTION("""COMPUTED_VALUE"""),"binance-usd")</f>
        <v>binance-usd</v>
      </c>
      <c r="B1581" s="4" t="str">
        <f>IFERROR(__xludf.DUMMYFUNCTION("""COMPUTED_VALUE"""),"busd")</f>
        <v>busd</v>
      </c>
      <c r="C1581" s="4" t="str">
        <f>IFERROR(__xludf.DUMMYFUNCTION("""COMPUTED_VALUE"""),"BUSD")</f>
        <v>BUSD</v>
      </c>
    </row>
    <row r="1582">
      <c r="A1582" s="4" t="str">
        <f>IFERROR(__xludf.DUMMYFUNCTION("""COMPUTED_VALUE"""),"binance-usd-linea")</f>
        <v>binance-usd-linea</v>
      </c>
      <c r="B1582" s="4" t="str">
        <f>IFERROR(__xludf.DUMMYFUNCTION("""COMPUTED_VALUE"""),"busd")</f>
        <v>busd</v>
      </c>
      <c r="C1582" s="4" t="str">
        <f>IFERROR(__xludf.DUMMYFUNCTION("""COMPUTED_VALUE"""),"Binance USD (Linea)")</f>
        <v>Binance USD (Linea)</v>
      </c>
    </row>
    <row r="1583">
      <c r="A1583" s="4" t="str">
        <f>IFERROR(__xludf.DUMMYFUNCTION("""COMPUTED_VALUE"""),"binance-wrapped-btc")</f>
        <v>binance-wrapped-btc</v>
      </c>
      <c r="B1583" s="4" t="str">
        <f>IFERROR(__xludf.DUMMYFUNCTION("""COMPUTED_VALUE"""),"bbtc")</f>
        <v>bbtc</v>
      </c>
      <c r="C1583" s="4" t="str">
        <f>IFERROR(__xludf.DUMMYFUNCTION("""COMPUTED_VALUE"""),"Binance Wrapped BTC")</f>
        <v>Binance Wrapped BTC</v>
      </c>
    </row>
    <row r="1584">
      <c r="A1584" s="4" t="str">
        <f>IFERROR(__xludf.DUMMYFUNCTION("""COMPUTED_VALUE"""),"binarydao")</f>
        <v>binarydao</v>
      </c>
      <c r="B1584" s="4" t="str">
        <f>IFERROR(__xludf.DUMMYFUNCTION("""COMPUTED_VALUE"""),"byte")</f>
        <v>byte</v>
      </c>
      <c r="C1584" s="4" t="str">
        <f>IFERROR(__xludf.DUMMYFUNCTION("""COMPUTED_VALUE"""),"BinaryDAO")</f>
        <v>BinaryDAO</v>
      </c>
    </row>
    <row r="1585">
      <c r="A1585" s="4" t="str">
        <f>IFERROR(__xludf.DUMMYFUNCTION("""COMPUTED_VALUE"""),"binary-swap")</f>
        <v>binary-swap</v>
      </c>
      <c r="B1585" s="4" t="str">
        <f>IFERROR(__xludf.DUMMYFUNCTION("""COMPUTED_VALUE"""),"0101")</f>
        <v>0101</v>
      </c>
      <c r="C1585" s="4" t="str">
        <f>IFERROR(__xludf.DUMMYFUNCTION("""COMPUTED_VALUE"""),"Binary Swap")</f>
        <v>Binary Swap</v>
      </c>
    </row>
    <row r="1586">
      <c r="A1586" s="4" t="str">
        <f>IFERROR(__xludf.DUMMYFUNCTION("""COMPUTED_VALUE"""),"binaryx")</f>
        <v>binaryx</v>
      </c>
      <c r="B1586" s="4" t="str">
        <f>IFERROR(__xludf.DUMMYFUNCTION("""COMPUTED_VALUE"""),"bnx")</f>
        <v>bnx</v>
      </c>
      <c r="C1586" s="4" t="str">
        <f>IFERROR(__xludf.DUMMYFUNCTION("""COMPUTED_VALUE"""),"BinaryX [OLD]")</f>
        <v>BinaryX [OLD]</v>
      </c>
    </row>
    <row r="1587">
      <c r="A1587" s="4" t="str">
        <f>IFERROR(__xludf.DUMMYFUNCTION("""COMPUTED_VALUE"""),"binaryx-2")</f>
        <v>binaryx-2</v>
      </c>
      <c r="B1587" s="4" t="str">
        <f>IFERROR(__xludf.DUMMYFUNCTION("""COMPUTED_VALUE"""),"bnx")</f>
        <v>bnx</v>
      </c>
      <c r="C1587" s="4" t="str">
        <f>IFERROR(__xludf.DUMMYFUNCTION("""COMPUTED_VALUE"""),"BinaryX")</f>
        <v>BinaryX</v>
      </c>
    </row>
    <row r="1588">
      <c r="A1588" s="4" t="str">
        <f>IFERROR(__xludf.DUMMYFUNCTION("""COMPUTED_VALUE"""),"bincentive")</f>
        <v>bincentive</v>
      </c>
      <c r="B1588" s="4" t="str">
        <f>IFERROR(__xludf.DUMMYFUNCTION("""COMPUTED_VALUE"""),"bcnt")</f>
        <v>bcnt</v>
      </c>
      <c r="C1588" s="4" t="str">
        <f>IFERROR(__xludf.DUMMYFUNCTION("""COMPUTED_VALUE"""),"Bincentive")</f>
        <v>Bincentive</v>
      </c>
    </row>
    <row r="1589">
      <c r="A1589" s="4" t="str">
        <f>IFERROR(__xludf.DUMMYFUNCTION("""COMPUTED_VALUE"""),"binemon")</f>
        <v>binemon</v>
      </c>
      <c r="B1589" s="4" t="str">
        <f>IFERROR(__xludf.DUMMYFUNCTION("""COMPUTED_VALUE"""),"bin")</f>
        <v>bin</v>
      </c>
      <c r="C1589" s="4" t="str">
        <f>IFERROR(__xludf.DUMMYFUNCTION("""COMPUTED_VALUE"""),"Binemon")</f>
        <v>Binemon</v>
      </c>
    </row>
    <row r="1590">
      <c r="A1590" s="4" t="str">
        <f>IFERROR(__xludf.DUMMYFUNCTION("""COMPUTED_VALUE"""),"bingo-2")</f>
        <v>bingo-2</v>
      </c>
      <c r="B1590" s="4" t="str">
        <f>IFERROR(__xludf.DUMMYFUNCTION("""COMPUTED_VALUE"""),"catbingolo")</f>
        <v>catbingolo</v>
      </c>
      <c r="C1590" s="4" t="str">
        <f>IFERROR(__xludf.DUMMYFUNCTION("""COMPUTED_VALUE"""),"Bingo")</f>
        <v>Bingo</v>
      </c>
    </row>
    <row r="1591">
      <c r="A1591" s="4" t="str">
        <f>IFERROR(__xludf.DUMMYFUNCTION("""COMPUTED_VALUE"""),"bingo-3")</f>
        <v>bingo-3</v>
      </c>
      <c r="B1591" s="4" t="str">
        <f>IFERROR(__xludf.DUMMYFUNCTION("""COMPUTED_VALUE"""),"bingo")</f>
        <v>bingo</v>
      </c>
      <c r="C1591" s="4" t="str">
        <f>IFERROR(__xludf.DUMMYFUNCTION("""COMPUTED_VALUE"""),"Bingo")</f>
        <v>Bingo</v>
      </c>
    </row>
    <row r="1592">
      <c r="A1592" s="4" t="str">
        <f>IFERROR(__xludf.DUMMYFUNCTION("""COMPUTED_VALUE"""),"bingus-the-cat")</f>
        <v>bingus-the-cat</v>
      </c>
      <c r="B1592" s="4" t="str">
        <f>IFERROR(__xludf.DUMMYFUNCTION("""COMPUTED_VALUE"""),"bingus")</f>
        <v>bingus</v>
      </c>
      <c r="C1592" s="4" t="str">
        <f>IFERROR(__xludf.DUMMYFUNCTION("""COMPUTED_VALUE"""),"Bingus The Cat")</f>
        <v>Bingus The Cat</v>
      </c>
    </row>
    <row r="1593">
      <c r="A1593" s="4" t="str">
        <f>IFERROR(__xludf.DUMMYFUNCTION("""COMPUTED_VALUE"""),"binstarter")</f>
        <v>binstarter</v>
      </c>
      <c r="B1593" s="4" t="str">
        <f>IFERROR(__xludf.DUMMYFUNCTION("""COMPUTED_VALUE"""),"bsr")</f>
        <v>bsr</v>
      </c>
      <c r="C1593" s="4" t="str">
        <f>IFERROR(__xludf.DUMMYFUNCTION("""COMPUTED_VALUE"""),"BinStarter")</f>
        <v>BinStarter</v>
      </c>
    </row>
    <row r="1594">
      <c r="A1594" s="4" t="str">
        <f>IFERROR(__xludf.DUMMYFUNCTION("""COMPUTED_VALUE"""),"biokript")</f>
        <v>biokript</v>
      </c>
      <c r="B1594" s="4" t="str">
        <f>IFERROR(__xludf.DUMMYFUNCTION("""COMPUTED_VALUE"""),"bkpt")</f>
        <v>bkpt</v>
      </c>
      <c r="C1594" s="4" t="str">
        <f>IFERROR(__xludf.DUMMYFUNCTION("""COMPUTED_VALUE"""),"Biokript")</f>
        <v>Biokript</v>
      </c>
    </row>
    <row r="1595">
      <c r="A1595" s="4" t="str">
        <f>IFERROR(__xludf.DUMMYFUNCTION("""COMPUTED_VALUE"""),"biometric-financial")</f>
        <v>biometric-financial</v>
      </c>
      <c r="B1595" s="4" t="str">
        <f>IFERROR(__xludf.DUMMYFUNCTION("""COMPUTED_VALUE"""),"biofi")</f>
        <v>biofi</v>
      </c>
      <c r="C1595" s="4" t="str">
        <f>IFERROR(__xludf.DUMMYFUNCTION("""COMPUTED_VALUE"""),"BiometricFinancial")</f>
        <v>BiometricFinancial</v>
      </c>
    </row>
    <row r="1596">
      <c r="A1596" s="4" t="str">
        <f>IFERROR(__xludf.DUMMYFUNCTION("""COMPUTED_VALUE"""),"biop")</f>
        <v>biop</v>
      </c>
      <c r="B1596" s="4" t="str">
        <f>IFERROR(__xludf.DUMMYFUNCTION("""COMPUTED_VALUE"""),"$biop")</f>
        <v>$biop</v>
      </c>
      <c r="C1596" s="4" t="str">
        <f>IFERROR(__xludf.DUMMYFUNCTION("""COMPUTED_VALUE"""),"BIOP")</f>
        <v>BIOP</v>
      </c>
    </row>
    <row r="1597">
      <c r="A1597" s="4" t="str">
        <f>IFERROR(__xludf.DUMMYFUNCTION("""COMPUTED_VALUE"""),"biopassport")</f>
        <v>biopassport</v>
      </c>
      <c r="B1597" s="4" t="str">
        <f>IFERROR(__xludf.DUMMYFUNCTION("""COMPUTED_VALUE"""),"biot")</f>
        <v>biot</v>
      </c>
      <c r="C1597" s="4" t="str">
        <f>IFERROR(__xludf.DUMMYFUNCTION("""COMPUTED_VALUE"""),"Bio Passport")</f>
        <v>Bio Passport</v>
      </c>
    </row>
    <row r="1598">
      <c r="A1598" s="4" t="str">
        <f>IFERROR(__xludf.DUMMYFUNCTION("""COMPUTED_VALUE"""),"bios")</f>
        <v>bios</v>
      </c>
      <c r="B1598" s="4" t="str">
        <f>IFERROR(__xludf.DUMMYFUNCTION("""COMPUTED_VALUE"""),"bios")</f>
        <v>bios</v>
      </c>
      <c r="C1598" s="4" t="str">
        <f>IFERROR(__xludf.DUMMYFUNCTION("""COMPUTED_VALUE"""),"0x_nodes")</f>
        <v>0x_nodes</v>
      </c>
    </row>
    <row r="1599">
      <c r="A1599" s="4" t="str">
        <f>IFERROR(__xludf.DUMMYFUNCTION("""COMPUTED_VALUE"""),"bip1")</f>
        <v>bip1</v>
      </c>
      <c r="B1599" s="4" t="str">
        <f>IFERROR(__xludf.DUMMYFUNCTION("""COMPUTED_VALUE"""),"bip1")</f>
        <v>bip1</v>
      </c>
      <c r="C1599" s="4" t="str">
        <f>IFERROR(__xludf.DUMMYFUNCTION("""COMPUTED_VALUE"""),"BIP1")</f>
        <v>BIP1</v>
      </c>
    </row>
    <row r="1600">
      <c r="A1600" s="4" t="str">
        <f>IFERROR(__xludf.DUMMYFUNCTION("""COMPUTED_VALUE"""),"birake")</f>
        <v>birake</v>
      </c>
      <c r="B1600" s="4" t="str">
        <f>IFERROR(__xludf.DUMMYFUNCTION("""COMPUTED_VALUE"""),"bir")</f>
        <v>bir</v>
      </c>
      <c r="C1600" s="4" t="str">
        <f>IFERROR(__xludf.DUMMYFUNCTION("""COMPUTED_VALUE"""),"Birake")</f>
        <v>Birake</v>
      </c>
    </row>
    <row r="1601">
      <c r="A1601" s="4" t="str">
        <f>IFERROR(__xludf.DUMMYFUNCTION("""COMPUTED_VALUE"""),"birb-2")</f>
        <v>birb-2</v>
      </c>
      <c r="B1601" s="4" t="str">
        <f>IFERROR(__xludf.DUMMYFUNCTION("""COMPUTED_VALUE"""),"birb")</f>
        <v>birb</v>
      </c>
      <c r="C1601" s="4" t="str">
        <f>IFERROR(__xludf.DUMMYFUNCTION("""COMPUTED_VALUE"""),"Birb")</f>
        <v>Birb</v>
      </c>
    </row>
    <row r="1602">
      <c r="A1602" s="4" t="str">
        <f>IFERROR(__xludf.DUMMYFUNCTION("""COMPUTED_VALUE"""),"birb-3")</f>
        <v>birb-3</v>
      </c>
      <c r="B1602" s="4" t="str">
        <f>IFERROR(__xludf.DUMMYFUNCTION("""COMPUTED_VALUE"""),"birb")</f>
        <v>birb</v>
      </c>
      <c r="C1602" s="4" t="str">
        <f>IFERROR(__xludf.DUMMYFUNCTION("""COMPUTED_VALUE"""),"birb")</f>
        <v>birb</v>
      </c>
    </row>
    <row r="1603">
      <c r="A1603" s="4" t="str">
        <f>IFERROR(__xludf.DUMMYFUNCTION("""COMPUTED_VALUE"""),"bird-dog")</f>
        <v>bird-dog</v>
      </c>
      <c r="B1603" s="4" t="str">
        <f>IFERROR(__xludf.DUMMYFUNCTION("""COMPUTED_VALUE"""),"birddog")</f>
        <v>birddog</v>
      </c>
      <c r="C1603" s="4" t="str">
        <f>IFERROR(__xludf.DUMMYFUNCTION("""COMPUTED_VALUE"""),"Bird Dog")</f>
        <v>Bird Dog</v>
      </c>
    </row>
    <row r="1604">
      <c r="A1604" s="4" t="str">
        <f>IFERROR(__xludf.DUMMYFUNCTION("""COMPUTED_VALUE"""),"bird-dog-on-sol")</f>
        <v>bird-dog-on-sol</v>
      </c>
      <c r="B1604" s="4" t="str">
        <f>IFERROR(__xludf.DUMMYFUNCTION("""COMPUTED_VALUE"""),"birddog")</f>
        <v>birddog</v>
      </c>
      <c r="C1604" s="4" t="str">
        <f>IFERROR(__xludf.DUMMYFUNCTION("""COMPUTED_VALUE"""),"Bird Dog on SOL")</f>
        <v>Bird Dog on SOL</v>
      </c>
    </row>
    <row r="1605">
      <c r="A1605" s="4" t="str">
        <f>IFERROR(__xludf.DUMMYFUNCTION("""COMPUTED_VALUE"""),"birdies")</f>
        <v>birdies</v>
      </c>
      <c r="B1605" s="4" t="str">
        <f>IFERROR(__xludf.DUMMYFUNCTION("""COMPUTED_VALUE"""),"birds")</f>
        <v>birds</v>
      </c>
      <c r="C1605" s="4" t="str">
        <f>IFERROR(__xludf.DUMMYFUNCTION("""COMPUTED_VALUE"""),"BIRDIES")</f>
        <v>BIRDIES</v>
      </c>
    </row>
    <row r="1606">
      <c r="A1606" s="4" t="str">
        <f>IFERROR(__xludf.DUMMYFUNCTION("""COMPUTED_VALUE"""),"bird-money")</f>
        <v>bird-money</v>
      </c>
      <c r="B1606" s="4" t="str">
        <f>IFERROR(__xludf.DUMMYFUNCTION("""COMPUTED_VALUE"""),"bird")</f>
        <v>bird</v>
      </c>
      <c r="C1606" s="4" t="str">
        <f>IFERROR(__xludf.DUMMYFUNCTION("""COMPUTED_VALUE"""),"Bird.Money")</f>
        <v>Bird.Money</v>
      </c>
    </row>
    <row r="1607">
      <c r="A1607" s="4" t="str">
        <f>IFERROR(__xludf.DUMMYFUNCTION("""COMPUTED_VALUE"""),"birdtoken")</f>
        <v>birdtoken</v>
      </c>
      <c r="B1607" s="4" t="str">
        <f>IFERROR(__xludf.DUMMYFUNCTION("""COMPUTED_VALUE"""),"birdtoken")</f>
        <v>birdtoken</v>
      </c>
      <c r="C1607" s="4" t="str">
        <f>IFERROR(__xludf.DUMMYFUNCTION("""COMPUTED_VALUE"""),"birdToken")</f>
        <v>birdToken</v>
      </c>
    </row>
    <row r="1608">
      <c r="A1608" s="4" t="str">
        <f>IFERROR(__xludf.DUMMYFUNCTION("""COMPUTED_VALUE"""),"bishop")</f>
        <v>bishop</v>
      </c>
      <c r="B1608" s="4" t="str">
        <f>IFERROR(__xludf.DUMMYFUNCTION("""COMPUTED_VALUE"""),"bishop")</f>
        <v>bishop</v>
      </c>
      <c r="C1608" s="4" t="str">
        <f>IFERROR(__xludf.DUMMYFUNCTION("""COMPUTED_VALUE"""),"Bishop")</f>
        <v>Bishop</v>
      </c>
    </row>
    <row r="1609">
      <c r="A1609" s="4" t="str">
        <f>IFERROR(__xludf.DUMMYFUNCTION("""COMPUTED_VALUE"""),"biskit-protocol")</f>
        <v>biskit-protocol</v>
      </c>
      <c r="B1609" s="4" t="str">
        <f>IFERROR(__xludf.DUMMYFUNCTION("""COMPUTED_VALUE"""),"biskit")</f>
        <v>biskit</v>
      </c>
      <c r="C1609" s="4" t="str">
        <f>IFERROR(__xludf.DUMMYFUNCTION("""COMPUTED_VALUE"""),"Biskit Protocol")</f>
        <v>Biskit Protocol</v>
      </c>
    </row>
    <row r="1610">
      <c r="A1610" s="4" t="str">
        <f>IFERROR(__xludf.DUMMYFUNCTION("""COMPUTED_VALUE"""),"bismuth")</f>
        <v>bismuth</v>
      </c>
      <c r="B1610" s="4" t="str">
        <f>IFERROR(__xludf.DUMMYFUNCTION("""COMPUTED_VALUE"""),"bis")</f>
        <v>bis</v>
      </c>
      <c r="C1610" s="4" t="str">
        <f>IFERROR(__xludf.DUMMYFUNCTION("""COMPUTED_VALUE"""),"Bismuth")</f>
        <v>Bismuth</v>
      </c>
    </row>
    <row r="1611">
      <c r="A1611" s="4" t="str">
        <f>IFERROR(__xludf.DUMMYFUNCTION("""COMPUTED_VALUE"""),"biso")</f>
        <v>biso</v>
      </c>
      <c r="B1611" s="4" t="str">
        <f>IFERROR(__xludf.DUMMYFUNCTION("""COMPUTED_VALUE"""),"biso")</f>
        <v>biso</v>
      </c>
      <c r="C1611" s="4" t="str">
        <f>IFERROR(__xludf.DUMMYFUNCTION("""COMPUTED_VALUE"""),"BISO")</f>
        <v>BISO</v>
      </c>
    </row>
    <row r="1612">
      <c r="A1612" s="4" t="str">
        <f>IFERROR(__xludf.DUMMYFUNCTION("""COMPUTED_VALUE"""),"bistroo")</f>
        <v>bistroo</v>
      </c>
      <c r="B1612" s="4" t="str">
        <f>IFERROR(__xludf.DUMMYFUNCTION("""COMPUTED_VALUE"""),"bist")</f>
        <v>bist</v>
      </c>
      <c r="C1612" s="4" t="str">
        <f>IFERROR(__xludf.DUMMYFUNCTION("""COMPUTED_VALUE"""),"Bistroo")</f>
        <v>Bistroo</v>
      </c>
    </row>
    <row r="1613">
      <c r="A1613" s="4" t="str">
        <f>IFERROR(__xludf.DUMMYFUNCTION("""COMPUTED_VALUE"""),"biswap")</f>
        <v>biswap</v>
      </c>
      <c r="B1613" s="4" t="str">
        <f>IFERROR(__xludf.DUMMYFUNCTION("""COMPUTED_VALUE"""),"bsw")</f>
        <v>bsw</v>
      </c>
      <c r="C1613" s="4" t="str">
        <f>IFERROR(__xludf.DUMMYFUNCTION("""COMPUTED_VALUE"""),"Biswap")</f>
        <v>Biswap</v>
      </c>
    </row>
    <row r="1614">
      <c r="A1614" s="4" t="str">
        <f>IFERROR(__xludf.DUMMYFUNCTION("""COMPUTED_VALUE"""),"bit2me")</f>
        <v>bit2me</v>
      </c>
      <c r="B1614" s="4" t="str">
        <f>IFERROR(__xludf.DUMMYFUNCTION("""COMPUTED_VALUE"""),"b2m")</f>
        <v>b2m</v>
      </c>
      <c r="C1614" s="4" t="str">
        <f>IFERROR(__xludf.DUMMYFUNCTION("""COMPUTED_VALUE"""),"Bit2Me")</f>
        <v>Bit2Me</v>
      </c>
    </row>
    <row r="1615">
      <c r="A1615" s="4" t="str">
        <f>IFERROR(__xludf.DUMMYFUNCTION("""COMPUTED_VALUE"""),"bitago")</f>
        <v>bitago</v>
      </c>
      <c r="B1615" s="4" t="str">
        <f>IFERROR(__xludf.DUMMYFUNCTION("""COMPUTED_VALUE"""),"xbit")</f>
        <v>xbit</v>
      </c>
      <c r="C1615" s="4" t="str">
        <f>IFERROR(__xludf.DUMMYFUNCTION("""COMPUTED_VALUE"""),"Bitago")</f>
        <v>Bitago</v>
      </c>
    </row>
    <row r="1616">
      <c r="A1616" s="4" t="str">
        <f>IFERROR(__xludf.DUMMYFUNCTION("""COMPUTED_VALUE"""),"bitazza")</f>
        <v>bitazza</v>
      </c>
      <c r="B1616" s="4" t="str">
        <f>IFERROR(__xludf.DUMMYFUNCTION("""COMPUTED_VALUE"""),"btz")</f>
        <v>btz</v>
      </c>
      <c r="C1616" s="4" t="str">
        <f>IFERROR(__xludf.DUMMYFUNCTION("""COMPUTED_VALUE"""),"Bitazza")</f>
        <v>Bitazza</v>
      </c>
    </row>
    <row r="1617">
      <c r="A1617" s="4" t="str">
        <f>IFERROR(__xludf.DUMMYFUNCTION("""COMPUTED_VALUE"""),"bitball")</f>
        <v>bitball</v>
      </c>
      <c r="B1617" s="4" t="str">
        <f>IFERROR(__xludf.DUMMYFUNCTION("""COMPUTED_VALUE"""),"btb")</f>
        <v>btb</v>
      </c>
      <c r="C1617" s="4" t="str">
        <f>IFERROR(__xludf.DUMMYFUNCTION("""COMPUTED_VALUE"""),"Bitball")</f>
        <v>Bitball</v>
      </c>
    </row>
    <row r="1618">
      <c r="A1618" s="4" t="str">
        <f>IFERROR(__xludf.DUMMYFUNCTION("""COMPUTED_VALUE"""),"bitball-treasure")</f>
        <v>bitball-treasure</v>
      </c>
      <c r="B1618" s="4" t="str">
        <f>IFERROR(__xludf.DUMMYFUNCTION("""COMPUTED_VALUE"""),"btrs")</f>
        <v>btrs</v>
      </c>
      <c r="C1618" s="4" t="str">
        <f>IFERROR(__xludf.DUMMYFUNCTION("""COMPUTED_VALUE"""),"Bitball Treasure")</f>
        <v>Bitball Treasure</v>
      </c>
    </row>
    <row r="1619">
      <c r="A1619" s="4" t="str">
        <f>IFERROR(__xludf.DUMMYFUNCTION("""COMPUTED_VALUE"""),"bitbama")</f>
        <v>bitbama</v>
      </c>
      <c r="B1619" s="4" t="str">
        <f>IFERROR(__xludf.DUMMYFUNCTION("""COMPUTED_VALUE"""),"bama")</f>
        <v>bama</v>
      </c>
      <c r="C1619" s="4" t="str">
        <f>IFERROR(__xludf.DUMMYFUNCTION("""COMPUTED_VALUE"""),"Bitbama")</f>
        <v>Bitbama</v>
      </c>
    </row>
    <row r="1620">
      <c r="A1620" s="4" t="str">
        <f>IFERROR(__xludf.DUMMYFUNCTION("""COMPUTED_VALUE"""),"bitbar")</f>
        <v>bitbar</v>
      </c>
      <c r="B1620" s="4" t="str">
        <f>IFERROR(__xludf.DUMMYFUNCTION("""COMPUTED_VALUE"""),"btb")</f>
        <v>btb</v>
      </c>
      <c r="C1620" s="4" t="str">
        <f>IFERROR(__xludf.DUMMYFUNCTION("""COMPUTED_VALUE"""),"Bitbar")</f>
        <v>Bitbar</v>
      </c>
    </row>
    <row r="1621">
      <c r="A1621" s="4" t="str">
        <f>IFERROR(__xludf.DUMMYFUNCTION("""COMPUTED_VALUE"""),"bitbase-token")</f>
        <v>bitbase-token</v>
      </c>
      <c r="B1621" s="4" t="str">
        <f>IFERROR(__xludf.DUMMYFUNCTION("""COMPUTED_VALUE"""),"btbs")</f>
        <v>btbs</v>
      </c>
      <c r="C1621" s="4" t="str">
        <f>IFERROR(__xludf.DUMMYFUNCTION("""COMPUTED_VALUE"""),"BitBase Token")</f>
        <v>BitBase Token</v>
      </c>
    </row>
    <row r="1622">
      <c r="A1622" s="4" t="str">
        <f>IFERROR(__xludf.DUMMYFUNCTION("""COMPUTED_VALUE"""),"bitbook-token")</f>
        <v>bitbook-token</v>
      </c>
      <c r="B1622" s="4" t="str">
        <f>IFERROR(__xludf.DUMMYFUNCTION("""COMPUTED_VALUE"""),"bbt")</f>
        <v>bbt</v>
      </c>
      <c r="C1622" s="4" t="str">
        <f>IFERROR(__xludf.DUMMYFUNCTION("""COMPUTED_VALUE"""),"BitBook")</f>
        <v>BitBook</v>
      </c>
    </row>
    <row r="1623">
      <c r="A1623" s="4" t="str">
        <f>IFERROR(__xludf.DUMMYFUNCTION("""COMPUTED_VALUE"""),"bitboost")</f>
        <v>bitboost</v>
      </c>
      <c r="B1623" s="4" t="str">
        <f>IFERROR(__xludf.DUMMYFUNCTION("""COMPUTED_VALUE"""),"bbt")</f>
        <v>bbt</v>
      </c>
      <c r="C1623" s="4" t="str">
        <f>IFERROR(__xludf.DUMMYFUNCTION("""COMPUTED_VALUE"""),"BitBoost")</f>
        <v>BitBoost</v>
      </c>
    </row>
    <row r="1624">
      <c r="A1624" s="4" t="str">
        <f>IFERROR(__xludf.DUMMYFUNCTION("""COMPUTED_VALUE"""),"bitbrawl")</f>
        <v>bitbrawl</v>
      </c>
      <c r="B1624" s="4" t="str">
        <f>IFERROR(__xludf.DUMMYFUNCTION("""COMPUTED_VALUE"""),"brawl")</f>
        <v>brawl</v>
      </c>
      <c r="C1624" s="4" t="str">
        <f>IFERROR(__xludf.DUMMYFUNCTION("""COMPUTED_VALUE"""),"BitBrawl")</f>
        <v>BitBrawl</v>
      </c>
    </row>
    <row r="1625">
      <c r="A1625" s="4" t="str">
        <f>IFERROR(__xludf.DUMMYFUNCTION("""COMPUTED_VALUE"""),"bitbullbot")</f>
        <v>bitbullbot</v>
      </c>
      <c r="B1625" s="4" t="str">
        <f>IFERROR(__xludf.DUMMYFUNCTION("""COMPUTED_VALUE"""),"bbb")</f>
        <v>bbb</v>
      </c>
      <c r="C1625" s="4" t="str">
        <f>IFERROR(__xludf.DUMMYFUNCTION("""COMPUTED_VALUE"""),"BitBullBot")</f>
        <v>BitBullBot</v>
      </c>
    </row>
    <row r="1626">
      <c r="A1626" s="4" t="str">
        <f>IFERROR(__xludf.DUMMYFUNCTION("""COMPUTED_VALUE"""),"bitcanna")</f>
        <v>bitcanna</v>
      </c>
      <c r="B1626" s="4" t="str">
        <f>IFERROR(__xludf.DUMMYFUNCTION("""COMPUTED_VALUE"""),"bcna")</f>
        <v>bcna</v>
      </c>
      <c r="C1626" s="4" t="str">
        <f>IFERROR(__xludf.DUMMYFUNCTION("""COMPUTED_VALUE"""),"BitCanna")</f>
        <v>BitCanna</v>
      </c>
    </row>
    <row r="1627">
      <c r="A1627" s="4" t="str">
        <f>IFERROR(__xludf.DUMMYFUNCTION("""COMPUTED_VALUE"""),"bitcash")</f>
        <v>bitcash</v>
      </c>
      <c r="B1627" s="4" t="str">
        <f>IFERROR(__xludf.DUMMYFUNCTION("""COMPUTED_VALUE"""),"bitc")</f>
        <v>bitc</v>
      </c>
      <c r="C1627" s="4" t="str">
        <f>IFERROR(__xludf.DUMMYFUNCTION("""COMPUTED_VALUE"""),"BitCash")</f>
        <v>BitCash</v>
      </c>
    </row>
    <row r="1628">
      <c r="A1628" s="4" t="str">
        <f>IFERROR(__xludf.DUMMYFUNCTION("""COMPUTED_VALUE"""),"bitcastle")</f>
        <v>bitcastle</v>
      </c>
      <c r="B1628" s="4" t="str">
        <f>IFERROR(__xludf.DUMMYFUNCTION("""COMPUTED_VALUE"""),"castle")</f>
        <v>castle</v>
      </c>
      <c r="C1628" s="4" t="str">
        <f>IFERROR(__xludf.DUMMYFUNCTION("""COMPUTED_VALUE"""),"bitcastle")</f>
        <v>bitcastle</v>
      </c>
    </row>
    <row r="1629">
      <c r="A1629" s="4" t="str">
        <f>IFERROR(__xludf.DUMMYFUNCTION("""COMPUTED_VALUE"""),"bitcat")</f>
        <v>bitcat</v>
      </c>
      <c r="B1629" s="4" t="str">
        <f>IFERROR(__xludf.DUMMYFUNCTION("""COMPUTED_VALUE"""),"bitcat")</f>
        <v>bitcat</v>
      </c>
      <c r="C1629" s="4" t="str">
        <f>IFERROR(__xludf.DUMMYFUNCTION("""COMPUTED_VALUE"""),"Bitcat")</f>
        <v>Bitcat</v>
      </c>
    </row>
    <row r="1630">
      <c r="A1630" s="4" t="str">
        <f>IFERROR(__xludf.DUMMYFUNCTION("""COMPUTED_VALUE"""),"bitci-blok")</f>
        <v>bitci-blok</v>
      </c>
      <c r="B1630" s="4" t="str">
        <f>IFERROR(__xludf.DUMMYFUNCTION("""COMPUTED_VALUE"""),"blok")</f>
        <v>blok</v>
      </c>
      <c r="C1630" s="4" t="str">
        <f>IFERROR(__xludf.DUMMYFUNCTION("""COMPUTED_VALUE"""),"Blok Token")</f>
        <v>Blok Token</v>
      </c>
    </row>
    <row r="1631">
      <c r="A1631" s="4" t="str">
        <f>IFERROR(__xludf.DUMMYFUNCTION("""COMPUTED_VALUE"""),"bitcicoin")</f>
        <v>bitcicoin</v>
      </c>
      <c r="B1631" s="4" t="str">
        <f>IFERROR(__xludf.DUMMYFUNCTION("""COMPUTED_VALUE"""),"bitci")</f>
        <v>bitci</v>
      </c>
      <c r="C1631" s="4" t="str">
        <f>IFERROR(__xludf.DUMMYFUNCTION("""COMPUTED_VALUE"""),"Bitcicoin")</f>
        <v>Bitcicoin</v>
      </c>
    </row>
    <row r="1632">
      <c r="A1632" s="4" t="str">
        <f>IFERROR(__xludf.DUMMYFUNCTION("""COMPUTED_VALUE"""),"bitci-edu")</f>
        <v>bitci-edu</v>
      </c>
      <c r="B1632" s="4" t="str">
        <f>IFERROR(__xludf.DUMMYFUNCTION("""COMPUTED_VALUE"""),"bedu")</f>
        <v>bedu</v>
      </c>
      <c r="C1632" s="4" t="str">
        <f>IFERROR(__xludf.DUMMYFUNCTION("""COMPUTED_VALUE"""),"Bitci EDU")</f>
        <v>Bitci EDU</v>
      </c>
    </row>
    <row r="1633">
      <c r="A1633" s="4" t="str">
        <f>IFERROR(__xludf.DUMMYFUNCTION("""COMPUTED_VALUE"""),"bitci-racing-token")</f>
        <v>bitci-racing-token</v>
      </c>
      <c r="B1633" s="4" t="str">
        <f>IFERROR(__xludf.DUMMYFUNCTION("""COMPUTED_VALUE"""),"brace")</f>
        <v>brace</v>
      </c>
      <c r="C1633" s="4" t="str">
        <f>IFERROR(__xludf.DUMMYFUNCTION("""COMPUTED_VALUE"""),"Bitci Racing Token")</f>
        <v>Bitci Racing Token</v>
      </c>
    </row>
    <row r="1634">
      <c r="A1634" s="4" t="str">
        <f>IFERROR(__xludf.DUMMYFUNCTION("""COMPUTED_VALUE"""),"bitclave")</f>
        <v>bitclave</v>
      </c>
      <c r="B1634" s="4" t="str">
        <f>IFERROR(__xludf.DUMMYFUNCTION("""COMPUTED_VALUE"""),"cat")</f>
        <v>cat</v>
      </c>
      <c r="C1634" s="4" t="str">
        <f>IFERROR(__xludf.DUMMYFUNCTION("""COMPUTED_VALUE"""),"BitClave")</f>
        <v>BitClave</v>
      </c>
    </row>
    <row r="1635">
      <c r="A1635" s="4" t="str">
        <f>IFERROR(__xludf.DUMMYFUNCTION("""COMPUTED_VALUE"""),"bitcoin")</f>
        <v>bitcoin</v>
      </c>
      <c r="B1635" s="4" t="str">
        <f>IFERROR(__xludf.DUMMYFUNCTION("""COMPUTED_VALUE"""),"btc")</f>
        <v>btc</v>
      </c>
      <c r="C1635" s="4" t="str">
        <f>IFERROR(__xludf.DUMMYFUNCTION("""COMPUTED_VALUE"""),"Bitcoin")</f>
        <v>Bitcoin</v>
      </c>
    </row>
    <row r="1636">
      <c r="A1636" s="4" t="str">
        <f>IFERROR(__xludf.DUMMYFUNCTION("""COMPUTED_VALUE"""),"bitcoin-2")</f>
        <v>bitcoin-2</v>
      </c>
      <c r="B1636" s="4" t="str">
        <f>IFERROR(__xludf.DUMMYFUNCTION("""COMPUTED_VALUE"""),"btc2")</f>
        <v>btc2</v>
      </c>
      <c r="C1636" s="4" t="str">
        <f>IFERROR(__xludf.DUMMYFUNCTION("""COMPUTED_VALUE"""),"Bitcoin 2")</f>
        <v>Bitcoin 2</v>
      </c>
    </row>
    <row r="1637">
      <c r="A1637" s="4" t="str">
        <f>IFERROR(__xludf.DUMMYFUNCTION("""COMPUTED_VALUE"""),"bitcoin20")</f>
        <v>bitcoin20</v>
      </c>
      <c r="B1637" s="4" t="str">
        <f>IFERROR(__xludf.DUMMYFUNCTION("""COMPUTED_VALUE"""),"btc20")</f>
        <v>btc20</v>
      </c>
      <c r="C1637" s="4" t="str">
        <f>IFERROR(__xludf.DUMMYFUNCTION("""COMPUTED_VALUE"""),"Bitcoin20")</f>
        <v>Bitcoin20</v>
      </c>
    </row>
    <row r="1638">
      <c r="A1638" s="4" t="str">
        <f>IFERROR(__xludf.DUMMYFUNCTION("""COMPUTED_VALUE"""),"bitcoin-2-0")</f>
        <v>bitcoin-2-0</v>
      </c>
      <c r="B1638" s="4" t="str">
        <f>IFERROR(__xludf.DUMMYFUNCTION("""COMPUTED_VALUE"""),"btc2.0")</f>
        <v>btc2.0</v>
      </c>
      <c r="C1638" s="4" t="str">
        <f>IFERROR(__xludf.DUMMYFUNCTION("""COMPUTED_VALUE"""),"Bitcoin 2.0")</f>
        <v>Bitcoin 2.0</v>
      </c>
    </row>
    <row r="1639">
      <c r="A1639" s="4" t="str">
        <f>IFERROR(__xludf.DUMMYFUNCTION("""COMPUTED_VALUE"""),"bitcoin-ai")</f>
        <v>bitcoin-ai</v>
      </c>
      <c r="B1639" s="4" t="str">
        <f>IFERROR(__xludf.DUMMYFUNCTION("""COMPUTED_VALUE"""),"bitcoinai")</f>
        <v>bitcoinai</v>
      </c>
      <c r="C1639" s="4" t="str">
        <f>IFERROR(__xludf.DUMMYFUNCTION("""COMPUTED_VALUE"""),"Bitcoin AI")</f>
        <v>Bitcoin AI</v>
      </c>
    </row>
    <row r="1640">
      <c r="A1640" s="4" t="str">
        <f>IFERROR(__xludf.DUMMYFUNCTION("""COMPUTED_VALUE"""),"bitcoin-asia")</f>
        <v>bitcoin-asia</v>
      </c>
      <c r="B1640" s="4" t="str">
        <f>IFERROR(__xludf.DUMMYFUNCTION("""COMPUTED_VALUE"""),"btca")</f>
        <v>btca</v>
      </c>
      <c r="C1640" s="4" t="str">
        <f>IFERROR(__xludf.DUMMYFUNCTION("""COMPUTED_VALUE"""),"Bitcoin Asia")</f>
        <v>Bitcoin Asia</v>
      </c>
    </row>
    <row r="1641">
      <c r="A1641" s="4" t="str">
        <f>IFERROR(__xludf.DUMMYFUNCTION("""COMPUTED_VALUE"""),"bitcoin-atom")</f>
        <v>bitcoin-atom</v>
      </c>
      <c r="B1641" s="4" t="str">
        <f>IFERROR(__xludf.DUMMYFUNCTION("""COMPUTED_VALUE"""),"bca")</f>
        <v>bca</v>
      </c>
      <c r="C1641" s="4" t="str">
        <f>IFERROR(__xludf.DUMMYFUNCTION("""COMPUTED_VALUE"""),"Bitcoin Atom")</f>
        <v>Bitcoin Atom</v>
      </c>
    </row>
    <row r="1642">
      <c r="A1642" s="4" t="str">
        <f>IFERROR(__xludf.DUMMYFUNCTION("""COMPUTED_VALUE"""),"bitcoin-avalanche-bridged-btc-b")</f>
        <v>bitcoin-avalanche-bridged-btc-b</v>
      </c>
      <c r="B1642" s="4" t="str">
        <f>IFERROR(__xludf.DUMMYFUNCTION("""COMPUTED_VALUE"""),"btc.b")</f>
        <v>btc.b</v>
      </c>
      <c r="C1642" s="4" t="str">
        <f>IFERROR(__xludf.DUMMYFUNCTION("""COMPUTED_VALUE"""),"Bitcoin Avalanche Bridged (BTC.b)")</f>
        <v>Bitcoin Avalanche Bridged (BTC.b)</v>
      </c>
    </row>
    <row r="1643">
      <c r="A1643" s="4" t="str">
        <f>IFERROR(__xludf.DUMMYFUNCTION("""COMPUTED_VALUE"""),"bitcoinbam")</f>
        <v>bitcoinbam</v>
      </c>
      <c r="B1643" s="4" t="str">
        <f>IFERROR(__xludf.DUMMYFUNCTION("""COMPUTED_VALUE"""),"btcbam")</f>
        <v>btcbam</v>
      </c>
      <c r="C1643" s="4" t="str">
        <f>IFERROR(__xludf.DUMMYFUNCTION("""COMPUTED_VALUE"""),"BitcoinBam")</f>
        <v>BitcoinBam</v>
      </c>
    </row>
    <row r="1644">
      <c r="A1644" s="4" t="str">
        <f>IFERROR(__xludf.DUMMYFUNCTION("""COMPUTED_VALUE"""),"bitcoin-bep2")</f>
        <v>bitcoin-bep2</v>
      </c>
      <c r="B1644" s="4" t="str">
        <f>IFERROR(__xludf.DUMMYFUNCTION("""COMPUTED_VALUE"""),"btcb")</f>
        <v>btcb</v>
      </c>
      <c r="C1644" s="4" t="str">
        <f>IFERROR(__xludf.DUMMYFUNCTION("""COMPUTED_VALUE"""),"Bitcoin BEP2")</f>
        <v>Bitcoin BEP2</v>
      </c>
    </row>
    <row r="1645">
      <c r="A1645" s="4" t="str">
        <f>IFERROR(__xludf.DUMMYFUNCTION("""COMPUTED_VALUE"""),"bitcoin-br")</f>
        <v>bitcoin-br</v>
      </c>
      <c r="B1645" s="4" t="str">
        <f>IFERROR(__xludf.DUMMYFUNCTION("""COMPUTED_VALUE"""),"btcbr")</f>
        <v>btcbr</v>
      </c>
      <c r="C1645" s="4" t="str">
        <f>IFERROR(__xludf.DUMMYFUNCTION("""COMPUTED_VALUE"""),"Bitcoin BR")</f>
        <v>Bitcoin BR</v>
      </c>
    </row>
    <row r="1646">
      <c r="A1646" s="4" t="str">
        <f>IFERROR(__xludf.DUMMYFUNCTION("""COMPUTED_VALUE"""),"bitcoin-candy")</f>
        <v>bitcoin-candy</v>
      </c>
      <c r="B1646" s="4" t="str">
        <f>IFERROR(__xludf.DUMMYFUNCTION("""COMPUTED_VALUE"""),"cdy")</f>
        <v>cdy</v>
      </c>
      <c r="C1646" s="4" t="str">
        <f>IFERROR(__xludf.DUMMYFUNCTION("""COMPUTED_VALUE"""),"Bitcoin Candy")</f>
        <v>Bitcoin Candy</v>
      </c>
    </row>
    <row r="1647">
      <c r="A1647" s="4" t="str">
        <f>IFERROR(__xludf.DUMMYFUNCTION("""COMPUTED_VALUE"""),"bitcoin-cash")</f>
        <v>bitcoin-cash</v>
      </c>
      <c r="B1647" s="4" t="str">
        <f>IFERROR(__xludf.DUMMYFUNCTION("""COMPUTED_VALUE"""),"bch")</f>
        <v>bch</v>
      </c>
      <c r="C1647" s="4" t="str">
        <f>IFERROR(__xludf.DUMMYFUNCTION("""COMPUTED_VALUE"""),"Bitcoin Cash")</f>
        <v>Bitcoin Cash</v>
      </c>
    </row>
    <row r="1648">
      <c r="A1648" s="4" t="str">
        <f>IFERROR(__xludf.DUMMYFUNCTION("""COMPUTED_VALUE"""),"bitcoin-cash-sv")</f>
        <v>bitcoin-cash-sv</v>
      </c>
      <c r="B1648" s="4" t="str">
        <f>IFERROR(__xludf.DUMMYFUNCTION("""COMPUTED_VALUE"""),"bsv")</f>
        <v>bsv</v>
      </c>
      <c r="C1648" s="4" t="str">
        <f>IFERROR(__xludf.DUMMYFUNCTION("""COMPUTED_VALUE"""),"Bitcoin SV")</f>
        <v>Bitcoin SV</v>
      </c>
    </row>
    <row r="1649">
      <c r="A1649" s="4" t="str">
        <f>IFERROR(__xludf.DUMMYFUNCTION("""COMPUTED_VALUE"""),"bitcoin-cats")</f>
        <v>bitcoin-cats</v>
      </c>
      <c r="B1649" s="4" t="str">
        <f>IFERROR(__xludf.DUMMYFUNCTION("""COMPUTED_VALUE"""),"1cat")</f>
        <v>1cat</v>
      </c>
      <c r="C1649" s="4" t="str">
        <f>IFERROR(__xludf.DUMMYFUNCTION("""COMPUTED_VALUE"""),"Bitcoin Cats")</f>
        <v>Bitcoin Cats</v>
      </c>
    </row>
    <row r="1650">
      <c r="A1650" s="4" t="str">
        <f>IFERROR(__xludf.DUMMYFUNCTION("""COMPUTED_VALUE"""),"bitcoin-diamond")</f>
        <v>bitcoin-diamond</v>
      </c>
      <c r="B1650" s="4" t="str">
        <f>IFERROR(__xludf.DUMMYFUNCTION("""COMPUTED_VALUE"""),"bcd")</f>
        <v>bcd</v>
      </c>
      <c r="C1650" s="4" t="str">
        <f>IFERROR(__xludf.DUMMYFUNCTION("""COMPUTED_VALUE"""),"Bitcoin Diamond")</f>
        <v>Bitcoin Diamond</v>
      </c>
    </row>
    <row r="1651">
      <c r="A1651" s="4" t="str">
        <f>IFERROR(__xludf.DUMMYFUNCTION("""COMPUTED_VALUE"""),"bitcoin-e-wallet")</f>
        <v>bitcoin-e-wallet</v>
      </c>
      <c r="B1651" s="4" t="str">
        <f>IFERROR(__xludf.DUMMYFUNCTION("""COMPUTED_VALUE"""),"bitwallet")</f>
        <v>bitwallet</v>
      </c>
      <c r="C1651" s="4" t="str">
        <f>IFERROR(__xludf.DUMMYFUNCTION("""COMPUTED_VALUE"""),"Bitcoin E-wallet")</f>
        <v>Bitcoin E-wallet</v>
      </c>
    </row>
    <row r="1652">
      <c r="A1652" s="4" t="str">
        <f>IFERROR(__xludf.DUMMYFUNCTION("""COMPUTED_VALUE"""),"bitcoin-fast")</f>
        <v>bitcoin-fast</v>
      </c>
      <c r="B1652" s="4" t="str">
        <f>IFERROR(__xludf.DUMMYFUNCTION("""COMPUTED_VALUE"""),"bcf")</f>
        <v>bcf</v>
      </c>
      <c r="C1652" s="4" t="str">
        <f>IFERROR(__xludf.DUMMYFUNCTION("""COMPUTED_VALUE"""),"Bitcoin Fast")</f>
        <v>Bitcoin Fast</v>
      </c>
    </row>
    <row r="1653">
      <c r="A1653" s="4" t="str">
        <f>IFERROR(__xludf.DUMMYFUNCTION("""COMPUTED_VALUE"""),"bitcoin-god")</f>
        <v>bitcoin-god</v>
      </c>
      <c r="B1653" s="4" t="str">
        <f>IFERROR(__xludf.DUMMYFUNCTION("""COMPUTED_VALUE"""),"god")</f>
        <v>god</v>
      </c>
      <c r="C1653" s="4" t="str">
        <f>IFERROR(__xludf.DUMMYFUNCTION("""COMPUTED_VALUE"""),"Bitcoin God")</f>
        <v>Bitcoin God</v>
      </c>
    </row>
    <row r="1654">
      <c r="A1654" s="4" t="str">
        <f>IFERROR(__xludf.DUMMYFUNCTION("""COMPUTED_VALUE"""),"bitcoin-gold")</f>
        <v>bitcoin-gold</v>
      </c>
      <c r="B1654" s="4" t="str">
        <f>IFERROR(__xludf.DUMMYFUNCTION("""COMPUTED_VALUE"""),"btg")</f>
        <v>btg</v>
      </c>
      <c r="C1654" s="4" t="str">
        <f>IFERROR(__xludf.DUMMYFUNCTION("""COMPUTED_VALUE"""),"Bitcoin Gold")</f>
        <v>Bitcoin Gold</v>
      </c>
    </row>
    <row r="1655">
      <c r="A1655" s="4" t="str">
        <f>IFERROR(__xludf.DUMMYFUNCTION("""COMPUTED_VALUE"""),"bitcoin-inu")</f>
        <v>bitcoin-inu</v>
      </c>
      <c r="B1655" s="4" t="str">
        <f>IFERROR(__xludf.DUMMYFUNCTION("""COMPUTED_VALUE"""),"btcinu")</f>
        <v>btcinu</v>
      </c>
      <c r="C1655" s="4" t="str">
        <f>IFERROR(__xludf.DUMMYFUNCTION("""COMPUTED_VALUE"""),"Bitcoin Inu")</f>
        <v>Bitcoin Inu</v>
      </c>
    </row>
    <row r="1656">
      <c r="A1656" s="4" t="str">
        <f>IFERROR(__xludf.DUMMYFUNCTION("""COMPUTED_VALUE"""),"bitcoinmono")</f>
        <v>bitcoinmono</v>
      </c>
      <c r="B1656" s="4" t="str">
        <f>IFERROR(__xludf.DUMMYFUNCTION("""COMPUTED_VALUE"""),"btcmz")</f>
        <v>btcmz</v>
      </c>
      <c r="C1656" s="4" t="str">
        <f>IFERROR(__xludf.DUMMYFUNCTION("""COMPUTED_VALUE"""),"BitcoinMono")</f>
        <v>BitcoinMono</v>
      </c>
    </row>
    <row r="1657">
      <c r="A1657" s="4" t="str">
        <f>IFERROR(__xludf.DUMMYFUNCTION("""COMPUTED_VALUE"""),"bitcoin-name-service-system")</f>
        <v>bitcoin-name-service-system</v>
      </c>
      <c r="B1657" s="4" t="str">
        <f>IFERROR(__xludf.DUMMYFUNCTION("""COMPUTED_VALUE"""),"bnsx")</f>
        <v>bnsx</v>
      </c>
      <c r="C1657" s="4" t="str">
        <f>IFERROR(__xludf.DUMMYFUNCTION("""COMPUTED_VALUE"""),"Bitcoin Name Service System")</f>
        <v>Bitcoin Name Service System</v>
      </c>
    </row>
    <row r="1658">
      <c r="A1658" s="4" t="str">
        <f>IFERROR(__xludf.DUMMYFUNCTION("""COMPUTED_VALUE"""),"bitcoin-pay")</f>
        <v>bitcoin-pay</v>
      </c>
      <c r="B1658" s="4" t="str">
        <f>IFERROR(__xludf.DUMMYFUNCTION("""COMPUTED_VALUE"""),"btcpay")</f>
        <v>btcpay</v>
      </c>
      <c r="C1658" s="4" t="str">
        <f>IFERROR(__xludf.DUMMYFUNCTION("""COMPUTED_VALUE"""),"Bitcoin Pay")</f>
        <v>Bitcoin Pay</v>
      </c>
    </row>
    <row r="1659">
      <c r="A1659" s="4" t="str">
        <f>IFERROR(__xludf.DUMMYFUNCTION("""COMPUTED_VALUE"""),"bitcoin-plus")</f>
        <v>bitcoin-plus</v>
      </c>
      <c r="B1659" s="4" t="str">
        <f>IFERROR(__xludf.DUMMYFUNCTION("""COMPUTED_VALUE"""),"xbc")</f>
        <v>xbc</v>
      </c>
      <c r="C1659" s="4" t="str">
        <f>IFERROR(__xludf.DUMMYFUNCTION("""COMPUTED_VALUE"""),"Bitcoin Plus")</f>
        <v>Bitcoin Plus</v>
      </c>
    </row>
    <row r="1660">
      <c r="A1660" s="4" t="str">
        <f>IFERROR(__xludf.DUMMYFUNCTION("""COMPUTED_VALUE"""),"bitcoinpos")</f>
        <v>bitcoinpos</v>
      </c>
      <c r="B1660" s="4" t="str">
        <f>IFERROR(__xludf.DUMMYFUNCTION("""COMPUTED_VALUE"""),"btcs")</f>
        <v>btcs</v>
      </c>
      <c r="C1660" s="4" t="str">
        <f>IFERROR(__xludf.DUMMYFUNCTION("""COMPUTED_VALUE"""),"BitcoinPoS")</f>
        <v>BitcoinPoS</v>
      </c>
    </row>
    <row r="1661">
      <c r="A1661" s="4" t="str">
        <f>IFERROR(__xludf.DUMMYFUNCTION("""COMPUTED_VALUE"""),"bitcoinpow")</f>
        <v>bitcoinpow</v>
      </c>
      <c r="B1661" s="4" t="str">
        <f>IFERROR(__xludf.DUMMYFUNCTION("""COMPUTED_VALUE"""),"btcw")</f>
        <v>btcw</v>
      </c>
      <c r="C1661" s="4" t="str">
        <f>IFERROR(__xludf.DUMMYFUNCTION("""COMPUTED_VALUE"""),"BitcoinPoW")</f>
        <v>BitcoinPoW</v>
      </c>
    </row>
    <row r="1662">
      <c r="A1662" s="4" t="str">
        <f>IFERROR(__xludf.DUMMYFUNCTION("""COMPUTED_VALUE"""),"bitcoin-private")</f>
        <v>bitcoin-private</v>
      </c>
      <c r="B1662" s="4" t="str">
        <f>IFERROR(__xludf.DUMMYFUNCTION("""COMPUTED_VALUE"""),"btcp")</f>
        <v>btcp</v>
      </c>
      <c r="C1662" s="4" t="str">
        <f>IFERROR(__xludf.DUMMYFUNCTION("""COMPUTED_VALUE"""),"Bitcoin Private")</f>
        <v>Bitcoin Private</v>
      </c>
    </row>
    <row r="1663">
      <c r="A1663" s="4" t="str">
        <f>IFERROR(__xludf.DUMMYFUNCTION("""COMPUTED_VALUE"""),"bitcoin-pro")</f>
        <v>bitcoin-pro</v>
      </c>
      <c r="B1663" s="4" t="str">
        <f>IFERROR(__xludf.DUMMYFUNCTION("""COMPUTED_VALUE"""),"btcp")</f>
        <v>btcp</v>
      </c>
      <c r="C1663" s="4" t="str">
        <f>IFERROR(__xludf.DUMMYFUNCTION("""COMPUTED_VALUE"""),"Bitcoin Pro")</f>
        <v>Bitcoin Pro</v>
      </c>
    </row>
    <row r="1664">
      <c r="A1664" s="4" t="str">
        <f>IFERROR(__xludf.DUMMYFUNCTION("""COMPUTED_VALUE"""),"bitcoin-puppets-solona")</f>
        <v>bitcoin-puppets-solona</v>
      </c>
      <c r="B1664" s="4" t="str">
        <f>IFERROR(__xludf.DUMMYFUNCTION("""COMPUTED_VALUE"""),"puppet")</f>
        <v>puppet</v>
      </c>
      <c r="C1664" s="4" t="str">
        <f>IFERROR(__xludf.DUMMYFUNCTION("""COMPUTED_VALUE"""),"bitcoin puppets solona")</f>
        <v>bitcoin puppets solona</v>
      </c>
    </row>
    <row r="1665">
      <c r="A1665" s="4" t="str">
        <f>IFERROR(__xludf.DUMMYFUNCTION("""COMPUTED_VALUE"""),"bitcoin-scrypt")</f>
        <v>bitcoin-scrypt</v>
      </c>
      <c r="B1665" s="4" t="str">
        <f>IFERROR(__xludf.DUMMYFUNCTION("""COMPUTED_VALUE"""),"btcs")</f>
        <v>btcs</v>
      </c>
      <c r="C1665" s="4" t="str">
        <f>IFERROR(__xludf.DUMMYFUNCTION("""COMPUTED_VALUE"""),"Bitcoin Scrypt")</f>
        <v>Bitcoin Scrypt</v>
      </c>
    </row>
    <row r="1666">
      <c r="A1666" s="4" t="str">
        <f>IFERROR(__xludf.DUMMYFUNCTION("""COMPUTED_VALUE"""),"bitcoinsov")</f>
        <v>bitcoinsov</v>
      </c>
      <c r="B1666" s="4" t="str">
        <f>IFERROR(__xludf.DUMMYFUNCTION("""COMPUTED_VALUE"""),"bsov")</f>
        <v>bsov</v>
      </c>
      <c r="C1666" s="4" t="str">
        <f>IFERROR(__xludf.DUMMYFUNCTION("""COMPUTED_VALUE"""),"BitcoinSoV")</f>
        <v>BitcoinSoV</v>
      </c>
    </row>
    <row r="1667">
      <c r="A1667" s="4" t="str">
        <f>IFERROR(__xludf.DUMMYFUNCTION("""COMPUTED_VALUE"""),"bitcoin-subsidium")</f>
        <v>bitcoin-subsidium</v>
      </c>
      <c r="B1667" s="4" t="str">
        <f>IFERROR(__xludf.DUMMYFUNCTION("""COMPUTED_VALUE"""),"xbtx")</f>
        <v>xbtx</v>
      </c>
      <c r="C1667" s="4" t="str">
        <f>IFERROR(__xludf.DUMMYFUNCTION("""COMPUTED_VALUE"""),"Bitcoin Subsidium")</f>
        <v>Bitcoin Subsidium</v>
      </c>
    </row>
    <row r="1668">
      <c r="A1668" s="4" t="str">
        <f>IFERROR(__xludf.DUMMYFUNCTION("""COMPUTED_VALUE"""),"bitcoin-ton")</f>
        <v>bitcoin-ton</v>
      </c>
      <c r="B1668" s="4" t="str">
        <f>IFERROR(__xludf.DUMMYFUNCTION("""COMPUTED_VALUE"""),"bitton")</f>
        <v>bitton</v>
      </c>
      <c r="C1668" s="4" t="str">
        <f>IFERROR(__xludf.DUMMYFUNCTION("""COMPUTED_VALUE"""),"Bitcoin TON")</f>
        <v>Bitcoin TON</v>
      </c>
    </row>
    <row r="1669">
      <c r="A1669" s="4" t="str">
        <f>IFERROR(__xludf.DUMMYFUNCTION("""COMPUTED_VALUE"""),"bitcoin-trc20")</f>
        <v>bitcoin-trc20</v>
      </c>
      <c r="B1669" s="4" t="str">
        <f>IFERROR(__xludf.DUMMYFUNCTION("""COMPUTED_VALUE"""),"btct")</f>
        <v>btct</v>
      </c>
      <c r="C1669" s="4" t="str">
        <f>IFERROR(__xludf.DUMMYFUNCTION("""COMPUTED_VALUE"""),"Bitcoin TRC20")</f>
        <v>Bitcoin TRC20</v>
      </c>
    </row>
    <row r="1670">
      <c r="A1670" s="4" t="str">
        <f>IFERROR(__xludf.DUMMYFUNCTION("""COMPUTED_VALUE"""),"bitcointry-token")</f>
        <v>bitcointry-token</v>
      </c>
      <c r="B1670" s="4" t="str">
        <f>IFERROR(__xludf.DUMMYFUNCTION("""COMPUTED_VALUE"""),"btty")</f>
        <v>btty</v>
      </c>
      <c r="C1670" s="4" t="str">
        <f>IFERROR(__xludf.DUMMYFUNCTION("""COMPUTED_VALUE"""),"Bitcointry Token")</f>
        <v>Bitcointry Token</v>
      </c>
    </row>
    <row r="1671">
      <c r="A1671" s="4" t="str">
        <f>IFERROR(__xludf.DUMMYFUNCTION("""COMPUTED_VALUE"""),"bitcoinv")</f>
        <v>bitcoinv</v>
      </c>
      <c r="B1671" s="4" t="str">
        <f>IFERROR(__xludf.DUMMYFUNCTION("""COMPUTED_VALUE"""),"btcv")</f>
        <v>btcv</v>
      </c>
      <c r="C1671" s="4" t="str">
        <f>IFERROR(__xludf.DUMMYFUNCTION("""COMPUTED_VALUE"""),"BitcoinV")</f>
        <v>BitcoinV</v>
      </c>
    </row>
    <row r="1672">
      <c r="A1672" s="4" t="str">
        <f>IFERROR(__xludf.DUMMYFUNCTION("""COMPUTED_VALUE"""),"bitcoin-vault")</f>
        <v>bitcoin-vault</v>
      </c>
      <c r="B1672" s="4" t="str">
        <f>IFERROR(__xludf.DUMMYFUNCTION("""COMPUTED_VALUE"""),"btcv")</f>
        <v>btcv</v>
      </c>
      <c r="C1672" s="4" t="str">
        <f>IFERROR(__xludf.DUMMYFUNCTION("""COMPUTED_VALUE"""),"Bitcoin Vault")</f>
        <v>Bitcoin Vault</v>
      </c>
    </row>
    <row r="1673">
      <c r="A1673" s="4" t="str">
        <f>IFERROR(__xludf.DUMMYFUNCTION("""COMPUTED_VALUE"""),"bitcoinvb")</f>
        <v>bitcoinvb</v>
      </c>
      <c r="B1673" s="4" t="str">
        <f>IFERROR(__xludf.DUMMYFUNCTION("""COMPUTED_VALUE"""),"btcvb")</f>
        <v>btcvb</v>
      </c>
      <c r="C1673" s="4" t="str">
        <f>IFERROR(__xludf.DUMMYFUNCTION("""COMPUTED_VALUE"""),"BitcoinVB")</f>
        <v>BitcoinVB</v>
      </c>
    </row>
    <row r="1674">
      <c r="A1674" s="4" t="str">
        <f>IFERROR(__xludf.DUMMYFUNCTION("""COMPUTED_VALUE"""),"bitcoin-wizards")</f>
        <v>bitcoin-wizards</v>
      </c>
      <c r="B1674" s="4" t="str">
        <f>IFERROR(__xludf.DUMMYFUNCTION("""COMPUTED_VALUE"""),"wzrd")</f>
        <v>wzrd</v>
      </c>
      <c r="C1674" s="4" t="str">
        <f>IFERROR(__xludf.DUMMYFUNCTION("""COMPUTED_VALUE"""),"Bitcoin Wizards")</f>
        <v>Bitcoin Wizards</v>
      </c>
    </row>
    <row r="1675">
      <c r="A1675" s="4" t="str">
        <f>IFERROR(__xludf.DUMMYFUNCTION("""COMPUTED_VALUE"""),"bitcoinx")</f>
        <v>bitcoinx</v>
      </c>
      <c r="B1675" s="4" t="str">
        <f>IFERROR(__xludf.DUMMYFUNCTION("""COMPUTED_VALUE"""),"bcx")</f>
        <v>bcx</v>
      </c>
      <c r="C1675" s="4" t="str">
        <f>IFERROR(__xludf.DUMMYFUNCTION("""COMPUTED_VALUE"""),"BitcoinX")</f>
        <v>BitcoinX</v>
      </c>
    </row>
    <row r="1676">
      <c r="A1676" s="4" t="str">
        <f>IFERROR(__xludf.DUMMYFUNCTION("""COMPUTED_VALUE"""),"bitcoinz")</f>
        <v>bitcoinz</v>
      </c>
      <c r="B1676" s="4" t="str">
        <f>IFERROR(__xludf.DUMMYFUNCTION("""COMPUTED_VALUE"""),"btcz")</f>
        <v>btcz</v>
      </c>
      <c r="C1676" s="4" t="str">
        <f>IFERROR(__xludf.DUMMYFUNCTION("""COMPUTED_VALUE"""),"BitcoinZ")</f>
        <v>BitcoinZ</v>
      </c>
    </row>
    <row r="1677">
      <c r="A1677" s="4" t="str">
        <f>IFERROR(__xludf.DUMMYFUNCTION("""COMPUTED_VALUE"""),"bitcoiva")</f>
        <v>bitcoiva</v>
      </c>
      <c r="B1677" s="4" t="str">
        <f>IFERROR(__xludf.DUMMYFUNCTION("""COMPUTED_VALUE"""),"bca")</f>
        <v>bca</v>
      </c>
      <c r="C1677" s="4" t="str">
        <f>IFERROR(__xludf.DUMMYFUNCTION("""COMPUTED_VALUE"""),"Bitcoiva")</f>
        <v>Bitcoiva</v>
      </c>
    </row>
    <row r="1678">
      <c r="A1678" s="4" t="str">
        <f>IFERROR(__xludf.DUMMYFUNCTION("""COMPUTED_VALUE"""),"bitcone")</f>
        <v>bitcone</v>
      </c>
      <c r="B1678" s="4" t="str">
        <f>IFERROR(__xludf.DUMMYFUNCTION("""COMPUTED_VALUE"""),"cone")</f>
        <v>cone</v>
      </c>
      <c r="C1678" s="4" t="str">
        <f>IFERROR(__xludf.DUMMYFUNCTION("""COMPUTED_VALUE"""),"BitCone")</f>
        <v>BitCone</v>
      </c>
    </row>
    <row r="1679">
      <c r="A1679" s="4" t="str">
        <f>IFERROR(__xludf.DUMMYFUNCTION("""COMPUTED_VALUE"""),"bitconey")</f>
        <v>bitconey</v>
      </c>
      <c r="B1679" s="4" t="str">
        <f>IFERROR(__xludf.DUMMYFUNCTION("""COMPUTED_VALUE"""),"bitconey")</f>
        <v>bitconey</v>
      </c>
      <c r="C1679" s="4" t="str">
        <f>IFERROR(__xludf.DUMMYFUNCTION("""COMPUTED_VALUE"""),"BitConey")</f>
        <v>BitConey</v>
      </c>
    </row>
    <row r="1680">
      <c r="A1680" s="4" t="str">
        <f>IFERROR(__xludf.DUMMYFUNCTION("""COMPUTED_VALUE"""),"bitcore")</f>
        <v>bitcore</v>
      </c>
      <c r="B1680" s="4" t="str">
        <f>IFERROR(__xludf.DUMMYFUNCTION("""COMPUTED_VALUE"""),"btx")</f>
        <v>btx</v>
      </c>
      <c r="C1680" s="4" t="str">
        <f>IFERROR(__xludf.DUMMYFUNCTION("""COMPUTED_VALUE"""),"BitCore")</f>
        <v>BitCore</v>
      </c>
    </row>
    <row r="1681">
      <c r="A1681" s="4" t="str">
        <f>IFERROR(__xludf.DUMMYFUNCTION("""COMPUTED_VALUE"""),"bitdao")</f>
        <v>bitdao</v>
      </c>
      <c r="B1681" s="4" t="str">
        <f>IFERROR(__xludf.DUMMYFUNCTION("""COMPUTED_VALUE"""),"bit")</f>
        <v>bit</v>
      </c>
      <c r="C1681" s="4" t="str">
        <f>IFERROR(__xludf.DUMMYFUNCTION("""COMPUTED_VALUE"""),"BitDAO")</f>
        <v>BitDAO</v>
      </c>
    </row>
    <row r="1682">
      <c r="A1682" s="4" t="str">
        <f>IFERROR(__xludf.DUMMYFUNCTION("""COMPUTED_VALUE"""),"bitdelta")</f>
        <v>bitdelta</v>
      </c>
      <c r="B1682" s="4" t="str">
        <f>IFERROR(__xludf.DUMMYFUNCTION("""COMPUTED_VALUE"""),"bdt")</f>
        <v>bdt</v>
      </c>
      <c r="C1682" s="4" t="str">
        <f>IFERROR(__xludf.DUMMYFUNCTION("""COMPUTED_VALUE"""),"BitDelta")</f>
        <v>BitDelta</v>
      </c>
    </row>
    <row r="1683">
      <c r="A1683" s="4" t="str">
        <f>IFERROR(__xludf.DUMMYFUNCTION("""COMPUTED_VALUE"""),"bitenium-token")</f>
        <v>bitenium-token</v>
      </c>
      <c r="B1683" s="4" t="str">
        <f>IFERROR(__xludf.DUMMYFUNCTION("""COMPUTED_VALUE"""),"bt")</f>
        <v>bt</v>
      </c>
      <c r="C1683" s="4" t="str">
        <f>IFERROR(__xludf.DUMMYFUNCTION("""COMPUTED_VALUE"""),"Bitenium")</f>
        <v>Bitenium</v>
      </c>
    </row>
    <row r="1684">
      <c r="A1684" s="4" t="str">
        <f>IFERROR(__xludf.DUMMYFUNCTION("""COMPUTED_VALUE"""),"bitfloki")</f>
        <v>bitfloki</v>
      </c>
      <c r="B1684" s="4" t="str">
        <f>IFERROR(__xludf.DUMMYFUNCTION("""COMPUTED_VALUE"""),"bfloki")</f>
        <v>bfloki</v>
      </c>
      <c r="C1684" s="4" t="str">
        <f>IFERROR(__xludf.DUMMYFUNCTION("""COMPUTED_VALUE"""),"bitFloki")</f>
        <v>bitFloki</v>
      </c>
    </row>
    <row r="1685">
      <c r="A1685" s="4" t="str">
        <f>IFERROR(__xludf.DUMMYFUNCTION("""COMPUTED_VALUE"""),"bitforex")</f>
        <v>bitforex</v>
      </c>
      <c r="B1685" s="4" t="str">
        <f>IFERROR(__xludf.DUMMYFUNCTION("""COMPUTED_VALUE"""),"bf")</f>
        <v>bf</v>
      </c>
      <c r="C1685" s="4" t="str">
        <f>IFERROR(__xludf.DUMMYFUNCTION("""COMPUTED_VALUE"""),"Bitforex")</f>
        <v>Bitforex</v>
      </c>
    </row>
    <row r="1686">
      <c r="A1686" s="4" t="str">
        <f>IFERROR(__xludf.DUMMYFUNCTION("""COMPUTED_VALUE"""),"bitgain")</f>
        <v>bitgain</v>
      </c>
      <c r="B1686" s="4" t="str">
        <f>IFERROR(__xludf.DUMMYFUNCTION("""COMPUTED_VALUE"""),"bgn")</f>
        <v>bgn</v>
      </c>
      <c r="C1686" s="4" t="str">
        <f>IFERROR(__xludf.DUMMYFUNCTION("""COMPUTED_VALUE"""),"Bitgain")</f>
        <v>Bitgain</v>
      </c>
    </row>
    <row r="1687">
      <c r="A1687" s="4" t="str">
        <f>IFERROR(__xludf.DUMMYFUNCTION("""COMPUTED_VALUE"""),"bit-game-verse-token")</f>
        <v>bit-game-verse-token</v>
      </c>
      <c r="B1687" s="4" t="str">
        <f>IFERROR(__xludf.DUMMYFUNCTION("""COMPUTED_VALUE"""),"bgvt")</f>
        <v>bgvt</v>
      </c>
      <c r="C1687" s="4" t="str">
        <f>IFERROR(__xludf.DUMMYFUNCTION("""COMPUTED_VALUE"""),"Bit Game Verse Token")</f>
        <v>Bit Game Verse Token</v>
      </c>
    </row>
    <row r="1688">
      <c r="A1688" s="4" t="str">
        <f>IFERROR(__xludf.DUMMYFUNCTION("""COMPUTED_VALUE"""),"bitget-token")</f>
        <v>bitget-token</v>
      </c>
      <c r="B1688" s="4" t="str">
        <f>IFERROR(__xludf.DUMMYFUNCTION("""COMPUTED_VALUE"""),"bgb")</f>
        <v>bgb</v>
      </c>
      <c r="C1688" s="4" t="str">
        <f>IFERROR(__xludf.DUMMYFUNCTION("""COMPUTED_VALUE"""),"Bitget Token")</f>
        <v>Bitget Token</v>
      </c>
    </row>
    <row r="1689">
      <c r="A1689" s="4" t="str">
        <f>IFERROR(__xludf.DUMMYFUNCTION("""COMPUTED_VALUE"""),"bithash-token")</f>
        <v>bithash-token</v>
      </c>
      <c r="B1689" s="4" t="str">
        <f>IFERROR(__xludf.DUMMYFUNCTION("""COMPUTED_VALUE"""),"bt")</f>
        <v>bt</v>
      </c>
      <c r="C1689" s="4" t="str">
        <f>IFERROR(__xludf.DUMMYFUNCTION("""COMPUTED_VALUE"""),"BitHash")</f>
        <v>BitHash</v>
      </c>
    </row>
    <row r="1690">
      <c r="A1690" s="4" t="str">
        <f>IFERROR(__xludf.DUMMYFUNCTION("""COMPUTED_VALUE"""),"bit-hotel")</f>
        <v>bit-hotel</v>
      </c>
      <c r="B1690" s="4" t="str">
        <f>IFERROR(__xludf.DUMMYFUNCTION("""COMPUTED_VALUE"""),"bth")</f>
        <v>bth</v>
      </c>
      <c r="C1690" s="4" t="str">
        <f>IFERROR(__xludf.DUMMYFUNCTION("""COMPUTED_VALUE"""),"Bit Hotel")</f>
        <v>Bit Hotel</v>
      </c>
    </row>
    <row r="1691">
      <c r="A1691" s="4" t="str">
        <f>IFERROR(__xludf.DUMMYFUNCTION("""COMPUTED_VALUE"""),"bitica-coin")</f>
        <v>bitica-coin</v>
      </c>
      <c r="B1691" s="4" t="str">
        <f>IFERROR(__xludf.DUMMYFUNCTION("""COMPUTED_VALUE"""),"bdcc")</f>
        <v>bdcc</v>
      </c>
      <c r="C1691" s="4" t="str">
        <f>IFERROR(__xludf.DUMMYFUNCTION("""COMPUTED_VALUE"""),"BITICA COIN")</f>
        <v>BITICA COIN</v>
      </c>
    </row>
    <row r="1692">
      <c r="A1692" s="4" t="str">
        <f>IFERROR(__xludf.DUMMYFUNCTION("""COMPUTED_VALUE"""),"bitkub-coin")</f>
        <v>bitkub-coin</v>
      </c>
      <c r="B1692" s="4" t="str">
        <f>IFERROR(__xludf.DUMMYFUNCTION("""COMPUTED_VALUE"""),"kub")</f>
        <v>kub</v>
      </c>
      <c r="C1692" s="4" t="str">
        <f>IFERROR(__xludf.DUMMYFUNCTION("""COMPUTED_VALUE"""),"Bitkub Coin")</f>
        <v>Bitkub Coin</v>
      </c>
    </row>
    <row r="1693">
      <c r="A1693" s="4" t="str">
        <f>IFERROR(__xludf.DUMMYFUNCTION("""COMPUTED_VALUE"""),"bitlocus")</f>
        <v>bitlocus</v>
      </c>
      <c r="B1693" s="4" t="str">
        <f>IFERROR(__xludf.DUMMYFUNCTION("""COMPUTED_VALUE"""),"btl")</f>
        <v>btl</v>
      </c>
      <c r="C1693" s="4" t="str">
        <f>IFERROR(__xludf.DUMMYFUNCTION("""COMPUTED_VALUE"""),"Bitlocus")</f>
        <v>Bitlocus</v>
      </c>
    </row>
    <row r="1694">
      <c r="A1694" s="4" t="str">
        <f>IFERROR(__xludf.DUMMYFUNCTION("""COMPUTED_VALUE"""),"bitmark")</f>
        <v>bitmark</v>
      </c>
      <c r="B1694" s="4" t="str">
        <f>IFERROR(__xludf.DUMMYFUNCTION("""COMPUTED_VALUE"""),"marks")</f>
        <v>marks</v>
      </c>
      <c r="C1694" s="4" t="str">
        <f>IFERROR(__xludf.DUMMYFUNCTION("""COMPUTED_VALUE"""),"Bitmark")</f>
        <v>Bitmark</v>
      </c>
    </row>
    <row r="1695">
      <c r="A1695" s="4" t="str">
        <f>IFERROR(__xludf.DUMMYFUNCTION("""COMPUTED_VALUE"""),"bitmarkets-token")</f>
        <v>bitmarkets-token</v>
      </c>
      <c r="B1695" s="4" t="str">
        <f>IFERROR(__xludf.DUMMYFUNCTION("""COMPUTED_VALUE"""),"btmt")</f>
        <v>btmt</v>
      </c>
      <c r="C1695" s="4" t="str">
        <f>IFERROR(__xludf.DUMMYFUNCTION("""COMPUTED_VALUE"""),"BITmarkets Token")</f>
        <v>BITmarkets Token</v>
      </c>
    </row>
    <row r="1696">
      <c r="A1696" s="4" t="str">
        <f>IFERROR(__xludf.DUMMYFUNCTION("""COMPUTED_VALUE"""),"bitmart-token")</f>
        <v>bitmart-token</v>
      </c>
      <c r="B1696" s="4" t="str">
        <f>IFERROR(__xludf.DUMMYFUNCTION("""COMPUTED_VALUE"""),"bmx")</f>
        <v>bmx</v>
      </c>
      <c r="C1696" s="4" t="str">
        <f>IFERROR(__xludf.DUMMYFUNCTION("""COMPUTED_VALUE"""),"BitMart")</f>
        <v>BitMart</v>
      </c>
    </row>
    <row r="1697">
      <c r="A1697" s="4" t="str">
        <f>IFERROR(__xludf.DUMMYFUNCTION("""COMPUTED_VALUE"""),"bitmex-token")</f>
        <v>bitmex-token</v>
      </c>
      <c r="B1697" s="4" t="str">
        <f>IFERROR(__xludf.DUMMYFUNCTION("""COMPUTED_VALUE"""),"bmex")</f>
        <v>bmex</v>
      </c>
      <c r="C1697" s="4" t="str">
        <f>IFERROR(__xludf.DUMMYFUNCTION("""COMPUTED_VALUE"""),"BitMEX")</f>
        <v>BitMEX</v>
      </c>
    </row>
    <row r="1698">
      <c r="A1698" s="4" t="str">
        <f>IFERROR(__xludf.DUMMYFUNCTION("""COMPUTED_VALUE"""),"bitminerx")</f>
        <v>bitminerx</v>
      </c>
      <c r="B1698" s="4" t="str">
        <f>IFERROR(__xludf.DUMMYFUNCTION("""COMPUTED_VALUE"""),"bmx")</f>
        <v>bmx</v>
      </c>
      <c r="C1698" s="4" t="str">
        <f>IFERROR(__xludf.DUMMYFUNCTION("""COMPUTED_VALUE"""),"BitMinerX")</f>
        <v>BitMinerX</v>
      </c>
    </row>
    <row r="1699">
      <c r="A1699" s="4" t="str">
        <f>IFERROR(__xludf.DUMMYFUNCTION("""COMPUTED_VALUE"""),"bitnet")</f>
        <v>bitnet</v>
      </c>
      <c r="B1699" s="4" t="str">
        <f>IFERROR(__xludf.DUMMYFUNCTION("""COMPUTED_VALUE"""),"btn")</f>
        <v>btn</v>
      </c>
      <c r="C1699" s="4" t="str">
        <f>IFERROR(__xludf.DUMMYFUNCTION("""COMPUTED_VALUE"""),"Bitnet")</f>
        <v>Bitnet</v>
      </c>
    </row>
    <row r="1700">
      <c r="A1700" s="4" t="str">
        <f>IFERROR(__xludf.DUMMYFUNCTION("""COMPUTED_VALUE"""),"bitnet-io")</f>
        <v>bitnet-io</v>
      </c>
      <c r="B1700" s="4" t="str">
        <f>IFERROR(__xludf.DUMMYFUNCTION("""COMPUTED_VALUE"""),"bit")</f>
        <v>bit</v>
      </c>
      <c r="C1700" s="4" t="str">
        <f>IFERROR(__xludf.DUMMYFUNCTION("""COMPUTED_VALUE"""),"Bitnet IO")</f>
        <v>Bitnet IO</v>
      </c>
    </row>
    <row r="1701">
      <c r="A1701" s="4" t="str">
        <f>IFERROR(__xludf.DUMMYFUNCTION("""COMPUTED_VALUE"""),"bitnex-ai")</f>
        <v>bitnex-ai</v>
      </c>
      <c r="B1701" s="4" t="str">
        <f>IFERROR(__xludf.DUMMYFUNCTION("""COMPUTED_VALUE"""),"btx")</f>
        <v>btx</v>
      </c>
      <c r="C1701" s="4" t="str">
        <f>IFERROR(__xludf.DUMMYFUNCTION("""COMPUTED_VALUE"""),"Bitnex AI")</f>
        <v>Bitnex AI</v>
      </c>
    </row>
    <row r="1702">
      <c r="A1702" s="4" t="str">
        <f>IFERROR(__xludf.DUMMYFUNCTION("""COMPUTED_VALUE"""),"bito-coin")</f>
        <v>bito-coin</v>
      </c>
      <c r="B1702" s="4" t="str">
        <f>IFERROR(__xludf.DUMMYFUNCTION("""COMPUTED_VALUE"""),"bito")</f>
        <v>bito</v>
      </c>
      <c r="C1702" s="4" t="str">
        <f>IFERROR(__xludf.DUMMYFUNCTION("""COMPUTED_VALUE"""),"BITO Coin")</f>
        <v>BITO Coin</v>
      </c>
    </row>
    <row r="1703">
      <c r="A1703" s="4" t="str">
        <f>IFERROR(__xludf.DUMMYFUNCTION("""COMPUTED_VALUE"""),"bitone")</f>
        <v>bitone</v>
      </c>
      <c r="B1703" s="4" t="str">
        <f>IFERROR(__xludf.DUMMYFUNCTION("""COMPUTED_VALUE"""),"bio")</f>
        <v>bio</v>
      </c>
      <c r="C1703" s="4" t="str">
        <f>IFERROR(__xludf.DUMMYFUNCTION("""COMPUTED_VALUE"""),"BITONE")</f>
        <v>BITONE</v>
      </c>
    </row>
    <row r="1704">
      <c r="A1704" s="4" t="str">
        <f>IFERROR(__xludf.DUMMYFUNCTION("""COMPUTED_VALUE"""),"bitorbit")</f>
        <v>bitorbit</v>
      </c>
      <c r="B1704" s="4" t="str">
        <f>IFERROR(__xludf.DUMMYFUNCTION("""COMPUTED_VALUE"""),"bitorb")</f>
        <v>bitorb</v>
      </c>
      <c r="C1704" s="4" t="str">
        <f>IFERROR(__xludf.DUMMYFUNCTION("""COMPUTED_VALUE"""),"BitOrbit")</f>
        <v>BitOrbit</v>
      </c>
    </row>
    <row r="1705">
      <c r="A1705" s="4" t="str">
        <f>IFERROR(__xludf.DUMMYFUNCTION("""COMPUTED_VALUE"""),"bitoreum")</f>
        <v>bitoreum</v>
      </c>
      <c r="B1705" s="4" t="str">
        <f>IFERROR(__xludf.DUMMYFUNCTION("""COMPUTED_VALUE"""),"btrm")</f>
        <v>btrm</v>
      </c>
      <c r="C1705" s="4" t="str">
        <f>IFERROR(__xludf.DUMMYFUNCTION("""COMPUTED_VALUE"""),"Bitoreum")</f>
        <v>Bitoreum</v>
      </c>
    </row>
    <row r="1706">
      <c r="A1706" s="4" t="str">
        <f>IFERROR(__xludf.DUMMYFUNCTION("""COMPUTED_VALUE"""),"bitpanda-ecosystem-token")</f>
        <v>bitpanda-ecosystem-token</v>
      </c>
      <c r="B1706" s="4" t="str">
        <f>IFERROR(__xludf.DUMMYFUNCTION("""COMPUTED_VALUE"""),"best")</f>
        <v>best</v>
      </c>
      <c r="C1706" s="4" t="str">
        <f>IFERROR(__xludf.DUMMYFUNCTION("""COMPUTED_VALUE"""),"Bitpanda Ecosystem")</f>
        <v>Bitpanda Ecosystem</v>
      </c>
    </row>
    <row r="1707">
      <c r="A1707" s="4" t="str">
        <f>IFERROR(__xludf.DUMMYFUNCTION("""COMPUTED_VALUE"""),"bitpro")</f>
        <v>bitpro</v>
      </c>
      <c r="B1707" s="4" t="str">
        <f>IFERROR(__xludf.DUMMYFUNCTION("""COMPUTED_VALUE"""),"bpro")</f>
        <v>bpro</v>
      </c>
      <c r="C1707" s="4" t="str">
        <f>IFERROR(__xludf.DUMMYFUNCTION("""COMPUTED_VALUE"""),"BitPRO")</f>
        <v>BitPRO</v>
      </c>
    </row>
    <row r="1708">
      <c r="A1708" s="4" t="str">
        <f>IFERROR(__xludf.DUMMYFUNCTION("""COMPUTED_VALUE"""),"bitrise-token")</f>
        <v>bitrise-token</v>
      </c>
      <c r="B1708" s="4" t="str">
        <f>IFERROR(__xludf.DUMMYFUNCTION("""COMPUTED_VALUE"""),"brise")</f>
        <v>brise</v>
      </c>
      <c r="C1708" s="4" t="str">
        <f>IFERROR(__xludf.DUMMYFUNCTION("""COMPUTED_VALUE"""),"Bitgert")</f>
        <v>Bitgert</v>
      </c>
    </row>
    <row r="1709">
      <c r="A1709" s="4" t="str">
        <f>IFERROR(__xludf.DUMMYFUNCTION("""COMPUTED_VALUE"""),"bitrock")</f>
        <v>bitrock</v>
      </c>
      <c r="B1709" s="4" t="str">
        <f>IFERROR(__xludf.DUMMYFUNCTION("""COMPUTED_VALUE"""),"brock")</f>
        <v>brock</v>
      </c>
      <c r="C1709" s="4" t="str">
        <f>IFERROR(__xludf.DUMMYFUNCTION("""COMPUTED_VALUE"""),"Bitrock")</f>
        <v>Bitrock</v>
      </c>
    </row>
    <row r="1710">
      <c r="A1710" s="4" t="str">
        <f>IFERROR(__xludf.DUMMYFUNCTION("""COMPUTED_VALUE"""),"bitrock-wallet-token")</f>
        <v>bitrock-wallet-token</v>
      </c>
      <c r="B1710" s="4" t="str">
        <f>IFERROR(__xludf.DUMMYFUNCTION("""COMPUTED_VALUE"""),"brw")</f>
        <v>brw</v>
      </c>
      <c r="C1710" s="4" t="str">
        <f>IFERROR(__xludf.DUMMYFUNCTION("""COMPUTED_VALUE"""),"Bitrock Wallet Token")</f>
        <v>Bitrock Wallet Token</v>
      </c>
    </row>
    <row r="1711">
      <c r="A1711" s="4" t="str">
        <f>IFERROR(__xludf.DUMMYFUNCTION("""COMPUTED_VALUE"""),"bitrue-token")</f>
        <v>bitrue-token</v>
      </c>
      <c r="B1711" s="4" t="str">
        <f>IFERROR(__xludf.DUMMYFUNCTION("""COMPUTED_VALUE"""),"btr")</f>
        <v>btr</v>
      </c>
      <c r="C1711" s="4" t="str">
        <f>IFERROR(__xludf.DUMMYFUNCTION("""COMPUTED_VALUE"""),"Bitrue Coin")</f>
        <v>Bitrue Coin</v>
      </c>
    </row>
    <row r="1712">
      <c r="A1712" s="4" t="str">
        <f>IFERROR(__xludf.DUMMYFUNCTION("""COMPUTED_VALUE"""),"bitscrow")</f>
        <v>bitscrow</v>
      </c>
      <c r="B1712" s="4" t="str">
        <f>IFERROR(__xludf.DUMMYFUNCTION("""COMPUTED_VALUE"""),"btscrw")</f>
        <v>btscrw</v>
      </c>
      <c r="C1712" s="4" t="str">
        <f>IFERROR(__xludf.DUMMYFUNCTION("""COMPUTED_VALUE"""),"Bitscrow")</f>
        <v>Bitscrow</v>
      </c>
    </row>
    <row r="1713">
      <c r="A1713" s="4" t="str">
        <f>IFERROR(__xludf.DUMMYFUNCTION("""COMPUTED_VALUE"""),"bitscrunch-token")</f>
        <v>bitscrunch-token</v>
      </c>
      <c r="B1713" s="4" t="str">
        <f>IFERROR(__xludf.DUMMYFUNCTION("""COMPUTED_VALUE"""),"bcut")</f>
        <v>bcut</v>
      </c>
      <c r="C1713" s="4" t="str">
        <f>IFERROR(__xludf.DUMMYFUNCTION("""COMPUTED_VALUE"""),"bitsCrunch Token")</f>
        <v>bitsCrunch Token</v>
      </c>
    </row>
    <row r="1714">
      <c r="A1714" s="4" t="str">
        <f>IFERROR(__xludf.DUMMYFUNCTION("""COMPUTED_VALUE"""),"bitshares")</f>
        <v>bitshares</v>
      </c>
      <c r="B1714" s="4" t="str">
        <f>IFERROR(__xludf.DUMMYFUNCTION("""COMPUTED_VALUE"""),"bts")</f>
        <v>bts</v>
      </c>
      <c r="C1714" s="4" t="str">
        <f>IFERROR(__xludf.DUMMYFUNCTION("""COMPUTED_VALUE"""),"BitShares")</f>
        <v>BitShares</v>
      </c>
    </row>
    <row r="1715">
      <c r="A1715" s="4" t="str">
        <f>IFERROR(__xludf.DUMMYFUNCTION("""COMPUTED_VALUE"""),"bitshiba")</f>
        <v>bitshiba</v>
      </c>
      <c r="B1715" s="4" t="str">
        <f>IFERROR(__xludf.DUMMYFUNCTION("""COMPUTED_VALUE"""),"shiba")</f>
        <v>shiba</v>
      </c>
      <c r="C1715" s="4" t="str">
        <f>IFERROR(__xludf.DUMMYFUNCTION("""COMPUTED_VALUE"""),"BitShiba")</f>
        <v>BitShiba</v>
      </c>
    </row>
    <row r="1716">
      <c r="A1716" s="4" t="str">
        <f>IFERROR(__xludf.DUMMYFUNCTION("""COMPUTED_VALUE"""),"bitsong")</f>
        <v>bitsong</v>
      </c>
      <c r="B1716" s="4" t="str">
        <f>IFERROR(__xludf.DUMMYFUNCTION("""COMPUTED_VALUE"""),"btsg")</f>
        <v>btsg</v>
      </c>
      <c r="C1716" s="4" t="str">
        <f>IFERROR(__xludf.DUMMYFUNCTION("""COMPUTED_VALUE"""),"BitSong")</f>
        <v>BitSong</v>
      </c>
    </row>
    <row r="1717">
      <c r="A1717" s="4" t="str">
        <f>IFERROR(__xludf.DUMMYFUNCTION("""COMPUTED_VALUE"""),"bitspawn")</f>
        <v>bitspawn</v>
      </c>
      <c r="B1717" s="4" t="str">
        <f>IFERROR(__xludf.DUMMYFUNCTION("""COMPUTED_VALUE"""),"spwn")</f>
        <v>spwn</v>
      </c>
      <c r="C1717" s="4" t="str">
        <f>IFERROR(__xludf.DUMMYFUNCTION("""COMPUTED_VALUE"""),"Bitspawn")</f>
        <v>Bitspawn</v>
      </c>
    </row>
    <row r="1718">
      <c r="A1718" s="4" t="str">
        <f>IFERROR(__xludf.DUMMYFUNCTION("""COMPUTED_VALUE"""),"bitstable-finance")</f>
        <v>bitstable-finance</v>
      </c>
      <c r="B1718" s="4" t="str">
        <f>IFERROR(__xludf.DUMMYFUNCTION("""COMPUTED_VALUE"""),"$bssb")</f>
        <v>$bssb</v>
      </c>
      <c r="C1718" s="4" t="str">
        <f>IFERROR(__xludf.DUMMYFUNCTION("""COMPUTED_VALUE"""),"BitStable Finance")</f>
        <v>BitStable Finance</v>
      </c>
    </row>
    <row r="1719">
      <c r="A1719" s="4" t="str">
        <f>IFERROR(__xludf.DUMMYFUNCTION("""COMPUTED_VALUE"""),"bitstarters")</f>
        <v>bitstarters</v>
      </c>
      <c r="B1719" s="4" t="str">
        <f>IFERROR(__xludf.DUMMYFUNCTION("""COMPUTED_VALUE"""),"bits")</f>
        <v>bits</v>
      </c>
      <c r="C1719" s="4" t="str">
        <f>IFERROR(__xludf.DUMMYFUNCTION("""COMPUTED_VALUE"""),"BitStarters")</f>
        <v>BitStarters</v>
      </c>
    </row>
    <row r="1720">
      <c r="A1720" s="4" t="str">
        <f>IFERROR(__xludf.DUMMYFUNCTION("""COMPUTED_VALUE"""),"bit-store-coin")</f>
        <v>bit-store-coin</v>
      </c>
      <c r="B1720" s="4" t="str">
        <f>IFERROR(__xludf.DUMMYFUNCTION("""COMPUTED_VALUE"""),"store")</f>
        <v>store</v>
      </c>
      <c r="C1720" s="4" t="str">
        <f>IFERROR(__xludf.DUMMYFUNCTION("""COMPUTED_VALUE"""),"Bit Store")</f>
        <v>Bit Store</v>
      </c>
    </row>
    <row r="1721">
      <c r="A1721" s="4" t="str">
        <f>IFERROR(__xludf.DUMMYFUNCTION("""COMPUTED_VALUE"""),"bitswap")</f>
        <v>bitswap</v>
      </c>
      <c r="B1721" s="4" t="str">
        <f>IFERROR(__xludf.DUMMYFUNCTION("""COMPUTED_VALUE"""),"bits")</f>
        <v>bits</v>
      </c>
      <c r="C1721" s="4" t="str">
        <f>IFERROR(__xludf.DUMMYFUNCTION("""COMPUTED_VALUE"""),"BitSwap")</f>
        <v>BitSwap</v>
      </c>
    </row>
    <row r="1722">
      <c r="A1722" s="4" t="str">
        <f>IFERROR(__xludf.DUMMYFUNCTION("""COMPUTED_VALUE"""),"bitswift")</f>
        <v>bitswift</v>
      </c>
      <c r="B1722" s="4" t="str">
        <f>IFERROR(__xludf.DUMMYFUNCTION("""COMPUTED_VALUE"""),"bits")</f>
        <v>bits</v>
      </c>
      <c r="C1722" s="4" t="str">
        <f>IFERROR(__xludf.DUMMYFUNCTION("""COMPUTED_VALUE"""),"Bitswift")</f>
        <v>Bitswift</v>
      </c>
    </row>
    <row r="1723">
      <c r="A1723" s="4" t="str">
        <f>IFERROR(__xludf.DUMMYFUNCTION("""COMPUTED_VALUE"""),"bittensor")</f>
        <v>bittensor</v>
      </c>
      <c r="B1723" s="4" t="str">
        <f>IFERROR(__xludf.DUMMYFUNCTION("""COMPUTED_VALUE"""),"tao")</f>
        <v>tao</v>
      </c>
      <c r="C1723" s="4" t="str">
        <f>IFERROR(__xludf.DUMMYFUNCTION("""COMPUTED_VALUE"""),"Bittensor")</f>
        <v>Bittensor</v>
      </c>
    </row>
    <row r="1724">
      <c r="A1724" s="4" t="str">
        <f>IFERROR(__xludf.DUMMYFUNCTION("""COMPUTED_VALUE"""),"bittoken")</f>
        <v>bittoken</v>
      </c>
      <c r="B1724" s="4" t="str">
        <f>IFERROR(__xludf.DUMMYFUNCTION("""COMPUTED_VALUE"""),"bitt")</f>
        <v>bitt</v>
      </c>
      <c r="C1724" s="4" t="str">
        <f>IFERROR(__xludf.DUMMYFUNCTION("""COMPUTED_VALUE"""),"BITT")</f>
        <v>BITT</v>
      </c>
    </row>
    <row r="1725">
      <c r="A1725" s="4" t="str">
        <f>IFERROR(__xludf.DUMMYFUNCTION("""COMPUTED_VALUE"""),"bittorrent")</f>
        <v>bittorrent</v>
      </c>
      <c r="B1725" s="4" t="str">
        <f>IFERROR(__xludf.DUMMYFUNCTION("""COMPUTED_VALUE"""),"btt")</f>
        <v>btt</v>
      </c>
      <c r="C1725" s="4" t="str">
        <f>IFERROR(__xludf.DUMMYFUNCTION("""COMPUTED_VALUE"""),"BitTorrent")</f>
        <v>BitTorrent</v>
      </c>
    </row>
    <row r="1726">
      <c r="A1726" s="4" t="str">
        <f>IFERROR(__xludf.DUMMYFUNCTION("""COMPUTED_VALUE"""),"bittorrent-old")</f>
        <v>bittorrent-old</v>
      </c>
      <c r="B1726" s="4" t="str">
        <f>IFERROR(__xludf.DUMMYFUNCTION("""COMPUTED_VALUE"""),"bttold")</f>
        <v>bttold</v>
      </c>
      <c r="C1726" s="4" t="str">
        <f>IFERROR(__xludf.DUMMYFUNCTION("""COMPUTED_VALUE"""),"BitTorrent [OLD]")</f>
        <v>BitTorrent [OLD]</v>
      </c>
    </row>
    <row r="1727">
      <c r="A1727" s="4" t="str">
        <f>IFERROR(__xludf.DUMMYFUNCTION("""COMPUTED_VALUE"""),"bittube")</f>
        <v>bittube</v>
      </c>
      <c r="B1727" s="4" t="str">
        <f>IFERROR(__xludf.DUMMYFUNCTION("""COMPUTED_VALUE"""),"tube")</f>
        <v>tube</v>
      </c>
      <c r="C1727" s="4" t="str">
        <f>IFERROR(__xludf.DUMMYFUNCTION("""COMPUTED_VALUE"""),"BitTube")</f>
        <v>BitTube</v>
      </c>
    </row>
    <row r="1728">
      <c r="A1728" s="4" t="str">
        <f>IFERROR(__xludf.DUMMYFUNCTION("""COMPUTED_VALUE"""),"bittwatt")</f>
        <v>bittwatt</v>
      </c>
      <c r="B1728" s="4" t="str">
        <f>IFERROR(__xludf.DUMMYFUNCTION("""COMPUTED_VALUE"""),"bwt")</f>
        <v>bwt</v>
      </c>
      <c r="C1728" s="4" t="str">
        <f>IFERROR(__xludf.DUMMYFUNCTION("""COMPUTED_VALUE"""),"Bittwatt")</f>
        <v>Bittwatt</v>
      </c>
    </row>
    <row r="1729">
      <c r="A1729" s="4" t="str">
        <f>IFERROR(__xludf.DUMMYFUNCTION("""COMPUTED_VALUE"""),"bitvalley")</f>
        <v>bitvalley</v>
      </c>
      <c r="B1729" s="4" t="str">
        <f>IFERROR(__xludf.DUMMYFUNCTION("""COMPUTED_VALUE"""),"bitv")</f>
        <v>bitv</v>
      </c>
      <c r="C1729" s="4" t="str">
        <f>IFERROR(__xludf.DUMMYFUNCTION("""COMPUTED_VALUE"""),"BitValley")</f>
        <v>BitValley</v>
      </c>
    </row>
    <row r="1730">
      <c r="A1730" s="4" t="str">
        <f>IFERROR(__xludf.DUMMYFUNCTION("""COMPUTED_VALUE"""),"bitx")</f>
        <v>bitx</v>
      </c>
      <c r="B1730" s="4" t="str">
        <f>IFERROR(__xludf.DUMMYFUNCTION("""COMPUTED_VALUE"""),"bitx")</f>
        <v>bitx</v>
      </c>
      <c r="C1730" s="4" t="str">
        <f>IFERROR(__xludf.DUMMYFUNCTION("""COMPUTED_VALUE"""),"BitX")</f>
        <v>BitX</v>
      </c>
    </row>
    <row r="1731">
      <c r="A1731" s="4" t="str">
        <f>IFERROR(__xludf.DUMMYFUNCTION("""COMPUTED_VALUE"""),"bitx-dex-ordinals")</f>
        <v>bitx-dex-ordinals</v>
      </c>
      <c r="B1731" s="4" t="str">
        <f>IFERROR(__xludf.DUMMYFUNCTION("""COMPUTED_VALUE"""),"bxdx")</f>
        <v>bxdx</v>
      </c>
      <c r="C1731" s="4" t="str">
        <f>IFERROR(__xludf.DUMMYFUNCTION("""COMPUTED_VALUE"""),"BitX DEX (Ordinals)")</f>
        <v>BitX DEX (Ordinals)</v>
      </c>
    </row>
    <row r="1732">
      <c r="A1732" s="4" t="str">
        <f>IFERROR(__xludf.DUMMYFUNCTION("""COMPUTED_VALUE"""),"bitxor")</f>
        <v>bitxor</v>
      </c>
      <c r="B1732" s="4" t="str">
        <f>IFERROR(__xludf.DUMMYFUNCTION("""COMPUTED_VALUE"""),"bxr")</f>
        <v>bxr</v>
      </c>
      <c r="C1732" s="4" t="str">
        <f>IFERROR(__xludf.DUMMYFUNCTION("""COMPUTED_VALUE"""),"Bitxor")</f>
        <v>Bitxor</v>
      </c>
    </row>
    <row r="1733">
      <c r="A1733" s="4" t="str">
        <f>IFERROR(__xludf.DUMMYFUNCTION("""COMPUTED_VALUE"""),"bitzipp")</f>
        <v>bitzipp</v>
      </c>
      <c r="B1733" s="4" t="str">
        <f>IFERROR(__xludf.DUMMYFUNCTION("""COMPUTED_VALUE"""),"bzp")</f>
        <v>bzp</v>
      </c>
      <c r="C1733" s="4" t="str">
        <f>IFERROR(__xludf.DUMMYFUNCTION("""COMPUTED_VALUE"""),"BitZipp")</f>
        <v>BitZipp</v>
      </c>
    </row>
    <row r="1734">
      <c r="A1734" s="4" t="str">
        <f>IFERROR(__xludf.DUMMYFUNCTION("""COMPUTED_VALUE"""),"biu-coin")</f>
        <v>biu-coin</v>
      </c>
      <c r="B1734" s="4" t="str">
        <f>IFERROR(__xludf.DUMMYFUNCTION("""COMPUTED_VALUE"""),"biu")</f>
        <v>biu</v>
      </c>
      <c r="C1734" s="4" t="str">
        <f>IFERROR(__xludf.DUMMYFUNCTION("""COMPUTED_VALUE"""),"BIU COIN")</f>
        <v>BIU COIN</v>
      </c>
    </row>
    <row r="1735">
      <c r="A1735" s="4" t="str">
        <f>IFERROR(__xludf.DUMMYFUNCTION("""COMPUTED_VALUE"""),"bivreost")</f>
        <v>bivreost</v>
      </c>
      <c r="B1735" s="4" t="str">
        <f>IFERROR(__xludf.DUMMYFUNCTION("""COMPUTED_VALUE"""),"bi")</f>
        <v>bi</v>
      </c>
      <c r="C1735" s="4" t="str">
        <f>IFERROR(__xludf.DUMMYFUNCTION("""COMPUTED_VALUE"""),"Bivreost")</f>
        <v>Bivreost</v>
      </c>
    </row>
    <row r="1736">
      <c r="A1736" s="4" t="str">
        <f>IFERROR(__xludf.DUMMYFUNCTION("""COMPUTED_VALUE"""),"bizauto")</f>
        <v>bizauto</v>
      </c>
      <c r="B1736" s="4" t="str">
        <f>IFERROR(__xludf.DUMMYFUNCTION("""COMPUTED_VALUE"""),"biza")</f>
        <v>biza</v>
      </c>
      <c r="C1736" s="4" t="str">
        <f>IFERROR(__xludf.DUMMYFUNCTION("""COMPUTED_VALUE"""),"BizAuto")</f>
        <v>BizAuto</v>
      </c>
    </row>
    <row r="1737">
      <c r="A1737" s="4" t="str">
        <f>IFERROR(__xludf.DUMMYFUNCTION("""COMPUTED_VALUE"""),"black")</f>
        <v>black</v>
      </c>
      <c r="B1737" s="4" t="str">
        <f>IFERROR(__xludf.DUMMYFUNCTION("""COMPUTED_VALUE"""),"black")</f>
        <v>black</v>
      </c>
      <c r="C1737" s="4" t="str">
        <f>IFERROR(__xludf.DUMMYFUNCTION("""COMPUTED_VALUE"""),"Black")</f>
        <v>Black</v>
      </c>
    </row>
    <row r="1738">
      <c r="A1738" s="4" t="str">
        <f>IFERROR(__xludf.DUMMYFUNCTION("""COMPUTED_VALUE"""),"blackcoin")</f>
        <v>blackcoin</v>
      </c>
      <c r="B1738" s="4" t="str">
        <f>IFERROR(__xludf.DUMMYFUNCTION("""COMPUTED_VALUE"""),"blk")</f>
        <v>blk</v>
      </c>
      <c r="C1738" s="4" t="str">
        <f>IFERROR(__xludf.DUMMYFUNCTION("""COMPUTED_VALUE"""),"BlackCoin")</f>
        <v>BlackCoin</v>
      </c>
    </row>
    <row r="1739">
      <c r="A1739" s="4" t="str">
        <f>IFERROR(__xludf.DUMMYFUNCTION("""COMPUTED_VALUE"""),"blackcroc")</f>
        <v>blackcroc</v>
      </c>
      <c r="B1739" s="4" t="str">
        <f>IFERROR(__xludf.DUMMYFUNCTION("""COMPUTED_VALUE"""),"blackcroc")</f>
        <v>blackcroc</v>
      </c>
      <c r="C1739" s="4" t="str">
        <f>IFERROR(__xludf.DUMMYFUNCTION("""COMPUTED_VALUE"""),"Blackcroc")</f>
        <v>Blackcroc</v>
      </c>
    </row>
    <row r="1740">
      <c r="A1740" s="4" t="str">
        <f>IFERROR(__xludf.DUMMYFUNCTION("""COMPUTED_VALUE"""),"black-dragon")</f>
        <v>black-dragon</v>
      </c>
      <c r="B1740" s="4" t="str">
        <f>IFERROR(__xludf.DUMMYFUNCTION("""COMPUTED_VALUE"""),"blackdragon")</f>
        <v>blackdragon</v>
      </c>
      <c r="C1740" s="4" t="str">
        <f>IFERROR(__xludf.DUMMYFUNCTION("""COMPUTED_VALUE"""),"Black Dragon")</f>
        <v>Black Dragon</v>
      </c>
    </row>
    <row r="1741">
      <c r="A1741" s="4" t="str">
        <f>IFERROR(__xludf.DUMMYFUNCTION("""COMPUTED_VALUE"""),"blackdragon-token")</f>
        <v>blackdragon-token</v>
      </c>
      <c r="B1741" s="4" t="str">
        <f>IFERROR(__xludf.DUMMYFUNCTION("""COMPUTED_VALUE"""),"bdt")</f>
        <v>bdt</v>
      </c>
      <c r="C1741" s="4" t="str">
        <f>IFERROR(__xludf.DUMMYFUNCTION("""COMPUTED_VALUE"""),"BlackDragon")</f>
        <v>BlackDragon</v>
      </c>
    </row>
    <row r="1742">
      <c r="A1742" s="4" t="str">
        <f>IFERROR(__xludf.DUMMYFUNCTION("""COMPUTED_VALUE"""),"blackhat-coin")</f>
        <v>blackhat-coin</v>
      </c>
      <c r="B1742" s="4" t="str">
        <f>IFERROR(__xludf.DUMMYFUNCTION("""COMPUTED_VALUE"""),"blkc")</f>
        <v>blkc</v>
      </c>
      <c r="C1742" s="4" t="str">
        <f>IFERROR(__xludf.DUMMYFUNCTION("""COMPUTED_VALUE"""),"BlackHat Coin")</f>
        <v>BlackHat Coin</v>
      </c>
    </row>
    <row r="1743">
      <c r="A1743" s="4" t="str">
        <f>IFERROR(__xludf.DUMMYFUNCTION("""COMPUTED_VALUE"""),"black-hole")</f>
        <v>black-hole</v>
      </c>
      <c r="B1743" s="4" t="str">
        <f>IFERROR(__xludf.DUMMYFUNCTION("""COMPUTED_VALUE"""),"blh")</f>
        <v>blh</v>
      </c>
      <c r="C1743" s="4" t="str">
        <f>IFERROR(__xludf.DUMMYFUNCTION("""COMPUTED_VALUE"""),"Black Hole")</f>
        <v>Black Hole</v>
      </c>
    </row>
    <row r="1744">
      <c r="A1744" s="4" t="str">
        <f>IFERROR(__xludf.DUMMYFUNCTION("""COMPUTED_VALUE"""),"blackhole-protocol")</f>
        <v>blackhole-protocol</v>
      </c>
      <c r="B1744" s="4" t="str">
        <f>IFERROR(__xludf.DUMMYFUNCTION("""COMPUTED_VALUE"""),"black")</f>
        <v>black</v>
      </c>
      <c r="C1744" s="4" t="str">
        <f>IFERROR(__xludf.DUMMYFUNCTION("""COMPUTED_VALUE"""),"BlackHole Protocol")</f>
        <v>BlackHole Protocol</v>
      </c>
    </row>
    <row r="1745">
      <c r="A1745" s="4" t="str">
        <f>IFERROR(__xludf.DUMMYFUNCTION("""COMPUTED_VALUE"""),"blackjack-fun")</f>
        <v>blackjack-fun</v>
      </c>
      <c r="B1745" s="4" t="str">
        <f>IFERROR(__xludf.DUMMYFUNCTION("""COMPUTED_VALUE"""),"jack")</f>
        <v>jack</v>
      </c>
      <c r="C1745" s="4" t="str">
        <f>IFERROR(__xludf.DUMMYFUNCTION("""COMPUTED_VALUE"""),"Blackjack.fun")</f>
        <v>Blackjack.fun</v>
      </c>
    </row>
    <row r="1746">
      <c r="A1746" s="4" t="str">
        <f>IFERROR(__xludf.DUMMYFUNCTION("""COMPUTED_VALUE"""),"blacklatexfist")</f>
        <v>blacklatexfist</v>
      </c>
      <c r="B1746" s="4" t="str">
        <f>IFERROR(__xludf.DUMMYFUNCTION("""COMPUTED_VALUE"""),"blf")</f>
        <v>blf</v>
      </c>
      <c r="C1746" s="4" t="str">
        <f>IFERROR(__xludf.DUMMYFUNCTION("""COMPUTED_VALUE"""),"BlackLatexFist")</f>
        <v>BlackLatexFist</v>
      </c>
    </row>
    <row r="1747">
      <c r="A1747" s="4" t="str">
        <f>IFERROR(__xludf.DUMMYFUNCTION("""COMPUTED_VALUE"""),"blackpearl-chain")</f>
        <v>blackpearl-chain</v>
      </c>
      <c r="B1747" s="4" t="str">
        <f>IFERROR(__xludf.DUMMYFUNCTION("""COMPUTED_VALUE"""),"bplc")</f>
        <v>bplc</v>
      </c>
      <c r="C1747" s="4" t="str">
        <f>IFERROR(__xludf.DUMMYFUNCTION("""COMPUTED_VALUE"""),"BlackPearl")</f>
        <v>BlackPearl</v>
      </c>
    </row>
    <row r="1748">
      <c r="A1748" s="4" t="str">
        <f>IFERROR(__xludf.DUMMYFUNCTION("""COMPUTED_VALUE"""),"black-phoenix")</f>
        <v>black-phoenix</v>
      </c>
      <c r="B1748" s="4" t="str">
        <f>IFERROR(__xludf.DUMMYFUNCTION("""COMPUTED_VALUE"""),"bpx")</f>
        <v>bpx</v>
      </c>
      <c r="C1748" s="4" t="str">
        <f>IFERROR(__xludf.DUMMYFUNCTION("""COMPUTED_VALUE"""),"Black Phoenix")</f>
        <v>Black Phoenix</v>
      </c>
    </row>
    <row r="1749">
      <c r="A1749" s="4" t="str">
        <f>IFERROR(__xludf.DUMMYFUNCTION("""COMPUTED_VALUE"""),"blackpool-token")</f>
        <v>blackpool-token</v>
      </c>
      <c r="B1749" s="4" t="str">
        <f>IFERROR(__xludf.DUMMYFUNCTION("""COMPUTED_VALUE"""),"bpt")</f>
        <v>bpt</v>
      </c>
      <c r="C1749" s="4" t="str">
        <f>IFERROR(__xludf.DUMMYFUNCTION("""COMPUTED_VALUE"""),"BlackPool")</f>
        <v>BlackPool</v>
      </c>
    </row>
    <row r="1750">
      <c r="A1750" s="4" t="str">
        <f>IFERROR(__xludf.DUMMYFUNCTION("""COMPUTED_VALUE"""),"black-rabbit-ai")</f>
        <v>black-rabbit-ai</v>
      </c>
      <c r="B1750" s="4" t="str">
        <f>IFERROR(__xludf.DUMMYFUNCTION("""COMPUTED_VALUE"""),"brain")</f>
        <v>brain</v>
      </c>
      <c r="C1750" s="4" t="str">
        <f>IFERROR(__xludf.DUMMYFUNCTION("""COMPUTED_VALUE"""),"Black Rabbit AI")</f>
        <v>Black Rabbit AI</v>
      </c>
    </row>
    <row r="1751">
      <c r="A1751" s="4" t="str">
        <f>IFERROR(__xludf.DUMMYFUNCTION("""COMPUTED_VALUE"""),"blackrocktradingcurrency")</f>
        <v>blackrocktradingcurrency</v>
      </c>
      <c r="B1751" s="4" t="str">
        <f>IFERROR(__xludf.DUMMYFUNCTION("""COMPUTED_VALUE"""),"btc")</f>
        <v>btc</v>
      </c>
      <c r="C1751" s="4" t="str">
        <f>IFERROR(__xludf.DUMMYFUNCTION("""COMPUTED_VALUE"""),"BlackrockTradingCurrency")</f>
        <v>BlackrockTradingCurrency</v>
      </c>
    </row>
    <row r="1752">
      <c r="A1752" s="4" t="str">
        <f>IFERROR(__xludf.DUMMYFUNCTION("""COMPUTED_VALUE"""),"blackrock-usd-institutional-digital-liquidity-fund")</f>
        <v>blackrock-usd-institutional-digital-liquidity-fund</v>
      </c>
      <c r="B1752" s="4" t="str">
        <f>IFERROR(__xludf.DUMMYFUNCTION("""COMPUTED_VALUE"""),"buidl")</f>
        <v>buidl</v>
      </c>
      <c r="C1752" s="4" t="str">
        <f>IFERROR(__xludf.DUMMYFUNCTION("""COMPUTED_VALUE"""),"BlackRock USD Institutional Digital Liquidity Fund")</f>
        <v>BlackRock USD Institutional Digital Liquidity Fund</v>
      </c>
    </row>
    <row r="1753">
      <c r="A1753" s="4" t="str">
        <f>IFERROR(__xludf.DUMMYFUNCTION("""COMPUTED_VALUE"""),"black-sats-ordinals")</f>
        <v>black-sats-ordinals</v>
      </c>
      <c r="B1753" s="4" t="str">
        <f>IFERROR(__xludf.DUMMYFUNCTION("""COMPUTED_VALUE"""),"bsat")</f>
        <v>bsat</v>
      </c>
      <c r="C1753" s="4" t="str">
        <f>IFERROR(__xludf.DUMMYFUNCTION("""COMPUTED_VALUE"""),"Black Sats (Ordinals)")</f>
        <v>Black Sats (Ordinals)</v>
      </c>
    </row>
    <row r="1754">
      <c r="A1754" s="4" t="str">
        <f>IFERROR(__xludf.DUMMYFUNCTION("""COMPUTED_VALUE"""),"blacksmith-token")</f>
        <v>blacksmith-token</v>
      </c>
      <c r="B1754" s="4" t="str">
        <f>IFERROR(__xludf.DUMMYFUNCTION("""COMPUTED_VALUE"""),"bs")</f>
        <v>bs</v>
      </c>
      <c r="C1754" s="4" t="str">
        <f>IFERROR(__xludf.DUMMYFUNCTION("""COMPUTED_VALUE"""),"Blacksmith Token")</f>
        <v>Blacksmith Token</v>
      </c>
    </row>
    <row r="1755">
      <c r="A1755" s="4" t="str">
        <f>IFERROR(__xludf.DUMMYFUNCTION("""COMPUTED_VALUE"""),"black-stallion")</f>
        <v>black-stallion</v>
      </c>
      <c r="B1755" s="4" t="str">
        <f>IFERROR(__xludf.DUMMYFUNCTION("""COMPUTED_VALUE"""),"bs")</f>
        <v>bs</v>
      </c>
      <c r="C1755" s="4" t="str">
        <f>IFERROR(__xludf.DUMMYFUNCTION("""COMPUTED_VALUE"""),"Black Stallion")</f>
        <v>Black Stallion</v>
      </c>
    </row>
    <row r="1756">
      <c r="A1756" s="4" t="str">
        <f>IFERROR(__xludf.DUMMYFUNCTION("""COMPUTED_VALUE"""),"black-token")</f>
        <v>black-token</v>
      </c>
      <c r="B1756" s="4" t="str">
        <f>IFERROR(__xludf.DUMMYFUNCTION("""COMPUTED_VALUE"""),"black")</f>
        <v>black</v>
      </c>
      <c r="C1756" s="4" t="str">
        <f>IFERROR(__xludf.DUMMYFUNCTION("""COMPUTED_VALUE"""),"Black Token")</f>
        <v>Black Token</v>
      </c>
    </row>
    <row r="1757">
      <c r="A1757" s="4" t="str">
        <f>IFERROR(__xludf.DUMMYFUNCTION("""COMPUTED_VALUE"""),"blackwater-labs")</f>
        <v>blackwater-labs</v>
      </c>
      <c r="B1757" s="4" t="str">
        <f>IFERROR(__xludf.DUMMYFUNCTION("""COMPUTED_VALUE"""),"bwl")</f>
        <v>bwl</v>
      </c>
      <c r="C1757" s="4" t="str">
        <f>IFERROR(__xludf.DUMMYFUNCTION("""COMPUTED_VALUE"""),"Blackwater Labs")</f>
        <v>Blackwater Labs</v>
      </c>
    </row>
    <row r="1758">
      <c r="A1758" s="4" t="str">
        <f>IFERROR(__xludf.DUMMYFUNCTION("""COMPUTED_VALUE"""),"black-whale-2")</f>
        <v>black-whale-2</v>
      </c>
      <c r="B1758" s="4" t="str">
        <f>IFERROR(__xludf.DUMMYFUNCTION("""COMPUTED_VALUE"""),"xxx")</f>
        <v>xxx</v>
      </c>
      <c r="C1758" s="4" t="str">
        <f>IFERROR(__xludf.DUMMYFUNCTION("""COMPUTED_VALUE"""),"Black Whale")</f>
        <v>Black Whale</v>
      </c>
    </row>
    <row r="1759">
      <c r="A1759" s="4" t="str">
        <f>IFERROR(__xludf.DUMMYFUNCTION("""COMPUTED_VALUE"""),"blacky")</f>
        <v>blacky</v>
      </c>
      <c r="B1759" s="4" t="str">
        <f>IFERROR(__xludf.DUMMYFUNCTION("""COMPUTED_VALUE"""),"blacky")</f>
        <v>blacky</v>
      </c>
      <c r="C1759" s="4" t="str">
        <f>IFERROR(__xludf.DUMMYFUNCTION("""COMPUTED_VALUE"""),"Blacky")</f>
        <v>Blacky</v>
      </c>
    </row>
    <row r="1760">
      <c r="A1760" s="4" t="str">
        <f>IFERROR(__xludf.DUMMYFUNCTION("""COMPUTED_VALUE"""),"blank")</f>
        <v>blank</v>
      </c>
      <c r="B1760" s="4" t="str">
        <f>IFERROR(__xludf.DUMMYFUNCTION("""COMPUTED_VALUE"""),"blank")</f>
        <v>blank</v>
      </c>
      <c r="C1760" s="4" t="str">
        <f>IFERROR(__xludf.DUMMYFUNCTION("""COMPUTED_VALUE"""),"BlockWallet")</f>
        <v>BlockWallet</v>
      </c>
    </row>
    <row r="1761">
      <c r="A1761" s="4" t="str">
        <f>IFERROR(__xludf.DUMMYFUNCTION("""COMPUTED_VALUE"""),"blarb")</f>
        <v>blarb</v>
      </c>
      <c r="B1761" s="4" t="str">
        <f>IFERROR(__xludf.DUMMYFUNCTION("""COMPUTED_VALUE"""),"blarb")</f>
        <v>blarb</v>
      </c>
      <c r="C1761" s="4" t="str">
        <f>IFERROR(__xludf.DUMMYFUNCTION("""COMPUTED_VALUE"""),"BLARB")</f>
        <v>BLARB</v>
      </c>
    </row>
    <row r="1762">
      <c r="A1762" s="4" t="str">
        <f>IFERROR(__xludf.DUMMYFUNCTION("""COMPUTED_VALUE"""),"blast-2")</f>
        <v>blast-2</v>
      </c>
      <c r="B1762" s="4" t="str">
        <f>IFERROR(__xludf.DUMMYFUNCTION("""COMPUTED_VALUE"""),"blast")</f>
        <v>blast</v>
      </c>
      <c r="C1762" s="4" t="str">
        <f>IFERROR(__xludf.DUMMYFUNCTION("""COMPUTED_VALUE"""),"Blast")</f>
        <v>Blast</v>
      </c>
    </row>
    <row r="1763">
      <c r="A1763" s="4" t="str">
        <f>IFERROR(__xludf.DUMMYFUNCTION("""COMPUTED_VALUE"""),"blastai")</f>
        <v>blastai</v>
      </c>
      <c r="B1763" s="4" t="str">
        <f>IFERROR(__xludf.DUMMYFUNCTION("""COMPUTED_VALUE"""),"blast")</f>
        <v>blast</v>
      </c>
      <c r="C1763" s="4" t="str">
        <f>IFERROR(__xludf.DUMMYFUNCTION("""COMPUTED_VALUE"""),"BlastAI")</f>
        <v>BlastAI</v>
      </c>
    </row>
    <row r="1764">
      <c r="A1764" s="4" t="str">
        <f>IFERROR(__xludf.DUMMYFUNCTION("""COMPUTED_VALUE"""),"blastar")</f>
        <v>blastar</v>
      </c>
      <c r="B1764" s="4" t="str">
        <f>IFERROR(__xludf.DUMMYFUNCTION("""COMPUTED_VALUE"""),"blast")</f>
        <v>blast</v>
      </c>
      <c r="C1764" s="4" t="str">
        <f>IFERROR(__xludf.DUMMYFUNCTION("""COMPUTED_VALUE"""),"Blastar")</f>
        <v>Blastar</v>
      </c>
    </row>
    <row r="1765">
      <c r="A1765" s="4" t="str">
        <f>IFERROR(__xludf.DUMMYFUNCTION("""COMPUTED_VALUE"""),"blastcat")</f>
        <v>blastcat</v>
      </c>
      <c r="B1765" s="4" t="str">
        <f>IFERROR(__xludf.DUMMYFUNCTION("""COMPUTED_VALUE"""),"bcat")</f>
        <v>bcat</v>
      </c>
      <c r="C1765" s="4" t="str">
        <f>IFERROR(__xludf.DUMMYFUNCTION("""COMPUTED_VALUE"""),"BlastCat")</f>
        <v>BlastCat</v>
      </c>
    </row>
    <row r="1766">
      <c r="A1766" s="4" t="str">
        <f>IFERROR(__xludf.DUMMYFUNCTION("""COMPUTED_VALUE"""),"blastdex")</f>
        <v>blastdex</v>
      </c>
      <c r="B1766" s="4" t="str">
        <f>IFERROR(__xludf.DUMMYFUNCTION("""COMPUTED_VALUE"""),"bd")</f>
        <v>bd</v>
      </c>
      <c r="C1766" s="4" t="str">
        <f>IFERROR(__xludf.DUMMYFUNCTION("""COMPUTED_VALUE"""),"BlastDEX")</f>
        <v>BlastDEX</v>
      </c>
    </row>
    <row r="1767">
      <c r="A1767" s="4" t="str">
        <f>IFERROR(__xludf.DUMMYFUNCTION("""COMPUTED_VALUE"""),"blast-disperse")</f>
        <v>blast-disperse</v>
      </c>
      <c r="B1767" s="4" t="str">
        <f>IFERROR(__xludf.DUMMYFUNCTION("""COMPUTED_VALUE"""),"disp")</f>
        <v>disp</v>
      </c>
      <c r="C1767" s="4" t="str">
        <f>IFERROR(__xludf.DUMMYFUNCTION("""COMPUTED_VALUE"""),"Blast Disperse")</f>
        <v>Blast Disperse</v>
      </c>
    </row>
    <row r="1768">
      <c r="A1768" s="4" t="str">
        <f>IFERROR(__xludf.DUMMYFUNCTION("""COMPUTED_VALUE"""),"blaster")</f>
        <v>blaster</v>
      </c>
      <c r="B1768" s="4" t="str">
        <f>IFERROR(__xludf.DUMMYFUNCTION("""COMPUTED_VALUE"""),"blstr")</f>
        <v>blstr</v>
      </c>
      <c r="C1768" s="4" t="str">
        <f>IFERROR(__xludf.DUMMYFUNCTION("""COMPUTED_VALUE"""),"Blaster")</f>
        <v>Blaster</v>
      </c>
    </row>
    <row r="1769">
      <c r="A1769" s="4" t="str">
        <f>IFERROR(__xludf.DUMMYFUNCTION("""COMPUTED_VALUE"""),"blast-frontiers")</f>
        <v>blast-frontiers</v>
      </c>
      <c r="B1769" s="4" t="str">
        <f>IFERROR(__xludf.DUMMYFUNCTION("""COMPUTED_VALUE"""),"blast")</f>
        <v>blast</v>
      </c>
      <c r="C1769" s="4" t="str">
        <f>IFERROR(__xludf.DUMMYFUNCTION("""COMPUTED_VALUE"""),"Blast Frontiers")</f>
        <v>Blast Frontiers</v>
      </c>
    </row>
    <row r="1770">
      <c r="A1770" s="4" t="str">
        <f>IFERROR(__xludf.DUMMYFUNCTION("""COMPUTED_VALUE"""),"blast-futures-token")</f>
        <v>blast-futures-token</v>
      </c>
      <c r="B1770" s="4" t="str">
        <f>IFERROR(__xludf.DUMMYFUNCTION("""COMPUTED_VALUE"""),"bfx")</f>
        <v>bfx</v>
      </c>
      <c r="C1770" s="4" t="str">
        <f>IFERROR(__xludf.DUMMYFUNCTION("""COMPUTED_VALUE"""),"Blast Futures Token")</f>
        <v>Blast Futures Token</v>
      </c>
    </row>
    <row r="1771">
      <c r="A1771" s="4" t="str">
        <f>IFERROR(__xludf.DUMMYFUNCTION("""COMPUTED_VALUE"""),"blast-inu")</f>
        <v>blast-inu</v>
      </c>
      <c r="B1771" s="4" t="str">
        <f>IFERROR(__xludf.DUMMYFUNCTION("""COMPUTED_VALUE"""),"blast")</f>
        <v>blast</v>
      </c>
      <c r="C1771" s="4" t="str">
        <f>IFERROR(__xludf.DUMMYFUNCTION("""COMPUTED_VALUE"""),"Blast Inu")</f>
        <v>Blast Inu</v>
      </c>
    </row>
    <row r="1772">
      <c r="A1772" s="4" t="str">
        <f>IFERROR(__xludf.DUMMYFUNCTION("""COMPUTED_VALUE"""),"blast-inu-2")</f>
        <v>blast-inu-2</v>
      </c>
      <c r="B1772" s="4" t="str">
        <f>IFERROR(__xludf.DUMMYFUNCTION("""COMPUTED_VALUE"""),"binu")</f>
        <v>binu</v>
      </c>
      <c r="C1772" s="4" t="str">
        <f>IFERROR(__xludf.DUMMYFUNCTION("""COMPUTED_VALUE"""),"Blast Inu")</f>
        <v>Blast Inu</v>
      </c>
    </row>
    <row r="1773">
      <c r="A1773" s="4" t="str">
        <f>IFERROR(__xludf.DUMMYFUNCTION("""COMPUTED_VALUE"""),"blastnet")</f>
        <v>blastnet</v>
      </c>
      <c r="B1773" s="4" t="str">
        <f>IFERROR(__xludf.DUMMYFUNCTION("""COMPUTED_VALUE"""),"bnet")</f>
        <v>bnet</v>
      </c>
      <c r="C1773" s="4" t="str">
        <f>IFERROR(__xludf.DUMMYFUNCTION("""COMPUTED_VALUE"""),"Blastnet")</f>
        <v>Blastnet</v>
      </c>
    </row>
    <row r="1774">
      <c r="A1774" s="4" t="str">
        <f>IFERROR(__xludf.DUMMYFUNCTION("""COMPUTED_VALUE"""),"blast-pepe")</f>
        <v>blast-pepe</v>
      </c>
      <c r="B1774" s="4" t="str">
        <f>IFERROR(__xludf.DUMMYFUNCTION("""COMPUTED_VALUE"""),"bepe")</f>
        <v>bepe</v>
      </c>
      <c r="C1774" s="4" t="str">
        <f>IFERROR(__xludf.DUMMYFUNCTION("""COMPUTED_VALUE"""),"Blast Pepe")</f>
        <v>Blast Pepe</v>
      </c>
    </row>
    <row r="1775">
      <c r="A1775" s="4" t="str">
        <f>IFERROR(__xludf.DUMMYFUNCTION("""COMPUTED_VALUE"""),"blastup")</f>
        <v>blastup</v>
      </c>
      <c r="B1775" s="4" t="str">
        <f>IFERROR(__xludf.DUMMYFUNCTION("""COMPUTED_VALUE"""),"blp")</f>
        <v>blp</v>
      </c>
      <c r="C1775" s="4" t="str">
        <f>IFERROR(__xludf.DUMMYFUNCTION("""COMPUTED_VALUE"""),"BlastUP")</f>
        <v>BlastUP</v>
      </c>
    </row>
    <row r="1776">
      <c r="A1776" s="4" t="str">
        <f>IFERROR(__xludf.DUMMYFUNCTION("""COMPUTED_VALUE"""),"blazebot")</f>
        <v>blazebot</v>
      </c>
      <c r="B1776" s="4" t="str">
        <f>IFERROR(__xludf.DUMMYFUNCTION("""COMPUTED_VALUE"""),"blaze")</f>
        <v>blaze</v>
      </c>
      <c r="C1776" s="4" t="str">
        <f>IFERROR(__xludf.DUMMYFUNCTION("""COMPUTED_VALUE"""),"BlazeBot")</f>
        <v>BlazeBot</v>
      </c>
    </row>
    <row r="1777">
      <c r="A1777" s="4" t="str">
        <f>IFERROR(__xludf.DUMMYFUNCTION("""COMPUTED_VALUE"""),"blaze-network")</f>
        <v>blaze-network</v>
      </c>
      <c r="B1777" s="4" t="str">
        <f>IFERROR(__xludf.DUMMYFUNCTION("""COMPUTED_VALUE"""),"blzn")</f>
        <v>blzn</v>
      </c>
      <c r="C1777" s="4" t="str">
        <f>IFERROR(__xludf.DUMMYFUNCTION("""COMPUTED_VALUE"""),"Blaze Network")</f>
        <v>Blaze Network</v>
      </c>
    </row>
    <row r="1778">
      <c r="A1778" s="4" t="str">
        <f>IFERROR(__xludf.DUMMYFUNCTION("""COMPUTED_VALUE"""),"blazestake-staked-sol")</f>
        <v>blazestake-staked-sol</v>
      </c>
      <c r="B1778" s="4" t="str">
        <f>IFERROR(__xludf.DUMMYFUNCTION("""COMPUTED_VALUE"""),"bsol")</f>
        <v>bsol</v>
      </c>
      <c r="C1778" s="4" t="str">
        <f>IFERROR(__xludf.DUMMYFUNCTION("""COMPUTED_VALUE"""),"BlazeStake Staked SOL")</f>
        <v>BlazeStake Staked SOL</v>
      </c>
    </row>
    <row r="1779">
      <c r="A1779" s="4" t="str">
        <f>IFERROR(__xludf.DUMMYFUNCTION("""COMPUTED_VALUE"""),"blazex")</f>
        <v>blazex</v>
      </c>
      <c r="B1779" s="4" t="str">
        <f>IFERROR(__xludf.DUMMYFUNCTION("""COMPUTED_VALUE"""),"blazex")</f>
        <v>blazex</v>
      </c>
      <c r="C1779" s="4" t="str">
        <f>IFERROR(__xludf.DUMMYFUNCTION("""COMPUTED_VALUE"""),"BlazeX")</f>
        <v>BlazeX</v>
      </c>
    </row>
    <row r="1780">
      <c r="A1780" s="4" t="str">
        <f>IFERROR(__xludf.DUMMYFUNCTION("""COMPUTED_VALUE"""),"blend-protocol")</f>
        <v>blend-protocol</v>
      </c>
      <c r="B1780" s="4" t="str">
        <f>IFERROR(__xludf.DUMMYFUNCTION("""COMPUTED_VALUE"""),"blend")</f>
        <v>blend</v>
      </c>
      <c r="C1780" s="4" t="str">
        <f>IFERROR(__xludf.DUMMYFUNCTION("""COMPUTED_VALUE"""),"Blend Protocol")</f>
        <v>Blend Protocol</v>
      </c>
    </row>
    <row r="1781">
      <c r="A1781" s="4" t="str">
        <f>IFERROR(__xludf.DUMMYFUNCTION("""COMPUTED_VALUE"""),"blendr-network")</f>
        <v>blendr-network</v>
      </c>
      <c r="B1781" s="4" t="str">
        <f>IFERROR(__xludf.DUMMYFUNCTION("""COMPUTED_VALUE"""),"blendr")</f>
        <v>blendr</v>
      </c>
      <c r="C1781" s="4" t="str">
        <f>IFERROR(__xludf.DUMMYFUNCTION("""COMPUTED_VALUE"""),"Blendr Network")</f>
        <v>Blendr Network</v>
      </c>
    </row>
    <row r="1782">
      <c r="A1782" s="4" t="str">
        <f>IFERROR(__xludf.DUMMYFUNCTION("""COMPUTED_VALUE"""),"blepe-the-blue")</f>
        <v>blepe-the-blue</v>
      </c>
      <c r="B1782" s="4" t="str">
        <f>IFERROR(__xludf.DUMMYFUNCTION("""COMPUTED_VALUE"""),"blepe")</f>
        <v>blepe</v>
      </c>
      <c r="C1782" s="4" t="str">
        <f>IFERROR(__xludf.DUMMYFUNCTION("""COMPUTED_VALUE"""),"Blepe the Blue")</f>
        <v>Blepe the Blue</v>
      </c>
    </row>
    <row r="1783">
      <c r="A1783" s="4" t="str">
        <f>IFERROR(__xludf.DUMMYFUNCTION("""COMPUTED_VALUE"""),"blerf")</f>
        <v>blerf</v>
      </c>
      <c r="B1783" s="4" t="str">
        <f>IFERROR(__xludf.DUMMYFUNCTION("""COMPUTED_VALUE"""),"blerf")</f>
        <v>blerf</v>
      </c>
      <c r="C1783" s="4" t="str">
        <f>IFERROR(__xludf.DUMMYFUNCTION("""COMPUTED_VALUE"""),"BLERF")</f>
        <v>BLERF</v>
      </c>
    </row>
    <row r="1784">
      <c r="A1784" s="4" t="str">
        <f>IFERROR(__xludf.DUMMYFUNCTION("""COMPUTED_VALUE"""),"bless-global-credit")</f>
        <v>bless-global-credit</v>
      </c>
      <c r="B1784" s="4" t="str">
        <f>IFERROR(__xludf.DUMMYFUNCTION("""COMPUTED_VALUE"""),"blec")</f>
        <v>blec</v>
      </c>
      <c r="C1784" s="4" t="str">
        <f>IFERROR(__xludf.DUMMYFUNCTION("""COMPUTED_VALUE"""),"Bless Global Credit")</f>
        <v>Bless Global Credit</v>
      </c>
    </row>
    <row r="1785">
      <c r="A1785" s="4" t="str">
        <f>IFERROR(__xludf.DUMMYFUNCTION("""COMPUTED_VALUE"""),"blind-boxes")</f>
        <v>blind-boxes</v>
      </c>
      <c r="B1785" s="4" t="str">
        <f>IFERROR(__xludf.DUMMYFUNCTION("""COMPUTED_VALUE"""),"bles")</f>
        <v>bles</v>
      </c>
      <c r="C1785" s="4" t="str">
        <f>IFERROR(__xludf.DUMMYFUNCTION("""COMPUTED_VALUE"""),"Blind Boxes")</f>
        <v>Blind Boxes</v>
      </c>
    </row>
    <row r="1786">
      <c r="A1786" s="4" t="str">
        <f>IFERROR(__xludf.DUMMYFUNCTION("""COMPUTED_VALUE"""),"blin-metaverse")</f>
        <v>blin-metaverse</v>
      </c>
      <c r="B1786" s="4" t="str">
        <f>IFERROR(__xludf.DUMMYFUNCTION("""COMPUTED_VALUE"""),"blin")</f>
        <v>blin</v>
      </c>
      <c r="C1786" s="4" t="str">
        <f>IFERROR(__xludf.DUMMYFUNCTION("""COMPUTED_VALUE"""),"Blin Metaverse")</f>
        <v>Blin Metaverse</v>
      </c>
    </row>
    <row r="1787">
      <c r="A1787" s="4" t="str">
        <f>IFERROR(__xludf.DUMMYFUNCTION("""COMPUTED_VALUE"""),"blinq-network")</f>
        <v>blinq-network</v>
      </c>
      <c r="B1787" s="4" t="str">
        <f>IFERROR(__xludf.DUMMYFUNCTION("""COMPUTED_VALUE"""),"blinq")</f>
        <v>blinq</v>
      </c>
      <c r="C1787" s="4" t="str">
        <f>IFERROR(__xludf.DUMMYFUNCTION("""COMPUTED_VALUE"""),"Blinq Network")</f>
        <v>Blinq Network</v>
      </c>
    </row>
    <row r="1788">
      <c r="A1788" s="4" t="str">
        <f>IFERROR(__xludf.DUMMYFUNCTION("""COMPUTED_VALUE"""),"blithe")</f>
        <v>blithe</v>
      </c>
      <c r="B1788" s="4" t="str">
        <f>IFERROR(__xludf.DUMMYFUNCTION("""COMPUTED_VALUE"""),"blt")</f>
        <v>blt</v>
      </c>
      <c r="C1788" s="4" t="str">
        <f>IFERROR(__xludf.DUMMYFUNCTION("""COMPUTED_VALUE"""),"Blithe")</f>
        <v>Blithe</v>
      </c>
    </row>
    <row r="1789">
      <c r="A1789" s="4" t="str">
        <f>IFERROR(__xludf.DUMMYFUNCTION("""COMPUTED_VALUE"""),"blitz-bots")</f>
        <v>blitz-bots</v>
      </c>
      <c r="B1789" s="4" t="str">
        <f>IFERROR(__xludf.DUMMYFUNCTION("""COMPUTED_VALUE"""),"blitz")</f>
        <v>blitz</v>
      </c>
      <c r="C1789" s="4" t="str">
        <f>IFERROR(__xludf.DUMMYFUNCTION("""COMPUTED_VALUE"""),"Blitz Bots")</f>
        <v>Blitz Bots</v>
      </c>
    </row>
    <row r="1790">
      <c r="A1790" s="4" t="str">
        <f>IFERROR(__xludf.DUMMYFUNCTION("""COMPUTED_VALUE"""),"blitz-labs")</f>
        <v>blitz-labs</v>
      </c>
      <c r="B1790" s="4" t="str">
        <f>IFERROR(__xludf.DUMMYFUNCTION("""COMPUTED_VALUE"""),"blitz")</f>
        <v>blitz</v>
      </c>
      <c r="C1790" s="4" t="str">
        <f>IFERROR(__xludf.DUMMYFUNCTION("""COMPUTED_VALUE"""),"Blitz Labs")</f>
        <v>Blitz Labs</v>
      </c>
    </row>
    <row r="1791">
      <c r="A1791" s="4" t="str">
        <f>IFERROR(__xludf.DUMMYFUNCTION("""COMPUTED_VALUE"""),"blitzpredict")</f>
        <v>blitzpredict</v>
      </c>
      <c r="B1791" s="4" t="str">
        <f>IFERROR(__xludf.DUMMYFUNCTION("""COMPUTED_VALUE"""),"xbp")</f>
        <v>xbp</v>
      </c>
      <c r="C1791" s="4" t="str">
        <f>IFERROR(__xludf.DUMMYFUNCTION("""COMPUTED_VALUE"""),"BlitzPick")</f>
        <v>BlitzPick</v>
      </c>
    </row>
    <row r="1792">
      <c r="A1792" s="4" t="str">
        <f>IFERROR(__xludf.DUMMYFUNCTION("""COMPUTED_VALUE"""),"blob")</f>
        <v>blob</v>
      </c>
      <c r="B1792" s="4" t="str">
        <f>IFERROR(__xludf.DUMMYFUNCTION("""COMPUTED_VALUE"""),"blob")</f>
        <v>blob</v>
      </c>
      <c r="C1792" s="4" t="str">
        <f>IFERROR(__xludf.DUMMYFUNCTION("""COMPUTED_VALUE"""),"Blob Protocol")</f>
        <v>Blob Protocol</v>
      </c>
    </row>
    <row r="1793">
      <c r="A1793" s="4" t="str">
        <f>IFERROR(__xludf.DUMMYFUNCTION("""COMPUTED_VALUE"""),"blob-2")</f>
        <v>blob-2</v>
      </c>
      <c r="B1793" s="4" t="str">
        <f>IFERROR(__xludf.DUMMYFUNCTION("""COMPUTED_VALUE"""),"blob")</f>
        <v>blob</v>
      </c>
      <c r="C1793" s="4" t="str">
        <f>IFERROR(__xludf.DUMMYFUNCTION("""COMPUTED_VALUE"""),"Blob")</f>
        <v>Blob</v>
      </c>
    </row>
    <row r="1794">
      <c r="A1794" s="4" t="str">
        <f>IFERROR(__xludf.DUMMYFUNCTION("""COMPUTED_VALUE"""),"blob-avax")</f>
        <v>blob-avax</v>
      </c>
      <c r="B1794" s="4" t="str">
        <f>IFERROR(__xludf.DUMMYFUNCTION("""COMPUTED_VALUE"""),"blob")</f>
        <v>blob</v>
      </c>
      <c r="C1794" s="4" t="str">
        <f>IFERROR(__xludf.DUMMYFUNCTION("""COMPUTED_VALUE"""),"BLOB")</f>
        <v>BLOB</v>
      </c>
    </row>
    <row r="1795">
      <c r="A1795" s="4" t="str">
        <f>IFERROR(__xludf.DUMMYFUNCTION("""COMPUTED_VALUE"""),"blobcoin")</f>
        <v>blobcoin</v>
      </c>
      <c r="B1795" s="4" t="str">
        <f>IFERROR(__xludf.DUMMYFUNCTION("""COMPUTED_VALUE"""),"blob")</f>
        <v>blob</v>
      </c>
      <c r="C1795" s="4" t="str">
        <f>IFERROR(__xludf.DUMMYFUNCTION("""COMPUTED_VALUE"""),"BLOBCOIN")</f>
        <v>BLOBCOIN</v>
      </c>
    </row>
    <row r="1796">
      <c r="A1796" s="4" t="str">
        <f>IFERROR(__xludf.DUMMYFUNCTION("""COMPUTED_VALUE"""),"blobs")</f>
        <v>blobs</v>
      </c>
      <c r="B1796" s="4" t="str">
        <f>IFERROR(__xludf.DUMMYFUNCTION("""COMPUTED_VALUE"""),"blobs")</f>
        <v>blobs</v>
      </c>
      <c r="C1796" s="4" t="str">
        <f>IFERROR(__xludf.DUMMYFUNCTION("""COMPUTED_VALUE"""),"blobs")</f>
        <v>blobs</v>
      </c>
    </row>
    <row r="1797">
      <c r="A1797" s="4" t="str">
        <f>IFERROR(__xludf.DUMMYFUNCTION("""COMPUTED_VALUE"""),"blocery")</f>
        <v>blocery</v>
      </c>
      <c r="B1797" s="4" t="str">
        <f>IFERROR(__xludf.DUMMYFUNCTION("""COMPUTED_VALUE"""),"bly")</f>
        <v>bly</v>
      </c>
      <c r="C1797" s="4" t="str">
        <f>IFERROR(__xludf.DUMMYFUNCTION("""COMPUTED_VALUE"""),"Blocery")</f>
        <v>Blocery</v>
      </c>
    </row>
    <row r="1798">
      <c r="A1798" s="4" t="str">
        <f>IFERROR(__xludf.DUMMYFUNCTION("""COMPUTED_VALUE"""),"block")</f>
        <v>block</v>
      </c>
      <c r="B1798" s="4" t="str">
        <f>IFERROR(__xludf.DUMMYFUNCTION("""COMPUTED_VALUE"""),"block")</f>
        <v>block</v>
      </c>
      <c r="C1798" s="4" t="str">
        <f>IFERROR(__xludf.DUMMYFUNCTION("""COMPUTED_VALUE"""),"Block")</f>
        <v>Block</v>
      </c>
    </row>
    <row r="1799">
      <c r="A1799" s="4" t="str">
        <f>IFERROR(__xludf.DUMMYFUNCTION("""COMPUTED_VALUE"""),"block-ape-scissors")</f>
        <v>block-ape-scissors</v>
      </c>
      <c r="B1799" s="4" t="str">
        <f>IFERROR(__xludf.DUMMYFUNCTION("""COMPUTED_VALUE"""),"arcas")</f>
        <v>arcas</v>
      </c>
      <c r="C1799" s="4" t="str">
        <f>IFERROR(__xludf.DUMMYFUNCTION("""COMPUTED_VALUE"""),"Arcas")</f>
        <v>Arcas</v>
      </c>
    </row>
    <row r="1800">
      <c r="A1800" s="4" t="str">
        <f>IFERROR(__xludf.DUMMYFUNCTION("""COMPUTED_VALUE"""),"blockasset")</f>
        <v>blockasset</v>
      </c>
      <c r="B1800" s="4" t="str">
        <f>IFERROR(__xludf.DUMMYFUNCTION("""COMPUTED_VALUE"""),"block")</f>
        <v>block</v>
      </c>
      <c r="C1800" s="4" t="str">
        <f>IFERROR(__xludf.DUMMYFUNCTION("""COMPUTED_VALUE"""),"Blockasset")</f>
        <v>Blockasset</v>
      </c>
    </row>
    <row r="1801">
      <c r="A1801" s="4" t="str">
        <f>IFERROR(__xludf.DUMMYFUNCTION("""COMPUTED_VALUE"""),"blockbank")</f>
        <v>blockbank</v>
      </c>
      <c r="B1801" s="4" t="str">
        <f>IFERROR(__xludf.DUMMYFUNCTION("""COMPUTED_VALUE"""),"bbank")</f>
        <v>bbank</v>
      </c>
      <c r="C1801" s="4" t="str">
        <f>IFERROR(__xludf.DUMMYFUNCTION("""COMPUTED_VALUE"""),"blockbank")</f>
        <v>blockbank</v>
      </c>
    </row>
    <row r="1802">
      <c r="A1802" s="4" t="str">
        <f>IFERROR(__xludf.DUMMYFUNCTION("""COMPUTED_VALUE"""),"blockblend")</f>
        <v>blockblend</v>
      </c>
      <c r="B1802" s="4" t="str">
        <f>IFERROR(__xludf.DUMMYFUNCTION("""COMPUTED_VALUE"""),"bbl")</f>
        <v>bbl</v>
      </c>
      <c r="C1802" s="4" t="str">
        <f>IFERROR(__xludf.DUMMYFUNCTION("""COMPUTED_VALUE"""),"BlockBlend [OLD]")</f>
        <v>BlockBlend [OLD]</v>
      </c>
    </row>
    <row r="1803">
      <c r="A1803" s="4" t="str">
        <f>IFERROR(__xludf.DUMMYFUNCTION("""COMPUTED_VALUE"""),"blockblend-2")</f>
        <v>blockblend-2</v>
      </c>
      <c r="B1803" s="4" t="str">
        <f>IFERROR(__xludf.DUMMYFUNCTION("""COMPUTED_VALUE"""),"bbl")</f>
        <v>bbl</v>
      </c>
      <c r="C1803" s="4" t="str">
        <f>IFERROR(__xludf.DUMMYFUNCTION("""COMPUTED_VALUE"""),"BlockBlend")</f>
        <v>BlockBlend</v>
      </c>
    </row>
    <row r="1804">
      <c r="A1804" s="4" t="str">
        <f>IFERROR(__xludf.DUMMYFUNCTION("""COMPUTED_VALUE"""),"blockbox")</f>
        <v>blockbox</v>
      </c>
      <c r="B1804" s="4" t="str">
        <f>IFERROR(__xludf.DUMMYFUNCTION("""COMPUTED_VALUE"""),"bbox")</f>
        <v>bbox</v>
      </c>
      <c r="C1804" s="4" t="str">
        <f>IFERROR(__xludf.DUMMYFUNCTION("""COMPUTED_VALUE"""),"BlockBox")</f>
        <v>BlockBox</v>
      </c>
    </row>
    <row r="1805">
      <c r="A1805" s="4" t="str">
        <f>IFERROR(__xludf.DUMMYFUNCTION("""COMPUTED_VALUE"""),"block-browser")</f>
        <v>block-browser</v>
      </c>
      <c r="B1805" s="4" t="str">
        <f>IFERROR(__xludf.DUMMYFUNCTION("""COMPUTED_VALUE"""),"block")</f>
        <v>block</v>
      </c>
      <c r="C1805" s="4" t="str">
        <f>IFERROR(__xludf.DUMMYFUNCTION("""COMPUTED_VALUE"""),"Block Browser")</f>
        <v>Block Browser</v>
      </c>
    </row>
    <row r="1806">
      <c r="A1806" s="4" t="str">
        <f>IFERROR(__xludf.DUMMYFUNCTION("""COMPUTED_VALUE"""),"blockcdn")</f>
        <v>blockcdn</v>
      </c>
      <c r="B1806" s="4" t="str">
        <f>IFERROR(__xludf.DUMMYFUNCTION("""COMPUTED_VALUE"""),"bcdn")</f>
        <v>bcdn</v>
      </c>
      <c r="C1806" s="4" t="str">
        <f>IFERROR(__xludf.DUMMYFUNCTION("""COMPUTED_VALUE"""),"BlockCDN")</f>
        <v>BlockCDN</v>
      </c>
    </row>
    <row r="1807">
      <c r="A1807" s="4" t="str">
        <f>IFERROR(__xludf.DUMMYFUNCTION("""COMPUTED_VALUE"""),"blockchain-bets")</f>
        <v>blockchain-bets</v>
      </c>
      <c r="B1807" s="4" t="str">
        <f>IFERROR(__xludf.DUMMYFUNCTION("""COMPUTED_VALUE"""),"bcb")</f>
        <v>bcb</v>
      </c>
      <c r="C1807" s="4" t="str">
        <f>IFERROR(__xludf.DUMMYFUNCTION("""COMPUTED_VALUE"""),"Blockchain Bets")</f>
        <v>Blockchain Bets</v>
      </c>
    </row>
    <row r="1808">
      <c r="A1808" s="4" t="str">
        <f>IFERROR(__xludf.DUMMYFUNCTION("""COMPUTED_VALUE"""),"blockchain-brawlers")</f>
        <v>blockchain-brawlers</v>
      </c>
      <c r="B1808" s="4" t="str">
        <f>IFERROR(__xludf.DUMMYFUNCTION("""COMPUTED_VALUE"""),"brwl")</f>
        <v>brwl</v>
      </c>
      <c r="C1808" s="4" t="str">
        <f>IFERROR(__xludf.DUMMYFUNCTION("""COMPUTED_VALUE"""),"Blockchain Brawlers")</f>
        <v>Blockchain Brawlers</v>
      </c>
    </row>
    <row r="1809">
      <c r="A1809" s="4" t="str">
        <f>IFERROR(__xludf.DUMMYFUNCTION("""COMPUTED_VALUE"""),"blockchain-certified-data-token")</f>
        <v>blockchain-certified-data-token</v>
      </c>
      <c r="B1809" s="4" t="str">
        <f>IFERROR(__xludf.DUMMYFUNCTION("""COMPUTED_VALUE"""),"bcdt")</f>
        <v>bcdt</v>
      </c>
      <c r="C1809" s="4" t="str">
        <f>IFERROR(__xludf.DUMMYFUNCTION("""COMPUTED_VALUE"""),"EvidenZ")</f>
        <v>EvidenZ</v>
      </c>
    </row>
    <row r="1810">
      <c r="A1810" s="4" t="str">
        <f>IFERROR(__xludf.DUMMYFUNCTION("""COMPUTED_VALUE"""),"blockchaincoinx")</f>
        <v>blockchaincoinx</v>
      </c>
      <c r="B1810" s="4" t="str">
        <f>IFERROR(__xludf.DUMMYFUNCTION("""COMPUTED_VALUE"""),"xccx")</f>
        <v>xccx</v>
      </c>
      <c r="C1810" s="4" t="str">
        <f>IFERROR(__xludf.DUMMYFUNCTION("""COMPUTED_VALUE"""),"BlockChainCoinX")</f>
        <v>BlockChainCoinX</v>
      </c>
    </row>
    <row r="1811">
      <c r="A1811" s="4" t="str">
        <f>IFERROR(__xludf.DUMMYFUNCTION("""COMPUTED_VALUE"""),"blockchain-cuties-universe-governance")</f>
        <v>blockchain-cuties-universe-governance</v>
      </c>
      <c r="B1811" s="4" t="str">
        <f>IFERROR(__xludf.DUMMYFUNCTION("""COMPUTED_VALUE"""),"bcug")</f>
        <v>bcug</v>
      </c>
      <c r="C1811" s="4" t="str">
        <f>IFERROR(__xludf.DUMMYFUNCTION("""COMPUTED_VALUE"""),"Blockchain Cuties Universe Governance")</f>
        <v>Blockchain Cuties Universe Governance</v>
      </c>
    </row>
    <row r="1812">
      <c r="A1812" s="4" t="str">
        <f>IFERROR(__xludf.DUMMYFUNCTION("""COMPUTED_VALUE"""),"blockchain-island")</f>
        <v>blockchain-island</v>
      </c>
      <c r="B1812" s="4" t="str">
        <f>IFERROR(__xludf.DUMMYFUNCTION("""COMPUTED_VALUE"""),"bcl")</f>
        <v>bcl</v>
      </c>
      <c r="C1812" s="4" t="str">
        <f>IFERROR(__xludf.DUMMYFUNCTION("""COMPUTED_VALUE"""),"Blockchain Island")</f>
        <v>Blockchain Island</v>
      </c>
    </row>
    <row r="1813">
      <c r="A1813" s="4" t="str">
        <f>IFERROR(__xludf.DUMMYFUNCTION("""COMPUTED_VALUE"""),"blockchain-monster-hunt")</f>
        <v>blockchain-monster-hunt</v>
      </c>
      <c r="B1813" s="4" t="str">
        <f>IFERROR(__xludf.DUMMYFUNCTION("""COMPUTED_VALUE"""),"bcmc")</f>
        <v>bcmc</v>
      </c>
      <c r="C1813" s="4" t="str">
        <f>IFERROR(__xludf.DUMMYFUNCTION("""COMPUTED_VALUE"""),"Blockchain Monster Hunt")</f>
        <v>Blockchain Monster Hunt</v>
      </c>
    </row>
    <row r="1814">
      <c r="A1814" s="4" t="str">
        <f>IFERROR(__xludf.DUMMYFUNCTION("""COMPUTED_VALUE"""),"blockchainpoland")</f>
        <v>blockchainpoland</v>
      </c>
      <c r="B1814" s="4" t="str">
        <f>IFERROR(__xludf.DUMMYFUNCTION("""COMPUTED_VALUE"""),"bcp")</f>
        <v>bcp</v>
      </c>
      <c r="C1814" s="4" t="str">
        <f>IFERROR(__xludf.DUMMYFUNCTION("""COMPUTED_VALUE"""),"BlockchainPoland")</f>
        <v>BlockchainPoland</v>
      </c>
    </row>
    <row r="1815">
      <c r="A1815" s="4" t="str">
        <f>IFERROR(__xludf.DUMMYFUNCTION("""COMPUTED_VALUE"""),"blockchainspace")</f>
        <v>blockchainspace</v>
      </c>
      <c r="B1815" s="4" t="str">
        <f>IFERROR(__xludf.DUMMYFUNCTION("""COMPUTED_VALUE"""),"guild")</f>
        <v>guild</v>
      </c>
      <c r="C1815" s="4" t="str">
        <f>IFERROR(__xludf.DUMMYFUNCTION("""COMPUTED_VALUE"""),"BlockchainSpace")</f>
        <v>BlockchainSpace</v>
      </c>
    </row>
    <row r="1816">
      <c r="A1816" s="4" t="str">
        <f>IFERROR(__xludf.DUMMYFUNCTION("""COMPUTED_VALUE"""),"blockcreate")</f>
        <v>blockcreate</v>
      </c>
      <c r="B1816" s="4" t="str">
        <f>IFERROR(__xludf.DUMMYFUNCTION("""COMPUTED_VALUE"""),"block")</f>
        <v>block</v>
      </c>
      <c r="C1816" s="4" t="str">
        <f>IFERROR(__xludf.DUMMYFUNCTION("""COMPUTED_VALUE"""),"BlockCreate")</f>
        <v>BlockCreate</v>
      </c>
    </row>
    <row r="1817">
      <c r="A1817" s="4" t="str">
        <f>IFERROR(__xludf.DUMMYFUNCTION("""COMPUTED_VALUE"""),"blockdefend-ai")</f>
        <v>blockdefend-ai</v>
      </c>
      <c r="B1817" s="4" t="str">
        <f>IFERROR(__xludf.DUMMYFUNCTION("""COMPUTED_VALUE"""),"defend")</f>
        <v>defend</v>
      </c>
      <c r="C1817" s="4" t="str">
        <f>IFERROR(__xludf.DUMMYFUNCTION("""COMPUTED_VALUE"""),"BlockDefend AI")</f>
        <v>BlockDefend AI</v>
      </c>
    </row>
    <row r="1818">
      <c r="A1818" s="4" t="str">
        <f>IFERROR(__xludf.DUMMYFUNCTION("""COMPUTED_VALUE"""),"blockgpt")</f>
        <v>blockgpt</v>
      </c>
      <c r="B1818" s="4" t="str">
        <f>IFERROR(__xludf.DUMMYFUNCTION("""COMPUTED_VALUE"""),"bgpt")</f>
        <v>bgpt</v>
      </c>
      <c r="C1818" s="4" t="str">
        <f>IFERROR(__xludf.DUMMYFUNCTION("""COMPUTED_VALUE"""),"BlockGPT")</f>
        <v>BlockGPT</v>
      </c>
    </row>
    <row r="1819">
      <c r="A1819" s="4" t="str">
        <f>IFERROR(__xludf.DUMMYFUNCTION("""COMPUTED_VALUE"""),"blockless")</f>
        <v>blockless</v>
      </c>
      <c r="B1819" s="4" t="str">
        <f>IFERROR(__xludf.DUMMYFUNCTION("""COMPUTED_VALUE"""),"bls")</f>
        <v>bls</v>
      </c>
      <c r="C1819" s="4" t="str">
        <f>IFERROR(__xludf.DUMMYFUNCTION("""COMPUTED_VALUE"""),"Blockless")</f>
        <v>Blockless</v>
      </c>
    </row>
    <row r="1820">
      <c r="A1820" s="4" t="str">
        <f>IFERROR(__xludf.DUMMYFUNCTION("""COMPUTED_VALUE"""),"blocklords")</f>
        <v>blocklords</v>
      </c>
      <c r="B1820" s="4" t="str">
        <f>IFERROR(__xludf.DUMMYFUNCTION("""COMPUTED_VALUE"""),"lrds")</f>
        <v>lrds</v>
      </c>
      <c r="C1820" s="4" t="str">
        <f>IFERROR(__xludf.DUMMYFUNCTION("""COMPUTED_VALUE"""),"BLOCKLORDS")</f>
        <v>BLOCKLORDS</v>
      </c>
    </row>
    <row r="1821">
      <c r="A1821" s="4" t="str">
        <f>IFERROR(__xludf.DUMMYFUNCTION("""COMPUTED_VALUE"""),"blockmate")</f>
        <v>blockmate</v>
      </c>
      <c r="B1821" s="4" t="str">
        <f>IFERROR(__xludf.DUMMYFUNCTION("""COMPUTED_VALUE"""),"mate")</f>
        <v>mate</v>
      </c>
      <c r="C1821" s="4" t="str">
        <f>IFERROR(__xludf.DUMMYFUNCTION("""COMPUTED_VALUE"""),"BlockMate")</f>
        <v>BlockMate</v>
      </c>
    </row>
    <row r="1822">
      <c r="A1822" s="4" t="str">
        <f>IFERROR(__xludf.DUMMYFUNCTION("""COMPUTED_VALUE"""),"blocknet")</f>
        <v>blocknet</v>
      </c>
      <c r="B1822" s="4" t="str">
        <f>IFERROR(__xludf.DUMMYFUNCTION("""COMPUTED_VALUE"""),"block")</f>
        <v>block</v>
      </c>
      <c r="C1822" s="4" t="str">
        <f>IFERROR(__xludf.DUMMYFUNCTION("""COMPUTED_VALUE"""),"Blocknet")</f>
        <v>Blocknet</v>
      </c>
    </row>
    <row r="1823">
      <c r="A1823" s="4" t="str">
        <f>IFERROR(__xludf.DUMMYFUNCTION("""COMPUTED_VALUE"""),"blockport")</f>
        <v>blockport</v>
      </c>
      <c r="B1823" s="4" t="str">
        <f>IFERROR(__xludf.DUMMYFUNCTION("""COMPUTED_VALUE"""),"bux")</f>
        <v>bux</v>
      </c>
      <c r="C1823" s="4" t="str">
        <f>IFERROR(__xludf.DUMMYFUNCTION("""COMPUTED_VALUE"""),"BUX")</f>
        <v>BUX</v>
      </c>
    </row>
    <row r="1824">
      <c r="A1824" s="4" t="str">
        <f>IFERROR(__xludf.DUMMYFUNCTION("""COMPUTED_VALUE"""),"blockremit")</f>
        <v>blockremit</v>
      </c>
      <c r="B1824" s="4" t="str">
        <f>IFERROR(__xludf.DUMMYFUNCTION("""COMPUTED_VALUE"""),"remit")</f>
        <v>remit</v>
      </c>
      <c r="C1824" s="4" t="str">
        <f>IFERROR(__xludf.DUMMYFUNCTION("""COMPUTED_VALUE"""),"BlockRemit")</f>
        <v>BlockRemit</v>
      </c>
    </row>
    <row r="1825">
      <c r="A1825" s="4" t="str">
        <f>IFERROR(__xludf.DUMMYFUNCTION("""COMPUTED_VALUE"""),"blockrock")</f>
        <v>blockrock</v>
      </c>
      <c r="B1825" s="4" t="str">
        <f>IFERROR(__xludf.DUMMYFUNCTION("""COMPUTED_VALUE"""),"bro$")</f>
        <v>bro$</v>
      </c>
      <c r="C1825" s="4" t="str">
        <f>IFERROR(__xludf.DUMMYFUNCTION("""COMPUTED_VALUE"""),"BlockRock")</f>
        <v>BlockRock</v>
      </c>
    </row>
    <row r="1826">
      <c r="A1826" s="4" t="str">
        <f>IFERROR(__xludf.DUMMYFUNCTION("""COMPUTED_VALUE"""),"blockrock-2")</f>
        <v>blockrock-2</v>
      </c>
      <c r="B1826" s="4" t="str">
        <f>IFERROR(__xludf.DUMMYFUNCTION("""COMPUTED_VALUE"""),"fed")</f>
        <v>fed</v>
      </c>
      <c r="C1826" s="4" t="str">
        <f>IFERROR(__xludf.DUMMYFUNCTION("""COMPUTED_VALUE"""),"BlockRock")</f>
        <v>BlockRock</v>
      </c>
    </row>
    <row r="1827">
      <c r="A1827" s="4" t="str">
        <f>IFERROR(__xludf.DUMMYFUNCTION("""COMPUTED_VALUE"""),"blocks")</f>
        <v>blocks</v>
      </c>
      <c r="B1827" s="4" t="str">
        <f>IFERROR(__xludf.DUMMYFUNCTION("""COMPUTED_VALUE"""),"blocks")</f>
        <v>blocks</v>
      </c>
      <c r="C1827" s="4" t="str">
        <f>IFERROR(__xludf.DUMMYFUNCTION("""COMPUTED_VALUE"""),"BLOCKS")</f>
        <v>BLOCKS</v>
      </c>
    </row>
    <row r="1828">
      <c r="A1828" s="4" t="str">
        <f>IFERROR(__xludf.DUMMYFUNCTION("""COMPUTED_VALUE"""),"blockscape")</f>
        <v>blockscape</v>
      </c>
      <c r="B1828" s="4" t="str">
        <f>IFERROR(__xludf.DUMMYFUNCTION("""COMPUTED_VALUE"""),"blc")</f>
        <v>blc</v>
      </c>
      <c r="C1828" s="4" t="str">
        <f>IFERROR(__xludf.DUMMYFUNCTION("""COMPUTED_VALUE"""),"Blockscape")</f>
        <v>Blockscape</v>
      </c>
    </row>
    <row r="1829">
      <c r="A1829" s="4" t="str">
        <f>IFERROR(__xludf.DUMMYFUNCTION("""COMPUTED_VALUE"""),"blocksmith-labs-forge")</f>
        <v>blocksmith-labs-forge</v>
      </c>
      <c r="B1829" s="4" t="str">
        <f>IFERROR(__xludf.DUMMYFUNCTION("""COMPUTED_VALUE"""),"$forge")</f>
        <v>$forge</v>
      </c>
      <c r="C1829" s="4" t="str">
        <f>IFERROR(__xludf.DUMMYFUNCTION("""COMPUTED_VALUE"""),"$FORGE")</f>
        <v>$FORGE</v>
      </c>
    </row>
    <row r="1830">
      <c r="A1830" s="4" t="str">
        <f>IFERROR(__xludf.DUMMYFUNCTION("""COMPUTED_VALUE"""),"blocksport")</f>
        <v>blocksport</v>
      </c>
      <c r="B1830" s="4" t="str">
        <f>IFERROR(__xludf.DUMMYFUNCTION("""COMPUTED_VALUE"""),"bspt")</f>
        <v>bspt</v>
      </c>
      <c r="C1830" s="4" t="str">
        <f>IFERROR(__xludf.DUMMYFUNCTION("""COMPUTED_VALUE"""),"Blocksport")</f>
        <v>Blocksport</v>
      </c>
    </row>
    <row r="1831">
      <c r="A1831" s="4" t="str">
        <f>IFERROR(__xludf.DUMMYFUNCTION("""COMPUTED_VALUE"""),"blockspot-network")</f>
        <v>blockspot-network</v>
      </c>
      <c r="B1831" s="4" t="str">
        <f>IFERROR(__xludf.DUMMYFUNCTION("""COMPUTED_VALUE"""),"spot")</f>
        <v>spot</v>
      </c>
      <c r="C1831" s="4" t="str">
        <f>IFERROR(__xludf.DUMMYFUNCTION("""COMPUTED_VALUE"""),"BlockSpot Network")</f>
        <v>BlockSpot Network</v>
      </c>
    </row>
    <row r="1832">
      <c r="A1832" s="4" t="str">
        <f>IFERROR(__xludf.DUMMYFUNCTION("""COMPUTED_VALUE"""),"blocksquare")</f>
        <v>blocksquare</v>
      </c>
      <c r="B1832" s="4" t="str">
        <f>IFERROR(__xludf.DUMMYFUNCTION("""COMPUTED_VALUE"""),"bst")</f>
        <v>bst</v>
      </c>
      <c r="C1832" s="4" t="str">
        <f>IFERROR(__xludf.DUMMYFUNCTION("""COMPUTED_VALUE"""),"Blocksquare")</f>
        <v>Blocksquare</v>
      </c>
    </row>
    <row r="1833">
      <c r="A1833" s="4" t="str">
        <f>IFERROR(__xludf.DUMMYFUNCTION("""COMPUTED_VALUE"""),"blockstack")</f>
        <v>blockstack</v>
      </c>
      <c r="B1833" s="4" t="str">
        <f>IFERROR(__xludf.DUMMYFUNCTION("""COMPUTED_VALUE"""),"stx")</f>
        <v>stx</v>
      </c>
      <c r="C1833" s="4" t="str">
        <f>IFERROR(__xludf.DUMMYFUNCTION("""COMPUTED_VALUE"""),"Stacks")</f>
        <v>Stacks</v>
      </c>
    </row>
    <row r="1834">
      <c r="A1834" s="4" t="str">
        <f>IFERROR(__xludf.DUMMYFUNCTION("""COMPUTED_VALUE"""),"blockstar")</f>
        <v>blockstar</v>
      </c>
      <c r="B1834" s="4" t="str">
        <f>IFERROR(__xludf.DUMMYFUNCTION("""COMPUTED_VALUE"""),"bst")</f>
        <v>bst</v>
      </c>
      <c r="C1834" s="4" t="str">
        <f>IFERROR(__xludf.DUMMYFUNCTION("""COMPUTED_VALUE"""),"BlockStar")</f>
        <v>BlockStar</v>
      </c>
    </row>
    <row r="1835">
      <c r="A1835" s="4" t="str">
        <f>IFERROR(__xludf.DUMMYFUNCTION("""COMPUTED_VALUE"""),"blockster")</f>
        <v>blockster</v>
      </c>
      <c r="B1835" s="4" t="str">
        <f>IFERROR(__xludf.DUMMYFUNCTION("""COMPUTED_VALUE"""),"bxr")</f>
        <v>bxr</v>
      </c>
      <c r="C1835" s="4" t="str">
        <f>IFERROR(__xludf.DUMMYFUNCTION("""COMPUTED_VALUE"""),"Blockster")</f>
        <v>Blockster</v>
      </c>
    </row>
    <row r="1836">
      <c r="A1836" s="4" t="str">
        <f>IFERROR(__xludf.DUMMYFUNCTION("""COMPUTED_VALUE"""),"blocksworkz")</f>
        <v>blocksworkz</v>
      </c>
      <c r="B1836" s="4" t="str">
        <f>IFERROR(__xludf.DUMMYFUNCTION("""COMPUTED_VALUE"""),"blkz")</f>
        <v>blkz</v>
      </c>
      <c r="C1836" s="4" t="str">
        <f>IFERROR(__xludf.DUMMYFUNCTION("""COMPUTED_VALUE"""),"BlocksWorkz")</f>
        <v>BlocksWorkz</v>
      </c>
    </row>
    <row r="1837">
      <c r="A1837" s="4" t="str">
        <f>IFERROR(__xludf.DUMMYFUNCTION("""COMPUTED_VALUE"""),"blockton")</f>
        <v>blockton</v>
      </c>
      <c r="B1837" s="4" t="str">
        <f>IFERROR(__xludf.DUMMYFUNCTION("""COMPUTED_VALUE"""),"bton")</f>
        <v>bton</v>
      </c>
      <c r="C1837" s="4" t="str">
        <f>IFERROR(__xludf.DUMMYFUNCTION("""COMPUTED_VALUE"""),"Blockton")</f>
        <v>Blockton</v>
      </c>
    </row>
    <row r="1838">
      <c r="A1838" s="4" t="str">
        <f>IFERROR(__xludf.DUMMYFUNCTION("""COMPUTED_VALUE"""),"blocktools")</f>
        <v>blocktools</v>
      </c>
      <c r="B1838" s="4" t="str">
        <f>IFERROR(__xludf.DUMMYFUNCTION("""COMPUTED_VALUE"""),"tools")</f>
        <v>tools</v>
      </c>
      <c r="C1838" s="4" t="str">
        <f>IFERROR(__xludf.DUMMYFUNCTION("""COMPUTED_VALUE"""),"Blocktools")</f>
        <v>Blocktools</v>
      </c>
    </row>
    <row r="1839">
      <c r="A1839" s="4" t="str">
        <f>IFERROR(__xludf.DUMMYFUNCTION("""COMPUTED_VALUE"""),"blocktrade-exchange")</f>
        <v>blocktrade-exchange</v>
      </c>
      <c r="B1839" s="4" t="str">
        <f>IFERROR(__xludf.DUMMYFUNCTION("""COMPUTED_VALUE"""),"btex")</f>
        <v>btex</v>
      </c>
      <c r="C1839" s="4" t="str">
        <f>IFERROR(__xludf.DUMMYFUNCTION("""COMPUTED_VALUE"""),"BTEX")</f>
        <v>BTEX</v>
      </c>
    </row>
    <row r="1840">
      <c r="A1840" s="4" t="str">
        <f>IFERROR(__xludf.DUMMYFUNCTION("""COMPUTED_VALUE"""),"blockv")</f>
        <v>blockv</v>
      </c>
      <c r="B1840" s="4" t="str">
        <f>IFERROR(__xludf.DUMMYFUNCTION("""COMPUTED_VALUE"""),"vee")</f>
        <v>vee</v>
      </c>
      <c r="C1840" s="4" t="str">
        <f>IFERROR(__xludf.DUMMYFUNCTION("""COMPUTED_VALUE"""),"BLOCKv")</f>
        <v>BLOCKv</v>
      </c>
    </row>
    <row r="1841">
      <c r="A1841" s="4" t="str">
        <f>IFERROR(__xludf.DUMMYFUNCTION("""COMPUTED_VALUE"""),"blockx")</f>
        <v>blockx</v>
      </c>
      <c r="B1841" s="4" t="str">
        <f>IFERROR(__xludf.DUMMYFUNCTION("""COMPUTED_VALUE"""),"bcx")</f>
        <v>bcx</v>
      </c>
      <c r="C1841" s="4" t="str">
        <f>IFERROR(__xludf.DUMMYFUNCTION("""COMPUTED_VALUE"""),"BlockX")</f>
        <v>BlockX</v>
      </c>
    </row>
    <row r="1842">
      <c r="A1842" s="4" t="str">
        <f>IFERROR(__xludf.DUMMYFUNCTION("""COMPUTED_VALUE"""),"bloc-money")</f>
        <v>bloc-money</v>
      </c>
      <c r="B1842" s="4" t="str">
        <f>IFERROR(__xludf.DUMMYFUNCTION("""COMPUTED_VALUE"""),"bloc")</f>
        <v>bloc</v>
      </c>
      <c r="C1842" s="4" t="str">
        <f>IFERROR(__xludf.DUMMYFUNCTION("""COMPUTED_VALUE"""),"Bloc.Money")</f>
        <v>Bloc.Money</v>
      </c>
    </row>
    <row r="1843">
      <c r="A1843" s="4" t="str">
        <f>IFERROR(__xludf.DUMMYFUNCTION("""COMPUTED_VALUE"""),"blocsport-one")</f>
        <v>blocsport-one</v>
      </c>
      <c r="B1843" s="4" t="str">
        <f>IFERROR(__xludf.DUMMYFUNCTION("""COMPUTED_VALUE"""),"bls")</f>
        <v>bls</v>
      </c>
      <c r="C1843" s="4" t="str">
        <f>IFERROR(__xludf.DUMMYFUNCTION("""COMPUTED_VALUE"""),"Metacourt")</f>
        <v>Metacourt</v>
      </c>
    </row>
    <row r="1844">
      <c r="A1844" s="4" t="str">
        <f>IFERROR(__xludf.DUMMYFUNCTION("""COMPUTED_VALUE"""),"blocto-token")</f>
        <v>blocto-token</v>
      </c>
      <c r="B1844" s="4" t="str">
        <f>IFERROR(__xludf.DUMMYFUNCTION("""COMPUTED_VALUE"""),"blt")</f>
        <v>blt</v>
      </c>
      <c r="C1844" s="4" t="str">
        <f>IFERROR(__xludf.DUMMYFUNCTION("""COMPUTED_VALUE"""),"Blocto")</f>
        <v>Blocto</v>
      </c>
    </row>
    <row r="1845">
      <c r="A1845" s="4" t="str">
        <f>IFERROR(__xludf.DUMMYFUNCTION("""COMPUTED_VALUE"""),"blocx")</f>
        <v>blocx</v>
      </c>
      <c r="B1845" s="4" t="str">
        <f>IFERROR(__xludf.DUMMYFUNCTION("""COMPUTED_VALUE"""),"blx")</f>
        <v>blx</v>
      </c>
      <c r="C1845" s="4" t="str">
        <f>IFERROR(__xludf.DUMMYFUNCTION("""COMPUTED_VALUE"""),"BlocX [OLD]")</f>
        <v>BlocX [OLD]</v>
      </c>
    </row>
    <row r="1846">
      <c r="A1846" s="4" t="str">
        <f>IFERROR(__xludf.DUMMYFUNCTION("""COMPUTED_VALUE"""),"blocx-2")</f>
        <v>blocx-2</v>
      </c>
      <c r="B1846" s="4" t="str">
        <f>IFERROR(__xludf.DUMMYFUNCTION("""COMPUTED_VALUE"""),"blocx")</f>
        <v>blocx</v>
      </c>
      <c r="C1846" s="4" t="str">
        <f>IFERROR(__xludf.DUMMYFUNCTION("""COMPUTED_VALUE"""),"BLOCX.")</f>
        <v>BLOCX.</v>
      </c>
    </row>
    <row r="1847">
      <c r="A1847" s="4" t="str">
        <f>IFERROR(__xludf.DUMMYFUNCTION("""COMPUTED_VALUE"""),"blocx-3")</f>
        <v>blocx-3</v>
      </c>
      <c r="B1847" s="4" t="str">
        <f>IFERROR(__xludf.DUMMYFUNCTION("""COMPUTED_VALUE"""),"blx")</f>
        <v>blx</v>
      </c>
      <c r="C1847" s="4" t="str">
        <f>IFERROR(__xludf.DUMMYFUNCTION("""COMPUTED_VALUE"""),"BlocX")</f>
        <v>BlocX</v>
      </c>
    </row>
    <row r="1848">
      <c r="A1848" s="4" t="str">
        <f>IFERROR(__xludf.DUMMYFUNCTION("""COMPUTED_VALUE"""),"blokpad")</f>
        <v>blokpad</v>
      </c>
      <c r="B1848" s="4" t="str">
        <f>IFERROR(__xludf.DUMMYFUNCTION("""COMPUTED_VALUE"""),"bpad")</f>
        <v>bpad</v>
      </c>
      <c r="C1848" s="4" t="str">
        <f>IFERROR(__xludf.DUMMYFUNCTION("""COMPUTED_VALUE"""),"BlokPad")</f>
        <v>BlokPad</v>
      </c>
    </row>
    <row r="1849">
      <c r="A1849" s="4" t="str">
        <f>IFERROR(__xludf.DUMMYFUNCTION("""COMPUTED_VALUE"""),"bloktopia")</f>
        <v>bloktopia</v>
      </c>
      <c r="B1849" s="4" t="str">
        <f>IFERROR(__xludf.DUMMYFUNCTION("""COMPUTED_VALUE"""),"blok")</f>
        <v>blok</v>
      </c>
      <c r="C1849" s="4" t="str">
        <f>IFERROR(__xludf.DUMMYFUNCTION("""COMPUTED_VALUE"""),"Bloktopia")</f>
        <v>Bloktopia</v>
      </c>
    </row>
    <row r="1850">
      <c r="A1850" s="4" t="str">
        <f>IFERROR(__xludf.DUMMYFUNCTION("""COMPUTED_VALUE"""),"blood-crystal")</f>
        <v>blood-crystal</v>
      </c>
      <c r="B1850" s="4" t="str">
        <f>IFERROR(__xludf.DUMMYFUNCTION("""COMPUTED_VALUE"""),"bc")</f>
        <v>bc</v>
      </c>
      <c r="C1850" s="4" t="str">
        <f>IFERROR(__xludf.DUMMYFUNCTION("""COMPUTED_VALUE"""),"Blood Crystal")</f>
        <v>Blood Crystal</v>
      </c>
    </row>
    <row r="1851">
      <c r="A1851" s="4" t="str">
        <f>IFERROR(__xludf.DUMMYFUNCTION("""COMPUTED_VALUE"""),"bloody-bunny")</f>
        <v>bloody-bunny</v>
      </c>
      <c r="B1851" s="4" t="str">
        <f>IFERROR(__xludf.DUMMYFUNCTION("""COMPUTED_VALUE"""),"bony")</f>
        <v>bony</v>
      </c>
      <c r="C1851" s="4" t="str">
        <f>IFERROR(__xludf.DUMMYFUNCTION("""COMPUTED_VALUE"""),"Bloody Bunny")</f>
        <v>Bloody Bunny</v>
      </c>
    </row>
    <row r="1852">
      <c r="A1852" s="4" t="str">
        <f>IFERROR(__xludf.DUMMYFUNCTION("""COMPUTED_VALUE"""),"bloom")</f>
        <v>bloom</v>
      </c>
      <c r="B1852" s="4" t="str">
        <f>IFERROR(__xludf.DUMMYFUNCTION("""COMPUTED_VALUE"""),"blt")</f>
        <v>blt</v>
      </c>
      <c r="C1852" s="4" t="str">
        <f>IFERROR(__xludf.DUMMYFUNCTION("""COMPUTED_VALUE"""),"Bloom")</f>
        <v>Bloom</v>
      </c>
    </row>
    <row r="1853">
      <c r="A1853" s="4" t="str">
        <f>IFERROR(__xludf.DUMMYFUNCTION("""COMPUTED_VALUE"""),"blorp")</f>
        <v>blorp</v>
      </c>
      <c r="B1853" s="4" t="str">
        <f>IFERROR(__xludf.DUMMYFUNCTION("""COMPUTED_VALUE"""),"blorp")</f>
        <v>blorp</v>
      </c>
      <c r="C1853" s="4" t="str">
        <f>IFERROR(__xludf.DUMMYFUNCTION("""COMPUTED_VALUE"""),"BLORP")</f>
        <v>BLORP</v>
      </c>
    </row>
    <row r="1854">
      <c r="A1854" s="4" t="str">
        <f>IFERROR(__xludf.DUMMYFUNCTION("""COMPUTED_VALUE"""),"blox")</f>
        <v>blox</v>
      </c>
      <c r="B1854" s="4" t="str">
        <f>IFERROR(__xludf.DUMMYFUNCTION("""COMPUTED_VALUE"""),"cdt")</f>
        <v>cdt</v>
      </c>
      <c r="C1854" s="4" t="str">
        <f>IFERROR(__xludf.DUMMYFUNCTION("""COMPUTED_VALUE"""),"Blox")</f>
        <v>Blox</v>
      </c>
    </row>
    <row r="1855">
      <c r="A1855" s="4" t="str">
        <f>IFERROR(__xludf.DUMMYFUNCTION("""COMPUTED_VALUE"""),"blox-2")</f>
        <v>blox-2</v>
      </c>
      <c r="B1855" s="4" t="str">
        <f>IFERROR(__xludf.DUMMYFUNCTION("""COMPUTED_VALUE"""),"blox")</f>
        <v>blox</v>
      </c>
      <c r="C1855" s="4" t="str">
        <f>IFERROR(__xludf.DUMMYFUNCTION("""COMPUTED_VALUE"""),"BLOX")</f>
        <v>BLOX</v>
      </c>
    </row>
    <row r="1856">
      <c r="A1856" s="4" t="str">
        <f>IFERROR(__xludf.DUMMYFUNCTION("""COMPUTED_VALUE"""),"bloxies-coin")</f>
        <v>bloxies-coin</v>
      </c>
      <c r="B1856" s="4" t="str">
        <f>IFERROR(__xludf.DUMMYFUNCTION("""COMPUTED_VALUE"""),"bxc")</f>
        <v>bxc</v>
      </c>
      <c r="C1856" s="4" t="str">
        <f>IFERROR(__xludf.DUMMYFUNCTION("""COMPUTED_VALUE"""),"BitcoinX")</f>
        <v>BitcoinX</v>
      </c>
    </row>
    <row r="1857">
      <c r="A1857" s="4" t="str">
        <f>IFERROR(__xludf.DUMMYFUNCTION("""COMPUTED_VALUE"""),"bloxmove-erc20")</f>
        <v>bloxmove-erc20</v>
      </c>
      <c r="B1857" s="4" t="str">
        <f>IFERROR(__xludf.DUMMYFUNCTION("""COMPUTED_VALUE"""),"blxm")</f>
        <v>blxm</v>
      </c>
      <c r="C1857" s="4" t="str">
        <f>IFERROR(__xludf.DUMMYFUNCTION("""COMPUTED_VALUE"""),"bloXmove")</f>
        <v>bloXmove</v>
      </c>
    </row>
    <row r="1858">
      <c r="A1858" s="4" t="str">
        <f>IFERROR(__xludf.DUMMYFUNCTION("""COMPUTED_VALUE"""),"blox-token")</f>
        <v>blox-token</v>
      </c>
      <c r="B1858" s="4" t="str">
        <f>IFERROR(__xludf.DUMMYFUNCTION("""COMPUTED_VALUE"""),"blox")</f>
        <v>blox</v>
      </c>
      <c r="C1858" s="4" t="str">
        <f>IFERROR(__xludf.DUMMYFUNCTION("""COMPUTED_VALUE"""),"Blox SDK")</f>
        <v>Blox SDK</v>
      </c>
    </row>
    <row r="1859">
      <c r="A1859" s="4" t="str">
        <f>IFERROR(__xludf.DUMMYFUNCTION("""COMPUTED_VALUE"""),"blu")</f>
        <v>blu</v>
      </c>
      <c r="B1859" s="4" t="str">
        <f>IFERROR(__xludf.DUMMYFUNCTION("""COMPUTED_VALUE"""),"blu")</f>
        <v>blu</v>
      </c>
      <c r="C1859" s="4" t="str">
        <f>IFERROR(__xludf.DUMMYFUNCTION("""COMPUTED_VALUE"""),"BLU")</f>
        <v>BLU</v>
      </c>
    </row>
    <row r="1860">
      <c r="A1860" s="4" t="str">
        <f>IFERROR(__xludf.DUMMYFUNCTION("""COMPUTED_VALUE"""),"blubi")</f>
        <v>blubi</v>
      </c>
      <c r="B1860" s="4" t="str">
        <f>IFERROR(__xludf.DUMMYFUNCTION("""COMPUTED_VALUE"""),"blubi")</f>
        <v>blubi</v>
      </c>
      <c r="C1860" s="4" t="str">
        <f>IFERROR(__xludf.DUMMYFUNCTION("""COMPUTED_VALUE"""),"Blubi")</f>
        <v>Blubi</v>
      </c>
    </row>
    <row r="1861">
      <c r="A1861" s="4" t="str">
        <f>IFERROR(__xludf.DUMMYFUNCTION("""COMPUTED_VALUE"""),"blubird")</f>
        <v>blubird</v>
      </c>
      <c r="B1861" s="4" t="str">
        <f>IFERROR(__xludf.DUMMYFUNCTION("""COMPUTED_VALUE"""),"blu")</f>
        <v>blu</v>
      </c>
      <c r="C1861" s="4" t="str">
        <f>IFERROR(__xludf.DUMMYFUNCTION("""COMPUTED_VALUE"""),"Blubird")</f>
        <v>Blubird</v>
      </c>
    </row>
    <row r="1862">
      <c r="A1862" s="4" t="str">
        <f>IFERROR(__xludf.DUMMYFUNCTION("""COMPUTED_VALUE"""),"blueart")</f>
        <v>blueart</v>
      </c>
      <c r="B1862" s="4" t="str">
        <f>IFERROR(__xludf.DUMMYFUNCTION("""COMPUTED_VALUE"""),"bla")</f>
        <v>bla</v>
      </c>
      <c r="C1862" s="4" t="str">
        <f>IFERROR(__xludf.DUMMYFUNCTION("""COMPUTED_VALUE"""),"BLUEART TOKEN")</f>
        <v>BLUEART TOKEN</v>
      </c>
    </row>
    <row r="1863">
      <c r="A1863" s="4" t="str">
        <f>IFERROR(__xludf.DUMMYFUNCTION("""COMPUTED_VALUE"""),"bluebenx-2")</f>
        <v>bluebenx-2</v>
      </c>
      <c r="B1863" s="4" t="str">
        <f>IFERROR(__xludf.DUMMYFUNCTION("""COMPUTED_VALUE"""),"benx")</f>
        <v>benx</v>
      </c>
      <c r="C1863" s="4" t="str">
        <f>IFERROR(__xludf.DUMMYFUNCTION("""COMPUTED_VALUE"""),"BlueBenx")</f>
        <v>BlueBenx</v>
      </c>
    </row>
    <row r="1864">
      <c r="A1864" s="4" t="str">
        <f>IFERROR(__xludf.DUMMYFUNCTION("""COMPUTED_VALUE"""),"blueberry")</f>
        <v>blueberry</v>
      </c>
      <c r="B1864" s="4" t="str">
        <f>IFERROR(__xludf.DUMMYFUNCTION("""COMPUTED_VALUE"""),"blb")</f>
        <v>blb</v>
      </c>
      <c r="C1864" s="4" t="str">
        <f>IFERROR(__xludf.DUMMYFUNCTION("""COMPUTED_VALUE"""),"Blueberry")</f>
        <v>Blueberry</v>
      </c>
    </row>
    <row r="1865">
      <c r="A1865" s="4" t="str">
        <f>IFERROR(__xludf.DUMMYFUNCTION("""COMPUTED_VALUE"""),"blue-chip")</f>
        <v>blue-chip</v>
      </c>
      <c r="B1865" s="4" t="str">
        <f>IFERROR(__xludf.DUMMYFUNCTION("""COMPUTED_VALUE"""),"chip")</f>
        <v>chip</v>
      </c>
      <c r="C1865" s="4" t="str">
        <f>IFERROR(__xludf.DUMMYFUNCTION("""COMPUTED_VALUE"""),"Blue Chip")</f>
        <v>Blue Chip</v>
      </c>
    </row>
    <row r="1866">
      <c r="A1866" s="4" t="str">
        <f>IFERROR(__xludf.DUMMYFUNCTION("""COMPUTED_VALUE"""),"bluefin")</f>
        <v>bluefin</v>
      </c>
      <c r="B1866" s="4" t="str">
        <f>IFERROR(__xludf.DUMMYFUNCTION("""COMPUTED_VALUE"""),"blue")</f>
        <v>blue</v>
      </c>
      <c r="C1866" s="4" t="str">
        <f>IFERROR(__xludf.DUMMYFUNCTION("""COMPUTED_VALUE"""),"Bluefin")</f>
        <v>Bluefin</v>
      </c>
    </row>
    <row r="1867">
      <c r="A1867" s="4" t="str">
        <f>IFERROR(__xludf.DUMMYFUNCTION("""COMPUTED_VALUE"""),"bluefloki")</f>
        <v>bluefloki</v>
      </c>
      <c r="B1867" s="4" t="str">
        <f>IFERROR(__xludf.DUMMYFUNCTION("""COMPUTED_VALUE"""),"bluefloki")</f>
        <v>bluefloki</v>
      </c>
      <c r="C1867" s="4" t="str">
        <f>IFERROR(__xludf.DUMMYFUNCTION("""COMPUTED_VALUE"""),"BlueFloki")</f>
        <v>BlueFloki</v>
      </c>
    </row>
    <row r="1868">
      <c r="A1868" s="4" t="str">
        <f>IFERROR(__xludf.DUMMYFUNCTION("""COMPUTED_VALUE"""),"blue-frog")</f>
        <v>blue-frog</v>
      </c>
      <c r="B1868" s="4" t="str">
        <f>IFERROR(__xludf.DUMMYFUNCTION("""COMPUTED_VALUE"""),"bluefrog")</f>
        <v>bluefrog</v>
      </c>
      <c r="C1868" s="4" t="str">
        <f>IFERROR(__xludf.DUMMYFUNCTION("""COMPUTED_VALUE"""),"Blue Frog")</f>
        <v>Blue Frog</v>
      </c>
    </row>
    <row r="1869">
      <c r="A1869" s="4" t="str">
        <f>IFERROR(__xludf.DUMMYFUNCTION("""COMPUTED_VALUE"""),"bluejay")</f>
        <v>bluejay</v>
      </c>
      <c r="B1869" s="4" t="str">
        <f>IFERROR(__xludf.DUMMYFUNCTION("""COMPUTED_VALUE"""),"blu")</f>
        <v>blu</v>
      </c>
      <c r="C1869" s="4" t="str">
        <f>IFERROR(__xludf.DUMMYFUNCTION("""COMPUTED_VALUE"""),"Bluejay")</f>
        <v>Bluejay</v>
      </c>
    </row>
    <row r="1870">
      <c r="A1870" s="4" t="str">
        <f>IFERROR(__xludf.DUMMYFUNCTION("""COMPUTED_VALUE"""),"blue-kirby")</f>
        <v>blue-kirby</v>
      </c>
      <c r="B1870" s="4" t="str">
        <f>IFERROR(__xludf.DUMMYFUNCTION("""COMPUTED_VALUE"""),"kirby")</f>
        <v>kirby</v>
      </c>
      <c r="C1870" s="4" t="str">
        <f>IFERROR(__xludf.DUMMYFUNCTION("""COMPUTED_VALUE"""),"Blue Kirby")</f>
        <v>Blue Kirby</v>
      </c>
    </row>
    <row r="1871">
      <c r="A1871" s="4" t="str">
        <f>IFERROR(__xludf.DUMMYFUNCTION("""COMPUTED_VALUE"""),"bluemove")</f>
        <v>bluemove</v>
      </c>
      <c r="B1871" s="4" t="str">
        <f>IFERROR(__xludf.DUMMYFUNCTION("""COMPUTED_VALUE"""),"move")</f>
        <v>move</v>
      </c>
      <c r="C1871" s="4" t="str">
        <f>IFERROR(__xludf.DUMMYFUNCTION("""COMPUTED_VALUE"""),"BlueMove")</f>
        <v>BlueMove</v>
      </c>
    </row>
    <row r="1872">
      <c r="A1872" s="4" t="str">
        <f>IFERROR(__xludf.DUMMYFUNCTION("""COMPUTED_VALUE"""),"blue-pill")</f>
        <v>blue-pill</v>
      </c>
      <c r="B1872" s="4" t="str">
        <f>IFERROR(__xludf.DUMMYFUNCTION("""COMPUTED_VALUE"""),"bpill")</f>
        <v>bpill</v>
      </c>
      <c r="C1872" s="4" t="str">
        <f>IFERROR(__xludf.DUMMYFUNCTION("""COMPUTED_VALUE"""),"BLUE PILL")</f>
        <v>BLUE PILL</v>
      </c>
    </row>
    <row r="1873">
      <c r="A1873" s="4" t="str">
        <f>IFERROR(__xludf.DUMMYFUNCTION("""COMPUTED_VALUE"""),"blueprint")</f>
        <v>blueprint</v>
      </c>
      <c r="B1873" s="4" t="str">
        <f>IFERROR(__xludf.DUMMYFUNCTION("""COMPUTED_VALUE"""),"blue")</f>
        <v>blue</v>
      </c>
      <c r="C1873" s="4" t="str">
        <f>IFERROR(__xludf.DUMMYFUNCTION("""COMPUTED_VALUE"""),"Blue")</f>
        <v>Blue</v>
      </c>
    </row>
    <row r="1874">
      <c r="A1874" s="4" t="str">
        <f>IFERROR(__xludf.DUMMYFUNCTION("""COMPUTED_VALUE"""),"blueprint-oblue")</f>
        <v>blueprint-oblue</v>
      </c>
      <c r="B1874" s="4" t="str">
        <f>IFERROR(__xludf.DUMMYFUNCTION("""COMPUTED_VALUE"""),"oblue")</f>
        <v>oblue</v>
      </c>
      <c r="C1874" s="4" t="str">
        <f>IFERROR(__xludf.DUMMYFUNCTION("""COMPUTED_VALUE"""),"Blueprint oBLUE")</f>
        <v>Blueprint oBLUE</v>
      </c>
    </row>
    <row r="1875">
      <c r="A1875" s="4" t="str">
        <f>IFERROR(__xludf.DUMMYFUNCTION("""COMPUTED_VALUE"""),"bluesale")</f>
        <v>bluesale</v>
      </c>
      <c r="B1875" s="4" t="str">
        <f>IFERROR(__xludf.DUMMYFUNCTION("""COMPUTED_VALUE"""),"bls")</f>
        <v>bls</v>
      </c>
      <c r="C1875" s="4" t="str">
        <f>IFERROR(__xludf.DUMMYFUNCTION("""COMPUTED_VALUE"""),"BlueSale")</f>
        <v>BlueSale</v>
      </c>
    </row>
    <row r="1876">
      <c r="A1876" s="4" t="str">
        <f>IFERROR(__xludf.DUMMYFUNCTION("""COMPUTED_VALUE"""),"blueshift")</f>
        <v>blueshift</v>
      </c>
      <c r="B1876" s="4" t="str">
        <f>IFERROR(__xludf.DUMMYFUNCTION("""COMPUTED_VALUE"""),"blues")</f>
        <v>blues</v>
      </c>
      <c r="C1876" s="4" t="str">
        <f>IFERROR(__xludf.DUMMYFUNCTION("""COMPUTED_VALUE"""),"Blueshift")</f>
        <v>Blueshift</v>
      </c>
    </row>
    <row r="1877">
      <c r="A1877" s="4" t="str">
        <f>IFERROR(__xludf.DUMMYFUNCTION("""COMPUTED_VALUE"""),"bluesparrow")</f>
        <v>bluesparrow</v>
      </c>
      <c r="B1877" s="4" t="str">
        <f>IFERROR(__xludf.DUMMYFUNCTION("""COMPUTED_VALUE"""),"bluesparrow")</f>
        <v>bluesparrow</v>
      </c>
      <c r="C1877" s="4" t="str">
        <f>IFERROR(__xludf.DUMMYFUNCTION("""COMPUTED_VALUE"""),"BlueSparrow")</f>
        <v>BlueSparrow</v>
      </c>
    </row>
    <row r="1878">
      <c r="A1878" s="4" t="str">
        <f>IFERROR(__xludf.DUMMYFUNCTION("""COMPUTED_VALUE"""),"bluesparrow-token")</f>
        <v>bluesparrow-token</v>
      </c>
      <c r="B1878" s="4" t="str">
        <f>IFERROR(__xludf.DUMMYFUNCTION("""COMPUTED_VALUE"""),"bluesparrow")</f>
        <v>bluesparrow</v>
      </c>
      <c r="C1878" s="4" t="str">
        <f>IFERROR(__xludf.DUMMYFUNCTION("""COMPUTED_VALUE"""),"BlueSparrow [OLD]")</f>
        <v>BlueSparrow [OLD]</v>
      </c>
    </row>
    <row r="1879">
      <c r="A1879" s="4" t="str">
        <f>IFERROR(__xludf.DUMMYFUNCTION("""COMPUTED_VALUE"""),"blue-team")</f>
        <v>blue-team</v>
      </c>
      <c r="B1879" s="4" t="str">
        <f>IFERROR(__xludf.DUMMYFUNCTION("""COMPUTED_VALUE"""),"blue")</f>
        <v>blue</v>
      </c>
      <c r="C1879" s="4" t="str">
        <f>IFERROR(__xludf.DUMMYFUNCTION("""COMPUTED_VALUE"""),"Blue Team")</f>
        <v>Blue Team</v>
      </c>
    </row>
    <row r="1880">
      <c r="A1880" s="4" t="str">
        <f>IFERROR(__xludf.DUMMYFUNCTION("""COMPUTED_VALUE"""),"blue-whale-2")</f>
        <v>blue-whale-2</v>
      </c>
      <c r="B1880" s="4" t="str">
        <f>IFERROR(__xludf.DUMMYFUNCTION("""COMPUTED_VALUE"""),"whale")</f>
        <v>whale</v>
      </c>
      <c r="C1880" s="4" t="str">
        <f>IFERROR(__xludf.DUMMYFUNCTION("""COMPUTED_VALUE"""),"Blue Whale")</f>
        <v>Blue Whale</v>
      </c>
    </row>
    <row r="1881">
      <c r="A1881" s="4" t="str">
        <f>IFERROR(__xludf.DUMMYFUNCTION("""COMPUTED_VALUE"""),"blur")</f>
        <v>blur</v>
      </c>
      <c r="B1881" s="4" t="str">
        <f>IFERROR(__xludf.DUMMYFUNCTION("""COMPUTED_VALUE"""),"blur")</f>
        <v>blur</v>
      </c>
      <c r="C1881" s="4" t="str">
        <f>IFERROR(__xludf.DUMMYFUNCTION("""COMPUTED_VALUE"""),"Blur")</f>
        <v>Blur</v>
      </c>
    </row>
    <row r="1882">
      <c r="A1882" s="4" t="str">
        <f>IFERROR(__xludf.DUMMYFUNCTION("""COMPUTED_VALUE"""),"blurt")</f>
        <v>blurt</v>
      </c>
      <c r="B1882" s="4" t="str">
        <f>IFERROR(__xludf.DUMMYFUNCTION("""COMPUTED_VALUE"""),"blurt")</f>
        <v>blurt</v>
      </c>
      <c r="C1882" s="4" t="str">
        <f>IFERROR(__xludf.DUMMYFUNCTION("""COMPUTED_VALUE"""),"Blurt")</f>
        <v>Blurt</v>
      </c>
    </row>
    <row r="1883">
      <c r="A1883" s="4" t="str">
        <f>IFERROR(__xludf.DUMMYFUNCTION("""COMPUTED_VALUE"""),"bluzelle")</f>
        <v>bluzelle</v>
      </c>
      <c r="B1883" s="4" t="str">
        <f>IFERROR(__xludf.DUMMYFUNCTION("""COMPUTED_VALUE"""),"blz")</f>
        <v>blz</v>
      </c>
      <c r="C1883" s="4" t="str">
        <f>IFERROR(__xludf.DUMMYFUNCTION("""COMPUTED_VALUE"""),"Bluzelle")</f>
        <v>Bluzelle</v>
      </c>
    </row>
    <row r="1884">
      <c r="A1884" s="4" t="str">
        <f>IFERROR(__xludf.DUMMYFUNCTION("""COMPUTED_VALUE"""),"bm2k")</f>
        <v>bm2k</v>
      </c>
      <c r="B1884" s="4" t="str">
        <f>IFERROR(__xludf.DUMMYFUNCTION("""COMPUTED_VALUE"""),"bm2k")</f>
        <v>bm2k</v>
      </c>
      <c r="C1884" s="4" t="str">
        <f>IFERROR(__xludf.DUMMYFUNCTION("""COMPUTED_VALUE"""),"bm2k")</f>
        <v>bm2k</v>
      </c>
    </row>
    <row r="1885">
      <c r="A1885" s="4" t="str">
        <f>IFERROR(__xludf.DUMMYFUNCTION("""COMPUTED_VALUE"""),"bmax")</f>
        <v>bmax</v>
      </c>
      <c r="B1885" s="4" t="str">
        <f>IFERROR(__xludf.DUMMYFUNCTION("""COMPUTED_VALUE"""),"bmax")</f>
        <v>bmax</v>
      </c>
      <c r="C1885" s="4" t="str">
        <f>IFERROR(__xludf.DUMMYFUNCTION("""COMPUTED_VALUE"""),"BMAX")</f>
        <v>BMAX</v>
      </c>
    </row>
    <row r="1886">
      <c r="A1886" s="4" t="str">
        <f>IFERROR(__xludf.DUMMYFUNCTION("""COMPUTED_VALUE"""),"bmchain-token")</f>
        <v>bmchain-token</v>
      </c>
      <c r="B1886" s="4" t="str">
        <f>IFERROR(__xludf.DUMMYFUNCTION("""COMPUTED_VALUE"""),"bmt")</f>
        <v>bmt</v>
      </c>
      <c r="C1886" s="4" t="str">
        <f>IFERROR(__xludf.DUMMYFUNCTION("""COMPUTED_VALUE"""),"BMCHAIN")</f>
        <v>BMCHAIN</v>
      </c>
    </row>
    <row r="1887">
      <c r="A1887" s="4" t="str">
        <f>IFERROR(__xludf.DUMMYFUNCTION("""COMPUTED_VALUE"""),"bmp")</f>
        <v>bmp</v>
      </c>
      <c r="B1887" s="4" t="str">
        <f>IFERROR(__xludf.DUMMYFUNCTION("""COMPUTED_VALUE"""),"$bmp")</f>
        <v>$bmp</v>
      </c>
      <c r="C1887" s="4" t="str">
        <f>IFERROR(__xludf.DUMMYFUNCTION("""COMPUTED_VALUE"""),"BMP")</f>
        <v>BMP</v>
      </c>
    </row>
    <row r="1888">
      <c r="A1888" s="4" t="str">
        <f>IFERROR(__xludf.DUMMYFUNCTION("""COMPUTED_VALUE"""),"bmx")</f>
        <v>bmx</v>
      </c>
      <c r="B1888" s="4" t="str">
        <f>IFERROR(__xludf.DUMMYFUNCTION("""COMPUTED_VALUE"""),"bmx")</f>
        <v>bmx</v>
      </c>
      <c r="C1888" s="4" t="str">
        <f>IFERROR(__xludf.DUMMYFUNCTION("""COMPUTED_VALUE"""),"BMX")</f>
        <v>BMX</v>
      </c>
    </row>
    <row r="1889">
      <c r="A1889" s="4" t="str">
        <f>IFERROR(__xludf.DUMMYFUNCTION("""COMPUTED_VALUE"""),"bnb48-club-token")</f>
        <v>bnb48-club-token</v>
      </c>
      <c r="B1889" s="4" t="str">
        <f>IFERROR(__xludf.DUMMYFUNCTION("""COMPUTED_VALUE"""),"koge")</f>
        <v>koge</v>
      </c>
      <c r="C1889" s="4" t="str">
        <f>IFERROR(__xludf.DUMMYFUNCTION("""COMPUTED_VALUE"""),"KOGE")</f>
        <v>KOGE</v>
      </c>
    </row>
    <row r="1890">
      <c r="A1890" s="4" t="str">
        <f>IFERROR(__xludf.DUMMYFUNCTION("""COMPUTED_VALUE"""),"bnb-bank")</f>
        <v>bnb-bank</v>
      </c>
      <c r="B1890" s="4" t="str">
        <f>IFERROR(__xludf.DUMMYFUNCTION("""COMPUTED_VALUE"""),"bbk")</f>
        <v>bbk</v>
      </c>
      <c r="C1890" s="4" t="str">
        <f>IFERROR(__xludf.DUMMYFUNCTION("""COMPUTED_VALUE"""),"BNB Bank")</f>
        <v>BNB Bank</v>
      </c>
    </row>
    <row r="1891">
      <c r="A1891" s="4" t="str">
        <f>IFERROR(__xludf.DUMMYFUNCTION("""COMPUTED_VALUE"""),"bnb-diamond")</f>
        <v>bnb-diamond</v>
      </c>
      <c r="B1891" s="4" t="str">
        <f>IFERROR(__xludf.DUMMYFUNCTION("""COMPUTED_VALUE"""),"bnbd")</f>
        <v>bnbd</v>
      </c>
      <c r="C1891" s="4" t="str">
        <f>IFERROR(__xludf.DUMMYFUNCTION("""COMPUTED_VALUE"""),"BNB Diamond")</f>
        <v>BNB Diamond</v>
      </c>
    </row>
    <row r="1892">
      <c r="A1892" s="4" t="str">
        <f>IFERROR(__xludf.DUMMYFUNCTION("""COMPUTED_VALUE"""),"bnbee")</f>
        <v>bnbee</v>
      </c>
      <c r="B1892" s="4" t="str">
        <f>IFERROR(__xludf.DUMMYFUNCTION("""COMPUTED_VALUE"""),"bee")</f>
        <v>bee</v>
      </c>
      <c r="C1892" s="4" t="str">
        <f>IFERROR(__xludf.DUMMYFUNCTION("""COMPUTED_VALUE"""),"BNBEE")</f>
        <v>BNBEE</v>
      </c>
    </row>
    <row r="1893">
      <c r="A1893" s="4" t="str">
        <f>IFERROR(__xludf.DUMMYFUNCTION("""COMPUTED_VALUE"""),"bnbking")</f>
        <v>bnbking</v>
      </c>
      <c r="B1893" s="4" t="str">
        <f>IFERROR(__xludf.DUMMYFUNCTION("""COMPUTED_VALUE"""),"bnbking")</f>
        <v>bnbking</v>
      </c>
      <c r="C1893" s="4" t="str">
        <f>IFERROR(__xludf.DUMMYFUNCTION("""COMPUTED_VALUE"""),"BNBKinG")</f>
        <v>BNBKinG</v>
      </c>
    </row>
    <row r="1894">
      <c r="A1894" s="4" t="str">
        <f>IFERROR(__xludf.DUMMYFUNCTION("""COMPUTED_VALUE"""),"bnb-pets")</f>
        <v>bnb-pets</v>
      </c>
      <c r="B1894" s="4" t="str">
        <f>IFERROR(__xludf.DUMMYFUNCTION("""COMPUTED_VALUE"""),"pets")</f>
        <v>pets</v>
      </c>
      <c r="C1894" s="4" t="str">
        <f>IFERROR(__xludf.DUMMYFUNCTION("""COMPUTED_VALUE"""),"BNB Pets")</f>
        <v>BNB Pets</v>
      </c>
    </row>
    <row r="1895">
      <c r="A1895" s="4" t="str">
        <f>IFERROR(__xludf.DUMMYFUNCTION("""COMPUTED_VALUE"""),"bnbtiger")</f>
        <v>bnbtiger</v>
      </c>
      <c r="B1895" s="4" t="str">
        <f>IFERROR(__xludf.DUMMYFUNCTION("""COMPUTED_VALUE"""),"bnbtiger")</f>
        <v>bnbtiger</v>
      </c>
      <c r="C1895" s="4" t="str">
        <f>IFERROR(__xludf.DUMMYFUNCTION("""COMPUTED_VALUE"""),"BNB Tiger Inu")</f>
        <v>BNB Tiger Inu</v>
      </c>
    </row>
    <row r="1896">
      <c r="A1896" s="4" t="str">
        <f>IFERROR(__xludf.DUMMYFUNCTION("""COMPUTED_VALUE"""),"bnb-tiger")</f>
        <v>bnb-tiger</v>
      </c>
      <c r="B1896" s="4" t="str">
        <f>IFERROR(__xludf.DUMMYFUNCTION("""COMPUTED_VALUE"""),"$bnbtiger")</f>
        <v>$bnbtiger</v>
      </c>
      <c r="C1896" s="4" t="str">
        <f>IFERROR(__xludf.DUMMYFUNCTION("""COMPUTED_VALUE"""),"BNB Tiger")</f>
        <v>BNB Tiger</v>
      </c>
    </row>
    <row r="1897">
      <c r="A1897" s="4" t="str">
        <f>IFERROR(__xludf.DUMMYFUNCTION("""COMPUTED_VALUE"""),"bnb-whales")</f>
        <v>bnb-whales</v>
      </c>
      <c r="B1897" s="4" t="str">
        <f>IFERROR(__xludf.DUMMYFUNCTION("""COMPUTED_VALUE"""),"bnb whales")</f>
        <v>bnb whales</v>
      </c>
      <c r="C1897" s="4" t="str">
        <f>IFERROR(__xludf.DUMMYFUNCTION("""COMPUTED_VALUE"""),"BNB Whales")</f>
        <v>BNB Whales</v>
      </c>
    </row>
    <row r="1898">
      <c r="A1898" s="4" t="str">
        <f>IFERROR(__xludf.DUMMYFUNCTION("""COMPUTED_VALUE"""),"bnext-b3x")</f>
        <v>bnext-b3x</v>
      </c>
      <c r="B1898" s="4" t="str">
        <f>IFERROR(__xludf.DUMMYFUNCTION("""COMPUTED_VALUE"""),"b3x")</f>
        <v>b3x</v>
      </c>
      <c r="C1898" s="4" t="str">
        <f>IFERROR(__xludf.DUMMYFUNCTION("""COMPUTED_VALUE"""),"Bnext B3X")</f>
        <v>Bnext B3X</v>
      </c>
    </row>
    <row r="1899">
      <c r="A1899" s="4" t="str">
        <f>IFERROR(__xludf.DUMMYFUNCTION("""COMPUTED_VALUE"""),"bnktothefuture")</f>
        <v>bnktothefuture</v>
      </c>
      <c r="B1899" s="4" t="str">
        <f>IFERROR(__xludf.DUMMYFUNCTION("""COMPUTED_VALUE"""),"bft")</f>
        <v>bft</v>
      </c>
      <c r="C1899" s="4" t="str">
        <f>IFERROR(__xludf.DUMMYFUNCTION("""COMPUTED_VALUE"""),"BnkToTheFuture")</f>
        <v>BnkToTheFuture</v>
      </c>
    </row>
    <row r="1900">
      <c r="A1900" s="4" t="str">
        <f>IFERROR(__xludf.DUMMYFUNCTION("""COMPUTED_VALUE"""),"bnsd-finance")</f>
        <v>bnsd-finance</v>
      </c>
      <c r="B1900" s="4" t="str">
        <f>IFERROR(__xludf.DUMMYFUNCTION("""COMPUTED_VALUE"""),"bnsd")</f>
        <v>bnsd</v>
      </c>
      <c r="C1900" s="4" t="str">
        <f>IFERROR(__xludf.DUMMYFUNCTION("""COMPUTED_VALUE"""),"BNSD Finance")</f>
        <v>BNSD Finance</v>
      </c>
    </row>
    <row r="1901">
      <c r="A1901" s="4" t="str">
        <f>IFERROR(__xludf.DUMMYFUNCTION("""COMPUTED_VALUE"""),"bns-token")</f>
        <v>bns-token</v>
      </c>
      <c r="B1901" s="4" t="str">
        <f>IFERROR(__xludf.DUMMYFUNCTION("""COMPUTED_VALUE"""),"bns")</f>
        <v>bns</v>
      </c>
      <c r="C1901" s="4" t="str">
        <f>IFERROR(__xludf.DUMMYFUNCTION("""COMPUTED_VALUE"""),"BNS")</f>
        <v>BNS</v>
      </c>
    </row>
    <row r="1902">
      <c r="A1902" s="4" t="str">
        <f>IFERROR(__xludf.DUMMYFUNCTION("""COMPUTED_VALUE"""),"bob")</f>
        <v>bob</v>
      </c>
      <c r="B1902" s="4" t="str">
        <f>IFERROR(__xludf.DUMMYFUNCTION("""COMPUTED_VALUE"""),"bob")</f>
        <v>bob</v>
      </c>
      <c r="C1902" s="4" t="str">
        <f>IFERROR(__xludf.DUMMYFUNCTION("""COMPUTED_VALUE"""),"BOB")</f>
        <v>BOB</v>
      </c>
    </row>
    <row r="1903">
      <c r="A1903" s="4" t="str">
        <f>IFERROR(__xludf.DUMMYFUNCTION("""COMPUTED_VALUE"""),"bobacat")</f>
        <v>bobacat</v>
      </c>
      <c r="B1903" s="4" t="str">
        <f>IFERROR(__xludf.DUMMYFUNCTION("""COMPUTED_VALUE"""),"psps")</f>
        <v>psps</v>
      </c>
      <c r="C1903" s="4" t="str">
        <f>IFERROR(__xludf.DUMMYFUNCTION("""COMPUTED_VALUE"""),"BobaCat")</f>
        <v>BobaCat</v>
      </c>
    </row>
    <row r="1904">
      <c r="A1904" s="4" t="str">
        <f>IFERROR(__xludf.DUMMYFUNCTION("""COMPUTED_VALUE"""),"boba-finance")</f>
        <v>boba-finance</v>
      </c>
      <c r="B1904" s="4" t="str">
        <f>IFERROR(__xludf.DUMMYFUNCTION("""COMPUTED_VALUE"""),"bfi")</f>
        <v>bfi</v>
      </c>
      <c r="C1904" s="4" t="str">
        <f>IFERROR(__xludf.DUMMYFUNCTION("""COMPUTED_VALUE"""),"Boba Finance")</f>
        <v>Boba Finance</v>
      </c>
    </row>
    <row r="1905">
      <c r="A1905" s="4" t="str">
        <f>IFERROR(__xludf.DUMMYFUNCTION("""COMPUTED_VALUE"""),"boba-network")</f>
        <v>boba-network</v>
      </c>
      <c r="B1905" s="4" t="str">
        <f>IFERROR(__xludf.DUMMYFUNCTION("""COMPUTED_VALUE"""),"boba")</f>
        <v>boba</v>
      </c>
      <c r="C1905" s="4" t="str">
        <f>IFERROR(__xludf.DUMMYFUNCTION("""COMPUTED_VALUE"""),"Boba Network")</f>
        <v>Boba Network</v>
      </c>
    </row>
    <row r="1906">
      <c r="A1906" s="4" t="str">
        <f>IFERROR(__xludf.DUMMYFUNCTION("""COMPUTED_VALUE"""),"boba-oppa")</f>
        <v>boba-oppa</v>
      </c>
      <c r="B1906" s="4" t="str">
        <f>IFERROR(__xludf.DUMMYFUNCTION("""COMPUTED_VALUE"""),"bobaoppa")</f>
        <v>bobaoppa</v>
      </c>
      <c r="C1906" s="4" t="str">
        <f>IFERROR(__xludf.DUMMYFUNCTION("""COMPUTED_VALUE"""),"Boba Oppa")</f>
        <v>Boba Oppa</v>
      </c>
    </row>
    <row r="1907">
      <c r="A1907" s="4" t="str">
        <f>IFERROR(__xludf.DUMMYFUNCTION("""COMPUTED_VALUE"""),"bobcoin")</f>
        <v>bobcoin</v>
      </c>
      <c r="B1907" s="4" t="str">
        <f>IFERROR(__xludf.DUMMYFUNCTION("""COMPUTED_VALUE"""),"bobc")</f>
        <v>bobc</v>
      </c>
      <c r="C1907" s="4" t="str">
        <f>IFERROR(__xludf.DUMMYFUNCTION("""COMPUTED_VALUE"""),"Bobcoin")</f>
        <v>Bobcoin</v>
      </c>
    </row>
    <row r="1908">
      <c r="A1908" s="4" t="str">
        <f>IFERROR(__xludf.DUMMYFUNCTION("""COMPUTED_VALUE"""),"bober")</f>
        <v>bober</v>
      </c>
      <c r="B1908" s="4" t="str">
        <f>IFERROR(__xludf.DUMMYFUNCTION("""COMPUTED_VALUE"""),"bober")</f>
        <v>bober</v>
      </c>
      <c r="C1908" s="4" t="str">
        <f>IFERROR(__xludf.DUMMYFUNCTION("""COMPUTED_VALUE"""),"BOBER")</f>
        <v>BOBER</v>
      </c>
    </row>
    <row r="1909">
      <c r="A1909" s="4" t="str">
        <f>IFERROR(__xludf.DUMMYFUNCTION("""COMPUTED_VALUE"""),"bobi")</f>
        <v>bobi</v>
      </c>
      <c r="B1909" s="4" t="str">
        <f>IFERROR(__xludf.DUMMYFUNCTION("""COMPUTED_VALUE"""),"bobi")</f>
        <v>bobi</v>
      </c>
      <c r="C1909" s="4" t="str">
        <f>IFERROR(__xludf.DUMMYFUNCTION("""COMPUTED_VALUE"""),"Bobi")</f>
        <v>Bobi</v>
      </c>
    </row>
    <row r="1910">
      <c r="A1910" s="4" t="str">
        <f>IFERROR(__xludf.DUMMYFUNCTION("""COMPUTED_VALUE"""),"bobo")</f>
        <v>bobo</v>
      </c>
      <c r="B1910" s="4" t="str">
        <f>IFERROR(__xludf.DUMMYFUNCTION("""COMPUTED_VALUE"""),"bobo")</f>
        <v>bobo</v>
      </c>
      <c r="C1910" s="4" t="str">
        <f>IFERROR(__xludf.DUMMYFUNCTION("""COMPUTED_VALUE"""),"Bobo")</f>
        <v>Bobo</v>
      </c>
    </row>
    <row r="1911">
      <c r="A1911" s="4" t="str">
        <f>IFERROR(__xludf.DUMMYFUNCTION("""COMPUTED_VALUE"""),"bobo-coin")</f>
        <v>bobo-coin</v>
      </c>
      <c r="B1911" s="4" t="str">
        <f>IFERROR(__xludf.DUMMYFUNCTION("""COMPUTED_VALUE"""),"bobo")</f>
        <v>bobo</v>
      </c>
      <c r="C1911" s="4" t="str">
        <f>IFERROR(__xludf.DUMMYFUNCTION("""COMPUTED_VALUE"""),"BOBO Coin")</f>
        <v>BOBO Coin</v>
      </c>
    </row>
    <row r="1912">
      <c r="A1912" s="4" t="str">
        <f>IFERROR(__xludf.DUMMYFUNCTION("""COMPUTED_VALUE"""),"bobo-on-sol")</f>
        <v>bobo-on-sol</v>
      </c>
      <c r="B1912" s="4" t="str">
        <f>IFERROR(__xludf.DUMMYFUNCTION("""COMPUTED_VALUE"""),"bobo")</f>
        <v>bobo</v>
      </c>
      <c r="C1912" s="4" t="str">
        <f>IFERROR(__xludf.DUMMYFUNCTION("""COMPUTED_VALUE"""),"Bobo on SOL")</f>
        <v>Bobo on SOL</v>
      </c>
    </row>
    <row r="1913">
      <c r="A1913" s="4" t="str">
        <f>IFERROR(__xludf.DUMMYFUNCTION("""COMPUTED_VALUE"""),"bobs")</f>
        <v>bobs</v>
      </c>
      <c r="B1913" s="4" t="str">
        <f>IFERROR(__xludf.DUMMYFUNCTION("""COMPUTED_VALUE"""),"bobs")</f>
        <v>bobs</v>
      </c>
      <c r="C1913" s="4" t="str">
        <f>IFERROR(__xludf.DUMMYFUNCTION("""COMPUTED_VALUE"""),"BOBS")</f>
        <v>BOBS</v>
      </c>
    </row>
    <row r="1914">
      <c r="A1914" s="4" t="str">
        <f>IFERROR(__xludf.DUMMYFUNCTION("""COMPUTED_VALUE"""),"bobs_repair")</f>
        <v>bobs_repair</v>
      </c>
      <c r="B1914" s="4" t="str">
        <f>IFERROR(__xludf.DUMMYFUNCTION("""COMPUTED_VALUE"""),"bob")</f>
        <v>bob</v>
      </c>
      <c r="C1914" s="4" t="str">
        <f>IFERROR(__xludf.DUMMYFUNCTION("""COMPUTED_VALUE"""),"Bob's Repair")</f>
        <v>Bob's Repair</v>
      </c>
    </row>
    <row r="1915">
      <c r="A1915" s="4" t="str">
        <f>IFERROR(__xludf.DUMMYFUNCTION("""COMPUTED_VALUE"""),"bob-token")</f>
        <v>bob-token</v>
      </c>
      <c r="B1915" s="4" t="str">
        <f>IFERROR(__xludf.DUMMYFUNCTION("""COMPUTED_VALUE"""),"bob")</f>
        <v>bob</v>
      </c>
      <c r="C1915" s="4" t="str">
        <f>IFERROR(__xludf.DUMMYFUNCTION("""COMPUTED_VALUE"""),"BOB Token")</f>
        <v>BOB Token</v>
      </c>
    </row>
    <row r="1916">
      <c r="A1916" s="4" t="str">
        <f>IFERROR(__xludf.DUMMYFUNCTION("""COMPUTED_VALUE"""),"bocachica")</f>
        <v>bocachica</v>
      </c>
      <c r="B1916" s="4" t="str">
        <f>IFERROR(__xludf.DUMMYFUNCTION("""COMPUTED_VALUE"""),"chica")</f>
        <v>chica</v>
      </c>
      <c r="C1916" s="4" t="str">
        <f>IFERROR(__xludf.DUMMYFUNCTION("""COMPUTED_VALUE"""),"BocaChica")</f>
        <v>BocaChica</v>
      </c>
    </row>
    <row r="1917">
      <c r="A1917" s="4" t="str">
        <f>IFERROR(__xludf.DUMMYFUNCTION("""COMPUTED_VALUE"""),"boda-token")</f>
        <v>boda-token</v>
      </c>
      <c r="B1917" s="4" t="str">
        <f>IFERROR(__xludf.DUMMYFUNCTION("""COMPUTED_VALUE"""),"bodav2")</f>
        <v>bodav2</v>
      </c>
      <c r="C1917" s="4" t="str">
        <f>IFERROR(__xludf.DUMMYFUNCTION("""COMPUTED_VALUE"""),"BODA")</f>
        <v>BODA</v>
      </c>
    </row>
    <row r="1918">
      <c r="A1918" s="4" t="str">
        <f>IFERROR(__xludf.DUMMYFUNCTION("""COMPUTED_VALUE"""),"bodge")</f>
        <v>bodge</v>
      </c>
      <c r="B1918" s="4" t="str">
        <f>IFERROR(__xludf.DUMMYFUNCTION("""COMPUTED_VALUE"""),"bodge")</f>
        <v>bodge</v>
      </c>
      <c r="C1918" s="4" t="str">
        <f>IFERROR(__xludf.DUMMYFUNCTION("""COMPUTED_VALUE"""),"Bodge")</f>
        <v>Bodge</v>
      </c>
    </row>
    <row r="1919">
      <c r="A1919" s="4" t="str">
        <f>IFERROR(__xludf.DUMMYFUNCTION("""COMPUTED_VALUE"""),"bodrumspor-fan-token")</f>
        <v>bodrumspor-fan-token</v>
      </c>
      <c r="B1919" s="4" t="str">
        <f>IFERROR(__xludf.DUMMYFUNCTION("""COMPUTED_VALUE"""),"bdrm")</f>
        <v>bdrm</v>
      </c>
      <c r="C1919" s="4" t="str">
        <f>IFERROR(__xludf.DUMMYFUNCTION("""COMPUTED_VALUE"""),"Bodrumspor Fan Token")</f>
        <v>Bodrumspor Fan Token</v>
      </c>
    </row>
    <row r="1920">
      <c r="A1920" s="4" t="str">
        <f>IFERROR(__xludf.DUMMYFUNCTION("""COMPUTED_VALUE"""),"body-ai")</f>
        <v>body-ai</v>
      </c>
      <c r="B1920" s="4" t="str">
        <f>IFERROR(__xludf.DUMMYFUNCTION("""COMPUTED_VALUE"""),"bait")</f>
        <v>bait</v>
      </c>
      <c r="C1920" s="4" t="str">
        <f>IFERROR(__xludf.DUMMYFUNCTION("""COMPUTED_VALUE"""),"Body Ai")</f>
        <v>Body Ai</v>
      </c>
    </row>
    <row r="1921">
      <c r="A1921" s="4" t="str">
        <f>IFERROR(__xludf.DUMMYFUNCTION("""COMPUTED_VALUE"""),"boe")</f>
        <v>boe</v>
      </c>
      <c r="B1921" s="4" t="str">
        <f>IFERROR(__xludf.DUMMYFUNCTION("""COMPUTED_VALUE"""),"boe")</f>
        <v>boe</v>
      </c>
      <c r="C1921" s="4" t="str">
        <f>IFERROR(__xludf.DUMMYFUNCTION("""COMPUTED_VALUE"""),"Boe")</f>
        <v>Boe</v>
      </c>
    </row>
    <row r="1922">
      <c r="A1922" s="4" t="str">
        <f>IFERROR(__xludf.DUMMYFUNCTION("""COMPUTED_VALUE"""),"bogdanoff")</f>
        <v>bogdanoff</v>
      </c>
      <c r="B1922" s="4" t="str">
        <f>IFERROR(__xludf.DUMMYFUNCTION("""COMPUTED_VALUE"""),"bog")</f>
        <v>bog</v>
      </c>
      <c r="C1922" s="4" t="str">
        <f>IFERROR(__xludf.DUMMYFUNCTION("""COMPUTED_VALUE"""),"Bogdanoff")</f>
        <v>Bogdanoff</v>
      </c>
    </row>
    <row r="1923">
      <c r="A1923" s="4" t="str">
        <f>IFERROR(__xludf.DUMMYFUNCTION("""COMPUTED_VALUE"""),"boge")</f>
        <v>boge</v>
      </c>
      <c r="B1923" s="4" t="str">
        <f>IFERROR(__xludf.DUMMYFUNCTION("""COMPUTED_VALUE"""),"boge")</f>
        <v>boge</v>
      </c>
      <c r="C1923" s="4" t="str">
        <f>IFERROR(__xludf.DUMMYFUNCTION("""COMPUTED_VALUE"""),"BOGE")</f>
        <v>BOGE</v>
      </c>
    </row>
    <row r="1924">
      <c r="A1924" s="4" t="str">
        <f>IFERROR(__xludf.DUMMYFUNCTION("""COMPUTED_VALUE"""),"bogged-finance")</f>
        <v>bogged-finance</v>
      </c>
      <c r="B1924" s="4" t="str">
        <f>IFERROR(__xludf.DUMMYFUNCTION("""COMPUTED_VALUE"""),"bog")</f>
        <v>bog</v>
      </c>
      <c r="C1924" s="4" t="str">
        <f>IFERROR(__xludf.DUMMYFUNCTION("""COMPUTED_VALUE"""),"Bogged Finance")</f>
        <v>Bogged Finance</v>
      </c>
    </row>
    <row r="1925">
      <c r="A1925" s="4" t="str">
        <f>IFERROR(__xludf.DUMMYFUNCTION("""COMPUTED_VALUE"""),"bojack")</f>
        <v>bojack</v>
      </c>
      <c r="B1925" s="4" t="str">
        <f>IFERROR(__xludf.DUMMYFUNCTION("""COMPUTED_VALUE"""),"$bojack")</f>
        <v>$bojack</v>
      </c>
      <c r="C1925" s="4" t="str">
        <f>IFERROR(__xludf.DUMMYFUNCTION("""COMPUTED_VALUE"""),"BOJACK")</f>
        <v>BOJACK</v>
      </c>
    </row>
    <row r="1926">
      <c r="A1926" s="4" t="str">
        <f>IFERROR(__xludf.DUMMYFUNCTION("""COMPUTED_VALUE"""),"boku")</f>
        <v>boku</v>
      </c>
      <c r="B1926" s="4" t="str">
        <f>IFERROR(__xludf.DUMMYFUNCTION("""COMPUTED_VALUE"""),"boku")</f>
        <v>boku</v>
      </c>
      <c r="C1926" s="4" t="str">
        <f>IFERROR(__xludf.DUMMYFUNCTION("""COMPUTED_VALUE"""),"Boryoku Dragonz")</f>
        <v>Boryoku Dragonz</v>
      </c>
    </row>
    <row r="1927">
      <c r="A1927" s="4" t="str">
        <f>IFERROR(__xludf.DUMMYFUNCTION("""COMPUTED_VALUE"""),"bolic-ai")</f>
        <v>bolic-ai</v>
      </c>
      <c r="B1927" s="4" t="str">
        <f>IFERROR(__xludf.DUMMYFUNCTION("""COMPUTED_VALUE"""),"boai")</f>
        <v>boai</v>
      </c>
      <c r="C1927" s="4" t="str">
        <f>IFERROR(__xludf.DUMMYFUNCTION("""COMPUTED_VALUE"""),"Bolic AI")</f>
        <v>Bolic AI</v>
      </c>
    </row>
    <row r="1928">
      <c r="A1928" s="4" t="str">
        <f>IFERROR(__xludf.DUMMYFUNCTION("""COMPUTED_VALUE"""),"bolide")</f>
        <v>bolide</v>
      </c>
      <c r="B1928" s="4" t="str">
        <f>IFERROR(__xludf.DUMMYFUNCTION("""COMPUTED_VALUE"""),"blid")</f>
        <v>blid</v>
      </c>
      <c r="C1928" s="4" t="str">
        <f>IFERROR(__xludf.DUMMYFUNCTION("""COMPUTED_VALUE"""),"Bolide")</f>
        <v>Bolide</v>
      </c>
    </row>
    <row r="1929">
      <c r="A1929" s="4" t="str">
        <f>IFERROR(__xludf.DUMMYFUNCTION("""COMPUTED_VALUE"""),"bolivarcoin")</f>
        <v>bolivarcoin</v>
      </c>
      <c r="B1929" s="4" t="str">
        <f>IFERROR(__xludf.DUMMYFUNCTION("""COMPUTED_VALUE"""),"boli")</f>
        <v>boli</v>
      </c>
      <c r="C1929" s="4" t="str">
        <f>IFERROR(__xludf.DUMMYFUNCTION("""COMPUTED_VALUE"""),"Bolivarcoin")</f>
        <v>Bolivarcoin</v>
      </c>
    </row>
    <row r="1930">
      <c r="A1930" s="4" t="str">
        <f>IFERROR(__xludf.DUMMYFUNCTION("""COMPUTED_VALUE"""),"bollycoin")</f>
        <v>bollycoin</v>
      </c>
      <c r="B1930" s="4" t="str">
        <f>IFERROR(__xludf.DUMMYFUNCTION("""COMPUTED_VALUE"""),"bolly")</f>
        <v>bolly</v>
      </c>
      <c r="C1930" s="4" t="str">
        <f>IFERROR(__xludf.DUMMYFUNCTION("""COMPUTED_VALUE"""),"BollyCoin")</f>
        <v>BollyCoin</v>
      </c>
    </row>
    <row r="1931">
      <c r="A1931" s="4" t="str">
        <f>IFERROR(__xludf.DUMMYFUNCTION("""COMPUTED_VALUE"""),"bologna-fc-fan-token")</f>
        <v>bologna-fc-fan-token</v>
      </c>
      <c r="B1931" s="4" t="str">
        <f>IFERROR(__xludf.DUMMYFUNCTION("""COMPUTED_VALUE"""),"bfc")</f>
        <v>bfc</v>
      </c>
      <c r="C1931" s="4" t="str">
        <f>IFERROR(__xludf.DUMMYFUNCTION("""COMPUTED_VALUE"""),"Bologna FC Fan Token")</f>
        <v>Bologna FC Fan Token</v>
      </c>
    </row>
    <row r="1932">
      <c r="A1932" s="4" t="str">
        <f>IFERROR(__xludf.DUMMYFUNCTION("""COMPUTED_VALUE"""),"bolt")</f>
        <v>bolt</v>
      </c>
      <c r="B1932" s="4" t="str">
        <f>IFERROR(__xludf.DUMMYFUNCTION("""COMPUTED_VALUE"""),"bolt")</f>
        <v>bolt</v>
      </c>
      <c r="C1932" s="4" t="str">
        <f>IFERROR(__xludf.DUMMYFUNCTION("""COMPUTED_VALUE"""),"Bolt")</f>
        <v>Bolt</v>
      </c>
    </row>
    <row r="1933">
      <c r="A1933" s="4" t="str">
        <f>IFERROR(__xludf.DUMMYFUNCTION("""COMPUTED_VALUE"""),"boltbot")</f>
        <v>boltbot</v>
      </c>
      <c r="B1933" s="4" t="str">
        <f>IFERROR(__xludf.DUMMYFUNCTION("""COMPUTED_VALUE"""),"bolt")</f>
        <v>bolt</v>
      </c>
      <c r="C1933" s="4" t="str">
        <f>IFERROR(__xludf.DUMMYFUNCTION("""COMPUTED_VALUE"""),"BoltBot")</f>
        <v>BoltBot</v>
      </c>
    </row>
    <row r="1934">
      <c r="A1934" s="4" t="str">
        <f>IFERROR(__xludf.DUMMYFUNCTION("""COMPUTED_VALUE"""),"bolt-token-023ba86e-eb38-41a1-8d32-8b48ecfcb2c7")</f>
        <v>bolt-token-023ba86e-eb38-41a1-8d32-8b48ecfcb2c7</v>
      </c>
      <c r="B1934" s="4" t="str">
        <f>IFERROR(__xludf.DUMMYFUNCTION("""COMPUTED_VALUE"""),"$bolt")</f>
        <v>$bolt</v>
      </c>
      <c r="C1934" s="4" t="str">
        <f>IFERROR(__xludf.DUMMYFUNCTION("""COMPUTED_VALUE"""),"Bolt Token")</f>
        <v>Bolt Token</v>
      </c>
    </row>
    <row r="1935">
      <c r="A1935" s="4" t="str">
        <f>IFERROR(__xludf.DUMMYFUNCTION("""COMPUTED_VALUE"""),"bomb")</f>
        <v>bomb</v>
      </c>
      <c r="B1935" s="4" t="str">
        <f>IFERROR(__xludf.DUMMYFUNCTION("""COMPUTED_VALUE"""),"bomb")</f>
        <v>bomb</v>
      </c>
      <c r="C1935" s="4" t="str">
        <f>IFERROR(__xludf.DUMMYFUNCTION("""COMPUTED_VALUE"""),"BOMB")</f>
        <v>BOMB</v>
      </c>
    </row>
    <row r="1936">
      <c r="A1936" s="4" t="str">
        <f>IFERROR(__xludf.DUMMYFUNCTION("""COMPUTED_VALUE"""),"bombcrypto-coin")</f>
        <v>bombcrypto-coin</v>
      </c>
      <c r="B1936" s="4" t="str">
        <f>IFERROR(__xludf.DUMMYFUNCTION("""COMPUTED_VALUE"""),"bomb")</f>
        <v>bomb</v>
      </c>
      <c r="C1936" s="4" t="str">
        <f>IFERROR(__xludf.DUMMYFUNCTION("""COMPUTED_VALUE"""),"Bombcrypto Coin")</f>
        <v>Bombcrypto Coin</v>
      </c>
    </row>
    <row r="1937">
      <c r="A1937" s="4" t="str">
        <f>IFERROR(__xludf.DUMMYFUNCTION("""COMPUTED_VALUE"""),"bomber-coin")</f>
        <v>bomber-coin</v>
      </c>
      <c r="B1937" s="4" t="str">
        <f>IFERROR(__xludf.DUMMYFUNCTION("""COMPUTED_VALUE"""),"bcoin")</f>
        <v>bcoin</v>
      </c>
      <c r="C1937" s="4" t="str">
        <f>IFERROR(__xludf.DUMMYFUNCTION("""COMPUTED_VALUE"""),"BombCrypto")</f>
        <v>BombCrypto</v>
      </c>
    </row>
    <row r="1938">
      <c r="A1938" s="4" t="str">
        <f>IFERROR(__xludf.DUMMYFUNCTION("""COMPUTED_VALUE"""),"bomb-money")</f>
        <v>bomb-money</v>
      </c>
      <c r="B1938" s="4" t="str">
        <f>IFERROR(__xludf.DUMMYFUNCTION("""COMPUTED_VALUE"""),"bomb")</f>
        <v>bomb</v>
      </c>
      <c r="C1938" s="4" t="str">
        <f>IFERROR(__xludf.DUMMYFUNCTION("""COMPUTED_VALUE"""),"Bomb Money")</f>
        <v>Bomb Money</v>
      </c>
    </row>
    <row r="1939">
      <c r="A1939" s="4" t="str">
        <f>IFERROR(__xludf.DUMMYFUNCTION("""COMPUTED_VALUE"""),"bomboclat")</f>
        <v>bomboclat</v>
      </c>
      <c r="B1939" s="4" t="str">
        <f>IFERROR(__xludf.DUMMYFUNCTION("""COMPUTED_VALUE"""),"bclat")</f>
        <v>bclat</v>
      </c>
      <c r="C1939" s="4" t="str">
        <f>IFERROR(__xludf.DUMMYFUNCTION("""COMPUTED_VALUE"""),"Bomboclat")</f>
        <v>Bomboclat</v>
      </c>
    </row>
    <row r="1940">
      <c r="A1940" s="4" t="str">
        <f>IFERROR(__xludf.DUMMYFUNCTION("""COMPUTED_VALUE"""),"bomb-shelter-inu")</f>
        <v>bomb-shelter-inu</v>
      </c>
      <c r="B1940" s="4" t="str">
        <f>IFERROR(__xludf.DUMMYFUNCTION("""COMPUTED_VALUE"""),"boom")</f>
        <v>boom</v>
      </c>
      <c r="C1940" s="4" t="str">
        <f>IFERROR(__xludf.DUMMYFUNCTION("""COMPUTED_VALUE"""),"Bomb Shelter Inu")</f>
        <v>Bomb Shelter Inu</v>
      </c>
    </row>
    <row r="1941">
      <c r="A1941" s="4" t="str">
        <f>IFERROR(__xludf.DUMMYFUNCTION("""COMPUTED_VALUE"""),"bonded-cronos")</f>
        <v>bonded-cronos</v>
      </c>
      <c r="B1941" s="4" t="str">
        <f>IFERROR(__xludf.DUMMYFUNCTION("""COMPUTED_VALUE"""),"bcro")</f>
        <v>bcro</v>
      </c>
      <c r="C1941" s="4" t="str">
        <f>IFERROR(__xludf.DUMMYFUNCTION("""COMPUTED_VALUE"""),"Bonded Cronos")</f>
        <v>Bonded Cronos</v>
      </c>
    </row>
    <row r="1942">
      <c r="A1942" s="4" t="str">
        <f>IFERROR(__xludf.DUMMYFUNCTION("""COMPUTED_VALUE"""),"bondly")</f>
        <v>bondly</v>
      </c>
      <c r="B1942" s="4" t="str">
        <f>IFERROR(__xludf.DUMMYFUNCTION("""COMPUTED_VALUE"""),"bondly")</f>
        <v>bondly</v>
      </c>
      <c r="C1942" s="4" t="str">
        <f>IFERROR(__xludf.DUMMYFUNCTION("""COMPUTED_VALUE"""),"Forj")</f>
        <v>Forj</v>
      </c>
    </row>
    <row r="1943">
      <c r="A1943" s="4" t="str">
        <f>IFERROR(__xludf.DUMMYFUNCTION("""COMPUTED_VALUE"""),"boner")</f>
        <v>boner</v>
      </c>
      <c r="B1943" s="4" t="str">
        <f>IFERROR(__xludf.DUMMYFUNCTION("""COMPUTED_VALUE"""),"$boner")</f>
        <v>$boner</v>
      </c>
      <c r="C1943" s="4" t="str">
        <f>IFERROR(__xludf.DUMMYFUNCTION("""COMPUTED_VALUE"""),"BONER")</f>
        <v>BONER</v>
      </c>
    </row>
    <row r="1944">
      <c r="A1944" s="4" t="str">
        <f>IFERROR(__xludf.DUMMYFUNCTION("""COMPUTED_VALUE"""),"bonerium-boneswap")</f>
        <v>bonerium-boneswap</v>
      </c>
      <c r="B1944" s="4" t="str">
        <f>IFERROR(__xludf.DUMMYFUNCTION("""COMPUTED_VALUE"""),"bswp")</f>
        <v>bswp</v>
      </c>
      <c r="C1944" s="4" t="str">
        <f>IFERROR(__xludf.DUMMYFUNCTION("""COMPUTED_VALUE"""),"Bonerium BoneSwap")</f>
        <v>Bonerium BoneSwap</v>
      </c>
    </row>
    <row r="1945">
      <c r="A1945" s="4" t="str">
        <f>IFERROR(__xludf.DUMMYFUNCTION("""COMPUTED_VALUE"""),"bones")</f>
        <v>bones</v>
      </c>
      <c r="B1945" s="4" t="str">
        <f>IFERROR(__xludf.DUMMYFUNCTION("""COMPUTED_VALUE"""),"bones")</f>
        <v>bones</v>
      </c>
      <c r="C1945" s="4" t="str">
        <f>IFERROR(__xludf.DUMMYFUNCTION("""COMPUTED_VALUE"""),"Bones")</f>
        <v>Bones</v>
      </c>
    </row>
    <row r="1946">
      <c r="A1946" s="4" t="str">
        <f>IFERROR(__xludf.DUMMYFUNCTION("""COMPUTED_VALUE"""),"bone-shibaswap")</f>
        <v>bone-shibaswap</v>
      </c>
      <c r="B1946" s="4" t="str">
        <f>IFERROR(__xludf.DUMMYFUNCTION("""COMPUTED_VALUE"""),"bone")</f>
        <v>bone</v>
      </c>
      <c r="C1946" s="4" t="str">
        <f>IFERROR(__xludf.DUMMYFUNCTION("""COMPUTED_VALUE"""),"Bone ShibaSwap")</f>
        <v>Bone ShibaSwap</v>
      </c>
    </row>
    <row r="1947">
      <c r="A1947" s="4" t="str">
        <f>IFERROR(__xludf.DUMMYFUNCTION("""COMPUTED_VALUE"""),"boneswap")</f>
        <v>boneswap</v>
      </c>
      <c r="B1947" s="4" t="str">
        <f>IFERROR(__xludf.DUMMYFUNCTION("""COMPUTED_VALUE"""),"bone")</f>
        <v>bone</v>
      </c>
      <c r="C1947" s="4" t="str">
        <f>IFERROR(__xludf.DUMMYFUNCTION("""COMPUTED_VALUE"""),"BoneSwap")</f>
        <v>BoneSwap</v>
      </c>
    </row>
    <row r="1948">
      <c r="A1948" s="4" t="str">
        <f>IFERROR(__xludf.DUMMYFUNCTION("""COMPUTED_VALUE"""),"bone-token")</f>
        <v>bone-token</v>
      </c>
      <c r="B1948" s="4" t="str">
        <f>IFERROR(__xludf.DUMMYFUNCTION("""COMPUTED_VALUE"""),"bone")</f>
        <v>bone</v>
      </c>
      <c r="C1948" s="4" t="str">
        <f>IFERROR(__xludf.DUMMYFUNCTION("""COMPUTED_VALUE"""),"PolyPup Bone")</f>
        <v>PolyPup Bone</v>
      </c>
    </row>
    <row r="1949">
      <c r="A1949" s="4" t="str">
        <f>IFERROR(__xludf.DUMMYFUNCTION("""COMPUTED_VALUE"""),"bonfida")</f>
        <v>bonfida</v>
      </c>
      <c r="B1949" s="4" t="str">
        <f>IFERROR(__xludf.DUMMYFUNCTION("""COMPUTED_VALUE"""),"fida")</f>
        <v>fida</v>
      </c>
      <c r="C1949" s="4" t="str">
        <f>IFERROR(__xludf.DUMMYFUNCTION("""COMPUTED_VALUE"""),"Bonfida")</f>
        <v>Bonfida</v>
      </c>
    </row>
    <row r="1950">
      <c r="A1950" s="4" t="str">
        <f>IFERROR(__xludf.DUMMYFUNCTION("""COMPUTED_VALUE"""),"bonfire")</f>
        <v>bonfire</v>
      </c>
      <c r="B1950" s="4" t="str">
        <f>IFERROR(__xludf.DUMMYFUNCTION("""COMPUTED_VALUE"""),"bonfire")</f>
        <v>bonfire</v>
      </c>
      <c r="C1950" s="4" t="str">
        <f>IFERROR(__xludf.DUMMYFUNCTION("""COMPUTED_VALUE"""),"Bonfire")</f>
        <v>Bonfire</v>
      </c>
    </row>
    <row r="1951">
      <c r="A1951" s="4" t="str">
        <f>IFERROR(__xludf.DUMMYFUNCTION("""COMPUTED_VALUE"""),"bong-bonk-s-brother")</f>
        <v>bong-bonk-s-brother</v>
      </c>
      <c r="B1951" s="4" t="str">
        <f>IFERROR(__xludf.DUMMYFUNCTION("""COMPUTED_VALUE"""),"bong")</f>
        <v>bong</v>
      </c>
      <c r="C1951" s="4" t="str">
        <f>IFERROR(__xludf.DUMMYFUNCTION("""COMPUTED_VALUE"""),"BONG BONK'S BROTHER")</f>
        <v>BONG BONK'S BROTHER</v>
      </c>
    </row>
    <row r="1952">
      <c r="A1952" s="4" t="str">
        <f>IFERROR(__xludf.DUMMYFUNCTION("""COMPUTED_VALUE"""),"bongo-cat")</f>
        <v>bongo-cat</v>
      </c>
      <c r="B1952" s="4" t="str">
        <f>IFERROR(__xludf.DUMMYFUNCTION("""COMPUTED_VALUE"""),"bongo")</f>
        <v>bongo</v>
      </c>
      <c r="C1952" s="4" t="str">
        <f>IFERROR(__xludf.DUMMYFUNCTION("""COMPUTED_VALUE"""),"BONGO CAT")</f>
        <v>BONGO CAT</v>
      </c>
    </row>
    <row r="1953">
      <c r="A1953" s="4" t="str">
        <f>IFERROR(__xludf.DUMMYFUNCTION("""COMPUTED_VALUE"""),"bonk")</f>
        <v>bonk</v>
      </c>
      <c r="B1953" s="4" t="str">
        <f>IFERROR(__xludf.DUMMYFUNCTION("""COMPUTED_VALUE"""),"bonk")</f>
        <v>bonk</v>
      </c>
      <c r="C1953" s="4" t="str">
        <f>IFERROR(__xludf.DUMMYFUNCTION("""COMPUTED_VALUE"""),"Bonk")</f>
        <v>Bonk</v>
      </c>
    </row>
    <row r="1954">
      <c r="A1954" s="4" t="str">
        <f>IFERROR(__xludf.DUMMYFUNCTION("""COMPUTED_VALUE"""),"bonk-2-0")</f>
        <v>bonk-2-0</v>
      </c>
      <c r="B1954" s="4" t="str">
        <f>IFERROR(__xludf.DUMMYFUNCTION("""COMPUTED_VALUE"""),"bonk 2.0")</f>
        <v>bonk 2.0</v>
      </c>
      <c r="C1954" s="4" t="str">
        <f>IFERROR(__xludf.DUMMYFUNCTION("""COMPUTED_VALUE"""),"Bonk 2.0")</f>
        <v>Bonk 2.0</v>
      </c>
    </row>
    <row r="1955">
      <c r="A1955" s="4" t="str">
        <f>IFERROR(__xludf.DUMMYFUNCTION("""COMPUTED_VALUE"""),"bonk2-0")</f>
        <v>bonk2-0</v>
      </c>
      <c r="B1955" s="4" t="str">
        <f>IFERROR(__xludf.DUMMYFUNCTION("""COMPUTED_VALUE"""),"bonk2.0")</f>
        <v>bonk2.0</v>
      </c>
      <c r="C1955" s="4" t="str">
        <f>IFERROR(__xludf.DUMMYFUNCTION("""COMPUTED_VALUE"""),"Bonk2.0")</f>
        <v>Bonk2.0</v>
      </c>
    </row>
    <row r="1956">
      <c r="A1956" s="4" t="str">
        <f>IFERROR(__xludf.DUMMYFUNCTION("""COMPUTED_VALUE"""),"bonk-2-0-sol")</f>
        <v>bonk-2-0-sol</v>
      </c>
      <c r="B1956" s="4" t="str">
        <f>IFERROR(__xludf.DUMMYFUNCTION("""COMPUTED_VALUE"""),"bonk2.0")</f>
        <v>bonk2.0</v>
      </c>
      <c r="C1956" s="4" t="str">
        <f>IFERROR(__xludf.DUMMYFUNCTION("""COMPUTED_VALUE"""),"Bonk 2.0 (Sol)")</f>
        <v>Bonk 2.0 (Sol)</v>
      </c>
    </row>
    <row r="1957">
      <c r="A1957" s="4" t="str">
        <f>IFERROR(__xludf.DUMMYFUNCTION("""COMPUTED_VALUE"""),"bonkbaby")</f>
        <v>bonkbaby</v>
      </c>
      <c r="B1957" s="4" t="str">
        <f>IFERROR(__xludf.DUMMYFUNCTION("""COMPUTED_VALUE"""),"boby")</f>
        <v>boby</v>
      </c>
      <c r="C1957" s="4" t="str">
        <f>IFERROR(__xludf.DUMMYFUNCTION("""COMPUTED_VALUE"""),"BonkBaby")</f>
        <v>BonkBaby</v>
      </c>
    </row>
    <row r="1958">
      <c r="A1958" s="4" t="str">
        <f>IFERROR(__xludf.DUMMYFUNCTION("""COMPUTED_VALUE"""),"bonkbest")</f>
        <v>bonkbest</v>
      </c>
      <c r="B1958" s="4" t="str">
        <f>IFERROR(__xludf.DUMMYFUNCTION("""COMPUTED_VALUE"""),"bonkbest")</f>
        <v>bonkbest</v>
      </c>
      <c r="C1958" s="4" t="str">
        <f>IFERROR(__xludf.DUMMYFUNCTION("""COMPUTED_VALUE"""),"BONKBEST")</f>
        <v>BONKBEST</v>
      </c>
    </row>
    <row r="1959">
      <c r="A1959" s="4" t="str">
        <f>IFERROR(__xludf.DUMMYFUNCTION("""COMPUTED_VALUE"""),"bonk-bitcoin")</f>
        <v>bonk-bitcoin</v>
      </c>
      <c r="B1959" s="4" t="str">
        <f>IFERROR(__xludf.DUMMYFUNCTION("""COMPUTED_VALUE"""),"bonk")</f>
        <v>bonk</v>
      </c>
      <c r="C1959" s="4" t="str">
        <f>IFERROR(__xludf.DUMMYFUNCTION("""COMPUTED_VALUE"""),"BONK BITCOIN (Ordinals)")</f>
        <v>BONK BITCOIN (Ordinals)</v>
      </c>
    </row>
    <row r="1960">
      <c r="A1960" s="4" t="str">
        <f>IFERROR(__xludf.DUMMYFUNCTION("""COMPUTED_VALUE"""),"bonkcola")</f>
        <v>bonkcola</v>
      </c>
      <c r="B1960" s="4" t="str">
        <f>IFERROR(__xludf.DUMMYFUNCTION("""COMPUTED_VALUE"""),"bonkcola")</f>
        <v>bonkcola</v>
      </c>
      <c r="C1960" s="4" t="str">
        <f>IFERROR(__xludf.DUMMYFUNCTION("""COMPUTED_VALUE"""),"BonkCola")</f>
        <v>BonkCola</v>
      </c>
    </row>
    <row r="1961">
      <c r="A1961" s="4" t="str">
        <f>IFERROR(__xludf.DUMMYFUNCTION("""COMPUTED_VALUE"""),"bonkearn")</f>
        <v>bonkearn</v>
      </c>
      <c r="B1961" s="4" t="str">
        <f>IFERROR(__xludf.DUMMYFUNCTION("""COMPUTED_VALUE"""),"bern")</f>
        <v>bern</v>
      </c>
      <c r="C1961" s="4" t="str">
        <f>IFERROR(__xludf.DUMMYFUNCTION("""COMPUTED_VALUE"""),"BonkEarn")</f>
        <v>BonkEarn</v>
      </c>
    </row>
    <row r="1962">
      <c r="A1962" s="4" t="str">
        <f>IFERROR(__xludf.DUMMYFUNCTION("""COMPUTED_VALUE"""),"bonk-grok")</f>
        <v>bonk-grok</v>
      </c>
      <c r="B1962" s="4" t="str">
        <f>IFERROR(__xludf.DUMMYFUNCTION("""COMPUTED_VALUE"""),"bonkgrok")</f>
        <v>bonkgrok</v>
      </c>
      <c r="C1962" s="4" t="str">
        <f>IFERROR(__xludf.DUMMYFUNCTION("""COMPUTED_VALUE"""),"Bonk Grok")</f>
        <v>Bonk Grok</v>
      </c>
    </row>
    <row r="1963">
      <c r="A1963" s="4" t="str">
        <f>IFERROR(__xludf.DUMMYFUNCTION("""COMPUTED_VALUE"""),"bonkinu")</f>
        <v>bonkinu</v>
      </c>
      <c r="B1963" s="4" t="str">
        <f>IFERROR(__xludf.DUMMYFUNCTION("""COMPUTED_VALUE"""),"bonkinu")</f>
        <v>bonkinu</v>
      </c>
      <c r="C1963" s="4" t="str">
        <f>IFERROR(__xludf.DUMMYFUNCTION("""COMPUTED_VALUE"""),"Bonkinu")</f>
        <v>Bonkinu</v>
      </c>
    </row>
    <row r="1964">
      <c r="A1964" s="4" t="str">
        <f>IFERROR(__xludf.DUMMYFUNCTION("""COMPUTED_VALUE"""),"bonk-inu")</f>
        <v>bonk-inu</v>
      </c>
      <c r="B1964" s="4" t="str">
        <f>IFERROR(__xludf.DUMMYFUNCTION("""COMPUTED_VALUE"""),"bonki")</f>
        <v>bonki</v>
      </c>
      <c r="C1964" s="4" t="str">
        <f>IFERROR(__xludf.DUMMYFUNCTION("""COMPUTED_VALUE"""),"BONK Inu")</f>
        <v>BONK Inu</v>
      </c>
    </row>
    <row r="1965">
      <c r="A1965" s="4" t="str">
        <f>IFERROR(__xludf.DUMMYFUNCTION("""COMPUTED_VALUE"""),"bonklana")</f>
        <v>bonklana</v>
      </c>
      <c r="B1965" s="4" t="str">
        <f>IFERROR(__xludf.DUMMYFUNCTION("""COMPUTED_VALUE"""),"bok")</f>
        <v>bok</v>
      </c>
      <c r="C1965" s="4" t="str">
        <f>IFERROR(__xludf.DUMMYFUNCTION("""COMPUTED_VALUE"""),"BONKLANA")</f>
        <v>BONKLANA</v>
      </c>
    </row>
    <row r="1966">
      <c r="A1966" s="4" t="str">
        <f>IFERROR(__xludf.DUMMYFUNCTION("""COMPUTED_VALUE"""),"bonkwifhat")</f>
        <v>bonkwifhat</v>
      </c>
      <c r="B1966" s="4" t="str">
        <f>IFERROR(__xludf.DUMMYFUNCTION("""COMPUTED_VALUE"""),"bif")</f>
        <v>bif</v>
      </c>
      <c r="C1966" s="4" t="str">
        <f>IFERROR(__xludf.DUMMYFUNCTION("""COMPUTED_VALUE"""),"bonkwifhat")</f>
        <v>bonkwifhat</v>
      </c>
    </row>
    <row r="1967">
      <c r="A1967" s="4" t="str">
        <f>IFERROR(__xludf.DUMMYFUNCTION("""COMPUTED_VALUE"""),"bonsai3")</f>
        <v>bonsai3</v>
      </c>
      <c r="B1967" s="4" t="str">
        <f>IFERROR(__xludf.DUMMYFUNCTION("""COMPUTED_VALUE"""),"seed")</f>
        <v>seed</v>
      </c>
      <c r="C1967" s="4" t="str">
        <f>IFERROR(__xludf.DUMMYFUNCTION("""COMPUTED_VALUE"""),"Bonsai3")</f>
        <v>Bonsai3</v>
      </c>
    </row>
    <row r="1968">
      <c r="A1968" s="4" t="str">
        <f>IFERROR(__xludf.DUMMYFUNCTION("""COMPUTED_VALUE"""),"bonsai-token")</f>
        <v>bonsai-token</v>
      </c>
      <c r="B1968" s="4" t="str">
        <f>IFERROR(__xludf.DUMMYFUNCTION("""COMPUTED_VALUE"""),"bonsai")</f>
        <v>bonsai</v>
      </c>
      <c r="C1968" s="4" t="str">
        <f>IFERROR(__xludf.DUMMYFUNCTION("""COMPUTED_VALUE"""),"Bonsai Token")</f>
        <v>Bonsai Token</v>
      </c>
    </row>
    <row r="1969">
      <c r="A1969" s="4" t="str">
        <f>IFERROR(__xludf.DUMMYFUNCTION("""COMPUTED_VALUE"""),"bontecoin")</f>
        <v>bontecoin</v>
      </c>
      <c r="B1969" s="4" t="str">
        <f>IFERROR(__xludf.DUMMYFUNCTION("""COMPUTED_VALUE"""),"bonte")</f>
        <v>bonte</v>
      </c>
      <c r="C1969" s="4" t="str">
        <f>IFERROR(__xludf.DUMMYFUNCTION("""COMPUTED_VALUE"""),"Bontecoin")</f>
        <v>Bontecoin</v>
      </c>
    </row>
    <row r="1970">
      <c r="A1970" s="4" t="str">
        <f>IFERROR(__xludf.DUMMYFUNCTION("""COMPUTED_VALUE"""),"bonusblock")</f>
        <v>bonusblock</v>
      </c>
      <c r="B1970" s="4" t="str">
        <f>IFERROR(__xludf.DUMMYFUNCTION("""COMPUTED_VALUE"""),"bonus")</f>
        <v>bonus</v>
      </c>
      <c r="C1970" s="4" t="str">
        <f>IFERROR(__xludf.DUMMYFUNCTION("""COMPUTED_VALUE"""),"BonusBlock")</f>
        <v>BonusBlock</v>
      </c>
    </row>
    <row r="1971">
      <c r="A1971" s="4" t="str">
        <f>IFERROR(__xludf.DUMMYFUNCTION("""COMPUTED_VALUE"""),"bonyta")</f>
        <v>bonyta</v>
      </c>
      <c r="B1971" s="4" t="str">
        <f>IFERROR(__xludf.DUMMYFUNCTION("""COMPUTED_VALUE"""),"bnyta")</f>
        <v>bnyta</v>
      </c>
      <c r="C1971" s="4" t="str">
        <f>IFERROR(__xludf.DUMMYFUNCTION("""COMPUTED_VALUE"""),"Bonyta")</f>
        <v>Bonyta</v>
      </c>
    </row>
    <row r="1972">
      <c r="A1972" s="4" t="str">
        <f>IFERROR(__xludf.DUMMYFUNCTION("""COMPUTED_VALUE"""),"bonzai-depin")</f>
        <v>bonzai-depin</v>
      </c>
      <c r="B1972" s="4" t="str">
        <f>IFERROR(__xludf.DUMMYFUNCTION("""COMPUTED_VALUE"""),"bonzai")</f>
        <v>bonzai</v>
      </c>
      <c r="C1972" s="4" t="str">
        <f>IFERROR(__xludf.DUMMYFUNCTION("""COMPUTED_VALUE"""),"BonzAI DePIN")</f>
        <v>BonzAI DePIN</v>
      </c>
    </row>
    <row r="1973">
      <c r="A1973" s="4" t="str">
        <f>IFERROR(__xludf.DUMMYFUNCTION("""COMPUTED_VALUE"""),"boo-2")</f>
        <v>boo-2</v>
      </c>
      <c r="B1973" s="4" t="str">
        <f>IFERROR(__xludf.DUMMYFUNCTION("""COMPUTED_VALUE"""),"$boo")</f>
        <v>$boo</v>
      </c>
      <c r="C1973" s="4" t="str">
        <f>IFERROR(__xludf.DUMMYFUNCTION("""COMPUTED_VALUE"""),"BOO")</f>
        <v>BOO</v>
      </c>
    </row>
    <row r="1974">
      <c r="A1974" s="4" t="str">
        <f>IFERROR(__xludf.DUMMYFUNCTION("""COMPUTED_VALUE"""),"boo-finance")</f>
        <v>boo-finance</v>
      </c>
      <c r="B1974" s="4" t="str">
        <f>IFERROR(__xludf.DUMMYFUNCTION("""COMPUTED_VALUE"""),"boofi")</f>
        <v>boofi</v>
      </c>
      <c r="C1974" s="4" t="str">
        <f>IFERROR(__xludf.DUMMYFUNCTION("""COMPUTED_VALUE"""),"Boo Finance")</f>
        <v>Boo Finance</v>
      </c>
    </row>
    <row r="1975">
      <c r="A1975" s="4" t="str">
        <f>IFERROR(__xludf.DUMMYFUNCTION("""COMPUTED_VALUE"""),"book-2")</f>
        <v>book-2</v>
      </c>
      <c r="B1975" s="4" t="str">
        <f>IFERROR(__xludf.DUMMYFUNCTION("""COMPUTED_VALUE"""),"book")</f>
        <v>book</v>
      </c>
      <c r="C1975" s="4" t="str">
        <f>IFERROR(__xludf.DUMMYFUNCTION("""COMPUTED_VALUE"""),"BOOK")</f>
        <v>BOOK</v>
      </c>
    </row>
    <row r="1976">
      <c r="A1976" s="4" t="str">
        <f>IFERROR(__xludf.DUMMYFUNCTION("""COMPUTED_VALUE"""),"book-3")</f>
        <v>book-3</v>
      </c>
      <c r="B1976" s="4" t="str">
        <f>IFERROR(__xludf.DUMMYFUNCTION("""COMPUTED_VALUE"""),"book")</f>
        <v>book</v>
      </c>
      <c r="C1976" s="4" t="str">
        <f>IFERROR(__xludf.DUMMYFUNCTION("""COMPUTED_VALUE"""),"BOOK")</f>
        <v>BOOK</v>
      </c>
    </row>
    <row r="1977">
      <c r="A1977" s="4" t="str">
        <f>IFERROR(__xludf.DUMMYFUNCTION("""COMPUTED_VALUE"""),"bookiebot")</f>
        <v>bookiebot</v>
      </c>
      <c r="B1977" s="4" t="str">
        <f>IFERROR(__xludf.DUMMYFUNCTION("""COMPUTED_VALUE"""),"bb")</f>
        <v>bb</v>
      </c>
      <c r="C1977" s="4" t="str">
        <f>IFERROR(__xludf.DUMMYFUNCTION("""COMPUTED_VALUE"""),"BookieBot")</f>
        <v>BookieBot</v>
      </c>
    </row>
    <row r="1978">
      <c r="A1978" s="4" t="str">
        <f>IFERROR(__xludf.DUMMYFUNCTION("""COMPUTED_VALUE"""),"book-of-baby-memes")</f>
        <v>book-of-baby-memes</v>
      </c>
      <c r="B1978" s="4" t="str">
        <f>IFERROR(__xludf.DUMMYFUNCTION("""COMPUTED_VALUE"""),"babybome")</f>
        <v>babybome</v>
      </c>
      <c r="C1978" s="4" t="str">
        <f>IFERROR(__xludf.DUMMYFUNCTION("""COMPUTED_VALUE"""),"Book of Baby Memes")</f>
        <v>Book of Baby Memes</v>
      </c>
    </row>
    <row r="1979">
      <c r="A1979" s="4" t="str">
        <f>IFERROR(__xludf.DUMMYFUNCTION("""COMPUTED_VALUE"""),"book-of-derp")</f>
        <v>book-of-derp</v>
      </c>
      <c r="B1979" s="4" t="str">
        <f>IFERROR(__xludf.DUMMYFUNCTION("""COMPUTED_VALUE"""),"bode")</f>
        <v>bode</v>
      </c>
      <c r="C1979" s="4" t="str">
        <f>IFERROR(__xludf.DUMMYFUNCTION("""COMPUTED_VALUE"""),"Book of Derp")</f>
        <v>Book of Derp</v>
      </c>
    </row>
    <row r="1980">
      <c r="A1980" s="4" t="str">
        <f>IFERROR(__xludf.DUMMYFUNCTION("""COMPUTED_VALUE"""),"book-of-doge-memes")</f>
        <v>book-of-doge-memes</v>
      </c>
      <c r="B1980" s="4" t="str">
        <f>IFERROR(__xludf.DUMMYFUNCTION("""COMPUTED_VALUE"""),"bomedoge")</f>
        <v>bomedoge</v>
      </c>
      <c r="C1980" s="4" t="str">
        <f>IFERROR(__xludf.DUMMYFUNCTION("""COMPUTED_VALUE"""),"BOOK OF DOGE MEMES")</f>
        <v>BOOK OF DOGE MEMES</v>
      </c>
    </row>
    <row r="1981">
      <c r="A1981" s="4" t="str">
        <f>IFERROR(__xludf.DUMMYFUNCTION("""COMPUTED_VALUE"""),"book-of-meme")</f>
        <v>book-of-meme</v>
      </c>
      <c r="B1981" s="4" t="str">
        <f>IFERROR(__xludf.DUMMYFUNCTION("""COMPUTED_VALUE"""),"bome")</f>
        <v>bome</v>
      </c>
      <c r="C1981" s="4" t="str">
        <f>IFERROR(__xludf.DUMMYFUNCTION("""COMPUTED_VALUE"""),"BOOK OF MEME")</f>
        <v>BOOK OF MEME</v>
      </c>
    </row>
    <row r="1982">
      <c r="A1982" s="4" t="str">
        <f>IFERROR(__xludf.DUMMYFUNCTION("""COMPUTED_VALUE"""),"book-of-meme-2-0")</f>
        <v>book-of-meme-2-0</v>
      </c>
      <c r="B1982" s="4" t="str">
        <f>IFERROR(__xludf.DUMMYFUNCTION("""COMPUTED_VALUE"""),"bome2")</f>
        <v>bome2</v>
      </c>
      <c r="C1982" s="4" t="str">
        <f>IFERROR(__xludf.DUMMYFUNCTION("""COMPUTED_VALUE"""),"Book of Meme 2.0")</f>
        <v>Book of Meme 2.0</v>
      </c>
    </row>
    <row r="1983">
      <c r="A1983" s="4" t="str">
        <f>IFERROR(__xludf.DUMMYFUNCTION("""COMPUTED_VALUE"""),"book-of-meow")</f>
        <v>book-of-meow</v>
      </c>
      <c r="B1983" s="4" t="str">
        <f>IFERROR(__xludf.DUMMYFUNCTION("""COMPUTED_VALUE"""),"bomeow")</f>
        <v>bomeow</v>
      </c>
      <c r="C1983" s="4" t="str">
        <f>IFERROR(__xludf.DUMMYFUNCTION("""COMPUTED_VALUE"""),"Book of Meow")</f>
        <v>Book of Meow</v>
      </c>
    </row>
    <row r="1984">
      <c r="A1984" s="4" t="str">
        <f>IFERROR(__xludf.DUMMYFUNCTION("""COMPUTED_VALUE"""),"book-of-pepe")</f>
        <v>book-of-pepe</v>
      </c>
      <c r="B1984" s="4" t="str">
        <f>IFERROR(__xludf.DUMMYFUNCTION("""COMPUTED_VALUE"""),"bope")</f>
        <v>bope</v>
      </c>
      <c r="C1984" s="4" t="str">
        <f>IFERROR(__xludf.DUMMYFUNCTION("""COMPUTED_VALUE"""),"Book of Pepe")</f>
        <v>Book of Pepe</v>
      </c>
    </row>
    <row r="1985">
      <c r="A1985" s="4" t="str">
        <f>IFERROR(__xludf.DUMMYFUNCTION("""COMPUTED_VALUE"""),"bool")</f>
        <v>bool</v>
      </c>
      <c r="B1985" s="4" t="str">
        <f>IFERROR(__xludf.DUMMYFUNCTION("""COMPUTED_VALUE"""),"bool")</f>
        <v>bool</v>
      </c>
      <c r="C1985" s="4" t="str">
        <f>IFERROR(__xludf.DUMMYFUNCTION("""COMPUTED_VALUE"""),"Bool")</f>
        <v>Bool</v>
      </c>
    </row>
    <row r="1986">
      <c r="A1986" s="4" t="str">
        <f>IFERROR(__xludf.DUMMYFUNCTION("""COMPUTED_VALUE"""),"boolran")</f>
        <v>boolran</v>
      </c>
      <c r="B1986" s="4" t="str">
        <f>IFERROR(__xludf.DUMMYFUNCTION("""COMPUTED_VALUE"""),"bool")</f>
        <v>bool</v>
      </c>
      <c r="C1986" s="4" t="str">
        <f>IFERROR(__xludf.DUMMYFUNCTION("""COMPUTED_VALUE"""),"BoolRan")</f>
        <v>BoolRan</v>
      </c>
    </row>
    <row r="1987">
      <c r="A1987" s="4" t="str">
        <f>IFERROR(__xludf.DUMMYFUNCTION("""COMPUTED_VALUE"""),"boomer")</f>
        <v>boomer</v>
      </c>
      <c r="B1987" s="4" t="str">
        <f>IFERROR(__xludf.DUMMYFUNCTION("""COMPUTED_VALUE"""),"boomer")</f>
        <v>boomer</v>
      </c>
      <c r="C1987" s="4" t="str">
        <f>IFERROR(__xludf.DUMMYFUNCTION("""COMPUTED_VALUE"""),"Boomer")</f>
        <v>Boomer</v>
      </c>
    </row>
    <row r="1988">
      <c r="A1988" s="4" t="str">
        <f>IFERROR(__xludf.DUMMYFUNCTION("""COMPUTED_VALUE"""),"boo-mirrorworld")</f>
        <v>boo-mirrorworld</v>
      </c>
      <c r="B1988" s="4" t="str">
        <f>IFERROR(__xludf.DUMMYFUNCTION("""COMPUTED_VALUE"""),"xboo")</f>
        <v>xboo</v>
      </c>
      <c r="C1988" s="4" t="str">
        <f>IFERROR(__xludf.DUMMYFUNCTION("""COMPUTED_VALUE"""),"Boo MirrorWorld")</f>
        <v>Boo MirrorWorld</v>
      </c>
    </row>
    <row r="1989">
      <c r="A1989" s="4" t="str">
        <f>IFERROR(__xludf.DUMMYFUNCTION("""COMPUTED_VALUE"""),"boop")</f>
        <v>boop</v>
      </c>
      <c r="B1989" s="4" t="str">
        <f>IFERROR(__xludf.DUMMYFUNCTION("""COMPUTED_VALUE"""),"boop")</f>
        <v>boop</v>
      </c>
      <c r="C1989" s="4" t="str">
        <f>IFERROR(__xludf.DUMMYFUNCTION("""COMPUTED_VALUE"""),"Boop")</f>
        <v>Boop</v>
      </c>
    </row>
    <row r="1990">
      <c r="A1990" s="4" t="str">
        <f>IFERROR(__xludf.DUMMYFUNCTION("""COMPUTED_VALUE"""),"boop-2")</f>
        <v>boop-2</v>
      </c>
      <c r="B1990" s="4" t="str">
        <f>IFERROR(__xludf.DUMMYFUNCTION("""COMPUTED_VALUE"""),"boop")</f>
        <v>boop</v>
      </c>
      <c r="C1990" s="4" t="str">
        <f>IFERROR(__xludf.DUMMYFUNCTION("""COMPUTED_VALUE"""),"Boop")</f>
        <v>Boop</v>
      </c>
    </row>
    <row r="1991">
      <c r="A1991" s="4" t="str">
        <f>IFERROR(__xludf.DUMMYFUNCTION("""COMPUTED_VALUE"""),"boost")</f>
        <v>boost</v>
      </c>
      <c r="B1991" s="4" t="str">
        <f>IFERROR(__xludf.DUMMYFUNCTION("""COMPUTED_VALUE"""),"boost")</f>
        <v>boost</v>
      </c>
      <c r="C1991" s="4" t="str">
        <f>IFERROR(__xludf.DUMMYFUNCTION("""COMPUTED_VALUE"""),"Boost")</f>
        <v>Boost</v>
      </c>
    </row>
    <row r="1992">
      <c r="A1992" s="4" t="str">
        <f>IFERROR(__xludf.DUMMYFUNCTION("""COMPUTED_VALUE"""),"boosted-lusd")</f>
        <v>boosted-lusd</v>
      </c>
      <c r="B1992" s="4" t="str">
        <f>IFERROR(__xludf.DUMMYFUNCTION("""COMPUTED_VALUE"""),"blusd")</f>
        <v>blusd</v>
      </c>
      <c r="C1992" s="4" t="str">
        <f>IFERROR(__xludf.DUMMYFUNCTION("""COMPUTED_VALUE"""),"Boosted LUSD")</f>
        <v>Boosted LUSD</v>
      </c>
    </row>
    <row r="1993">
      <c r="A1993" s="4" t="str">
        <f>IFERROR(__xludf.DUMMYFUNCTION("""COMPUTED_VALUE"""),"booster")</f>
        <v>booster</v>
      </c>
      <c r="B1993" s="4" t="str">
        <f>IFERROR(__xludf.DUMMYFUNCTION("""COMPUTED_VALUE"""),"boo")</f>
        <v>boo</v>
      </c>
      <c r="C1993" s="4" t="str">
        <f>IFERROR(__xludf.DUMMYFUNCTION("""COMPUTED_VALUE"""),"Booster")</f>
        <v>Booster</v>
      </c>
    </row>
    <row r="1994">
      <c r="A1994" s="4" t="str">
        <f>IFERROR(__xludf.DUMMYFUNCTION("""COMPUTED_VALUE"""),"booty")</f>
        <v>booty</v>
      </c>
      <c r="B1994" s="4" t="str">
        <f>IFERROR(__xludf.DUMMYFUNCTION("""COMPUTED_VALUE"""),"booty")</f>
        <v>booty</v>
      </c>
      <c r="C1994" s="4" t="str">
        <f>IFERROR(__xludf.DUMMYFUNCTION("""COMPUTED_VALUE"""),"BOOTY")</f>
        <v>BOOTY</v>
      </c>
    </row>
    <row r="1995">
      <c r="A1995" s="4" t="str">
        <f>IFERROR(__xludf.DUMMYFUNCTION("""COMPUTED_VALUE"""),"bora")</f>
        <v>bora</v>
      </c>
      <c r="B1995" s="4" t="str">
        <f>IFERROR(__xludf.DUMMYFUNCTION("""COMPUTED_VALUE"""),"bora")</f>
        <v>bora</v>
      </c>
      <c r="C1995" s="4" t="str">
        <f>IFERROR(__xludf.DUMMYFUNCTION("""COMPUTED_VALUE"""),"BORA")</f>
        <v>BORA</v>
      </c>
    </row>
    <row r="1996">
      <c r="A1996" s="4" t="str">
        <f>IFERROR(__xludf.DUMMYFUNCTION("""COMPUTED_VALUE"""),"bordercolliebsc")</f>
        <v>bordercolliebsc</v>
      </c>
      <c r="B1996" s="4" t="str">
        <f>IFERROR(__xludf.DUMMYFUNCTION("""COMPUTED_VALUE"""),"bdcl bsc")</f>
        <v>bdcl bsc</v>
      </c>
      <c r="C1996" s="4" t="str">
        <f>IFERROR(__xludf.DUMMYFUNCTION("""COMPUTED_VALUE"""),"BorderCollieBSC")</f>
        <v>BorderCollieBSC</v>
      </c>
    </row>
    <row r="1997">
      <c r="A1997" s="4" t="str">
        <f>IFERROR(__xludf.DUMMYFUNCTION("""COMPUTED_VALUE"""),"borderless-money")</f>
        <v>borderless-money</v>
      </c>
      <c r="B1997" s="4" t="str">
        <f>IFERROR(__xludf.DUMMYFUNCTION("""COMPUTED_VALUE"""),"bom")</f>
        <v>bom</v>
      </c>
      <c r="C1997" s="4" t="str">
        <f>IFERROR(__xludf.DUMMYFUNCTION("""COMPUTED_VALUE"""),"Borderless Money")</f>
        <v>Borderless Money</v>
      </c>
    </row>
    <row r="1998">
      <c r="A1998" s="4" t="str">
        <f>IFERROR(__xludf.DUMMYFUNCTION("""COMPUTED_VALUE"""),"borealis")</f>
        <v>borealis</v>
      </c>
      <c r="B1998" s="4" t="str">
        <f>IFERROR(__xludf.DUMMYFUNCTION("""COMPUTED_VALUE"""),"brl")</f>
        <v>brl</v>
      </c>
      <c r="C1998" s="4" t="str">
        <f>IFERROR(__xludf.DUMMYFUNCTION("""COMPUTED_VALUE"""),"Borealis")</f>
        <v>Borealis</v>
      </c>
    </row>
    <row r="1999">
      <c r="A1999" s="4" t="str">
        <f>IFERROR(__xludf.DUMMYFUNCTION("""COMPUTED_VALUE"""),"bored")</f>
        <v>bored</v>
      </c>
      <c r="B1999" s="4" t="str">
        <f>IFERROR(__xludf.DUMMYFUNCTION("""COMPUTED_VALUE"""),"$bored")</f>
        <v>$bored</v>
      </c>
      <c r="C1999" s="4" t="str">
        <f>IFERROR(__xludf.DUMMYFUNCTION("""COMPUTED_VALUE"""),"Bored Token")</f>
        <v>Bored Token</v>
      </c>
    </row>
    <row r="2000">
      <c r="A2000" s="4" t="str">
        <f>IFERROR(__xludf.DUMMYFUNCTION("""COMPUTED_VALUE"""),"bored-ape-social-club")</f>
        <v>bored-ape-social-club</v>
      </c>
      <c r="B2000" s="4" t="str">
        <f>IFERROR(__xludf.DUMMYFUNCTION("""COMPUTED_VALUE"""),"bape")</f>
        <v>bape</v>
      </c>
      <c r="C2000" s="4" t="str">
        <f>IFERROR(__xludf.DUMMYFUNCTION("""COMPUTED_VALUE"""),"Bored Ape Social Club")</f>
        <v>Bored Ape Social Club</v>
      </c>
    </row>
    <row r="2001">
      <c r="A2001" s="4" t="str">
        <f>IFERROR(__xludf.DUMMYFUNCTION("""COMPUTED_VALUE"""),"bored-candy-city")</f>
        <v>bored-candy-city</v>
      </c>
      <c r="B2001" s="4" t="str">
        <f>IFERROR(__xludf.DUMMYFUNCTION("""COMPUTED_VALUE"""),"candy")</f>
        <v>candy</v>
      </c>
      <c r="C2001" s="4" t="str">
        <f>IFERROR(__xludf.DUMMYFUNCTION("""COMPUTED_VALUE"""),"Bored Candy City")</f>
        <v>Bored Candy City</v>
      </c>
    </row>
    <row r="2002">
      <c r="A2002" s="4" t="str">
        <f>IFERROR(__xludf.DUMMYFUNCTION("""COMPUTED_VALUE"""),"boringdao")</f>
        <v>boringdao</v>
      </c>
      <c r="B2002" s="4" t="str">
        <f>IFERROR(__xludf.DUMMYFUNCTION("""COMPUTED_VALUE"""),"boring")</f>
        <v>boring</v>
      </c>
      <c r="C2002" s="4" t="str">
        <f>IFERROR(__xludf.DUMMYFUNCTION("""COMPUTED_VALUE"""),"BoringDAO")</f>
        <v>BoringDAO</v>
      </c>
    </row>
    <row r="2003">
      <c r="A2003" s="4" t="str">
        <f>IFERROR(__xludf.DUMMYFUNCTION("""COMPUTED_VALUE"""),"boringdao-[old]")</f>
        <v>boringdao-[old]</v>
      </c>
      <c r="B2003" s="4" t="str">
        <f>IFERROR(__xludf.DUMMYFUNCTION("""COMPUTED_VALUE"""),"bor")</f>
        <v>bor</v>
      </c>
      <c r="C2003" s="4" t="str">
        <f>IFERROR(__xludf.DUMMYFUNCTION("""COMPUTED_VALUE"""),"BoringDAO [OLD]")</f>
        <v>BoringDAO [OLD]</v>
      </c>
    </row>
    <row r="2004">
      <c r="A2004" s="4" t="str">
        <f>IFERROR(__xludf.DUMMYFUNCTION("""COMPUTED_VALUE"""),"boring-protocol")</f>
        <v>boring-protocol</v>
      </c>
      <c r="B2004" s="4" t="str">
        <f>IFERROR(__xludf.DUMMYFUNCTION("""COMPUTED_VALUE"""),"bop")</f>
        <v>bop</v>
      </c>
      <c r="C2004" s="4" t="str">
        <f>IFERROR(__xludf.DUMMYFUNCTION("""COMPUTED_VALUE"""),"Boring Protocol")</f>
        <v>Boring Protocol</v>
      </c>
    </row>
    <row r="2005">
      <c r="A2005" s="4" t="str">
        <f>IFERROR(__xludf.DUMMYFUNCTION("""COMPUTED_VALUE"""),"bork-2")</f>
        <v>bork-2</v>
      </c>
      <c r="B2005" s="4" t="str">
        <f>IFERROR(__xludf.DUMMYFUNCTION("""COMPUTED_VALUE"""),"bork")</f>
        <v>bork</v>
      </c>
      <c r="C2005" s="4" t="str">
        <f>IFERROR(__xludf.DUMMYFUNCTION("""COMPUTED_VALUE"""),"Bork")</f>
        <v>Bork</v>
      </c>
    </row>
    <row r="2006">
      <c r="A2006" s="4" t="str">
        <f>IFERROR(__xludf.DUMMYFUNCTION("""COMPUTED_VALUE"""),"borzoi-coin")</f>
        <v>borzoi-coin</v>
      </c>
      <c r="B2006" s="4" t="str">
        <f>IFERROR(__xludf.DUMMYFUNCTION("""COMPUTED_VALUE"""),"borzoi")</f>
        <v>borzoi</v>
      </c>
      <c r="C2006" s="4" t="str">
        <f>IFERROR(__xludf.DUMMYFUNCTION("""COMPUTED_VALUE"""),"Borzoi Coin")</f>
        <v>Borzoi Coin</v>
      </c>
    </row>
    <row r="2007">
      <c r="A2007" s="4" t="str">
        <f>IFERROR(__xludf.DUMMYFUNCTION("""COMPUTED_VALUE"""),"bosagora")</f>
        <v>bosagora</v>
      </c>
      <c r="B2007" s="4" t="str">
        <f>IFERROR(__xludf.DUMMYFUNCTION("""COMPUTED_VALUE"""),"boa")</f>
        <v>boa</v>
      </c>
      <c r="C2007" s="4" t="str">
        <f>IFERROR(__xludf.DUMMYFUNCTION("""COMPUTED_VALUE"""),"BOSagora")</f>
        <v>BOSagora</v>
      </c>
    </row>
    <row r="2008">
      <c r="A2008" s="4" t="str">
        <f>IFERROR(__xludf.DUMMYFUNCTION("""COMPUTED_VALUE"""),"boson-protocol")</f>
        <v>boson-protocol</v>
      </c>
      <c r="B2008" s="4" t="str">
        <f>IFERROR(__xludf.DUMMYFUNCTION("""COMPUTED_VALUE"""),"boson")</f>
        <v>boson</v>
      </c>
      <c r="C2008" s="4" t="str">
        <f>IFERROR(__xludf.DUMMYFUNCTION("""COMPUTED_VALUE"""),"Boson Protocol")</f>
        <v>Boson Protocol</v>
      </c>
    </row>
    <row r="2009">
      <c r="A2009" s="4" t="str">
        <f>IFERROR(__xludf.DUMMYFUNCTION("""COMPUTED_VALUE"""),"boss")</f>
        <v>boss</v>
      </c>
      <c r="B2009" s="4" t="str">
        <f>IFERROR(__xludf.DUMMYFUNCTION("""COMPUTED_VALUE"""),"boss")</f>
        <v>boss</v>
      </c>
      <c r="C2009" s="4" t="str">
        <f>IFERROR(__xludf.DUMMYFUNCTION("""COMPUTED_VALUE"""),"Boss")</f>
        <v>Boss</v>
      </c>
    </row>
    <row r="2010">
      <c r="A2010" s="4" t="str">
        <f>IFERROR(__xludf.DUMMYFUNCTION("""COMPUTED_VALUE"""),"boss-blockchain")</f>
        <v>boss-blockchain</v>
      </c>
      <c r="B2010" s="4" t="str">
        <f>IFERROR(__xludf.DUMMYFUNCTION("""COMPUTED_VALUE"""),"bbc")</f>
        <v>bbc</v>
      </c>
      <c r="C2010" s="4" t="str">
        <f>IFERROR(__xludf.DUMMYFUNCTION("""COMPUTED_VALUE"""),"Boss Blockchain")</f>
        <v>Boss Blockchain</v>
      </c>
    </row>
    <row r="2011">
      <c r="A2011" s="4" t="str">
        <f>IFERROR(__xludf.DUMMYFUNCTION("""COMPUTED_VALUE"""),"bossswap")</f>
        <v>bossswap</v>
      </c>
      <c r="B2011" s="4" t="str">
        <f>IFERROR(__xludf.DUMMYFUNCTION("""COMPUTED_VALUE"""),"boss")</f>
        <v>boss</v>
      </c>
      <c r="C2011" s="4" t="str">
        <f>IFERROR(__xludf.DUMMYFUNCTION("""COMPUTED_VALUE"""),"Boss Swap")</f>
        <v>Boss Swap</v>
      </c>
    </row>
    <row r="2012">
      <c r="A2012" s="4" t="str">
        <f>IFERROR(__xludf.DUMMYFUNCTION("""COMPUTED_VALUE"""),"bostrom")</f>
        <v>bostrom</v>
      </c>
      <c r="B2012" s="4" t="str">
        <f>IFERROR(__xludf.DUMMYFUNCTION("""COMPUTED_VALUE"""),"boot")</f>
        <v>boot</v>
      </c>
      <c r="C2012" s="4" t="str">
        <f>IFERROR(__xludf.DUMMYFUNCTION("""COMPUTED_VALUE"""),"Bostrom")</f>
        <v>Bostrom</v>
      </c>
    </row>
    <row r="2013">
      <c r="A2013" s="4" t="str">
        <f>IFERROR(__xludf.DUMMYFUNCTION("""COMPUTED_VALUE"""),"botccoin-chain")</f>
        <v>botccoin-chain</v>
      </c>
      <c r="B2013" s="4" t="str">
        <f>IFERROR(__xludf.DUMMYFUNCTION("""COMPUTED_VALUE"""),"botc")</f>
        <v>botc</v>
      </c>
      <c r="C2013" s="4" t="str">
        <f>IFERROR(__xludf.DUMMYFUNCTION("""COMPUTED_VALUE"""),"Botccoin Chain")</f>
        <v>Botccoin Chain</v>
      </c>
    </row>
    <row r="2014">
      <c r="A2014" s="4" t="str">
        <f>IFERROR(__xludf.DUMMYFUNCTION("""COMPUTED_VALUE"""),"bot-compiler")</f>
        <v>bot-compiler</v>
      </c>
      <c r="B2014" s="4" t="str">
        <f>IFERROR(__xludf.DUMMYFUNCTION("""COMPUTED_VALUE"""),"botc")</f>
        <v>botc</v>
      </c>
      <c r="C2014" s="4" t="str">
        <f>IFERROR(__xludf.DUMMYFUNCTION("""COMPUTED_VALUE"""),"Bot Compiler")</f>
        <v>Bot Compiler</v>
      </c>
    </row>
    <row r="2015">
      <c r="A2015" s="4" t="str">
        <f>IFERROR(__xludf.DUMMYFUNCTION("""COMPUTED_VALUE"""),"botopiafinance")</f>
        <v>botopiafinance</v>
      </c>
      <c r="B2015" s="4" t="str">
        <f>IFERROR(__xludf.DUMMYFUNCTION("""COMPUTED_VALUE"""),"btop")</f>
        <v>btop</v>
      </c>
      <c r="C2015" s="4" t="str">
        <f>IFERROR(__xludf.DUMMYFUNCTION("""COMPUTED_VALUE"""),"BotopiaFinance")</f>
        <v>BotopiaFinance</v>
      </c>
    </row>
    <row r="2016">
      <c r="A2016" s="4" t="str">
        <f>IFERROR(__xludf.DUMMYFUNCTION("""COMPUTED_VALUE"""),"bot-planet")</f>
        <v>bot-planet</v>
      </c>
      <c r="B2016" s="4" t="str">
        <f>IFERROR(__xludf.DUMMYFUNCTION("""COMPUTED_VALUE"""),"bot")</f>
        <v>bot</v>
      </c>
      <c r="C2016" s="4" t="str">
        <f>IFERROR(__xludf.DUMMYFUNCTION("""COMPUTED_VALUE"""),"Bot Planet")</f>
        <v>Bot Planet</v>
      </c>
    </row>
    <row r="2017">
      <c r="A2017" s="4" t="str">
        <f>IFERROR(__xludf.DUMMYFUNCTION("""COMPUTED_VALUE"""),"botto")</f>
        <v>botto</v>
      </c>
      <c r="B2017" s="4" t="str">
        <f>IFERROR(__xludf.DUMMYFUNCTION("""COMPUTED_VALUE"""),"botto")</f>
        <v>botto</v>
      </c>
      <c r="C2017" s="4" t="str">
        <f>IFERROR(__xludf.DUMMYFUNCTION("""COMPUTED_VALUE"""),"Botto")</f>
        <v>Botto</v>
      </c>
    </row>
    <row r="2018">
      <c r="A2018" s="4" t="str">
        <f>IFERROR(__xludf.DUMMYFUNCTION("""COMPUTED_VALUE"""),"bottos")</f>
        <v>bottos</v>
      </c>
      <c r="B2018" s="4" t="str">
        <f>IFERROR(__xludf.DUMMYFUNCTION("""COMPUTED_VALUE"""),"bto")</f>
        <v>bto</v>
      </c>
      <c r="C2018" s="4" t="str">
        <f>IFERROR(__xludf.DUMMYFUNCTION("""COMPUTED_VALUE"""),"Bottos")</f>
        <v>Bottos</v>
      </c>
    </row>
    <row r="2019">
      <c r="A2019" s="4" t="str">
        <f>IFERROR(__xludf.DUMMYFUNCTION("""COMPUTED_VALUE"""),"botxcoin")</f>
        <v>botxcoin</v>
      </c>
      <c r="B2019" s="4" t="str">
        <f>IFERROR(__xludf.DUMMYFUNCTION("""COMPUTED_VALUE"""),"botx")</f>
        <v>botx</v>
      </c>
      <c r="C2019" s="4" t="str">
        <f>IFERROR(__xludf.DUMMYFUNCTION("""COMPUTED_VALUE"""),"BOTXCOIN")</f>
        <v>BOTXCOIN</v>
      </c>
    </row>
    <row r="2020">
      <c r="A2020" s="4" t="str">
        <f>IFERROR(__xludf.DUMMYFUNCTION("""COMPUTED_VALUE"""),"bouncing-dvd")</f>
        <v>bouncing-dvd</v>
      </c>
      <c r="B2020" s="4" t="str">
        <f>IFERROR(__xludf.DUMMYFUNCTION("""COMPUTED_VALUE"""),"dvd")</f>
        <v>dvd</v>
      </c>
      <c r="C2020" s="4" t="str">
        <f>IFERROR(__xludf.DUMMYFUNCTION("""COMPUTED_VALUE"""),"Bouncing DVD")</f>
        <v>Bouncing DVD</v>
      </c>
    </row>
    <row r="2021">
      <c r="A2021" s="4" t="str">
        <f>IFERROR(__xludf.DUMMYFUNCTION("""COMPUTED_VALUE"""),"bouncing-seals")</f>
        <v>bouncing-seals</v>
      </c>
      <c r="B2021" s="4" t="str">
        <f>IFERROR(__xludf.DUMMYFUNCTION("""COMPUTED_VALUE"""),"seals")</f>
        <v>seals</v>
      </c>
      <c r="C2021" s="4" t="str">
        <f>IFERROR(__xludf.DUMMYFUNCTION("""COMPUTED_VALUE"""),"Bouncing Seals")</f>
        <v>Bouncing Seals</v>
      </c>
    </row>
    <row r="2022">
      <c r="A2022" s="4" t="str">
        <f>IFERROR(__xludf.DUMMYFUNCTION("""COMPUTED_VALUE"""),"bountie-hunter")</f>
        <v>bountie-hunter</v>
      </c>
      <c r="B2022" s="4" t="str">
        <f>IFERROR(__xludf.DUMMYFUNCTION("""COMPUTED_VALUE"""),"bountie")</f>
        <v>bountie</v>
      </c>
      <c r="C2022" s="4" t="str">
        <f>IFERROR(__xludf.DUMMYFUNCTION("""COMPUTED_VALUE"""),"Bountie Hunter")</f>
        <v>Bountie Hunter</v>
      </c>
    </row>
    <row r="2023">
      <c r="A2023" s="4" t="str">
        <f>IFERROR(__xludf.DUMMYFUNCTION("""COMPUTED_VALUE"""),"bounty0x")</f>
        <v>bounty0x</v>
      </c>
      <c r="B2023" s="4" t="str">
        <f>IFERROR(__xludf.DUMMYFUNCTION("""COMPUTED_VALUE"""),"bnty")</f>
        <v>bnty</v>
      </c>
      <c r="C2023" s="4" t="str">
        <f>IFERROR(__xludf.DUMMYFUNCTION("""COMPUTED_VALUE"""),"Bounty0x")</f>
        <v>Bounty0x</v>
      </c>
    </row>
    <row r="2024">
      <c r="A2024" s="4" t="str">
        <f>IFERROR(__xludf.DUMMYFUNCTION("""COMPUTED_VALUE"""),"bountykinds-yu")</f>
        <v>bountykinds-yu</v>
      </c>
      <c r="B2024" s="4" t="str">
        <f>IFERROR(__xludf.DUMMYFUNCTION("""COMPUTED_VALUE"""),"yu")</f>
        <v>yu</v>
      </c>
      <c r="C2024" s="4" t="str">
        <f>IFERROR(__xludf.DUMMYFUNCTION("""COMPUTED_VALUE"""),"BountyKinds YU")</f>
        <v>BountyKinds YU</v>
      </c>
    </row>
    <row r="2025">
      <c r="A2025" s="4" t="str">
        <f>IFERROR(__xludf.DUMMYFUNCTION("""COMPUTED_VALUE"""),"bountymarketcap")</f>
        <v>bountymarketcap</v>
      </c>
      <c r="B2025" s="4" t="str">
        <f>IFERROR(__xludf.DUMMYFUNCTION("""COMPUTED_VALUE"""),"bmc")</f>
        <v>bmc</v>
      </c>
      <c r="C2025" s="4" t="str">
        <f>IFERROR(__xludf.DUMMYFUNCTION("""COMPUTED_VALUE"""),"BountyMarketCap")</f>
        <v>BountyMarketCap</v>
      </c>
    </row>
    <row r="2026">
      <c r="A2026" s="4" t="str">
        <f>IFERROR(__xludf.DUMMYFUNCTION("""COMPUTED_VALUE"""),"bounty-temple")</f>
        <v>bounty-temple</v>
      </c>
      <c r="B2026" s="4" t="str">
        <f>IFERROR(__xludf.DUMMYFUNCTION("""COMPUTED_VALUE"""),"tyt")</f>
        <v>tyt</v>
      </c>
      <c r="C2026" s="4" t="str">
        <f>IFERROR(__xludf.DUMMYFUNCTION("""COMPUTED_VALUE"""),"Bounty Temple")</f>
        <v>Bounty Temple</v>
      </c>
    </row>
    <row r="2027">
      <c r="A2027" s="4" t="str">
        <f>IFERROR(__xludf.DUMMYFUNCTION("""COMPUTED_VALUE"""),"bovineverse-bvt")</f>
        <v>bovineverse-bvt</v>
      </c>
      <c r="B2027" s="4" t="str">
        <f>IFERROR(__xludf.DUMMYFUNCTION("""COMPUTED_VALUE"""),"bvt")</f>
        <v>bvt</v>
      </c>
      <c r="C2027" s="4" t="str">
        <f>IFERROR(__xludf.DUMMYFUNCTION("""COMPUTED_VALUE"""),"Bovineverse BVT")</f>
        <v>Bovineverse BVT</v>
      </c>
    </row>
    <row r="2028">
      <c r="A2028" s="4" t="str">
        <f>IFERROR(__xludf.DUMMYFUNCTION("""COMPUTED_VALUE"""),"bowie")</f>
        <v>bowie</v>
      </c>
      <c r="B2028" s="4" t="str">
        <f>IFERROR(__xludf.DUMMYFUNCTION("""COMPUTED_VALUE"""),"bowie")</f>
        <v>bowie</v>
      </c>
      <c r="C2028" s="4" t="str">
        <f>IFERROR(__xludf.DUMMYFUNCTION("""COMPUTED_VALUE"""),"Bowie")</f>
        <v>Bowie</v>
      </c>
    </row>
    <row r="2029">
      <c r="A2029" s="4" t="str">
        <f>IFERROR(__xludf.DUMMYFUNCTION("""COMPUTED_VALUE"""),"bowled-io")</f>
        <v>bowled-io</v>
      </c>
      <c r="B2029" s="4" t="str">
        <f>IFERROR(__xludf.DUMMYFUNCTION("""COMPUTED_VALUE"""),"bwld")</f>
        <v>bwld</v>
      </c>
      <c r="C2029" s="5" t="str">
        <f>IFERROR(__xludf.DUMMYFUNCTION("""COMPUTED_VALUE"""),"Bowled.io")</f>
        <v>Bowled.io</v>
      </c>
    </row>
    <row r="2030">
      <c r="A2030" s="4" t="str">
        <f>IFERROR(__xludf.DUMMYFUNCTION("""COMPUTED_VALUE"""),"boxbet")</f>
        <v>boxbet</v>
      </c>
      <c r="B2030" s="4" t="str">
        <f>IFERROR(__xludf.DUMMYFUNCTION("""COMPUTED_VALUE"""),"bxbt")</f>
        <v>bxbt</v>
      </c>
      <c r="C2030" s="4" t="str">
        <f>IFERROR(__xludf.DUMMYFUNCTION("""COMPUTED_VALUE"""),"BoxBet")</f>
        <v>BoxBet</v>
      </c>
    </row>
    <row r="2031">
      <c r="A2031" s="4" t="str">
        <f>IFERROR(__xludf.DUMMYFUNCTION("""COMPUTED_VALUE"""),"box-dao")</f>
        <v>box-dao</v>
      </c>
      <c r="B2031" s="4" t="str">
        <f>IFERROR(__xludf.DUMMYFUNCTION("""COMPUTED_VALUE"""),"b-dao")</f>
        <v>b-dao</v>
      </c>
      <c r="C2031" s="4" t="str">
        <f>IFERROR(__xludf.DUMMYFUNCTION("""COMPUTED_VALUE"""),"Box-DAO")</f>
        <v>Box-DAO</v>
      </c>
    </row>
    <row r="2032">
      <c r="A2032" s="4" t="str">
        <f>IFERROR(__xludf.DUMMYFUNCTION("""COMPUTED_VALUE"""),"boxydude")</f>
        <v>boxydude</v>
      </c>
      <c r="B2032" s="4" t="str">
        <f>IFERROR(__xludf.DUMMYFUNCTION("""COMPUTED_VALUE"""),"box")</f>
        <v>box</v>
      </c>
      <c r="C2032" s="4" t="str">
        <f>IFERROR(__xludf.DUMMYFUNCTION("""COMPUTED_VALUE"""),"BoxyDude")</f>
        <v>BoxyDude</v>
      </c>
    </row>
    <row r="2033">
      <c r="A2033" s="4" t="str">
        <f>IFERROR(__xludf.DUMMYFUNCTION("""COMPUTED_VALUE"""),"bozo-collective")</f>
        <v>bozo-collective</v>
      </c>
      <c r="B2033" s="4" t="str">
        <f>IFERROR(__xludf.DUMMYFUNCTION("""COMPUTED_VALUE"""),"bozo")</f>
        <v>bozo</v>
      </c>
      <c r="C2033" s="4" t="str">
        <f>IFERROR(__xludf.DUMMYFUNCTION("""COMPUTED_VALUE"""),"Bozo Collective")</f>
        <v>Bozo Collective</v>
      </c>
    </row>
    <row r="2034">
      <c r="A2034" s="4" t="str">
        <f>IFERROR(__xludf.DUMMYFUNCTION("""COMPUTED_VALUE"""),"bozo-hybrid")</f>
        <v>bozo-hybrid</v>
      </c>
      <c r="B2034" s="4" t="str">
        <f>IFERROR(__xludf.DUMMYFUNCTION("""COMPUTED_VALUE"""),"bozo")</f>
        <v>bozo</v>
      </c>
      <c r="C2034" s="4" t="str">
        <f>IFERROR(__xludf.DUMMYFUNCTION("""COMPUTED_VALUE"""),"bozo Hybrid")</f>
        <v>bozo Hybrid</v>
      </c>
    </row>
    <row r="2035">
      <c r="A2035" s="4" t="str">
        <f>IFERROR(__xludf.DUMMYFUNCTION("""COMPUTED_VALUE"""),"b-protocol")</f>
        <v>b-protocol</v>
      </c>
      <c r="B2035" s="4" t="str">
        <f>IFERROR(__xludf.DUMMYFUNCTION("""COMPUTED_VALUE"""),"bpro")</f>
        <v>bpro</v>
      </c>
      <c r="C2035" s="4" t="str">
        <f>IFERROR(__xludf.DUMMYFUNCTION("""COMPUTED_VALUE"""),"B.Protocol")</f>
        <v>B.Protocol</v>
      </c>
    </row>
    <row r="2036">
      <c r="A2036" s="4" t="str">
        <f>IFERROR(__xludf.DUMMYFUNCTION("""COMPUTED_VALUE"""),"bracelet")</f>
        <v>bracelet</v>
      </c>
      <c r="B2036" s="4" t="str">
        <f>IFERROR(__xludf.DUMMYFUNCTION("""COMPUTED_VALUE"""),"brc")</f>
        <v>brc</v>
      </c>
      <c r="C2036" s="4" t="str">
        <f>IFERROR(__xludf.DUMMYFUNCTION("""COMPUTED_VALUE"""),"Bracelet")</f>
        <v>Bracelet</v>
      </c>
    </row>
    <row r="2037">
      <c r="A2037" s="4" t="str">
        <f>IFERROR(__xludf.DUMMYFUNCTION("""COMPUTED_VALUE"""),"brainers")</f>
        <v>brainers</v>
      </c>
      <c r="B2037" s="4" t="str">
        <f>IFERROR(__xludf.DUMMYFUNCTION("""COMPUTED_VALUE"""),"brainers")</f>
        <v>brainers</v>
      </c>
      <c r="C2037" s="4" t="str">
        <f>IFERROR(__xludf.DUMMYFUNCTION("""COMPUTED_VALUE"""),"Brainers")</f>
        <v>Brainers</v>
      </c>
    </row>
    <row r="2038">
      <c r="A2038" s="4" t="str">
        <f>IFERROR(__xludf.DUMMYFUNCTION("""COMPUTED_VALUE"""),"brain-sync")</f>
        <v>brain-sync</v>
      </c>
      <c r="B2038" s="4" t="str">
        <f>IFERROR(__xludf.DUMMYFUNCTION("""COMPUTED_VALUE"""),"syncbrain")</f>
        <v>syncbrain</v>
      </c>
      <c r="C2038" s="4" t="str">
        <f>IFERROR(__xludf.DUMMYFUNCTION("""COMPUTED_VALUE"""),"Brain Sync")</f>
        <v>Brain Sync</v>
      </c>
    </row>
    <row r="2039">
      <c r="A2039" s="4" t="str">
        <f>IFERROR(__xludf.DUMMYFUNCTION("""COMPUTED_VALUE"""),"braintrust")</f>
        <v>braintrust</v>
      </c>
      <c r="B2039" s="4" t="str">
        <f>IFERROR(__xludf.DUMMYFUNCTION("""COMPUTED_VALUE"""),"btrst")</f>
        <v>btrst</v>
      </c>
      <c r="C2039" s="4" t="str">
        <f>IFERROR(__xludf.DUMMYFUNCTION("""COMPUTED_VALUE"""),"Braintrust")</f>
        <v>Braintrust</v>
      </c>
    </row>
    <row r="2040">
      <c r="A2040" s="4" t="str">
        <f>IFERROR(__xludf.DUMMYFUNCTION("""COMPUTED_VALUE"""),"brandpad-finance")</f>
        <v>brandpad-finance</v>
      </c>
      <c r="B2040" s="4" t="str">
        <f>IFERROR(__xludf.DUMMYFUNCTION("""COMPUTED_VALUE"""),"brand")</f>
        <v>brand</v>
      </c>
      <c r="C2040" s="4" t="str">
        <f>IFERROR(__xludf.DUMMYFUNCTION("""COMPUTED_VALUE"""),"BrandPad Finance")</f>
        <v>BrandPad Finance</v>
      </c>
    </row>
    <row r="2041">
      <c r="A2041" s="4" t="str">
        <f>IFERROR(__xludf.DUMMYFUNCTION("""COMPUTED_VALUE"""),"brave-power-crystal")</f>
        <v>brave-power-crystal</v>
      </c>
      <c r="B2041" s="4" t="str">
        <f>IFERROR(__xludf.DUMMYFUNCTION("""COMPUTED_VALUE"""),"bpc")</f>
        <v>bpc</v>
      </c>
      <c r="C2041" s="4" t="str">
        <f>IFERROR(__xludf.DUMMYFUNCTION("""COMPUTED_VALUE"""),"Brave Power Crystal")</f>
        <v>Brave Power Crystal</v>
      </c>
    </row>
    <row r="2042">
      <c r="A2042" s="4" t="str">
        <f>IFERROR(__xludf.DUMMYFUNCTION("""COMPUTED_VALUE"""),"brazil-fan-token")</f>
        <v>brazil-fan-token</v>
      </c>
      <c r="B2042" s="4" t="str">
        <f>IFERROR(__xludf.DUMMYFUNCTION("""COMPUTED_VALUE"""),"bft")</f>
        <v>bft</v>
      </c>
      <c r="C2042" s="4" t="str">
        <f>IFERROR(__xludf.DUMMYFUNCTION("""COMPUTED_VALUE"""),"Brazil National Football Team Fan Token")</f>
        <v>Brazil National Football Team Fan Token</v>
      </c>
    </row>
    <row r="2043">
      <c r="A2043" s="4" t="str">
        <f>IFERROR(__xludf.DUMMYFUNCTION("""COMPUTED_VALUE"""),"brc20-bot")</f>
        <v>brc20-bot</v>
      </c>
      <c r="B2043" s="4" t="str">
        <f>IFERROR(__xludf.DUMMYFUNCTION("""COMPUTED_VALUE"""),"brcbot")</f>
        <v>brcbot</v>
      </c>
      <c r="C2043" s="4" t="str">
        <f>IFERROR(__xludf.DUMMYFUNCTION("""COMPUTED_VALUE"""),"BRC20 BOT")</f>
        <v>BRC20 BOT</v>
      </c>
    </row>
    <row r="2044">
      <c r="A2044" s="4" t="str">
        <f>IFERROR(__xludf.DUMMYFUNCTION("""COMPUTED_VALUE"""),"brc-20-dex")</f>
        <v>brc-20-dex</v>
      </c>
      <c r="B2044" s="4" t="str">
        <f>IFERROR(__xludf.DUMMYFUNCTION("""COMPUTED_VALUE"""),"bd20")</f>
        <v>bd20</v>
      </c>
      <c r="C2044" s="4" t="str">
        <f>IFERROR(__xludf.DUMMYFUNCTION("""COMPUTED_VALUE"""),"BRC-20 DEX")</f>
        <v>BRC-20 DEX</v>
      </c>
    </row>
    <row r="2045">
      <c r="A2045" s="4" t="str">
        <f>IFERROR(__xludf.DUMMYFUNCTION("""COMPUTED_VALUE"""),"brc-app")</f>
        <v>brc-app</v>
      </c>
      <c r="B2045" s="4" t="str">
        <f>IFERROR(__xludf.DUMMYFUNCTION("""COMPUTED_VALUE"""),"brct")</f>
        <v>brct</v>
      </c>
      <c r="C2045" s="4" t="str">
        <f>IFERROR(__xludf.DUMMYFUNCTION("""COMPUTED_VALUE"""),"BRC App")</f>
        <v>BRC App</v>
      </c>
    </row>
    <row r="2046">
      <c r="A2046" s="4" t="str">
        <f>IFERROR(__xludf.DUMMYFUNCTION("""COMPUTED_VALUE"""),"brcexchange")</f>
        <v>brcexchange</v>
      </c>
      <c r="B2046" s="4" t="str">
        <f>IFERROR(__xludf.DUMMYFUNCTION("""COMPUTED_VALUE"""),"bex")</f>
        <v>bex</v>
      </c>
      <c r="C2046" s="4" t="str">
        <f>IFERROR(__xludf.DUMMYFUNCTION("""COMPUTED_VALUE"""),"BrcExchange")</f>
        <v>BrcExchange</v>
      </c>
    </row>
    <row r="2047">
      <c r="A2047" s="4" t="str">
        <f>IFERROR(__xludf.DUMMYFUNCTION("""COMPUTED_VALUE"""),"brc-on-the-erc")</f>
        <v>brc-on-the-erc</v>
      </c>
      <c r="B2047" s="4" t="str">
        <f>IFERROR(__xludf.DUMMYFUNCTION("""COMPUTED_VALUE"""),"brc20")</f>
        <v>brc20</v>
      </c>
      <c r="C2047" s="4" t="str">
        <f>IFERROR(__xludf.DUMMYFUNCTION("""COMPUTED_VALUE"""),"BRC on the ERC")</f>
        <v>BRC on the ERC</v>
      </c>
    </row>
    <row r="2048">
      <c r="A2048" s="4" t="str">
        <f>IFERROR(__xludf.DUMMYFUNCTION("""COMPUTED_VALUE"""),"brcp-token")</f>
        <v>brcp-token</v>
      </c>
      <c r="B2048" s="4" t="str">
        <f>IFERROR(__xludf.DUMMYFUNCTION("""COMPUTED_VALUE"""),"brcp")</f>
        <v>brcp</v>
      </c>
      <c r="C2048" s="4" t="str">
        <f>IFERROR(__xludf.DUMMYFUNCTION("""COMPUTED_VALUE"""),"BRCP")</f>
        <v>BRCP</v>
      </c>
    </row>
    <row r="2049">
      <c r="A2049" s="4" t="str">
        <f>IFERROR(__xludf.DUMMYFUNCTION("""COMPUTED_VALUE"""),"brcstarter")</f>
        <v>brcstarter</v>
      </c>
      <c r="B2049" s="4" t="str">
        <f>IFERROR(__xludf.DUMMYFUNCTION("""COMPUTED_VALUE"""),"brcst")</f>
        <v>brcst</v>
      </c>
      <c r="C2049" s="4" t="str">
        <f>IFERROR(__xludf.DUMMYFUNCTION("""COMPUTED_VALUE"""),"BRCStarter")</f>
        <v>BRCStarter</v>
      </c>
    </row>
    <row r="2050">
      <c r="A2050" s="4" t="str">
        <f>IFERROR(__xludf.DUMMYFUNCTION("""COMPUTED_VALUE"""),"brd")</f>
        <v>brd</v>
      </c>
      <c r="B2050" s="4" t="str">
        <f>IFERROR(__xludf.DUMMYFUNCTION("""COMPUTED_VALUE"""),"brd")</f>
        <v>brd</v>
      </c>
      <c r="C2050" s="4" t="str">
        <f>IFERROR(__xludf.DUMMYFUNCTION("""COMPUTED_VALUE"""),"Board")</f>
        <v>Board</v>
      </c>
    </row>
    <row r="2051">
      <c r="A2051" s="4" t="str">
        <f>IFERROR(__xludf.DUMMYFUNCTION("""COMPUTED_VALUE"""),"bread")</f>
        <v>bread</v>
      </c>
      <c r="B2051" s="4" t="str">
        <f>IFERROR(__xludf.DUMMYFUNCTION("""COMPUTED_VALUE"""),"brd")</f>
        <v>brd</v>
      </c>
      <c r="C2051" s="4" t="str">
        <f>IFERROR(__xludf.DUMMYFUNCTION("""COMPUTED_VALUE"""),"Bread")</f>
        <v>Bread</v>
      </c>
    </row>
    <row r="2052">
      <c r="A2052" s="4" t="str">
        <f>IFERROR(__xludf.DUMMYFUNCTION("""COMPUTED_VALUE"""),"breederdao")</f>
        <v>breederdao</v>
      </c>
      <c r="B2052" s="4" t="str">
        <f>IFERROR(__xludf.DUMMYFUNCTION("""COMPUTED_VALUE"""),"breed")</f>
        <v>breed</v>
      </c>
      <c r="C2052" s="4" t="str">
        <f>IFERROR(__xludf.DUMMYFUNCTION("""COMPUTED_VALUE"""),"BreederDAO")</f>
        <v>BreederDAO</v>
      </c>
    </row>
    <row r="2053">
      <c r="A2053" s="4" t="str">
        <f>IFERROR(__xludf.DUMMYFUNCTION("""COMPUTED_VALUE"""),"brepe")</f>
        <v>brepe</v>
      </c>
      <c r="B2053" s="4" t="str">
        <f>IFERROR(__xludf.DUMMYFUNCTION("""COMPUTED_VALUE"""),"brepe")</f>
        <v>brepe</v>
      </c>
      <c r="C2053" s="4" t="str">
        <f>IFERROR(__xludf.DUMMYFUNCTION("""COMPUTED_VALUE"""),"BREPE")</f>
        <v>BREPE</v>
      </c>
    </row>
    <row r="2054">
      <c r="A2054" s="4" t="str">
        <f>IFERROR(__xludf.DUMMYFUNCTION("""COMPUTED_VALUE"""),"brett")</f>
        <v>brett</v>
      </c>
      <c r="B2054" s="4" t="str">
        <f>IFERROR(__xludf.DUMMYFUNCTION("""COMPUTED_VALUE"""),"brett")</f>
        <v>brett</v>
      </c>
      <c r="C2054" s="4" t="str">
        <f>IFERROR(__xludf.DUMMYFUNCTION("""COMPUTED_VALUE"""),"Brett")</f>
        <v>Brett</v>
      </c>
    </row>
    <row r="2055">
      <c r="A2055" s="4" t="str">
        <f>IFERROR(__xludf.DUMMYFUNCTION("""COMPUTED_VALUE"""),"brett-eth")</f>
        <v>brett-eth</v>
      </c>
      <c r="B2055" s="4" t="str">
        <f>IFERROR(__xludf.DUMMYFUNCTION("""COMPUTED_VALUE"""),"brett")</f>
        <v>brett</v>
      </c>
      <c r="C2055" s="4" t="str">
        <f>IFERROR(__xludf.DUMMYFUNCTION("""COMPUTED_VALUE"""),"Brett ETH")</f>
        <v>Brett ETH</v>
      </c>
    </row>
    <row r="2056">
      <c r="A2056" s="4" t="str">
        <f>IFERROR(__xludf.DUMMYFUNCTION("""COMPUTED_VALUE"""),"brett-injective")</f>
        <v>brett-injective</v>
      </c>
      <c r="B2056" s="4" t="str">
        <f>IFERROR(__xludf.DUMMYFUNCTION("""COMPUTED_VALUE"""),"brett")</f>
        <v>brett</v>
      </c>
      <c r="C2056" s="4" t="str">
        <f>IFERROR(__xludf.DUMMYFUNCTION("""COMPUTED_VALUE"""),"BRETT (Injective)")</f>
        <v>BRETT (Injective)</v>
      </c>
    </row>
    <row r="2057">
      <c r="A2057" s="4" t="str">
        <f>IFERROR(__xludf.DUMMYFUNCTION("""COMPUTED_VALUE"""),"brett-is-based")</f>
        <v>brett-is-based</v>
      </c>
      <c r="B2057" s="4" t="str">
        <f>IFERROR(__xludf.DUMMYFUNCTION("""COMPUTED_VALUE"""),"bmoney")</f>
        <v>bmoney</v>
      </c>
      <c r="C2057" s="4" t="str">
        <f>IFERROR(__xludf.DUMMYFUNCTION("""COMPUTED_VALUE"""),"Brett Is Based")</f>
        <v>Brett Is Based</v>
      </c>
    </row>
    <row r="2058">
      <c r="A2058" s="4" t="str">
        <f>IFERROR(__xludf.DUMMYFUNCTION("""COMPUTED_VALUE"""),"brettwifhat")</f>
        <v>brettwifhat</v>
      </c>
      <c r="B2058" s="4" t="str">
        <f>IFERROR(__xludf.DUMMYFUNCTION("""COMPUTED_VALUE"""),"$bif")</f>
        <v>$bif</v>
      </c>
      <c r="C2058" s="4" t="str">
        <f>IFERROR(__xludf.DUMMYFUNCTION("""COMPUTED_VALUE"""),"BrettWifHat")</f>
        <v>BrettWifHat</v>
      </c>
    </row>
    <row r="2059">
      <c r="A2059" s="4" t="str">
        <f>IFERROR(__xludf.DUMMYFUNCTION("""COMPUTED_VALUE"""),"brewlabs")</f>
        <v>brewlabs</v>
      </c>
      <c r="B2059" s="4" t="str">
        <f>IFERROR(__xludf.DUMMYFUNCTION("""COMPUTED_VALUE"""),"brewlabs")</f>
        <v>brewlabs</v>
      </c>
      <c r="C2059" s="4" t="str">
        <f>IFERROR(__xludf.DUMMYFUNCTION("""COMPUTED_VALUE"""),"Brewlabs")</f>
        <v>Brewlabs</v>
      </c>
    </row>
    <row r="2060">
      <c r="A2060" s="4" t="str">
        <f>IFERROR(__xludf.DUMMYFUNCTION("""COMPUTED_VALUE"""),"brex")</f>
        <v>brex</v>
      </c>
      <c r="B2060" s="4" t="str">
        <f>IFERROR(__xludf.DUMMYFUNCTION("""COMPUTED_VALUE"""),"brex")</f>
        <v>brex</v>
      </c>
      <c r="C2060" s="4" t="str">
        <f>IFERROR(__xludf.DUMMYFUNCTION("""COMPUTED_VALUE"""),"BREX")</f>
        <v>BREX</v>
      </c>
    </row>
    <row r="2061">
      <c r="A2061" s="4" t="str">
        <f>IFERROR(__xludf.DUMMYFUNCTION("""COMPUTED_VALUE"""),"brianarmstrongtrumpyellen")</f>
        <v>brianarmstrongtrumpyellen</v>
      </c>
      <c r="B2061" s="4" t="str">
        <f>IFERROR(__xludf.DUMMYFUNCTION("""COMPUTED_VALUE"""),"coin")</f>
        <v>coin</v>
      </c>
      <c r="C2061" s="4" t="str">
        <f>IFERROR(__xludf.DUMMYFUNCTION("""COMPUTED_VALUE"""),"BrianArmstrongTrumpYellenGTA6")</f>
        <v>BrianArmstrongTrumpYellenGTA6</v>
      </c>
    </row>
    <row r="2062">
      <c r="A2062" s="4" t="str">
        <f>IFERROR(__xludf.DUMMYFUNCTION("""COMPUTED_VALUE"""),"bribeai")</f>
        <v>bribeai</v>
      </c>
      <c r="B2062" s="4" t="str">
        <f>IFERROR(__xludf.DUMMYFUNCTION("""COMPUTED_VALUE"""),"brai")</f>
        <v>brai</v>
      </c>
      <c r="C2062" s="4" t="str">
        <f>IFERROR(__xludf.DUMMYFUNCTION("""COMPUTED_VALUE"""),"BribeAI")</f>
        <v>BribeAI</v>
      </c>
    </row>
    <row r="2063">
      <c r="A2063" s="4" t="str">
        <f>IFERROR(__xludf.DUMMYFUNCTION("""COMPUTED_VALUE"""),"brick")</f>
        <v>brick</v>
      </c>
      <c r="B2063" s="4" t="str">
        <f>IFERROR(__xludf.DUMMYFUNCTION("""COMPUTED_VALUE"""),"brick")</f>
        <v>brick</v>
      </c>
      <c r="C2063" s="4" t="str">
        <f>IFERROR(__xludf.DUMMYFUNCTION("""COMPUTED_VALUE"""),"r/FortNiteBR Bricks")</f>
        <v>r/FortNiteBR Bricks</v>
      </c>
    </row>
    <row r="2064">
      <c r="A2064" s="4" t="str">
        <f>IFERROR(__xludf.DUMMYFUNCTION("""COMPUTED_VALUE"""),"brickken")</f>
        <v>brickken</v>
      </c>
      <c r="B2064" s="4" t="str">
        <f>IFERROR(__xludf.DUMMYFUNCTION("""COMPUTED_VALUE"""),"bkn")</f>
        <v>bkn</v>
      </c>
      <c r="C2064" s="4" t="str">
        <f>IFERROR(__xludf.DUMMYFUNCTION("""COMPUTED_VALUE"""),"Brickken")</f>
        <v>Brickken</v>
      </c>
    </row>
    <row r="2065">
      <c r="A2065" s="4" t="str">
        <f>IFERROR(__xludf.DUMMYFUNCTION("""COMPUTED_VALUE"""),"brick-token")</f>
        <v>brick-token</v>
      </c>
      <c r="B2065" s="4" t="str">
        <f>IFERROR(__xludf.DUMMYFUNCTION("""COMPUTED_VALUE"""),"brick")</f>
        <v>brick</v>
      </c>
      <c r="C2065" s="4" t="str">
        <f>IFERROR(__xludf.DUMMYFUNCTION("""COMPUTED_VALUE"""),"Brick")</f>
        <v>Brick</v>
      </c>
    </row>
    <row r="2066">
      <c r="A2066" s="4" t="str">
        <f>IFERROR(__xludf.DUMMYFUNCTION("""COMPUTED_VALUE"""),"brics-chain")</f>
        <v>brics-chain</v>
      </c>
      <c r="B2066" s="4" t="str">
        <f>IFERROR(__xludf.DUMMYFUNCTION("""COMPUTED_VALUE"""),"brics")</f>
        <v>brics</v>
      </c>
      <c r="C2066" s="4" t="str">
        <f>IFERROR(__xludf.DUMMYFUNCTION("""COMPUTED_VALUE"""),"BRICS Chain")</f>
        <v>BRICS Chain</v>
      </c>
    </row>
    <row r="2067">
      <c r="A2067" s="4" t="str">
        <f>IFERROR(__xludf.DUMMYFUNCTION("""COMPUTED_VALUE"""),"bridgador")</f>
        <v>bridgador</v>
      </c>
      <c r="B2067" s="4" t="str">
        <f>IFERROR(__xludf.DUMMYFUNCTION("""COMPUTED_VALUE"""),"gador")</f>
        <v>gador</v>
      </c>
      <c r="C2067" s="4" t="str">
        <f>IFERROR(__xludf.DUMMYFUNCTION("""COMPUTED_VALUE"""),"Bridgador")</f>
        <v>Bridgador</v>
      </c>
    </row>
    <row r="2068">
      <c r="A2068" s="4" t="str">
        <f>IFERROR(__xludf.DUMMYFUNCTION("""COMPUTED_VALUE"""),"bridged-andromeda")</f>
        <v>bridged-andromeda</v>
      </c>
      <c r="B2068" s="4" t="str">
        <f>IFERROR(__xludf.DUMMYFUNCTION("""COMPUTED_VALUE"""),"sandr")</f>
        <v>sandr</v>
      </c>
      <c r="C2068" s="4" t="str">
        <f>IFERROR(__xludf.DUMMYFUNCTION("""COMPUTED_VALUE"""),"Bridged Andromeda")</f>
        <v>Bridged Andromeda</v>
      </c>
    </row>
    <row r="2069">
      <c r="A2069" s="4" t="str">
        <f>IFERROR(__xludf.DUMMYFUNCTION("""COMPUTED_VALUE"""),"bridged-arbitrum-lightlink")</f>
        <v>bridged-arbitrum-lightlink</v>
      </c>
      <c r="B2069" s="4" t="str">
        <f>IFERROR(__xludf.DUMMYFUNCTION("""COMPUTED_VALUE"""),"arb.e")</f>
        <v>arb.e</v>
      </c>
      <c r="C2069" s="4" t="str">
        <f>IFERROR(__xludf.DUMMYFUNCTION("""COMPUTED_VALUE"""),"Bridged Arbitrum (Lightlink)")</f>
        <v>Bridged Arbitrum (Lightlink)</v>
      </c>
    </row>
    <row r="2070">
      <c r="A2070" s="4" t="str">
        <f>IFERROR(__xludf.DUMMYFUNCTION("""COMPUTED_VALUE"""),"bridged-axelar-wrapped-usd-coin-scroll")</f>
        <v>bridged-axelar-wrapped-usd-coin-scroll</v>
      </c>
      <c r="B2070" s="4" t="str">
        <f>IFERROR(__xludf.DUMMYFUNCTION("""COMPUTED_VALUE"""),"axlusdc")</f>
        <v>axlusdc</v>
      </c>
      <c r="C2070" s="4" t="str">
        <f>IFERROR(__xludf.DUMMYFUNCTION("""COMPUTED_VALUE"""),"Bridged Axelar Wrapped USD Coin (Scroll)")</f>
        <v>Bridged Axelar Wrapped USD Coin (Scroll)</v>
      </c>
    </row>
    <row r="2071">
      <c r="A2071" s="4" t="str">
        <f>IFERROR(__xludf.DUMMYFUNCTION("""COMPUTED_VALUE"""),"bridged-binance-peg-ethereum-opbnb")</f>
        <v>bridged-binance-peg-ethereum-opbnb</v>
      </c>
      <c r="B2071" s="4" t="str">
        <f>IFERROR(__xludf.DUMMYFUNCTION("""COMPUTED_VALUE"""),"eth")</f>
        <v>eth</v>
      </c>
      <c r="C2071" s="4" t="str">
        <f>IFERROR(__xludf.DUMMYFUNCTION("""COMPUTED_VALUE"""),"Bridged Binance-Peg Ethereum (opBNB)")</f>
        <v>Bridged Binance-Peg Ethereum (opBNB)</v>
      </c>
    </row>
    <row r="2072">
      <c r="A2072" s="4" t="str">
        <f>IFERROR(__xludf.DUMMYFUNCTION("""COMPUTED_VALUE"""),"bridged-busd")</f>
        <v>bridged-busd</v>
      </c>
      <c r="B2072" s="4" t="str">
        <f>IFERROR(__xludf.DUMMYFUNCTION("""COMPUTED_VALUE"""),"busd")</f>
        <v>busd</v>
      </c>
      <c r="C2072" s="4" t="str">
        <f>IFERROR(__xludf.DUMMYFUNCTION("""COMPUTED_VALUE"""),"Bridged BUSD")</f>
        <v>Bridged BUSD</v>
      </c>
    </row>
    <row r="2073">
      <c r="A2073" s="4" t="str">
        <f>IFERROR(__xludf.DUMMYFUNCTION("""COMPUTED_VALUE"""),"bridged-chainlink-lightlink")</f>
        <v>bridged-chainlink-lightlink</v>
      </c>
      <c r="B2073" s="4" t="str">
        <f>IFERROR(__xludf.DUMMYFUNCTION("""COMPUTED_VALUE"""),"link.e")</f>
        <v>link.e</v>
      </c>
      <c r="C2073" s="4" t="str">
        <f>IFERROR(__xludf.DUMMYFUNCTION("""COMPUTED_VALUE"""),"Bridged Chainlink (Lightlink)")</f>
        <v>Bridged Chainlink (Lightlink)</v>
      </c>
    </row>
    <row r="2074">
      <c r="A2074" s="4" t="str">
        <f>IFERROR(__xludf.DUMMYFUNCTION("""COMPUTED_VALUE"""),"bridged-curve-dao-token-stargate")</f>
        <v>bridged-curve-dao-token-stargate</v>
      </c>
      <c r="B2074" s="4" t="str">
        <f>IFERROR(__xludf.DUMMYFUNCTION("""COMPUTED_VALUE"""),"crv")</f>
        <v>crv</v>
      </c>
      <c r="C2074" s="4" t="str">
        <f>IFERROR(__xludf.DUMMYFUNCTION("""COMPUTED_VALUE"""),"Bridged Curve DAO Token (Stargate)")</f>
        <v>Bridged Curve DAO Token (Stargate)</v>
      </c>
    </row>
    <row r="2075">
      <c r="A2075" s="4" t="str">
        <f>IFERROR(__xludf.DUMMYFUNCTION("""COMPUTED_VALUE"""),"bridged-dai-lightlink")</f>
        <v>bridged-dai-lightlink</v>
      </c>
      <c r="B2075" s="4" t="str">
        <f>IFERROR(__xludf.DUMMYFUNCTION("""COMPUTED_VALUE"""),"dai.e")</f>
        <v>dai.e</v>
      </c>
      <c r="C2075" s="4" t="str">
        <f>IFERROR(__xludf.DUMMYFUNCTION("""COMPUTED_VALUE"""),"Bridged Dai (Lightlink)")</f>
        <v>Bridged Dai (Lightlink)</v>
      </c>
    </row>
    <row r="2076">
      <c r="A2076" s="4" t="str">
        <f>IFERROR(__xludf.DUMMYFUNCTION("""COMPUTED_VALUE"""),"bridged-dai-stablecoin-hashport")</f>
        <v>bridged-dai-stablecoin-hashport</v>
      </c>
      <c r="B2076" s="4" t="str">
        <f>IFERROR(__xludf.DUMMYFUNCTION("""COMPUTED_VALUE"""),"dai[hts]")</f>
        <v>dai[hts]</v>
      </c>
      <c r="C2076" s="4" t="str">
        <f>IFERROR(__xludf.DUMMYFUNCTION("""COMPUTED_VALUE"""),"Bridged Dai Stablecoin (Hashport)")</f>
        <v>Bridged Dai Stablecoin (Hashport)</v>
      </c>
    </row>
    <row r="2077">
      <c r="A2077" s="4" t="str">
        <f>IFERROR(__xludf.DUMMYFUNCTION("""COMPUTED_VALUE"""),"bridged-dai-stablecoin-linea")</f>
        <v>bridged-dai-stablecoin-linea</v>
      </c>
      <c r="B2077" s="4" t="str">
        <f>IFERROR(__xludf.DUMMYFUNCTION("""COMPUTED_VALUE"""),"dai")</f>
        <v>dai</v>
      </c>
      <c r="C2077" s="4" t="str">
        <f>IFERROR(__xludf.DUMMYFUNCTION("""COMPUTED_VALUE"""),"Bridged Dai Stablecoin (Linea)")</f>
        <v>Bridged Dai Stablecoin (Linea)</v>
      </c>
    </row>
    <row r="2078">
      <c r="A2078" s="4" t="str">
        <f>IFERROR(__xludf.DUMMYFUNCTION("""COMPUTED_VALUE"""),"bridged-dai-stablecoin-ton-bridge")</f>
        <v>bridged-dai-stablecoin-ton-bridge</v>
      </c>
      <c r="B2078" s="4" t="str">
        <f>IFERROR(__xludf.DUMMYFUNCTION("""COMPUTED_VALUE"""),"jdai")</f>
        <v>jdai</v>
      </c>
      <c r="C2078" s="4" t="str">
        <f>IFERROR(__xludf.DUMMYFUNCTION("""COMPUTED_VALUE"""),"Bridged Dai Stablecoin (TON Bridge)")</f>
        <v>Bridged Dai Stablecoin (TON Bridge)</v>
      </c>
    </row>
    <row r="2079">
      <c r="A2079" s="4" t="str">
        <f>IFERROR(__xludf.DUMMYFUNCTION("""COMPUTED_VALUE"""),"bridged-dai-starkgate")</f>
        <v>bridged-dai-starkgate</v>
      </c>
      <c r="B2079" s="4" t="str">
        <f>IFERROR(__xludf.DUMMYFUNCTION("""COMPUTED_VALUE"""),"dai")</f>
        <v>dai</v>
      </c>
      <c r="C2079" s="4" t="str">
        <f>IFERROR(__xludf.DUMMYFUNCTION("""COMPUTED_VALUE"""),"Bridged Dai Stablecoin (StarkGate)")</f>
        <v>Bridged Dai Stablecoin (StarkGate)</v>
      </c>
    </row>
    <row r="2080">
      <c r="A2080" s="4" t="str">
        <f>IFERROR(__xludf.DUMMYFUNCTION("""COMPUTED_VALUE"""),"bridged-dovu-hashport")</f>
        <v>bridged-dovu-hashport</v>
      </c>
      <c r="B2080" s="4" t="str">
        <f>IFERROR(__xludf.DUMMYFUNCTION("""COMPUTED_VALUE"""),"dov[hts]")</f>
        <v>dov[hts]</v>
      </c>
      <c r="C2080" s="4" t="str">
        <f>IFERROR(__xludf.DUMMYFUNCTION("""COMPUTED_VALUE"""),"Bridged Dovu (Hashport)")</f>
        <v>Bridged Dovu (Hashport)</v>
      </c>
    </row>
    <row r="2081">
      <c r="A2081" s="4" t="str">
        <f>IFERROR(__xludf.DUMMYFUNCTION("""COMPUTED_VALUE"""),"bridged-kyber-network-crystal-bsc")</f>
        <v>bridged-kyber-network-crystal-bsc</v>
      </c>
      <c r="B2081" s="4" t="str">
        <f>IFERROR(__xludf.DUMMYFUNCTION("""COMPUTED_VALUE"""),"knc_b")</f>
        <v>knc_b</v>
      </c>
      <c r="C2081" s="4" t="str">
        <f>IFERROR(__xludf.DUMMYFUNCTION("""COMPUTED_VALUE"""),"Bridged Kyber Network Crystal (BSC)")</f>
        <v>Bridged Kyber Network Crystal (BSC)</v>
      </c>
    </row>
    <row r="2082">
      <c r="A2082" s="4" t="str">
        <f>IFERROR(__xludf.DUMMYFUNCTION("""COMPUTED_VALUE"""),"bridged-kyber-network-crystal-ethereum")</f>
        <v>bridged-kyber-network-crystal-ethereum</v>
      </c>
      <c r="B2082" s="4" t="str">
        <f>IFERROR(__xludf.DUMMYFUNCTION("""COMPUTED_VALUE"""),"knc_e")</f>
        <v>knc_e</v>
      </c>
      <c r="C2082" s="4" t="str">
        <f>IFERROR(__xludf.DUMMYFUNCTION("""COMPUTED_VALUE"""),"Bridged Kyber Network Crystal (Ethereum)")</f>
        <v>Bridged Kyber Network Crystal (Ethereum)</v>
      </c>
    </row>
    <row r="2083">
      <c r="A2083" s="4" t="str">
        <f>IFERROR(__xludf.DUMMYFUNCTION("""COMPUTED_VALUE"""),"bridged-mantra-hashport")</f>
        <v>bridged-mantra-hashport</v>
      </c>
      <c r="B2083" s="4" t="str">
        <f>IFERROR(__xludf.DUMMYFUNCTION("""COMPUTED_VALUE"""),"om[hts]")</f>
        <v>om[hts]</v>
      </c>
      <c r="C2083" s="4" t="str">
        <f>IFERROR(__xludf.DUMMYFUNCTION("""COMPUTED_VALUE"""),"Bridged MANTRA (Hashport)")</f>
        <v>Bridged MANTRA (Hashport)</v>
      </c>
    </row>
    <row r="2084">
      <c r="A2084" s="4" t="str">
        <f>IFERROR(__xludf.DUMMYFUNCTION("""COMPUTED_VALUE"""),"bridged-matic-manta-pacific")</f>
        <v>bridged-matic-manta-pacific</v>
      </c>
      <c r="B2084" s="4" t="str">
        <f>IFERROR(__xludf.DUMMYFUNCTION("""COMPUTED_VALUE"""),"matic")</f>
        <v>matic</v>
      </c>
      <c r="C2084" s="4" t="str">
        <f>IFERROR(__xludf.DUMMYFUNCTION("""COMPUTED_VALUE"""),"Bridged MATIC (Manta Pacific)")</f>
        <v>Bridged MATIC (Manta Pacific)</v>
      </c>
    </row>
    <row r="2085">
      <c r="A2085" s="4" t="str">
        <f>IFERROR(__xludf.DUMMYFUNCTION("""COMPUTED_VALUE"""),"bridged-pepe-hashport")</f>
        <v>bridged-pepe-hashport</v>
      </c>
      <c r="B2085" s="4" t="str">
        <f>IFERROR(__xludf.DUMMYFUNCTION("""COMPUTED_VALUE"""),"pepe[hts]")</f>
        <v>pepe[hts]</v>
      </c>
      <c r="C2085" s="4" t="str">
        <f>IFERROR(__xludf.DUMMYFUNCTION("""COMPUTED_VALUE"""),"Bridged Pepe (Hashport)")</f>
        <v>Bridged Pepe (Hashport)</v>
      </c>
    </row>
    <row r="2086">
      <c r="A2086" s="4" t="str">
        <f>IFERROR(__xludf.DUMMYFUNCTION("""COMPUTED_VALUE"""),"bridged-polygon-lightlink")</f>
        <v>bridged-polygon-lightlink</v>
      </c>
      <c r="B2086" s="4" t="str">
        <f>IFERROR(__xludf.DUMMYFUNCTION("""COMPUTED_VALUE"""),"matic.e")</f>
        <v>matic.e</v>
      </c>
      <c r="C2086" s="4" t="str">
        <f>IFERROR(__xludf.DUMMYFUNCTION("""COMPUTED_VALUE"""),"Bridged Polygon (Lightlink)")</f>
        <v>Bridged Polygon (Lightlink)</v>
      </c>
    </row>
    <row r="2087">
      <c r="A2087" s="4" t="str">
        <f>IFERROR(__xludf.DUMMYFUNCTION("""COMPUTED_VALUE"""),"bridged-rocket-pool-eth-manta-pacific")</f>
        <v>bridged-rocket-pool-eth-manta-pacific</v>
      </c>
      <c r="B2087" s="4" t="str">
        <f>IFERROR(__xludf.DUMMYFUNCTION("""COMPUTED_VALUE"""),"reth")</f>
        <v>reth</v>
      </c>
      <c r="C2087" s="4" t="str">
        <f>IFERROR(__xludf.DUMMYFUNCTION("""COMPUTED_VALUE"""),"Bridged Rocket Pool ETH (Manta Pacific)")</f>
        <v>Bridged Rocket Pool ETH (Manta Pacific)</v>
      </c>
    </row>
    <row r="2088">
      <c r="A2088" s="4" t="str">
        <f>IFERROR(__xludf.DUMMYFUNCTION("""COMPUTED_VALUE"""),"bridged-tether-fuse")</f>
        <v>bridged-tether-fuse</v>
      </c>
      <c r="B2088" s="4" t="str">
        <f>IFERROR(__xludf.DUMMYFUNCTION("""COMPUTED_VALUE"""),"usdt")</f>
        <v>usdt</v>
      </c>
      <c r="C2088" s="4" t="str">
        <f>IFERROR(__xludf.DUMMYFUNCTION("""COMPUTED_VALUE"""),"Bridged Tether (Fuse)")</f>
        <v>Bridged Tether (Fuse)</v>
      </c>
    </row>
    <row r="2089">
      <c r="A2089" s="4" t="str">
        <f>IFERROR(__xludf.DUMMYFUNCTION("""COMPUTED_VALUE"""),"bridged-tether-hashport")</f>
        <v>bridged-tether-hashport</v>
      </c>
      <c r="B2089" s="4" t="str">
        <f>IFERROR(__xludf.DUMMYFUNCTION("""COMPUTED_VALUE"""),"usdt[hts]")</f>
        <v>usdt[hts]</v>
      </c>
      <c r="C2089" s="4" t="str">
        <f>IFERROR(__xludf.DUMMYFUNCTION("""COMPUTED_VALUE"""),"Bridged Tether (Hashport)")</f>
        <v>Bridged Tether (Hashport)</v>
      </c>
    </row>
    <row r="2090">
      <c r="A2090" s="4" t="str">
        <f>IFERROR(__xludf.DUMMYFUNCTION("""COMPUTED_VALUE"""),"bridged-tether-lightlink")</f>
        <v>bridged-tether-lightlink</v>
      </c>
      <c r="B2090" s="4" t="str">
        <f>IFERROR(__xludf.DUMMYFUNCTION("""COMPUTED_VALUE"""),"usdt.e")</f>
        <v>usdt.e</v>
      </c>
      <c r="C2090" s="4" t="str">
        <f>IFERROR(__xludf.DUMMYFUNCTION("""COMPUTED_VALUE"""),"Bridged Tether (Lightlink)")</f>
        <v>Bridged Tether (Lightlink)</v>
      </c>
    </row>
    <row r="2091">
      <c r="A2091" s="4" t="str">
        <f>IFERROR(__xludf.DUMMYFUNCTION("""COMPUTED_VALUE"""),"bridged-tether-linea")</f>
        <v>bridged-tether-linea</v>
      </c>
      <c r="B2091" s="4" t="str">
        <f>IFERROR(__xludf.DUMMYFUNCTION("""COMPUTED_VALUE"""),"usdt")</f>
        <v>usdt</v>
      </c>
      <c r="C2091" s="4" t="str">
        <f>IFERROR(__xludf.DUMMYFUNCTION("""COMPUTED_VALUE"""),"Bridged Tether (Linea)")</f>
        <v>Bridged Tether (Linea)</v>
      </c>
    </row>
    <row r="2092">
      <c r="A2092" s="4" t="str">
        <f>IFERROR(__xludf.DUMMYFUNCTION("""COMPUTED_VALUE"""),"bridged-tether-manta-pacific")</f>
        <v>bridged-tether-manta-pacific</v>
      </c>
      <c r="B2092" s="4" t="str">
        <f>IFERROR(__xludf.DUMMYFUNCTION("""COMPUTED_VALUE"""),"usdt")</f>
        <v>usdt</v>
      </c>
      <c r="C2092" s="4" t="str">
        <f>IFERROR(__xludf.DUMMYFUNCTION("""COMPUTED_VALUE"""),"Bridged Tether (Manta Pacific)")</f>
        <v>Bridged Tether (Manta Pacific)</v>
      </c>
    </row>
    <row r="2093">
      <c r="A2093" s="4" t="str">
        <f>IFERROR(__xludf.DUMMYFUNCTION("""COMPUTED_VALUE"""),"bridged-tether-opbnb")</f>
        <v>bridged-tether-opbnb</v>
      </c>
      <c r="B2093" s="4" t="str">
        <f>IFERROR(__xludf.DUMMYFUNCTION("""COMPUTED_VALUE"""),"usdt")</f>
        <v>usdt</v>
      </c>
      <c r="C2093" s="4" t="str">
        <f>IFERROR(__xludf.DUMMYFUNCTION("""COMPUTED_VALUE"""),"Bridged Tether (opBNB)")</f>
        <v>Bridged Tether (opBNB)</v>
      </c>
    </row>
    <row r="2094">
      <c r="A2094" s="4" t="str">
        <f>IFERROR(__xludf.DUMMYFUNCTION("""COMPUTED_VALUE"""),"bridged-tether-scroll")</f>
        <v>bridged-tether-scroll</v>
      </c>
      <c r="B2094" s="4" t="str">
        <f>IFERROR(__xludf.DUMMYFUNCTION("""COMPUTED_VALUE"""),"usdt")</f>
        <v>usdt</v>
      </c>
      <c r="C2094" s="4" t="str">
        <f>IFERROR(__xludf.DUMMYFUNCTION("""COMPUTED_VALUE"""),"Bridged Tether (Scroll)")</f>
        <v>Bridged Tether (Scroll)</v>
      </c>
    </row>
    <row r="2095">
      <c r="A2095" s="4" t="str">
        <f>IFERROR(__xludf.DUMMYFUNCTION("""COMPUTED_VALUE"""),"bridged-tether-stargate")</f>
        <v>bridged-tether-stargate</v>
      </c>
      <c r="B2095" s="4" t="str">
        <f>IFERROR(__xludf.DUMMYFUNCTION("""COMPUTED_VALUE"""),"usdt")</f>
        <v>usdt</v>
      </c>
      <c r="C2095" s="4" t="str">
        <f>IFERROR(__xludf.DUMMYFUNCTION("""COMPUTED_VALUE"""),"Bridged Tether (Stargate)")</f>
        <v>Bridged Tether (Stargate)</v>
      </c>
    </row>
    <row r="2096">
      <c r="A2096" s="4" t="str">
        <f>IFERROR(__xludf.DUMMYFUNCTION("""COMPUTED_VALUE"""),"bridged-tether-starkgate")</f>
        <v>bridged-tether-starkgate</v>
      </c>
      <c r="B2096" s="4" t="str">
        <f>IFERROR(__xludf.DUMMYFUNCTION("""COMPUTED_VALUE"""),"usdt")</f>
        <v>usdt</v>
      </c>
      <c r="C2096" s="4" t="str">
        <f>IFERROR(__xludf.DUMMYFUNCTION("""COMPUTED_VALUE"""),"Bridged Tether (StarkGate)")</f>
        <v>Bridged Tether (StarkGate)</v>
      </c>
    </row>
    <row r="2097">
      <c r="A2097" s="4" t="str">
        <f>IFERROR(__xludf.DUMMYFUNCTION("""COMPUTED_VALUE"""),"bridged-tether-ton-bridge")</f>
        <v>bridged-tether-ton-bridge</v>
      </c>
      <c r="B2097" s="4" t="str">
        <f>IFERROR(__xludf.DUMMYFUNCTION("""COMPUTED_VALUE"""),"jusdt")</f>
        <v>jusdt</v>
      </c>
      <c r="C2097" s="4" t="str">
        <f>IFERROR(__xludf.DUMMYFUNCTION("""COMPUTED_VALUE"""),"Bridged Tether (TON Bridge)")</f>
        <v>Bridged Tether (TON Bridge)</v>
      </c>
    </row>
    <row r="2098">
      <c r="A2098" s="4" t="str">
        <f>IFERROR(__xludf.DUMMYFUNCTION("""COMPUTED_VALUE"""),"bridged-tia-hyperlane")</f>
        <v>bridged-tia-hyperlane</v>
      </c>
      <c r="B2098" s="4" t="str">
        <f>IFERROR(__xludf.DUMMYFUNCTION("""COMPUTED_VALUE"""),"tia.n")</f>
        <v>tia.n</v>
      </c>
      <c r="C2098" s="4" t="str">
        <f>IFERROR(__xludf.DUMMYFUNCTION("""COMPUTED_VALUE"""),"Bridged TIA (Hyperlane)")</f>
        <v>Bridged TIA (Hyperlane)</v>
      </c>
    </row>
    <row r="2099">
      <c r="A2099" s="4" t="str">
        <f>IFERROR(__xludf.DUMMYFUNCTION("""COMPUTED_VALUE"""),"bridged-trueusd")</f>
        <v>bridged-trueusd</v>
      </c>
      <c r="B2099" s="4" t="str">
        <f>IFERROR(__xludf.DUMMYFUNCTION("""COMPUTED_VALUE"""),"tusd")</f>
        <v>tusd</v>
      </c>
      <c r="C2099" s="4" t="str">
        <f>IFERROR(__xludf.DUMMYFUNCTION("""COMPUTED_VALUE"""),"Bridged TrueUSD")</f>
        <v>Bridged TrueUSD</v>
      </c>
    </row>
    <row r="2100">
      <c r="A2100" s="4" t="str">
        <f>IFERROR(__xludf.DUMMYFUNCTION("""COMPUTED_VALUE"""),"bridged-unieth-manta-pacific")</f>
        <v>bridged-unieth-manta-pacific</v>
      </c>
      <c r="B2100" s="4" t="str">
        <f>IFERROR(__xludf.DUMMYFUNCTION("""COMPUTED_VALUE"""),"unieth")</f>
        <v>unieth</v>
      </c>
      <c r="C2100" s="4" t="str">
        <f>IFERROR(__xludf.DUMMYFUNCTION("""COMPUTED_VALUE"""),"Bridged uniETH (Manta Pacific)")</f>
        <v>Bridged uniETH (Manta Pacific)</v>
      </c>
    </row>
    <row r="2101">
      <c r="A2101" s="4" t="str">
        <f>IFERROR(__xludf.DUMMYFUNCTION("""COMPUTED_VALUE"""),"bridged-uniswap-lightlink")</f>
        <v>bridged-uniswap-lightlink</v>
      </c>
      <c r="B2101" s="4" t="str">
        <f>IFERROR(__xludf.DUMMYFUNCTION("""COMPUTED_VALUE"""),"uni.e")</f>
        <v>uni.e</v>
      </c>
      <c r="C2101" s="4" t="str">
        <f>IFERROR(__xludf.DUMMYFUNCTION("""COMPUTED_VALUE"""),"Bridged Uniswap (Lightlink)")</f>
        <v>Bridged Uniswap (Lightlink)</v>
      </c>
    </row>
    <row r="2102">
      <c r="A2102" s="4" t="str">
        <f>IFERROR(__xludf.DUMMYFUNCTION("""COMPUTED_VALUE"""),"bridged-usdc")</f>
        <v>bridged-usdc</v>
      </c>
      <c r="B2102" s="4" t="str">
        <f>IFERROR(__xludf.DUMMYFUNCTION("""COMPUTED_VALUE"""),"usdc")</f>
        <v>usdc</v>
      </c>
      <c r="C2102" s="4" t="str">
        <f>IFERROR(__xludf.DUMMYFUNCTION("""COMPUTED_VALUE"""),"Bridged USDC")</f>
        <v>Bridged USDC</v>
      </c>
    </row>
    <row r="2103">
      <c r="A2103" s="4" t="str">
        <f>IFERROR(__xludf.DUMMYFUNCTION("""COMPUTED_VALUE"""),"bridged-usdc-chainport")</f>
        <v>bridged-usdc-chainport</v>
      </c>
      <c r="B2103" s="4" t="str">
        <f>IFERROR(__xludf.DUMMYFUNCTION("""COMPUTED_VALUE"""),"usdc")</f>
        <v>usdc</v>
      </c>
      <c r="C2103" s="4" t="str">
        <f>IFERROR(__xludf.DUMMYFUNCTION("""COMPUTED_VALUE"""),"Bridged USDC (Chainport)")</f>
        <v>Bridged USDC (Chainport)</v>
      </c>
    </row>
    <row r="2104">
      <c r="A2104" s="4" t="str">
        <f>IFERROR(__xludf.DUMMYFUNCTION("""COMPUTED_VALUE"""),"bridged-usdc-core")</f>
        <v>bridged-usdc-core</v>
      </c>
      <c r="B2104" s="4" t="str">
        <f>IFERROR(__xludf.DUMMYFUNCTION("""COMPUTED_VALUE"""),"usdc")</f>
        <v>usdc</v>
      </c>
      <c r="C2104" s="4" t="str">
        <f>IFERROR(__xludf.DUMMYFUNCTION("""COMPUTED_VALUE"""),"Bridged USDC (Core)")</f>
        <v>Bridged USDC (Core)</v>
      </c>
    </row>
    <row r="2105">
      <c r="A2105" s="4" t="str">
        <f>IFERROR(__xludf.DUMMYFUNCTION("""COMPUTED_VALUE"""),"bridged-usdc-fuse")</f>
        <v>bridged-usdc-fuse</v>
      </c>
      <c r="B2105" s="4" t="str">
        <f>IFERROR(__xludf.DUMMYFUNCTION("""COMPUTED_VALUE"""),"usdc")</f>
        <v>usdc</v>
      </c>
      <c r="C2105" s="4" t="str">
        <f>IFERROR(__xludf.DUMMYFUNCTION("""COMPUTED_VALUE"""),"Bridged USDC (Fuse)")</f>
        <v>Bridged USDC (Fuse)</v>
      </c>
    </row>
    <row r="2106">
      <c r="A2106" s="4" t="str">
        <f>IFERROR(__xludf.DUMMYFUNCTION("""COMPUTED_VALUE"""),"bridged-usdc-immutable-zkevm")</f>
        <v>bridged-usdc-immutable-zkevm</v>
      </c>
      <c r="B2106" s="4" t="str">
        <f>IFERROR(__xludf.DUMMYFUNCTION("""COMPUTED_VALUE"""),"usdc")</f>
        <v>usdc</v>
      </c>
      <c r="C2106" s="4" t="str">
        <f>IFERROR(__xludf.DUMMYFUNCTION("""COMPUTED_VALUE"""),"Bridged USDC (Immutable zkEVM)")</f>
        <v>Bridged USDC (Immutable zkEVM)</v>
      </c>
    </row>
    <row r="2107">
      <c r="A2107" s="4" t="str">
        <f>IFERROR(__xludf.DUMMYFUNCTION("""COMPUTED_VALUE"""),"bridged-usdc-lightlink")</f>
        <v>bridged-usdc-lightlink</v>
      </c>
      <c r="B2107" s="4" t="str">
        <f>IFERROR(__xludf.DUMMYFUNCTION("""COMPUTED_VALUE"""),"usdc.e")</f>
        <v>usdc.e</v>
      </c>
      <c r="C2107" s="4" t="str">
        <f>IFERROR(__xludf.DUMMYFUNCTION("""COMPUTED_VALUE"""),"Bridged USDC (Lightlink)")</f>
        <v>Bridged USDC (Lightlink)</v>
      </c>
    </row>
    <row r="2108">
      <c r="A2108" s="4" t="str">
        <f>IFERROR(__xludf.DUMMYFUNCTION("""COMPUTED_VALUE"""),"bridged-usd-coin-base")</f>
        <v>bridged-usd-coin-base</v>
      </c>
      <c r="B2108" s="4" t="str">
        <f>IFERROR(__xludf.DUMMYFUNCTION("""COMPUTED_VALUE"""),"usdbc")</f>
        <v>usdbc</v>
      </c>
      <c r="C2108" s="4" t="str">
        <f>IFERROR(__xludf.DUMMYFUNCTION("""COMPUTED_VALUE"""),"Bridged USD Coin (Base)")</f>
        <v>Bridged USD Coin (Base)</v>
      </c>
    </row>
    <row r="2109">
      <c r="A2109" s="4" t="str">
        <f>IFERROR(__xludf.DUMMYFUNCTION("""COMPUTED_VALUE"""),"bridged-usd-coin-linea")</f>
        <v>bridged-usd-coin-linea</v>
      </c>
      <c r="B2109" s="4" t="str">
        <f>IFERROR(__xludf.DUMMYFUNCTION("""COMPUTED_VALUE"""),"usdc")</f>
        <v>usdc</v>
      </c>
      <c r="C2109" s="4" t="str">
        <f>IFERROR(__xludf.DUMMYFUNCTION("""COMPUTED_VALUE"""),"Bridged USD Coin (Linea)")</f>
        <v>Bridged USD Coin (Linea)</v>
      </c>
    </row>
    <row r="2110">
      <c r="A2110" s="4" t="str">
        <f>IFERROR(__xludf.DUMMYFUNCTION("""COMPUTED_VALUE"""),"bridged-usd-coin-manta-pacific")</f>
        <v>bridged-usd-coin-manta-pacific</v>
      </c>
      <c r="B2110" s="4" t="str">
        <f>IFERROR(__xludf.DUMMYFUNCTION("""COMPUTED_VALUE"""),"usdc")</f>
        <v>usdc</v>
      </c>
      <c r="C2110" s="4" t="str">
        <f>IFERROR(__xludf.DUMMYFUNCTION("""COMPUTED_VALUE"""),"Bridged USD Coin (Manta Pacific)")</f>
        <v>Bridged USD Coin (Manta Pacific)</v>
      </c>
    </row>
    <row r="2111">
      <c r="A2111" s="4" t="str">
        <f>IFERROR(__xludf.DUMMYFUNCTION("""COMPUTED_VALUE"""),"bridged-usd-coin-optimism")</f>
        <v>bridged-usd-coin-optimism</v>
      </c>
      <c r="B2111" s="4" t="str">
        <f>IFERROR(__xludf.DUMMYFUNCTION("""COMPUTED_VALUE"""),"usdc.e")</f>
        <v>usdc.e</v>
      </c>
      <c r="C2111" s="4" t="str">
        <f>IFERROR(__xludf.DUMMYFUNCTION("""COMPUTED_VALUE"""),"Bridged USDC (Optimism)")</f>
        <v>Bridged USDC (Optimism)</v>
      </c>
    </row>
    <row r="2112">
      <c r="A2112" s="4" t="str">
        <f>IFERROR(__xludf.DUMMYFUNCTION("""COMPUTED_VALUE"""),"bridged-usd-coin-scroll")</f>
        <v>bridged-usd-coin-scroll</v>
      </c>
      <c r="B2112" s="4" t="str">
        <f>IFERROR(__xludf.DUMMYFUNCTION("""COMPUTED_VALUE"""),"usdc")</f>
        <v>usdc</v>
      </c>
      <c r="C2112" s="4" t="str">
        <f>IFERROR(__xludf.DUMMYFUNCTION("""COMPUTED_VALUE"""),"Bridged USD Coin (Scroll)")</f>
        <v>Bridged USD Coin (Scroll)</v>
      </c>
    </row>
    <row r="2113">
      <c r="A2113" s="4" t="str">
        <f>IFERROR(__xludf.DUMMYFUNCTION("""COMPUTED_VALUE"""),"bridged-usd-coin-starkgate")</f>
        <v>bridged-usd-coin-starkgate</v>
      </c>
      <c r="B2113" s="4" t="str">
        <f>IFERROR(__xludf.DUMMYFUNCTION("""COMPUTED_VALUE"""),"usdc")</f>
        <v>usdc</v>
      </c>
      <c r="C2113" s="4" t="str">
        <f>IFERROR(__xludf.DUMMYFUNCTION("""COMPUTED_VALUE"""),"Bridged USD Coin (StarkGate)")</f>
        <v>Bridged USD Coin (StarkGate)</v>
      </c>
    </row>
    <row r="2114">
      <c r="A2114" s="4" t="str">
        <f>IFERROR(__xludf.DUMMYFUNCTION("""COMPUTED_VALUE"""),"bridged-usd-coin-ton-bridge")</f>
        <v>bridged-usd-coin-ton-bridge</v>
      </c>
      <c r="B2114" s="4" t="str">
        <f>IFERROR(__xludf.DUMMYFUNCTION("""COMPUTED_VALUE"""),"jusdc")</f>
        <v>jusdc</v>
      </c>
      <c r="C2114" s="4" t="str">
        <f>IFERROR(__xludf.DUMMYFUNCTION("""COMPUTED_VALUE"""),"Bridged USD Coin (TON Bridge)")</f>
        <v>Bridged USD Coin (TON Bridge)</v>
      </c>
    </row>
    <row r="2115">
      <c r="A2115" s="4" t="str">
        <f>IFERROR(__xludf.DUMMYFUNCTION("""COMPUTED_VALUE"""),"bridged-usdc-polygon-pos-bridge")</f>
        <v>bridged-usdc-polygon-pos-bridge</v>
      </c>
      <c r="B2115" s="4" t="str">
        <f>IFERROR(__xludf.DUMMYFUNCTION("""COMPUTED_VALUE"""),"usdc.e")</f>
        <v>usdc.e</v>
      </c>
      <c r="C2115" s="4" t="str">
        <f>IFERROR(__xludf.DUMMYFUNCTION("""COMPUTED_VALUE"""),"Bridged USDC (Polygon PoS Bridge)")</f>
        <v>Bridged USDC (Polygon PoS Bridge)</v>
      </c>
    </row>
    <row r="2116">
      <c r="A2116" s="4" t="str">
        <f>IFERROR(__xludf.DUMMYFUNCTION("""COMPUTED_VALUE"""),"bridged-usdt")</f>
        <v>bridged-usdt</v>
      </c>
      <c r="B2116" s="4" t="str">
        <f>IFERROR(__xludf.DUMMYFUNCTION("""COMPUTED_VALUE"""),"usdt")</f>
        <v>usdt</v>
      </c>
      <c r="C2116" s="4" t="str">
        <f>IFERROR(__xludf.DUMMYFUNCTION("""COMPUTED_VALUE"""),"Bridged USDT")</f>
        <v>Bridged USDT</v>
      </c>
    </row>
    <row r="2117">
      <c r="A2117" s="4" t="str">
        <f>IFERROR(__xludf.DUMMYFUNCTION("""COMPUTED_VALUE"""),"bridged-usdt-core")</f>
        <v>bridged-usdt-core</v>
      </c>
      <c r="B2117" s="4" t="str">
        <f>IFERROR(__xludf.DUMMYFUNCTION("""COMPUTED_VALUE"""),"usdt")</f>
        <v>usdt</v>
      </c>
      <c r="C2117" s="4" t="str">
        <f>IFERROR(__xludf.DUMMYFUNCTION("""COMPUTED_VALUE"""),"Bridged USDT (Core)")</f>
        <v>Bridged USDT (Core)</v>
      </c>
    </row>
    <row r="2118">
      <c r="A2118" s="4" t="str">
        <f>IFERROR(__xludf.DUMMYFUNCTION("""COMPUTED_VALUE"""),"bridged-weeth-manta-pacific")</f>
        <v>bridged-weeth-manta-pacific</v>
      </c>
      <c r="B2118" s="4" t="str">
        <f>IFERROR(__xludf.DUMMYFUNCTION("""COMPUTED_VALUE"""),"weeth")</f>
        <v>weeth</v>
      </c>
      <c r="C2118" s="4" t="str">
        <f>IFERROR(__xludf.DUMMYFUNCTION("""COMPUTED_VALUE"""),"Bridged weETH (Manta Pacific)")</f>
        <v>Bridged weETH (Manta Pacific)</v>
      </c>
    </row>
    <row r="2119">
      <c r="A2119" s="4" t="str">
        <f>IFERROR(__xludf.DUMMYFUNCTION("""COMPUTED_VALUE"""),"bridged-wrapped-agora-genesis-bridge")</f>
        <v>bridged-wrapped-agora-genesis-bridge</v>
      </c>
      <c r="B2119" s="4" t="str">
        <f>IFERROR(__xludf.DUMMYFUNCTION("""COMPUTED_VALUE"""),"wagora")</f>
        <v>wagora</v>
      </c>
      <c r="C2119" s="4" t="str">
        <f>IFERROR(__xludf.DUMMYFUNCTION("""COMPUTED_VALUE"""),"Bridged Wrapped AGORA (Genesis Bridge)")</f>
        <v>Bridged Wrapped AGORA (Genesis Bridge)</v>
      </c>
    </row>
    <row r="2120">
      <c r="A2120" s="4" t="str">
        <f>IFERROR(__xludf.DUMMYFUNCTION("""COMPUTED_VALUE"""),"bridged-wrapped-bitcoin-hashport")</f>
        <v>bridged-wrapped-bitcoin-hashport</v>
      </c>
      <c r="B2120" s="4" t="str">
        <f>IFERROR(__xludf.DUMMYFUNCTION("""COMPUTED_VALUE"""),"wbtc[hts]")</f>
        <v>wbtc[hts]</v>
      </c>
      <c r="C2120" s="4" t="str">
        <f>IFERROR(__xludf.DUMMYFUNCTION("""COMPUTED_VALUE"""),"Bridged Wrapped Bitcoin (Hashport)")</f>
        <v>Bridged Wrapped Bitcoin (Hashport)</v>
      </c>
    </row>
    <row r="2121">
      <c r="A2121" s="4" t="str">
        <f>IFERROR(__xludf.DUMMYFUNCTION("""COMPUTED_VALUE"""),"bridged-wrapped-bitcoin-manta-pacific")</f>
        <v>bridged-wrapped-bitcoin-manta-pacific</v>
      </c>
      <c r="B2121" s="4" t="str">
        <f>IFERROR(__xludf.DUMMYFUNCTION("""COMPUTED_VALUE"""),"wbtc")</f>
        <v>wbtc</v>
      </c>
      <c r="C2121" s="4" t="str">
        <f>IFERROR(__xludf.DUMMYFUNCTION("""COMPUTED_VALUE"""),"Bridged Wrapped Bitcoin (Manta Pacific)")</f>
        <v>Bridged Wrapped Bitcoin (Manta Pacific)</v>
      </c>
    </row>
    <row r="2122">
      <c r="A2122" s="4" t="str">
        <f>IFERROR(__xludf.DUMMYFUNCTION("""COMPUTED_VALUE"""),"bridged-wrapped-bitcoin-scroll")</f>
        <v>bridged-wrapped-bitcoin-scroll</v>
      </c>
      <c r="B2122" s="4" t="str">
        <f>IFERROR(__xludf.DUMMYFUNCTION("""COMPUTED_VALUE"""),"wbtc")</f>
        <v>wbtc</v>
      </c>
      <c r="C2122" s="4" t="str">
        <f>IFERROR(__xludf.DUMMYFUNCTION("""COMPUTED_VALUE"""),"Bridged Wrapped Bitcoin (Scroll)")</f>
        <v>Bridged Wrapped Bitcoin (Scroll)</v>
      </c>
    </row>
    <row r="2123">
      <c r="A2123" s="4" t="str">
        <f>IFERROR(__xludf.DUMMYFUNCTION("""COMPUTED_VALUE"""),"bridged-wrapped-bitcoin-stargate")</f>
        <v>bridged-wrapped-bitcoin-stargate</v>
      </c>
      <c r="B2123" s="4" t="str">
        <f>IFERROR(__xludf.DUMMYFUNCTION("""COMPUTED_VALUE"""),"wbtc")</f>
        <v>wbtc</v>
      </c>
      <c r="C2123" s="4" t="str">
        <f>IFERROR(__xludf.DUMMYFUNCTION("""COMPUTED_VALUE"""),"Bridged Wrapped Bitcoin (Stargate)")</f>
        <v>Bridged Wrapped Bitcoin (Stargate)</v>
      </c>
    </row>
    <row r="2124">
      <c r="A2124" s="4" t="str">
        <f>IFERROR(__xludf.DUMMYFUNCTION("""COMPUTED_VALUE"""),"bridged-wrapped-bitcoin-starkgate")</f>
        <v>bridged-wrapped-bitcoin-starkgate</v>
      </c>
      <c r="B2124" s="4" t="str">
        <f>IFERROR(__xludf.DUMMYFUNCTION("""COMPUTED_VALUE"""),"wbtc")</f>
        <v>wbtc</v>
      </c>
      <c r="C2124" s="4" t="str">
        <f>IFERROR(__xludf.DUMMYFUNCTION("""COMPUTED_VALUE"""),"Bridged Wrapped Bitcoin (StarkGate)")</f>
        <v>Bridged Wrapped Bitcoin (StarkGate)</v>
      </c>
    </row>
    <row r="2125">
      <c r="A2125" s="4" t="str">
        <f>IFERROR(__xludf.DUMMYFUNCTION("""COMPUTED_VALUE"""),"bridged-wrapped-bitcoin-ton-bridge")</f>
        <v>bridged-wrapped-bitcoin-ton-bridge</v>
      </c>
      <c r="B2125" s="4" t="str">
        <f>IFERROR(__xludf.DUMMYFUNCTION("""COMPUTED_VALUE"""),"jwbtc")</f>
        <v>jwbtc</v>
      </c>
      <c r="C2125" s="4" t="str">
        <f>IFERROR(__xludf.DUMMYFUNCTION("""COMPUTED_VALUE"""),"Bridged Wrapped Bitcoin (TON Bridge)")</f>
        <v>Bridged Wrapped Bitcoin (TON Bridge)</v>
      </c>
    </row>
    <row r="2126">
      <c r="A2126" s="4" t="str">
        <f>IFERROR(__xludf.DUMMYFUNCTION("""COMPUTED_VALUE"""),"bridged-wrapped-btc-lightlink")</f>
        <v>bridged-wrapped-btc-lightlink</v>
      </c>
      <c r="B2126" s="4" t="str">
        <f>IFERROR(__xludf.DUMMYFUNCTION("""COMPUTED_VALUE"""),"wbtc.e")</f>
        <v>wbtc.e</v>
      </c>
      <c r="C2126" s="4" t="str">
        <f>IFERROR(__xludf.DUMMYFUNCTION("""COMPUTED_VALUE"""),"Bridged Wrapped BTC (Lightlink)")</f>
        <v>Bridged Wrapped BTC (Lightlink)</v>
      </c>
    </row>
    <row r="2127">
      <c r="A2127" s="4" t="str">
        <f>IFERROR(__xludf.DUMMYFUNCTION("""COMPUTED_VALUE"""),"bridged-wrapped-ether-fuse")</f>
        <v>bridged-wrapped-ether-fuse</v>
      </c>
      <c r="B2127" s="4" t="str">
        <f>IFERROR(__xludf.DUMMYFUNCTION("""COMPUTED_VALUE"""),"weth")</f>
        <v>weth</v>
      </c>
      <c r="C2127" s="4" t="str">
        <f>IFERROR(__xludf.DUMMYFUNCTION("""COMPUTED_VALUE"""),"Bridged Wrapped Ether (Fuse)")</f>
        <v>Bridged Wrapped Ether (Fuse)</v>
      </c>
    </row>
    <row r="2128">
      <c r="A2128" s="4" t="str">
        <f>IFERROR(__xludf.DUMMYFUNCTION("""COMPUTED_VALUE"""),"bridged-wrapped-ether-hashport")</f>
        <v>bridged-wrapped-ether-hashport</v>
      </c>
      <c r="B2128" s="4" t="str">
        <f>IFERROR(__xludf.DUMMYFUNCTION("""COMPUTED_VALUE"""),"weth[hts]")</f>
        <v>weth[hts]</v>
      </c>
      <c r="C2128" s="4" t="str">
        <f>IFERROR(__xludf.DUMMYFUNCTION("""COMPUTED_VALUE"""),"Bridged Wrapped Ether (Hashport)")</f>
        <v>Bridged Wrapped Ether (Hashport)</v>
      </c>
    </row>
    <row r="2129">
      <c r="A2129" s="4" t="str">
        <f>IFERROR(__xludf.DUMMYFUNCTION("""COMPUTED_VALUE"""),"bridged-wrapped-ether-im-bridge")</f>
        <v>bridged-wrapped-ether-im-bridge</v>
      </c>
      <c r="B2129" s="4" t="str">
        <f>IFERROR(__xludf.DUMMYFUNCTION("""COMPUTED_VALUE"""),"seth")</f>
        <v>seth</v>
      </c>
      <c r="C2129" s="4" t="str">
        <f>IFERROR(__xludf.DUMMYFUNCTION("""COMPUTED_VALUE"""),"Bridged Wrapped Ether (IM Bridge)")</f>
        <v>Bridged Wrapped Ether (IM Bridge)</v>
      </c>
    </row>
    <row r="2130">
      <c r="A2130" s="4" t="str">
        <f>IFERROR(__xludf.DUMMYFUNCTION("""COMPUTED_VALUE"""),"bridged-wrapped-ether-manta-pacific")</f>
        <v>bridged-wrapped-ether-manta-pacific</v>
      </c>
      <c r="B2130" s="4" t="str">
        <f>IFERROR(__xludf.DUMMYFUNCTION("""COMPUTED_VALUE"""),"weth")</f>
        <v>weth</v>
      </c>
      <c r="C2130" s="4" t="str">
        <f>IFERROR(__xludf.DUMMYFUNCTION("""COMPUTED_VALUE"""),"Bridged Wrapped Ether (Manta Pacific)")</f>
        <v>Bridged Wrapped Ether (Manta Pacific)</v>
      </c>
    </row>
    <row r="2131">
      <c r="A2131" s="4" t="str">
        <f>IFERROR(__xludf.DUMMYFUNCTION("""COMPUTED_VALUE"""),"bridged-wrapped-ether-scroll")</f>
        <v>bridged-wrapped-ether-scroll</v>
      </c>
      <c r="B2131" s="4" t="str">
        <f>IFERROR(__xludf.DUMMYFUNCTION("""COMPUTED_VALUE"""),"weth")</f>
        <v>weth</v>
      </c>
      <c r="C2131" s="4" t="str">
        <f>IFERROR(__xludf.DUMMYFUNCTION("""COMPUTED_VALUE"""),"Bridged Wrapped Ether (Scroll)")</f>
        <v>Bridged Wrapped Ether (Scroll)</v>
      </c>
    </row>
    <row r="2132">
      <c r="A2132" s="4" t="str">
        <f>IFERROR(__xludf.DUMMYFUNCTION("""COMPUTED_VALUE"""),"bridged-wrapped-ether-stargate")</f>
        <v>bridged-wrapped-ether-stargate</v>
      </c>
      <c r="B2132" s="4" t="str">
        <f>IFERROR(__xludf.DUMMYFUNCTION("""COMPUTED_VALUE"""),"weth")</f>
        <v>weth</v>
      </c>
      <c r="C2132" s="4" t="str">
        <f>IFERROR(__xludf.DUMMYFUNCTION("""COMPUTED_VALUE"""),"Bridged Wrapped Ether (Stargate)")</f>
        <v>Bridged Wrapped Ether (Stargate)</v>
      </c>
    </row>
    <row r="2133">
      <c r="A2133" s="4" t="str">
        <f>IFERROR(__xludf.DUMMYFUNCTION("""COMPUTED_VALUE"""),"bridged-wrapped-ether-starkgate")</f>
        <v>bridged-wrapped-ether-starkgate</v>
      </c>
      <c r="B2133" s="4" t="str">
        <f>IFERROR(__xludf.DUMMYFUNCTION("""COMPUTED_VALUE"""),"eth")</f>
        <v>eth</v>
      </c>
      <c r="C2133" s="4" t="str">
        <f>IFERROR(__xludf.DUMMYFUNCTION("""COMPUTED_VALUE"""),"Bridged Ether (StarkGate)")</f>
        <v>Bridged Ether (StarkGate)</v>
      </c>
    </row>
    <row r="2134">
      <c r="A2134" s="4" t="str">
        <f>IFERROR(__xludf.DUMMYFUNCTION("""COMPUTED_VALUE"""),"bridged-wrapped-ether-voltage-finance")</f>
        <v>bridged-wrapped-ether-voltage-finance</v>
      </c>
      <c r="B2134" s="4" t="str">
        <f>IFERROR(__xludf.DUMMYFUNCTION("""COMPUTED_VALUE"""),"weth")</f>
        <v>weth</v>
      </c>
      <c r="C2134" s="4" t="str">
        <f>IFERROR(__xludf.DUMMYFUNCTION("""COMPUTED_VALUE"""),"Bridged Wrapped Ether (Voltage Finance)")</f>
        <v>Bridged Wrapped Ether (Voltage Finance)</v>
      </c>
    </row>
    <row r="2135">
      <c r="A2135" s="4" t="str">
        <f>IFERROR(__xludf.DUMMYFUNCTION("""COMPUTED_VALUE"""),"bridged-wrapped-hbar-heliswap")</f>
        <v>bridged-wrapped-hbar-heliswap</v>
      </c>
      <c r="B2135" s="4" t="str">
        <f>IFERROR(__xludf.DUMMYFUNCTION("""COMPUTED_VALUE"""),"whbar")</f>
        <v>whbar</v>
      </c>
      <c r="C2135" s="4" t="str">
        <f>IFERROR(__xludf.DUMMYFUNCTION("""COMPUTED_VALUE"""),"Wrapped HBAR (HeliSwap)")</f>
        <v>Wrapped HBAR (HeliSwap)</v>
      </c>
    </row>
    <row r="2136">
      <c r="A2136" s="4" t="str">
        <f>IFERROR(__xludf.DUMMYFUNCTION("""COMPUTED_VALUE"""),"bridged-wrapped-lido-staked-ether-scroll")</f>
        <v>bridged-wrapped-lido-staked-ether-scroll</v>
      </c>
      <c r="B2136" s="4" t="str">
        <f>IFERROR(__xludf.DUMMYFUNCTION("""COMPUTED_VALUE"""),"wsteth")</f>
        <v>wsteth</v>
      </c>
      <c r="C2136" s="4" t="str">
        <f>IFERROR(__xludf.DUMMYFUNCTION("""COMPUTED_VALUE"""),"Bridged Wrapped Lido Staked Ether (Scroll)")</f>
        <v>Bridged Wrapped Lido Staked Ether (Scroll)</v>
      </c>
    </row>
    <row r="2137">
      <c r="A2137" s="4" t="str">
        <f>IFERROR(__xludf.DUMMYFUNCTION("""COMPUTED_VALUE"""),"bridged-wrapped-matic-hashport")</f>
        <v>bridged-wrapped-matic-hashport</v>
      </c>
      <c r="B2137" s="4" t="str">
        <f>IFERROR(__xludf.DUMMYFUNCTION("""COMPUTED_VALUE"""),"wmatic[hts]")</f>
        <v>wmatic[hts]</v>
      </c>
      <c r="C2137" s="4" t="str">
        <f>IFERROR(__xludf.DUMMYFUNCTION("""COMPUTED_VALUE"""),"Bridged Wrapped MATIC (Hashport)")</f>
        <v>Bridged Wrapped MATIC (Hashport)</v>
      </c>
    </row>
    <row r="2138">
      <c r="A2138" s="4" t="str">
        <f>IFERROR(__xludf.DUMMYFUNCTION("""COMPUTED_VALUE"""),"bridged-wrapped-steth-axelar")</f>
        <v>bridged-wrapped-steth-axelar</v>
      </c>
      <c r="B2138" s="4" t="str">
        <f>IFERROR(__xludf.DUMMYFUNCTION("""COMPUTED_VALUE"""),"axl-wsteth")</f>
        <v>axl-wsteth</v>
      </c>
      <c r="C2138" s="4" t="str">
        <f>IFERROR(__xludf.DUMMYFUNCTION("""COMPUTED_VALUE"""),"Bridged Wrapped stETH (Axelar)")</f>
        <v>Bridged Wrapped stETH (Axelar)</v>
      </c>
    </row>
    <row r="2139">
      <c r="A2139" s="4" t="str">
        <f>IFERROR(__xludf.DUMMYFUNCTION("""COMPUTED_VALUE"""),"bridged-wrapped-steth-gnosis")</f>
        <v>bridged-wrapped-steth-gnosis</v>
      </c>
      <c r="B2139" s="4" t="str">
        <f>IFERROR(__xludf.DUMMYFUNCTION("""COMPUTED_VALUE"""),"wsteth")</f>
        <v>wsteth</v>
      </c>
      <c r="C2139" s="4" t="str">
        <f>IFERROR(__xludf.DUMMYFUNCTION("""COMPUTED_VALUE"""),"Bridged Wrapped stETH (Gnosis)")</f>
        <v>Bridged Wrapped stETH (Gnosis)</v>
      </c>
    </row>
    <row r="2140">
      <c r="A2140" s="4" t="str">
        <f>IFERROR(__xludf.DUMMYFUNCTION("""COMPUTED_VALUE"""),"bridged-wrapped-steth-manta-pacific")</f>
        <v>bridged-wrapped-steth-manta-pacific</v>
      </c>
      <c r="B2140" s="4" t="str">
        <f>IFERROR(__xludf.DUMMYFUNCTION("""COMPUTED_VALUE"""),"wsteth")</f>
        <v>wsteth</v>
      </c>
      <c r="C2140" s="4" t="str">
        <f>IFERROR(__xludf.DUMMYFUNCTION("""COMPUTED_VALUE"""),"Bridged Wrapped stETH (Manta Pacific)")</f>
        <v>Bridged Wrapped stETH (Manta Pacific)</v>
      </c>
    </row>
    <row r="2141">
      <c r="A2141" s="4" t="str">
        <f>IFERROR(__xludf.DUMMYFUNCTION("""COMPUTED_VALUE"""),"bridge-mutual")</f>
        <v>bridge-mutual</v>
      </c>
      <c r="B2141" s="4" t="str">
        <f>IFERROR(__xludf.DUMMYFUNCTION("""COMPUTED_VALUE"""),"bmi")</f>
        <v>bmi</v>
      </c>
      <c r="C2141" s="4" t="str">
        <f>IFERROR(__xludf.DUMMYFUNCTION("""COMPUTED_VALUE"""),"Bridge Mutual")</f>
        <v>Bridge Mutual</v>
      </c>
    </row>
    <row r="2142">
      <c r="A2142" s="4" t="str">
        <f>IFERROR(__xludf.DUMMYFUNCTION("""COMPUTED_VALUE"""),"bridge-oracle")</f>
        <v>bridge-oracle</v>
      </c>
      <c r="B2142" s="4" t="str">
        <f>IFERROR(__xludf.DUMMYFUNCTION("""COMPUTED_VALUE"""),"brg")</f>
        <v>brg</v>
      </c>
      <c r="C2142" s="4" t="str">
        <f>IFERROR(__xludf.DUMMYFUNCTION("""COMPUTED_VALUE"""),"Bridge Oracle")</f>
        <v>Bridge Oracle</v>
      </c>
    </row>
    <row r="2143">
      <c r="A2143" s="4" t="str">
        <f>IFERROR(__xludf.DUMMYFUNCTION("""COMPUTED_VALUE"""),"brightpool")</f>
        <v>brightpool</v>
      </c>
      <c r="B2143" s="4" t="str">
        <f>IFERROR(__xludf.DUMMYFUNCTION("""COMPUTED_VALUE"""),"bri")</f>
        <v>bri</v>
      </c>
      <c r="C2143" s="4" t="str">
        <f>IFERROR(__xludf.DUMMYFUNCTION("""COMPUTED_VALUE"""),"Brightpool")</f>
        <v>Brightpool</v>
      </c>
    </row>
    <row r="2144">
      <c r="A2144" s="4" t="str">
        <f>IFERROR(__xludf.DUMMYFUNCTION("""COMPUTED_VALUE"""),"bright-token")</f>
        <v>bright-token</v>
      </c>
      <c r="B2144" s="4" t="str">
        <f>IFERROR(__xludf.DUMMYFUNCTION("""COMPUTED_VALUE"""),"bright")</f>
        <v>bright</v>
      </c>
      <c r="C2144" s="4" t="str">
        <f>IFERROR(__xludf.DUMMYFUNCTION("""COMPUTED_VALUE"""),"BrightID")</f>
        <v>BrightID</v>
      </c>
    </row>
    <row r="2145">
      <c r="A2145" s="4" t="str">
        <f>IFERROR(__xludf.DUMMYFUNCTION("""COMPUTED_VALUE"""),"bright-union")</f>
        <v>bright-union</v>
      </c>
      <c r="B2145" s="4" t="str">
        <f>IFERROR(__xludf.DUMMYFUNCTION("""COMPUTED_VALUE"""),"bright")</f>
        <v>bright</v>
      </c>
      <c r="C2145" s="4" t="str">
        <f>IFERROR(__xludf.DUMMYFUNCTION("""COMPUTED_VALUE"""),"Bright Union")</f>
        <v>Bright Union</v>
      </c>
    </row>
    <row r="2146">
      <c r="A2146" s="4" t="str">
        <f>IFERROR(__xludf.DUMMYFUNCTION("""COMPUTED_VALUE"""),"britto")</f>
        <v>britto</v>
      </c>
      <c r="B2146" s="4" t="str">
        <f>IFERROR(__xludf.DUMMYFUNCTION("""COMPUTED_VALUE"""),"brt")</f>
        <v>brt</v>
      </c>
      <c r="C2146" s="4" t="str">
        <f>IFERROR(__xludf.DUMMYFUNCTION("""COMPUTED_VALUE"""),"Britto")</f>
        <v>Britto</v>
      </c>
    </row>
    <row r="2147">
      <c r="A2147" s="4" t="str">
        <f>IFERROR(__xludf.DUMMYFUNCTION("""COMPUTED_VALUE"""),"briun-armstrung")</f>
        <v>briun-armstrung</v>
      </c>
      <c r="B2147" s="4" t="str">
        <f>IFERROR(__xludf.DUMMYFUNCTION("""COMPUTED_VALUE"""),"briun")</f>
        <v>briun</v>
      </c>
      <c r="C2147" s="4" t="str">
        <f>IFERROR(__xludf.DUMMYFUNCTION("""COMPUTED_VALUE"""),"Briun Armstrung")</f>
        <v>Briun Armstrung</v>
      </c>
    </row>
    <row r="2148">
      <c r="A2148" s="4" t="str">
        <f>IFERROR(__xludf.DUMMYFUNCTION("""COMPUTED_VALUE"""),"brix-gaming")</f>
        <v>brix-gaming</v>
      </c>
      <c r="B2148" s="4" t="str">
        <f>IFERROR(__xludf.DUMMYFUNCTION("""COMPUTED_VALUE"""),"brix")</f>
        <v>brix</v>
      </c>
      <c r="C2148" s="4" t="str">
        <f>IFERROR(__xludf.DUMMYFUNCTION("""COMPUTED_VALUE"""),"Brix Gaming")</f>
        <v>Brix Gaming</v>
      </c>
    </row>
    <row r="2149">
      <c r="A2149" s="4" t="str">
        <f>IFERROR(__xludf.DUMMYFUNCTION("""COMPUTED_VALUE"""),"brmv-token")</f>
        <v>brmv-token</v>
      </c>
      <c r="B2149" s="4" t="str">
        <f>IFERROR(__xludf.DUMMYFUNCTION("""COMPUTED_VALUE"""),"brmv")</f>
        <v>brmv</v>
      </c>
      <c r="C2149" s="4" t="str">
        <f>IFERROR(__xludf.DUMMYFUNCTION("""COMPUTED_VALUE"""),"BRMV")</f>
        <v>BRMV</v>
      </c>
    </row>
    <row r="2150">
      <c r="A2150" s="4" t="str">
        <f>IFERROR(__xludf.DUMMYFUNCTION("""COMPUTED_VALUE"""),"brn-metaverse")</f>
        <v>brn-metaverse</v>
      </c>
      <c r="B2150" s="4" t="str">
        <f>IFERROR(__xludf.DUMMYFUNCTION("""COMPUTED_VALUE"""),"brn")</f>
        <v>brn</v>
      </c>
      <c r="C2150" s="4" t="str">
        <f>IFERROR(__xludf.DUMMYFUNCTION("""COMPUTED_VALUE"""),"BRN Metaverse")</f>
        <v>BRN Metaverse</v>
      </c>
    </row>
    <row r="2151">
      <c r="A2151" s="4" t="str">
        <f>IFERROR(__xludf.DUMMYFUNCTION("""COMPUTED_VALUE"""),"broccoli-the-gangsta")</f>
        <v>broccoli-the-gangsta</v>
      </c>
      <c r="B2151" s="4" t="str">
        <f>IFERROR(__xludf.DUMMYFUNCTION("""COMPUTED_VALUE"""),"broc")</f>
        <v>broc</v>
      </c>
      <c r="C2151" s="4" t="str">
        <f>IFERROR(__xludf.DUMMYFUNCTION("""COMPUTED_VALUE"""),"Broccoli The Gangsta")</f>
        <v>Broccoli The Gangsta</v>
      </c>
    </row>
    <row r="2152">
      <c r="A2152" s="4" t="str">
        <f>IFERROR(__xludf.DUMMYFUNCTION("""COMPUTED_VALUE"""),"broge")</f>
        <v>broge</v>
      </c>
      <c r="B2152" s="4" t="str">
        <f>IFERROR(__xludf.DUMMYFUNCTION("""COMPUTED_VALUE"""),"broge")</f>
        <v>broge</v>
      </c>
      <c r="C2152" s="4" t="str">
        <f>IFERROR(__xludf.DUMMYFUNCTION("""COMPUTED_VALUE"""),"Broge")</f>
        <v>Broge</v>
      </c>
    </row>
    <row r="2153">
      <c r="A2153" s="4" t="str">
        <f>IFERROR(__xludf.DUMMYFUNCTION("""COMPUTED_VALUE"""),"brokkr")</f>
        <v>brokkr</v>
      </c>
      <c r="B2153" s="4" t="str">
        <f>IFERROR(__xludf.DUMMYFUNCTION("""COMPUTED_VALUE"""),"bro")</f>
        <v>bro</v>
      </c>
      <c r="C2153" s="4" t="str">
        <f>IFERROR(__xludf.DUMMYFUNCTION("""COMPUTED_VALUE"""),"Brokkr")</f>
        <v>Brokkr</v>
      </c>
    </row>
    <row r="2154">
      <c r="A2154" s="4" t="str">
        <f>IFERROR(__xludf.DUMMYFUNCTION("""COMPUTED_VALUE"""),"brokoli")</f>
        <v>brokoli</v>
      </c>
      <c r="B2154" s="4" t="str">
        <f>IFERROR(__xludf.DUMMYFUNCTION("""COMPUTED_VALUE"""),"brkl")</f>
        <v>brkl</v>
      </c>
      <c r="C2154" s="4" t="str">
        <f>IFERROR(__xludf.DUMMYFUNCTION("""COMPUTED_VALUE"""),"Brokoli")</f>
        <v>Brokoli</v>
      </c>
    </row>
    <row r="2155">
      <c r="A2155" s="4" t="str">
        <f>IFERROR(__xludf.DUMMYFUNCTION("""COMPUTED_VALUE"""),"brolana")</f>
        <v>brolana</v>
      </c>
      <c r="B2155" s="4" t="str">
        <f>IFERROR(__xludf.DUMMYFUNCTION("""COMPUTED_VALUE"""),"bros")</f>
        <v>bros</v>
      </c>
      <c r="C2155" s="4" t="str">
        <f>IFERROR(__xludf.DUMMYFUNCTION("""COMPUTED_VALUE"""),"Brolana")</f>
        <v>Brolana</v>
      </c>
    </row>
    <row r="2156">
      <c r="A2156" s="4" t="str">
        <f>IFERROR(__xludf.DUMMYFUNCTION("""COMPUTED_VALUE"""),"broovs-projects")</f>
        <v>broovs-projects</v>
      </c>
      <c r="B2156" s="4" t="str">
        <f>IFERROR(__xludf.DUMMYFUNCTION("""COMPUTED_VALUE"""),"brs")</f>
        <v>brs</v>
      </c>
      <c r="C2156" s="4" t="str">
        <f>IFERROR(__xludf.DUMMYFUNCTION("""COMPUTED_VALUE"""),"Broovs Projects")</f>
        <v>Broovs Projects</v>
      </c>
    </row>
    <row r="2157">
      <c r="A2157" s="4" t="str">
        <f>IFERROR(__xludf.DUMMYFUNCTION("""COMPUTED_VALUE"""),"brr-protocol")</f>
        <v>brr-protocol</v>
      </c>
      <c r="B2157" s="4" t="str">
        <f>IFERROR(__xludf.DUMMYFUNCTION("""COMPUTED_VALUE"""),"brr")</f>
        <v>brr</v>
      </c>
      <c r="C2157" s="4" t="str">
        <f>IFERROR(__xludf.DUMMYFUNCTION("""COMPUTED_VALUE"""),"Brr Protocol")</f>
        <v>Brr Protocol</v>
      </c>
    </row>
    <row r="2158">
      <c r="A2158" s="4" t="str">
        <f>IFERROR(__xludf.DUMMYFUNCTION("""COMPUTED_VALUE"""),"bruh")</f>
        <v>bruh</v>
      </c>
      <c r="B2158" s="4" t="str">
        <f>IFERROR(__xludf.DUMMYFUNCTION("""COMPUTED_VALUE"""),"bruh")</f>
        <v>bruh</v>
      </c>
      <c r="C2158" s="4" t="str">
        <f>IFERROR(__xludf.DUMMYFUNCTION("""COMPUTED_VALUE"""),"BRUH")</f>
        <v>BRUH</v>
      </c>
    </row>
    <row r="2159">
      <c r="A2159" s="4" t="str">
        <f>IFERROR(__xludf.DUMMYFUNCTION("""COMPUTED_VALUE"""),"bruv")</f>
        <v>bruv</v>
      </c>
      <c r="B2159" s="4" t="str">
        <f>IFERROR(__xludf.DUMMYFUNCTION("""COMPUTED_VALUE"""),"bruv")</f>
        <v>bruv</v>
      </c>
      <c r="C2159" s="4" t="str">
        <f>IFERROR(__xludf.DUMMYFUNCTION("""COMPUTED_VALUE"""),"Bruv")</f>
        <v>Bruv</v>
      </c>
    </row>
    <row r="2160">
      <c r="A2160" s="4" t="str">
        <f>IFERROR(__xludf.DUMMYFUNCTION("""COMPUTED_VALUE"""),"brz")</f>
        <v>brz</v>
      </c>
      <c r="B2160" s="4" t="str">
        <f>IFERROR(__xludf.DUMMYFUNCTION("""COMPUTED_VALUE"""),"brz")</f>
        <v>brz</v>
      </c>
      <c r="C2160" s="4" t="str">
        <f>IFERROR(__xludf.DUMMYFUNCTION("""COMPUTED_VALUE"""),"Brazilian Digital")</f>
        <v>Brazilian Digital</v>
      </c>
    </row>
    <row r="2161">
      <c r="A2161" s="4" t="str">
        <f>IFERROR(__xludf.DUMMYFUNCTION("""COMPUTED_VALUE"""),"bscex")</f>
        <v>bscex</v>
      </c>
      <c r="B2161" s="4" t="str">
        <f>IFERROR(__xludf.DUMMYFUNCTION("""COMPUTED_VALUE"""),"bscx")</f>
        <v>bscx</v>
      </c>
      <c r="C2161" s="4" t="str">
        <f>IFERROR(__xludf.DUMMYFUNCTION("""COMPUTED_VALUE"""),"BSCEX")</f>
        <v>BSCEX</v>
      </c>
    </row>
    <row r="2162">
      <c r="A2162" s="4" t="str">
        <f>IFERROR(__xludf.DUMMYFUNCTION("""COMPUTED_VALUE"""),"bsc-fair")</f>
        <v>bsc-fair</v>
      </c>
      <c r="B2162" s="4" t="str">
        <f>IFERROR(__xludf.DUMMYFUNCTION("""COMPUTED_VALUE"""),"fair")</f>
        <v>fair</v>
      </c>
      <c r="C2162" s="4" t="str">
        <f>IFERROR(__xludf.DUMMYFUNCTION("""COMPUTED_VALUE"""),"BSC FAIR")</f>
        <v>BSC FAIR</v>
      </c>
    </row>
    <row r="2163">
      <c r="A2163" s="4" t="str">
        <f>IFERROR(__xludf.DUMMYFUNCTION("""COMPUTED_VALUE"""),"bsclaunch")</f>
        <v>bsclaunch</v>
      </c>
      <c r="B2163" s="4" t="str">
        <f>IFERROR(__xludf.DUMMYFUNCTION("""COMPUTED_VALUE"""),"bsl")</f>
        <v>bsl</v>
      </c>
      <c r="C2163" s="4" t="str">
        <f>IFERROR(__xludf.DUMMYFUNCTION("""COMPUTED_VALUE"""),"BSClaunch")</f>
        <v>BSClaunch</v>
      </c>
    </row>
    <row r="2164">
      <c r="A2164" s="4" t="str">
        <f>IFERROR(__xludf.DUMMYFUNCTION("""COMPUTED_VALUE"""),"bscpad")</f>
        <v>bscpad</v>
      </c>
      <c r="B2164" s="4" t="str">
        <f>IFERROR(__xludf.DUMMYFUNCTION("""COMPUTED_VALUE"""),"bscpad")</f>
        <v>bscpad</v>
      </c>
      <c r="C2164" s="4" t="str">
        <f>IFERROR(__xludf.DUMMYFUNCTION("""COMPUTED_VALUE"""),"BSCPAD")</f>
        <v>BSCPAD</v>
      </c>
    </row>
    <row r="2165">
      <c r="A2165" s="4" t="str">
        <f>IFERROR(__xludf.DUMMYFUNCTION("""COMPUTED_VALUE"""),"bscstarter")</f>
        <v>bscstarter</v>
      </c>
      <c r="B2165" s="4" t="str">
        <f>IFERROR(__xludf.DUMMYFUNCTION("""COMPUTED_VALUE"""),"start")</f>
        <v>start</v>
      </c>
      <c r="C2165" s="4" t="str">
        <f>IFERROR(__xludf.DUMMYFUNCTION("""COMPUTED_VALUE"""),"Starter.xyz")</f>
        <v>Starter.xyz</v>
      </c>
    </row>
    <row r="2166">
      <c r="A2166" s="4" t="str">
        <f>IFERROR(__xludf.DUMMYFUNCTION("""COMPUTED_VALUE"""),"bsc-station")</f>
        <v>bsc-station</v>
      </c>
      <c r="B2166" s="4" t="str">
        <f>IFERROR(__xludf.DUMMYFUNCTION("""COMPUTED_VALUE"""),"bscs")</f>
        <v>bscs</v>
      </c>
      <c r="C2166" s="4" t="str">
        <f>IFERROR(__xludf.DUMMYFUNCTION("""COMPUTED_VALUE"""),"BSCS")</f>
        <v>BSCS</v>
      </c>
    </row>
    <row r="2167">
      <c r="A2167" s="4" t="str">
        <f>IFERROR(__xludf.DUMMYFUNCTION("""COMPUTED_VALUE"""),"bsocial-2")</f>
        <v>bsocial-2</v>
      </c>
      <c r="B2167" s="4" t="str">
        <f>IFERROR(__xludf.DUMMYFUNCTION("""COMPUTED_VALUE"""),"bscl")</f>
        <v>bscl</v>
      </c>
      <c r="C2167" s="4" t="str">
        <f>IFERROR(__xludf.DUMMYFUNCTION("""COMPUTED_VALUE"""),"BSOCIAL")</f>
        <v>BSOCIAL</v>
      </c>
    </row>
    <row r="2168">
      <c r="A2168" s="4" t="str">
        <f>IFERROR(__xludf.DUMMYFUNCTION("""COMPUTED_VALUE"""),"bsv")</f>
        <v>bsv</v>
      </c>
      <c r="B2168" s="4" t="str">
        <f>IFERROR(__xludf.DUMMYFUNCTION("""COMPUTED_VALUE"""),"bsv")</f>
        <v>bsv</v>
      </c>
      <c r="C2168" s="4" t="str">
        <f>IFERROR(__xludf.DUMMYFUNCTION("""COMPUTED_VALUE"""),"$BSV")</f>
        <v>$BSV</v>
      </c>
    </row>
    <row r="2169">
      <c r="A2169" s="4" t="str">
        <f>IFERROR(__xludf.DUMMYFUNCTION("""COMPUTED_VALUE"""),"btaf-token")</f>
        <v>btaf-token</v>
      </c>
      <c r="B2169" s="4" t="str">
        <f>IFERROR(__xludf.DUMMYFUNCTION("""COMPUTED_VALUE"""),"btaf")</f>
        <v>btaf</v>
      </c>
      <c r="C2169" s="4" t="str">
        <f>IFERROR(__xludf.DUMMYFUNCTION("""COMPUTED_VALUE"""),"BTAF token")</f>
        <v>BTAF token</v>
      </c>
    </row>
    <row r="2170">
      <c r="A2170" s="4" t="str">
        <f>IFERROR(__xludf.DUMMYFUNCTION("""COMPUTED_VALUE"""),"btc-2x-flexible-leverage-index")</f>
        <v>btc-2x-flexible-leverage-index</v>
      </c>
      <c r="B2170" s="4" t="str">
        <f>IFERROR(__xludf.DUMMYFUNCTION("""COMPUTED_VALUE"""),"btc2x-fli")</f>
        <v>btc2x-fli</v>
      </c>
      <c r="C2170" s="4" t="str">
        <f>IFERROR(__xludf.DUMMYFUNCTION("""COMPUTED_VALUE"""),"BTC 2x Flexible Leverage Index")</f>
        <v>BTC 2x Flexible Leverage Index</v>
      </c>
    </row>
    <row r="2171">
      <c r="A2171" s="4" t="str">
        <f>IFERROR(__xludf.DUMMYFUNCTION("""COMPUTED_VALUE"""),"btchero")</f>
        <v>btchero</v>
      </c>
      <c r="B2171" s="4" t="str">
        <f>IFERROR(__xludf.DUMMYFUNCTION("""COMPUTED_VALUE"""),"btchero")</f>
        <v>btchero</v>
      </c>
      <c r="C2171" s="4" t="str">
        <f>IFERROR(__xludf.DUMMYFUNCTION("""COMPUTED_VALUE"""),"BTCHero")</f>
        <v>BTCHero</v>
      </c>
    </row>
    <row r="2172">
      <c r="A2172" s="4" t="str">
        <f>IFERROR(__xludf.DUMMYFUNCTION("""COMPUTED_VALUE"""),"btcmeme")</f>
        <v>btcmeme</v>
      </c>
      <c r="B2172" s="4" t="str">
        <f>IFERROR(__xludf.DUMMYFUNCTION("""COMPUTED_VALUE"""),"btcmeme")</f>
        <v>btcmeme</v>
      </c>
      <c r="C2172" s="4" t="str">
        <f>IFERROR(__xludf.DUMMYFUNCTION("""COMPUTED_VALUE"""),"BTCMEME")</f>
        <v>BTCMEME</v>
      </c>
    </row>
    <row r="2173">
      <c r="A2173" s="4" t="str">
        <f>IFERROR(__xludf.DUMMYFUNCTION("""COMPUTED_VALUE"""),"btc-proxy")</f>
        <v>btc-proxy</v>
      </c>
      <c r="B2173" s="4" t="str">
        <f>IFERROR(__xludf.DUMMYFUNCTION("""COMPUTED_VALUE"""),"btcpx")</f>
        <v>btcpx</v>
      </c>
      <c r="C2173" s="4" t="str">
        <f>IFERROR(__xludf.DUMMYFUNCTION("""COMPUTED_VALUE"""),"BTC Proxy")</f>
        <v>BTC Proxy</v>
      </c>
    </row>
    <row r="2174">
      <c r="A2174" s="4" t="str">
        <f>IFERROR(__xludf.DUMMYFUNCTION("""COMPUTED_VALUE"""),"btcrewards")</f>
        <v>btcrewards</v>
      </c>
      <c r="B2174" s="4" t="str">
        <f>IFERROR(__xludf.DUMMYFUNCTION("""COMPUTED_VALUE"""),"btcr")</f>
        <v>btcr</v>
      </c>
      <c r="C2174" s="4" t="str">
        <f>IFERROR(__xludf.DUMMYFUNCTION("""COMPUTED_VALUE"""),"BTCrewards")</f>
        <v>BTCrewards</v>
      </c>
    </row>
    <row r="2175">
      <c r="A2175" s="4" t="str">
        <f>IFERROR(__xludf.DUMMYFUNCTION("""COMPUTED_VALUE"""),"btcs")</f>
        <v>btcs</v>
      </c>
      <c r="B2175" s="4" t="str">
        <f>IFERROR(__xludf.DUMMYFUNCTION("""COMPUTED_VALUE"""),"btcs")</f>
        <v>btcs</v>
      </c>
      <c r="C2175" s="4" t="str">
        <f>IFERROR(__xludf.DUMMYFUNCTION("""COMPUTED_VALUE"""),"BTCs")</f>
        <v>BTCs</v>
      </c>
    </row>
    <row r="2176">
      <c r="A2176" s="4" t="str">
        <f>IFERROR(__xludf.DUMMYFUNCTION("""COMPUTED_VALUE"""),"btc-standard-hashrate-token")</f>
        <v>btc-standard-hashrate-token</v>
      </c>
      <c r="B2176" s="4" t="str">
        <f>IFERROR(__xludf.DUMMYFUNCTION("""COMPUTED_VALUE"""),"btcst")</f>
        <v>btcst</v>
      </c>
      <c r="C2176" s="4" t="str">
        <f>IFERROR(__xludf.DUMMYFUNCTION("""COMPUTED_VALUE"""),"BTC Standard Hashrate Token")</f>
        <v>BTC Standard Hashrate Token</v>
      </c>
    </row>
    <row r="2177">
      <c r="A2177" s="4" t="str">
        <f>IFERROR(__xludf.DUMMYFUNCTION("""COMPUTED_VALUE"""),"btf")</f>
        <v>btf</v>
      </c>
      <c r="B2177" s="4" t="str">
        <f>IFERROR(__xludf.DUMMYFUNCTION("""COMPUTED_VALUE"""),"btf")</f>
        <v>btf</v>
      </c>
      <c r="C2177" s="4" t="str">
        <f>IFERROR(__xludf.DUMMYFUNCTION("""COMPUTED_VALUE"""),"Bitcoin Faith")</f>
        <v>Bitcoin Faith</v>
      </c>
    </row>
    <row r="2178">
      <c r="A2178" s="4" t="str">
        <f>IFERROR(__xludf.DUMMYFUNCTION("""COMPUTED_VALUE"""),"btour-chain")</f>
        <v>btour-chain</v>
      </c>
      <c r="B2178" s="4" t="str">
        <f>IFERROR(__xludf.DUMMYFUNCTION("""COMPUTED_VALUE"""),"msot")</f>
        <v>msot</v>
      </c>
      <c r="C2178" s="4" t="str">
        <f>IFERROR(__xludf.DUMMYFUNCTION("""COMPUTED_VALUE"""),"BTour Chain")</f>
        <v>BTour Chain</v>
      </c>
    </row>
    <row r="2179">
      <c r="A2179" s="4" t="str">
        <f>IFERROR(__xludf.DUMMYFUNCTION("""COMPUTED_VALUE"""),"btrips")</f>
        <v>btrips</v>
      </c>
      <c r="B2179" s="4" t="str">
        <f>IFERROR(__xludf.DUMMYFUNCTION("""COMPUTED_VALUE"""),"btr")</f>
        <v>btr</v>
      </c>
      <c r="C2179" s="4" t="str">
        <f>IFERROR(__xludf.DUMMYFUNCTION("""COMPUTED_VALUE"""),"BTRIPS")</f>
        <v>BTRIPS</v>
      </c>
    </row>
    <row r="2180">
      <c r="A2180" s="4" t="str">
        <f>IFERROR(__xludf.DUMMYFUNCTION("""COMPUTED_VALUE"""),"btse-token")</f>
        <v>btse-token</v>
      </c>
      <c r="B2180" s="4" t="str">
        <f>IFERROR(__xludf.DUMMYFUNCTION("""COMPUTED_VALUE"""),"btse")</f>
        <v>btse</v>
      </c>
      <c r="C2180" s="4" t="str">
        <f>IFERROR(__xludf.DUMMYFUNCTION("""COMPUTED_VALUE"""),"BTSE Token")</f>
        <v>BTSE Token</v>
      </c>
    </row>
    <row r="2181">
      <c r="A2181" s="4" t="str">
        <f>IFERROR(__xludf.DUMMYFUNCTION("""COMPUTED_VALUE"""),"btu-protocol")</f>
        <v>btu-protocol</v>
      </c>
      <c r="B2181" s="4" t="str">
        <f>IFERROR(__xludf.DUMMYFUNCTION("""COMPUTED_VALUE"""),"btu")</f>
        <v>btu</v>
      </c>
      <c r="C2181" s="4" t="str">
        <f>IFERROR(__xludf.DUMMYFUNCTION("""COMPUTED_VALUE"""),"BTU Protocol")</f>
        <v>BTU Protocol</v>
      </c>
    </row>
    <row r="2182">
      <c r="A2182" s="4" t="str">
        <f>IFERROR(__xludf.DUMMYFUNCTION("""COMPUTED_VALUE"""),"bubble-bot")</f>
        <v>bubble-bot</v>
      </c>
      <c r="B2182" s="4" t="str">
        <f>IFERROR(__xludf.DUMMYFUNCTION("""COMPUTED_VALUE"""),"bubble")</f>
        <v>bubble</v>
      </c>
      <c r="C2182" s="4" t="str">
        <f>IFERROR(__xludf.DUMMYFUNCTION("""COMPUTED_VALUE"""),"Bubble Bot")</f>
        <v>Bubble Bot</v>
      </c>
    </row>
    <row r="2183">
      <c r="A2183" s="4" t="str">
        <f>IFERROR(__xludf.DUMMYFUNCTION("""COMPUTED_VALUE"""),"bubblefong")</f>
        <v>bubblefong</v>
      </c>
      <c r="B2183" s="4" t="str">
        <f>IFERROR(__xludf.DUMMYFUNCTION("""COMPUTED_VALUE"""),"bbf")</f>
        <v>bbf</v>
      </c>
      <c r="C2183" s="4" t="str">
        <f>IFERROR(__xludf.DUMMYFUNCTION("""COMPUTED_VALUE"""),"Bubblefong")</f>
        <v>Bubblefong</v>
      </c>
    </row>
    <row r="2184">
      <c r="A2184" s="4" t="str">
        <f>IFERROR(__xludf.DUMMYFUNCTION("""COMPUTED_VALUE"""),"bubcat")</f>
        <v>bubcat</v>
      </c>
      <c r="B2184" s="4" t="str">
        <f>IFERROR(__xludf.DUMMYFUNCTION("""COMPUTED_VALUE"""),"bub")</f>
        <v>bub</v>
      </c>
      <c r="C2184" s="4" t="str">
        <f>IFERROR(__xludf.DUMMYFUNCTION("""COMPUTED_VALUE"""),"BUBCAT")</f>
        <v>BUBCAT</v>
      </c>
    </row>
    <row r="2185">
      <c r="A2185" s="4" t="str">
        <f>IFERROR(__xludf.DUMMYFUNCTION("""COMPUTED_VALUE"""),"bubu")</f>
        <v>bubu</v>
      </c>
      <c r="B2185" s="4" t="str">
        <f>IFERROR(__xludf.DUMMYFUNCTION("""COMPUTED_VALUE"""),"bubu")</f>
        <v>bubu</v>
      </c>
      <c r="C2185" s="4" t="str">
        <f>IFERROR(__xludf.DUMMYFUNCTION("""COMPUTED_VALUE"""),"Bubu")</f>
        <v>Bubu</v>
      </c>
    </row>
    <row r="2186">
      <c r="A2186" s="4" t="str">
        <f>IFERROR(__xludf.DUMMYFUNCTION("""COMPUTED_VALUE"""),"bucket-protocol-buck-stablecoin")</f>
        <v>bucket-protocol-buck-stablecoin</v>
      </c>
      <c r="B2186" s="4" t="str">
        <f>IFERROR(__xludf.DUMMYFUNCTION("""COMPUTED_VALUE"""),"buck")</f>
        <v>buck</v>
      </c>
      <c r="C2186" s="4" t="str">
        <f>IFERROR(__xludf.DUMMYFUNCTION("""COMPUTED_VALUE"""),"Bucket Protocol BUCK Stablecoin")</f>
        <v>Bucket Protocol BUCK Stablecoin</v>
      </c>
    </row>
    <row r="2187">
      <c r="A2187" s="4" t="str">
        <f>IFERROR(__xludf.DUMMYFUNCTION("""COMPUTED_VALUE"""),"buckhath-coin")</f>
        <v>buckhath-coin</v>
      </c>
      <c r="B2187" s="4" t="str">
        <f>IFERROR(__xludf.DUMMYFUNCTION("""COMPUTED_VALUE"""),"bhig")</f>
        <v>bhig</v>
      </c>
      <c r="C2187" s="4" t="str">
        <f>IFERROR(__xludf.DUMMYFUNCTION("""COMPUTED_VALUE"""),"BuckHath Coin")</f>
        <v>BuckHath Coin</v>
      </c>
    </row>
    <row r="2188">
      <c r="A2188" s="4" t="str">
        <f>IFERROR(__xludf.DUMMYFUNCTION("""COMPUTED_VALUE"""),"buddha")</f>
        <v>buddha</v>
      </c>
      <c r="B2188" s="4" t="str">
        <f>IFERROR(__xludf.DUMMYFUNCTION("""COMPUTED_VALUE"""),"buddha")</f>
        <v>buddha</v>
      </c>
      <c r="C2188" s="4" t="str">
        <f>IFERROR(__xludf.DUMMYFUNCTION("""COMPUTED_VALUE"""),"Buddha")</f>
        <v>Buddha</v>
      </c>
    </row>
    <row r="2189">
      <c r="A2189" s="4" t="str">
        <f>IFERROR(__xludf.DUMMYFUNCTION("""COMPUTED_VALUE"""),"buddyai")</f>
        <v>buddyai</v>
      </c>
      <c r="B2189" s="4" t="str">
        <f>IFERROR(__xludf.DUMMYFUNCTION("""COMPUTED_VALUE"""),"buddy")</f>
        <v>buddy</v>
      </c>
      <c r="C2189" s="4" t="str">
        <f>IFERROR(__xludf.DUMMYFUNCTION("""COMPUTED_VALUE"""),"BuddyAI")</f>
        <v>BuddyAI</v>
      </c>
    </row>
    <row r="2190">
      <c r="A2190" s="4" t="str">
        <f>IFERROR(__xludf.DUMMYFUNCTION("""COMPUTED_VALUE"""),"buff-coin")</f>
        <v>buff-coin</v>
      </c>
      <c r="B2190" s="4" t="str">
        <f>IFERROR(__xludf.DUMMYFUNCTION("""COMPUTED_VALUE"""),"buff")</f>
        <v>buff</v>
      </c>
      <c r="C2190" s="4" t="str">
        <f>IFERROR(__xludf.DUMMYFUNCTION("""COMPUTED_VALUE"""),"Buff Coin")</f>
        <v>Buff Coin</v>
      </c>
    </row>
    <row r="2191">
      <c r="A2191" s="4" t="str">
        <f>IFERROR(__xludf.DUMMYFUNCTION("""COMPUTED_VALUE"""),"buff-doge-coin")</f>
        <v>buff-doge-coin</v>
      </c>
      <c r="B2191" s="4" t="str">
        <f>IFERROR(__xludf.DUMMYFUNCTION("""COMPUTED_VALUE"""),"dogecoin")</f>
        <v>dogecoin</v>
      </c>
      <c r="C2191" s="4" t="str">
        <f>IFERROR(__xludf.DUMMYFUNCTION("""COMPUTED_VALUE"""),"Buff Doge Coin")</f>
        <v>Buff Doge Coin</v>
      </c>
    </row>
    <row r="2192">
      <c r="A2192" s="4" t="str">
        <f>IFERROR(__xludf.DUMMYFUNCTION("""COMPUTED_VALUE"""),"buffswap")</f>
        <v>buffswap</v>
      </c>
      <c r="B2192" s="4" t="str">
        <f>IFERROR(__xludf.DUMMYFUNCTION("""COMPUTED_VALUE"""),"buffs")</f>
        <v>buffs</v>
      </c>
      <c r="C2192" s="4" t="str">
        <f>IFERROR(__xludf.DUMMYFUNCTION("""COMPUTED_VALUE"""),"BuffSwap")</f>
        <v>BuffSwap</v>
      </c>
    </row>
    <row r="2193">
      <c r="A2193" s="4" t="str">
        <f>IFERROR(__xludf.DUMMYFUNCTION("""COMPUTED_VALUE"""),"bugs-bunny")</f>
        <v>bugs-bunny</v>
      </c>
      <c r="B2193" s="4" t="str">
        <f>IFERROR(__xludf.DUMMYFUNCTION("""COMPUTED_VALUE"""),"bugs")</f>
        <v>bugs</v>
      </c>
      <c r="C2193" s="4" t="str">
        <f>IFERROR(__xludf.DUMMYFUNCTION("""COMPUTED_VALUE"""),"Bugs Bunny")</f>
        <v>Bugs Bunny</v>
      </c>
    </row>
    <row r="2194">
      <c r="A2194" s="4" t="str">
        <f>IFERROR(__xludf.DUMMYFUNCTION("""COMPUTED_VALUE"""),"build")</f>
        <v>build</v>
      </c>
      <c r="B2194" s="4" t="str">
        <f>IFERROR(__xludf.DUMMYFUNCTION("""COMPUTED_VALUE"""),"build")</f>
        <v>build</v>
      </c>
      <c r="C2194" s="4" t="str">
        <f>IFERROR(__xludf.DUMMYFUNCTION("""COMPUTED_VALUE"""),"BUILD")</f>
        <v>BUILD</v>
      </c>
    </row>
    <row r="2195">
      <c r="A2195" s="4" t="str">
        <f>IFERROR(__xludf.DUMMYFUNCTION("""COMPUTED_VALUE"""),"buildai")</f>
        <v>buildai</v>
      </c>
      <c r="B2195" s="4" t="str">
        <f>IFERROR(__xludf.DUMMYFUNCTION("""COMPUTED_VALUE"""),"build")</f>
        <v>build</v>
      </c>
      <c r="C2195" s="4" t="str">
        <f>IFERROR(__xludf.DUMMYFUNCTION("""COMPUTED_VALUE"""),"BuildAI")</f>
        <v>BuildAI</v>
      </c>
    </row>
    <row r="2196">
      <c r="A2196" s="4" t="str">
        <f>IFERROR(__xludf.DUMMYFUNCTION("""COMPUTED_VALUE"""),"buildup")</f>
        <v>buildup</v>
      </c>
      <c r="B2196" s="4" t="str">
        <f>IFERROR(__xludf.DUMMYFUNCTION("""COMPUTED_VALUE"""),"bup")</f>
        <v>bup</v>
      </c>
      <c r="C2196" s="4" t="str">
        <f>IFERROR(__xludf.DUMMYFUNCTION("""COMPUTED_VALUE"""),"BuildUp")</f>
        <v>BuildUp</v>
      </c>
    </row>
    <row r="2197">
      <c r="A2197" s="4" t="str">
        <f>IFERROR(__xludf.DUMMYFUNCTION("""COMPUTED_VALUE"""),"bul")</f>
        <v>bul</v>
      </c>
      <c r="B2197" s="4" t="str">
        <f>IFERROR(__xludf.DUMMYFUNCTION("""COMPUTED_VALUE"""),"bul")</f>
        <v>bul</v>
      </c>
      <c r="C2197" s="4" t="str">
        <f>IFERROR(__xludf.DUMMYFUNCTION("""COMPUTED_VALUE"""),"bul")</f>
        <v>bul</v>
      </c>
    </row>
    <row r="2198">
      <c r="A2198" s="4" t="str">
        <f>IFERROR(__xludf.DUMMYFUNCTION("""COMPUTED_VALUE"""),"bullbar")</f>
        <v>bullbar</v>
      </c>
      <c r="B2198" s="4" t="str">
        <f>IFERROR(__xludf.DUMMYFUNCTION("""COMPUTED_VALUE"""),"bull")</f>
        <v>bull</v>
      </c>
      <c r="C2198" s="4" t="str">
        <f>IFERROR(__xludf.DUMMYFUNCTION("""COMPUTED_VALUE"""),"BullBar")</f>
        <v>BullBar</v>
      </c>
    </row>
    <row r="2199">
      <c r="A2199" s="4" t="str">
        <f>IFERROR(__xludf.DUMMYFUNCTION("""COMPUTED_VALUE"""),"bullbear-ai")</f>
        <v>bullbear-ai</v>
      </c>
      <c r="B2199" s="4" t="str">
        <f>IFERROR(__xludf.DUMMYFUNCTION("""COMPUTED_VALUE"""),"aibb")</f>
        <v>aibb</v>
      </c>
      <c r="C2199" s="4" t="str">
        <f>IFERROR(__xludf.DUMMYFUNCTION("""COMPUTED_VALUE"""),"BullBear AI")</f>
        <v>BullBear AI</v>
      </c>
    </row>
    <row r="2200">
      <c r="A2200" s="4" t="str">
        <f>IFERROR(__xludf.DUMMYFUNCTION("""COMPUTED_VALUE"""),"bull-btc-club")</f>
        <v>bull-btc-club</v>
      </c>
      <c r="B2200" s="4" t="str">
        <f>IFERROR(__xludf.DUMMYFUNCTION("""COMPUTED_VALUE"""),"bbc")</f>
        <v>bbc</v>
      </c>
      <c r="C2200" s="4" t="str">
        <f>IFERROR(__xludf.DUMMYFUNCTION("""COMPUTED_VALUE"""),"Bull BTC Club")</f>
        <v>Bull BTC Club</v>
      </c>
    </row>
    <row r="2201">
      <c r="A2201" s="4" t="str">
        <f>IFERROR(__xludf.DUMMYFUNCTION("""COMPUTED_VALUE"""),"bull-coin")</f>
        <v>bull-coin</v>
      </c>
      <c r="B2201" s="4" t="str">
        <f>IFERROR(__xludf.DUMMYFUNCTION("""COMPUTED_VALUE"""),"bull")</f>
        <v>bull</v>
      </c>
      <c r="C2201" s="4" t="str">
        <f>IFERROR(__xludf.DUMMYFUNCTION("""COMPUTED_VALUE"""),"Bull Coin")</f>
        <v>Bull Coin</v>
      </c>
    </row>
    <row r="2202">
      <c r="A2202" s="4" t="str">
        <f>IFERROR(__xludf.DUMMYFUNCTION("""COMPUTED_VALUE"""),"bullcoinbsc")</f>
        <v>bullcoinbsc</v>
      </c>
      <c r="B2202" s="4" t="str">
        <f>IFERROR(__xludf.DUMMYFUNCTION("""COMPUTED_VALUE"""),"bull")</f>
        <v>bull</v>
      </c>
      <c r="C2202" s="4" t="str">
        <f>IFERROR(__xludf.DUMMYFUNCTION("""COMPUTED_VALUE"""),"BullcoinBSC")</f>
        <v>BullcoinBSC</v>
      </c>
    </row>
    <row r="2203">
      <c r="A2203" s="4" t="str">
        <f>IFERROR(__xludf.DUMMYFUNCTION("""COMPUTED_VALUE"""),"bullet-2")</f>
        <v>bullet-2</v>
      </c>
      <c r="B2203" s="4" t="str">
        <f>IFERROR(__xludf.DUMMYFUNCTION("""COMPUTED_VALUE"""),"blt")</f>
        <v>blt</v>
      </c>
      <c r="C2203" s="4" t="str">
        <f>IFERROR(__xludf.DUMMYFUNCTION("""COMPUTED_VALUE"""),"Bullet")</f>
        <v>Bullet</v>
      </c>
    </row>
    <row r="2204">
      <c r="A2204" s="4" t="str">
        <f>IFERROR(__xludf.DUMMYFUNCTION("""COMPUTED_VALUE"""),"bullet-game")</f>
        <v>bullet-game</v>
      </c>
      <c r="B2204" s="4" t="str">
        <f>IFERROR(__xludf.DUMMYFUNCTION("""COMPUTED_VALUE"""),"bullet")</f>
        <v>bullet</v>
      </c>
      <c r="C2204" s="4" t="str">
        <f>IFERROR(__xludf.DUMMYFUNCTION("""COMPUTED_VALUE"""),"Bullet Gate Betting Token")</f>
        <v>Bullet Gate Betting Token</v>
      </c>
    </row>
    <row r="2205">
      <c r="A2205" s="4" t="str">
        <f>IFERROR(__xludf.DUMMYFUNCTION("""COMPUTED_VALUE"""),"bullets")</f>
        <v>bullets</v>
      </c>
      <c r="B2205" s="4" t="str">
        <f>IFERROR(__xludf.DUMMYFUNCTION("""COMPUTED_VALUE"""),"blt")</f>
        <v>blt</v>
      </c>
      <c r="C2205" s="4" t="str">
        <f>IFERROR(__xludf.DUMMYFUNCTION("""COMPUTED_VALUE"""),"Bullets")</f>
        <v>Bullets</v>
      </c>
    </row>
    <row r="2206">
      <c r="A2206" s="4" t="str">
        <f>IFERROR(__xludf.DUMMYFUNCTION("""COMPUTED_VALUE"""),"bull-frog")</f>
        <v>bull-frog</v>
      </c>
      <c r="B2206" s="4" t="str">
        <f>IFERROR(__xludf.DUMMYFUNCTION("""COMPUTED_VALUE"""),"bull")</f>
        <v>bull</v>
      </c>
      <c r="C2206" s="4" t="str">
        <f>IFERROR(__xludf.DUMMYFUNCTION("""COMPUTED_VALUE"""),"Bull Frog")</f>
        <v>Bull Frog</v>
      </c>
    </row>
    <row r="2207">
      <c r="A2207" s="4" t="str">
        <f>IFERROR(__xludf.DUMMYFUNCTION("""COMPUTED_VALUE"""),"bull-game")</f>
        <v>bull-game</v>
      </c>
      <c r="B2207" s="4" t="str">
        <f>IFERROR(__xludf.DUMMYFUNCTION("""COMPUTED_VALUE"""),"bgt")</f>
        <v>bgt</v>
      </c>
      <c r="C2207" s="4" t="str">
        <f>IFERROR(__xludf.DUMMYFUNCTION("""COMPUTED_VALUE"""),"Bull Game ToKens")</f>
        <v>Bull Game ToKens</v>
      </c>
    </row>
    <row r="2208">
      <c r="A2208" s="4" t="str">
        <f>IFERROR(__xludf.DUMMYFUNCTION("""COMPUTED_VALUE"""),"bullieverse")</f>
        <v>bullieverse</v>
      </c>
      <c r="B2208" s="4" t="str">
        <f>IFERROR(__xludf.DUMMYFUNCTION("""COMPUTED_VALUE"""),"bull")</f>
        <v>bull</v>
      </c>
      <c r="C2208" s="4" t="str">
        <f>IFERROR(__xludf.DUMMYFUNCTION("""COMPUTED_VALUE"""),"Bullieverse")</f>
        <v>Bullieverse</v>
      </c>
    </row>
    <row r="2209">
      <c r="A2209" s="4" t="str">
        <f>IFERROR(__xludf.DUMMYFUNCTION("""COMPUTED_VALUE"""),"bulllauncher")</f>
        <v>bulllauncher</v>
      </c>
      <c r="B2209" s="4" t="str">
        <f>IFERROR(__xludf.DUMMYFUNCTION("""COMPUTED_VALUE"""),"bul")</f>
        <v>bul</v>
      </c>
      <c r="C2209" s="4" t="str">
        <f>IFERROR(__xludf.DUMMYFUNCTION("""COMPUTED_VALUE"""),"BullLauncher")</f>
        <v>BullLauncher</v>
      </c>
    </row>
    <row r="2210">
      <c r="A2210" s="4" t="str">
        <f>IFERROR(__xludf.DUMMYFUNCTION("""COMPUTED_VALUE"""),"bull-market")</f>
        <v>bull-market</v>
      </c>
      <c r="B2210" s="4" t="str">
        <f>IFERROR(__xludf.DUMMYFUNCTION("""COMPUTED_VALUE"""),"$bull")</f>
        <v>$bull</v>
      </c>
      <c r="C2210" s="4" t="str">
        <f>IFERROR(__xludf.DUMMYFUNCTION("""COMPUTED_VALUE"""),"Bull Market")</f>
        <v>Bull Market</v>
      </c>
    </row>
    <row r="2211">
      <c r="A2211" s="4" t="str">
        <f>IFERROR(__xludf.DUMMYFUNCTION("""COMPUTED_VALUE"""),"bull-moon")</f>
        <v>bull-moon</v>
      </c>
      <c r="B2211" s="4" t="str">
        <f>IFERROR(__xludf.DUMMYFUNCTION("""COMPUTED_VALUE"""),"bullmoon")</f>
        <v>bullmoon</v>
      </c>
      <c r="C2211" s="4" t="str">
        <f>IFERROR(__xludf.DUMMYFUNCTION("""COMPUTED_VALUE"""),"Bull Moon")</f>
        <v>Bull Moon</v>
      </c>
    </row>
    <row r="2212">
      <c r="A2212" s="4" t="str">
        <f>IFERROR(__xludf.DUMMYFUNCTION("""COMPUTED_VALUE"""),"bullperks")</f>
        <v>bullperks</v>
      </c>
      <c r="B2212" s="4" t="str">
        <f>IFERROR(__xludf.DUMMYFUNCTION("""COMPUTED_VALUE"""),"blp")</f>
        <v>blp</v>
      </c>
      <c r="C2212" s="4" t="str">
        <f>IFERROR(__xludf.DUMMYFUNCTION("""COMPUTED_VALUE"""),"BullPerks")</f>
        <v>BullPerks</v>
      </c>
    </row>
    <row r="2213">
      <c r="A2213" s="4" t="str">
        <f>IFERROR(__xludf.DUMMYFUNCTION("""COMPUTED_VALUE"""),"bull-run-today")</f>
        <v>bull-run-today</v>
      </c>
      <c r="B2213" s="4" t="str">
        <f>IFERROR(__xludf.DUMMYFUNCTION("""COMPUTED_VALUE"""),"bull")</f>
        <v>bull</v>
      </c>
      <c r="C2213" s="4" t="str">
        <f>IFERROR(__xludf.DUMMYFUNCTION("""COMPUTED_VALUE"""),"Bull Run")</f>
        <v>Bull Run</v>
      </c>
    </row>
    <row r="2214">
      <c r="A2214" s="4" t="str">
        <f>IFERROR(__xludf.DUMMYFUNCTION("""COMPUTED_VALUE"""),"bullshits404")</f>
        <v>bullshits404</v>
      </c>
      <c r="B2214" s="4" t="str">
        <f>IFERROR(__xludf.DUMMYFUNCTION("""COMPUTED_VALUE"""),"bs")</f>
        <v>bs</v>
      </c>
      <c r="C2214" s="4" t="str">
        <f>IFERROR(__xludf.DUMMYFUNCTION("""COMPUTED_VALUE"""),"Bullshits404")</f>
        <v>Bullshits404</v>
      </c>
    </row>
    <row r="2215">
      <c r="A2215" s="4" t="str">
        <f>IFERROR(__xludf.DUMMYFUNCTION("""COMPUTED_VALUE"""),"bull-star-finance")</f>
        <v>bull-star-finance</v>
      </c>
      <c r="B2215" s="4" t="str">
        <f>IFERROR(__xludf.DUMMYFUNCTION("""COMPUTED_VALUE"""),"bsf")</f>
        <v>bsf</v>
      </c>
      <c r="C2215" s="4" t="str">
        <f>IFERROR(__xludf.DUMMYFUNCTION("""COMPUTED_VALUE"""),"Bull Star Finance")</f>
        <v>Bull Star Finance</v>
      </c>
    </row>
    <row r="2216">
      <c r="A2216" s="4" t="str">
        <f>IFERROR(__xludf.DUMMYFUNCTION("""COMPUTED_VALUE"""),"bull-token")</f>
        <v>bull-token</v>
      </c>
      <c r="B2216" s="4" t="str">
        <f>IFERROR(__xludf.DUMMYFUNCTION("""COMPUTED_VALUE"""),"$bull")</f>
        <v>$bull</v>
      </c>
      <c r="C2216" s="4" t="str">
        <f>IFERROR(__xludf.DUMMYFUNCTION("""COMPUTED_VALUE"""),"BULL Token")</f>
        <v>BULL Token</v>
      </c>
    </row>
    <row r="2217">
      <c r="A2217" s="4" t="str">
        <f>IFERROR(__xludf.DUMMYFUNCTION("""COMPUTED_VALUE"""),"bull-token-2")</f>
        <v>bull-token-2</v>
      </c>
      <c r="B2217" s="4" t="str">
        <f>IFERROR(__xludf.DUMMYFUNCTION("""COMPUTED_VALUE"""),"bull")</f>
        <v>bull</v>
      </c>
      <c r="C2217" s="4" t="str">
        <f>IFERROR(__xludf.DUMMYFUNCTION("""COMPUTED_VALUE"""),"Bull Token")</f>
        <v>Bull Token</v>
      </c>
    </row>
    <row r="2218">
      <c r="A2218" s="4" t="str">
        <f>IFERROR(__xludf.DUMMYFUNCTION("""COMPUTED_VALUE"""),"bully")</f>
        <v>bully</v>
      </c>
      <c r="B2218" s="4" t="str">
        <f>IFERROR(__xludf.DUMMYFUNCTION("""COMPUTED_VALUE"""),"bully")</f>
        <v>bully</v>
      </c>
      <c r="C2218" s="4" t="str">
        <f>IFERROR(__xludf.DUMMYFUNCTION("""COMPUTED_VALUE"""),"Bully")</f>
        <v>Bully</v>
      </c>
    </row>
    <row r="2219">
      <c r="A2219" s="4" t="str">
        <f>IFERROR(__xludf.DUMMYFUNCTION("""COMPUTED_VALUE"""),"bully-2")</f>
        <v>bully-2</v>
      </c>
      <c r="B2219" s="4" t="str">
        <f>IFERROR(__xludf.DUMMYFUNCTION("""COMPUTED_VALUE"""),"bully")</f>
        <v>bully</v>
      </c>
      <c r="C2219" s="4" t="str">
        <f>IFERROR(__xludf.DUMMYFUNCTION("""COMPUTED_VALUE"""),"Bully")</f>
        <v>Bully</v>
      </c>
    </row>
    <row r="2220">
      <c r="A2220" s="4" t="str">
        <f>IFERROR(__xludf.DUMMYFUNCTION("""COMPUTED_VALUE"""),"bullysoltoken")</f>
        <v>bullysoltoken</v>
      </c>
      <c r="B2220" s="4" t="str">
        <f>IFERROR(__xludf.DUMMYFUNCTION("""COMPUTED_VALUE"""),"bully")</f>
        <v>bully</v>
      </c>
      <c r="C2220" s="4" t="str">
        <f>IFERROR(__xludf.DUMMYFUNCTION("""COMPUTED_VALUE"""),"Bully")</f>
        <v>Bully</v>
      </c>
    </row>
    <row r="2221">
      <c r="A2221" s="4" t="str">
        <f>IFERROR(__xludf.DUMMYFUNCTION("""COMPUTED_VALUE"""),"bumblebot")</f>
        <v>bumblebot</v>
      </c>
      <c r="B2221" s="4" t="str">
        <f>IFERROR(__xludf.DUMMYFUNCTION("""COMPUTED_VALUE"""),"bumble")</f>
        <v>bumble</v>
      </c>
      <c r="C2221" s="4" t="str">
        <f>IFERROR(__xludf.DUMMYFUNCTION("""COMPUTED_VALUE"""),"Bumblebot")</f>
        <v>Bumblebot</v>
      </c>
    </row>
    <row r="2222">
      <c r="A2222" s="4" t="str">
        <f>IFERROR(__xludf.DUMMYFUNCTION("""COMPUTED_VALUE"""),"bumoon")</f>
        <v>bumoon</v>
      </c>
      <c r="B2222" s="4" t="str">
        <f>IFERROR(__xludf.DUMMYFUNCTION("""COMPUTED_VALUE"""),"bumn")</f>
        <v>bumn</v>
      </c>
      <c r="C2222" s="4" t="str">
        <f>IFERROR(__xludf.DUMMYFUNCTION("""COMPUTED_VALUE"""),"BUMooN")</f>
        <v>BUMooN</v>
      </c>
    </row>
    <row r="2223">
      <c r="A2223" s="4" t="str">
        <f>IFERROR(__xludf.DUMMYFUNCTION("""COMPUTED_VALUE"""),"bumper")</f>
        <v>bumper</v>
      </c>
      <c r="B2223" s="4" t="str">
        <f>IFERROR(__xludf.DUMMYFUNCTION("""COMPUTED_VALUE"""),"bump")</f>
        <v>bump</v>
      </c>
      <c r="C2223" s="4" t="str">
        <f>IFERROR(__xludf.DUMMYFUNCTION("""COMPUTED_VALUE"""),"Bumper")</f>
        <v>Bumper</v>
      </c>
    </row>
    <row r="2224">
      <c r="A2224" s="4" t="str">
        <f>IFERROR(__xludf.DUMMYFUNCTION("""COMPUTED_VALUE"""),"bundles")</f>
        <v>bundles</v>
      </c>
      <c r="B2224" s="4" t="str">
        <f>IFERROR(__xludf.DUMMYFUNCTION("""COMPUTED_VALUE"""),"bund")</f>
        <v>bund</v>
      </c>
      <c r="C2224" s="4" t="str">
        <f>IFERROR(__xludf.DUMMYFUNCTION("""COMPUTED_VALUE"""),"Bund V2")</f>
        <v>Bund V2</v>
      </c>
    </row>
    <row r="2225">
      <c r="A2225" s="4" t="str">
        <f>IFERROR(__xludf.DUMMYFUNCTION("""COMPUTED_VALUE"""),"bundl-tools")</f>
        <v>bundl-tools</v>
      </c>
      <c r="B2225" s="4" t="str">
        <f>IFERROR(__xludf.DUMMYFUNCTION("""COMPUTED_VALUE"""),"bundl")</f>
        <v>bundl</v>
      </c>
      <c r="C2225" s="4" t="str">
        <f>IFERROR(__xludf.DUMMYFUNCTION("""COMPUTED_VALUE"""),"Bundl Tools")</f>
        <v>Bundl Tools</v>
      </c>
    </row>
    <row r="2226">
      <c r="A2226" s="4" t="str">
        <f>IFERROR(__xludf.DUMMYFUNCTION("""COMPUTED_VALUE"""),"bunicorn")</f>
        <v>bunicorn</v>
      </c>
      <c r="B2226" s="4" t="str">
        <f>IFERROR(__xludf.DUMMYFUNCTION("""COMPUTED_VALUE"""),"buni")</f>
        <v>buni</v>
      </c>
      <c r="C2226" s="4" t="str">
        <f>IFERROR(__xludf.DUMMYFUNCTION("""COMPUTED_VALUE"""),"Bunicorn")</f>
        <v>Bunicorn</v>
      </c>
    </row>
    <row r="2227">
      <c r="A2227" s="4" t="str">
        <f>IFERROR(__xludf.DUMMYFUNCTION("""COMPUTED_VALUE"""),"bunkee")</f>
        <v>bunkee</v>
      </c>
      <c r="B2227" s="4" t="str">
        <f>IFERROR(__xludf.DUMMYFUNCTION("""COMPUTED_VALUE"""),"bunk")</f>
        <v>bunk</v>
      </c>
      <c r="C2227" s="4" t="str">
        <f>IFERROR(__xludf.DUMMYFUNCTION("""COMPUTED_VALUE"""),"Bunkee")</f>
        <v>Bunkee</v>
      </c>
    </row>
    <row r="2228">
      <c r="A2228" s="4" t="str">
        <f>IFERROR(__xludf.DUMMYFUNCTION("""COMPUTED_VALUE"""),"bunnypark")</f>
        <v>bunnypark</v>
      </c>
      <c r="B2228" s="4" t="str">
        <f>IFERROR(__xludf.DUMMYFUNCTION("""COMPUTED_VALUE"""),"bp")</f>
        <v>bp</v>
      </c>
      <c r="C2228" s="4" t="str">
        <f>IFERROR(__xludf.DUMMYFUNCTION("""COMPUTED_VALUE"""),"BunnyPark")</f>
        <v>BunnyPark</v>
      </c>
    </row>
    <row r="2229">
      <c r="A2229" s="4" t="str">
        <f>IFERROR(__xludf.DUMMYFUNCTION("""COMPUTED_VALUE"""),"bunnypark-game")</f>
        <v>bunnypark-game</v>
      </c>
      <c r="B2229" s="4" t="str">
        <f>IFERROR(__xludf.DUMMYFUNCTION("""COMPUTED_VALUE"""),"bg")</f>
        <v>bg</v>
      </c>
      <c r="C2229" s="4" t="str">
        <f>IFERROR(__xludf.DUMMYFUNCTION("""COMPUTED_VALUE"""),"BunnyPark Game")</f>
        <v>BunnyPark Game</v>
      </c>
    </row>
    <row r="2230">
      <c r="A2230" s="4" t="str">
        <f>IFERROR(__xludf.DUMMYFUNCTION("""COMPUTED_VALUE"""),"bunny-token-polygon")</f>
        <v>bunny-token-polygon</v>
      </c>
      <c r="B2230" s="4" t="str">
        <f>IFERROR(__xludf.DUMMYFUNCTION("""COMPUTED_VALUE"""),"polybunny")</f>
        <v>polybunny</v>
      </c>
      <c r="C2230" s="4" t="str">
        <f>IFERROR(__xludf.DUMMYFUNCTION("""COMPUTED_VALUE"""),"Pancake Bunny Polygon")</f>
        <v>Pancake Bunny Polygon</v>
      </c>
    </row>
    <row r="2231">
      <c r="A2231" s="4" t="str">
        <f>IFERROR(__xludf.DUMMYFUNCTION("""COMPUTED_VALUE"""),"burency")</f>
        <v>burency</v>
      </c>
      <c r="B2231" s="4" t="str">
        <f>IFERROR(__xludf.DUMMYFUNCTION("""COMPUTED_VALUE"""),"buy")</f>
        <v>buy</v>
      </c>
      <c r="C2231" s="4" t="str">
        <f>IFERROR(__xludf.DUMMYFUNCTION("""COMPUTED_VALUE"""),"Burency")</f>
        <v>Burency</v>
      </c>
    </row>
    <row r="2232">
      <c r="A2232" s="4" t="str">
        <f>IFERROR(__xludf.DUMMYFUNCTION("""COMPUTED_VALUE"""),"burger-swap")</f>
        <v>burger-swap</v>
      </c>
      <c r="B2232" s="4" t="str">
        <f>IFERROR(__xludf.DUMMYFUNCTION("""COMPUTED_VALUE"""),"burger")</f>
        <v>burger</v>
      </c>
      <c r="C2232" s="4" t="str">
        <f>IFERROR(__xludf.DUMMYFUNCTION("""COMPUTED_VALUE"""),"BurgerCities")</f>
        <v>BurgerCities</v>
      </c>
    </row>
    <row r="2233">
      <c r="A2233" s="4" t="str">
        <f>IFERROR(__xludf.DUMMYFUNCTION("""COMPUTED_VALUE"""),"burn")</f>
        <v>burn</v>
      </c>
      <c r="B2233" s="4" t="str">
        <f>IFERROR(__xludf.DUMMYFUNCTION("""COMPUTED_VALUE"""),"burn")</f>
        <v>burn</v>
      </c>
      <c r="C2233" s="4" t="str">
        <f>IFERROR(__xludf.DUMMYFUNCTION("""COMPUTED_VALUE"""),"BURN")</f>
        <v>BURN</v>
      </c>
    </row>
    <row r="2234">
      <c r="A2234" s="4" t="str">
        <f>IFERROR(__xludf.DUMMYFUNCTION("""COMPUTED_VALUE"""),"burnedfi")</f>
        <v>burnedfi</v>
      </c>
      <c r="B2234" s="4" t="str">
        <f>IFERROR(__xludf.DUMMYFUNCTION("""COMPUTED_VALUE"""),"burn")</f>
        <v>burn</v>
      </c>
      <c r="C2234" s="4" t="str">
        <f>IFERROR(__xludf.DUMMYFUNCTION("""COMPUTED_VALUE"""),"BurnedFi")</f>
        <v>BurnedFi</v>
      </c>
    </row>
    <row r="2235">
      <c r="A2235" s="4" t="str">
        <f>IFERROR(__xludf.DUMMYFUNCTION("""COMPUTED_VALUE"""),"burners")</f>
        <v>burners</v>
      </c>
      <c r="B2235" s="4" t="str">
        <f>IFERROR(__xludf.DUMMYFUNCTION("""COMPUTED_VALUE"""),"brnr")</f>
        <v>brnr</v>
      </c>
      <c r="C2235" s="4" t="str">
        <f>IFERROR(__xludf.DUMMYFUNCTION("""COMPUTED_VALUE"""),"Burners")</f>
        <v>Burners</v>
      </c>
    </row>
    <row r="2236">
      <c r="A2236" s="4" t="str">
        <f>IFERROR(__xludf.DUMMYFUNCTION("""COMPUTED_VALUE"""),"burnify")</f>
        <v>burnify</v>
      </c>
      <c r="B2236" s="4" t="str">
        <f>IFERROR(__xludf.DUMMYFUNCTION("""COMPUTED_VALUE"""),"bfy")</f>
        <v>bfy</v>
      </c>
      <c r="C2236" s="4" t="str">
        <f>IFERROR(__xludf.DUMMYFUNCTION("""COMPUTED_VALUE"""),"Burnify")</f>
        <v>Burnify</v>
      </c>
    </row>
    <row r="2237">
      <c r="A2237" s="4" t="str">
        <f>IFERROR(__xludf.DUMMYFUNCTION("""COMPUTED_VALUE"""),"burning-circle")</f>
        <v>burning-circle</v>
      </c>
      <c r="B2237" s="4" t="str">
        <f>IFERROR(__xludf.DUMMYFUNCTION("""COMPUTED_VALUE"""),"circle")</f>
        <v>circle</v>
      </c>
      <c r="C2237" s="4" t="str">
        <f>IFERROR(__xludf.DUMMYFUNCTION("""COMPUTED_VALUE"""),"Burning Circle")</f>
        <v>Burning Circle</v>
      </c>
    </row>
    <row r="2238">
      <c r="A2238" s="4" t="str">
        <f>IFERROR(__xludf.DUMMYFUNCTION("""COMPUTED_VALUE"""),"burnsdefi")</f>
        <v>burnsdefi</v>
      </c>
      <c r="B2238" s="4" t="str">
        <f>IFERROR(__xludf.DUMMYFUNCTION("""COMPUTED_VALUE"""),"burns")</f>
        <v>burns</v>
      </c>
      <c r="C2238" s="4" t="str">
        <f>IFERROR(__xludf.DUMMYFUNCTION("""COMPUTED_VALUE"""),"BurnsDeFi")</f>
        <v>BurnsDeFi</v>
      </c>
    </row>
    <row r="2239">
      <c r="A2239" s="4" t="str">
        <f>IFERROR(__xludf.DUMMYFUNCTION("""COMPUTED_VALUE"""),"burp")</f>
        <v>burp</v>
      </c>
      <c r="B2239" s="4" t="str">
        <f>IFERROR(__xludf.DUMMYFUNCTION("""COMPUTED_VALUE"""),"burp")</f>
        <v>burp</v>
      </c>
      <c r="C2239" s="4" t="str">
        <f>IFERROR(__xludf.DUMMYFUNCTION("""COMPUTED_VALUE"""),"Burp")</f>
        <v>Burp</v>
      </c>
    </row>
    <row r="2240">
      <c r="A2240" s="4" t="str">
        <f>IFERROR(__xludf.DUMMYFUNCTION("""COMPUTED_VALUE"""),"burrial")</f>
        <v>burrial</v>
      </c>
      <c r="B2240" s="4" t="str">
        <f>IFERROR(__xludf.DUMMYFUNCTION("""COMPUTED_VALUE"""),"burry")</f>
        <v>burry</v>
      </c>
      <c r="C2240" s="4" t="str">
        <f>IFERROR(__xludf.DUMMYFUNCTION("""COMPUTED_VALUE"""),"Burrial")</f>
        <v>Burrial</v>
      </c>
    </row>
    <row r="2241">
      <c r="A2241" s="4" t="str">
        <f>IFERROR(__xludf.DUMMYFUNCTION("""COMPUTED_VALUE"""),"burrow")</f>
        <v>burrow</v>
      </c>
      <c r="B2241" s="4" t="str">
        <f>IFERROR(__xludf.DUMMYFUNCTION("""COMPUTED_VALUE"""),"brrr")</f>
        <v>brrr</v>
      </c>
      <c r="C2241" s="4" t="str">
        <f>IFERROR(__xludf.DUMMYFUNCTION("""COMPUTED_VALUE"""),"Burrow")</f>
        <v>Burrow</v>
      </c>
    </row>
    <row r="2242">
      <c r="A2242" s="4" t="str">
        <f>IFERROR(__xludf.DUMMYFUNCTION("""COMPUTED_VALUE"""),"burrrd")</f>
        <v>burrrd</v>
      </c>
      <c r="B2242" s="4" t="str">
        <f>IFERROR(__xludf.DUMMYFUNCTION("""COMPUTED_VALUE"""),"burrrd")</f>
        <v>burrrd</v>
      </c>
      <c r="C2242" s="4" t="str">
        <f>IFERROR(__xludf.DUMMYFUNCTION("""COMPUTED_VALUE"""),"BURRRD")</f>
        <v>BURRRD</v>
      </c>
    </row>
    <row r="2243">
      <c r="A2243" s="4" t="str">
        <f>IFERROR(__xludf.DUMMYFUNCTION("""COMPUTED_VALUE"""),"bursaspor-fan-token")</f>
        <v>bursaspor-fan-token</v>
      </c>
      <c r="B2243" s="4" t="str">
        <f>IFERROR(__xludf.DUMMYFUNCTION("""COMPUTED_VALUE"""),"tmsh")</f>
        <v>tmsh</v>
      </c>
      <c r="C2243" s="4" t="str">
        <f>IFERROR(__xludf.DUMMYFUNCTION("""COMPUTED_VALUE"""),"Bursaspor Fan Token")</f>
        <v>Bursaspor Fan Token</v>
      </c>
    </row>
    <row r="2244">
      <c r="A2244" s="4" t="str">
        <f>IFERROR(__xludf.DUMMYFUNCTION("""COMPUTED_VALUE"""),"busdx")</f>
        <v>busdx</v>
      </c>
      <c r="B2244" s="4" t="str">
        <f>IFERROR(__xludf.DUMMYFUNCTION("""COMPUTED_VALUE"""),"rspn")</f>
        <v>rspn</v>
      </c>
      <c r="C2244" s="4" t="str">
        <f>IFERROR(__xludf.DUMMYFUNCTION("""COMPUTED_VALUE"""),"Respan")</f>
        <v>Respan</v>
      </c>
    </row>
    <row r="2245">
      <c r="A2245" s="4" t="str">
        <f>IFERROR(__xludf.DUMMYFUNCTION("""COMPUTED_VALUE"""),"busy-dao")</f>
        <v>busy-dao</v>
      </c>
      <c r="B2245" s="4" t="str">
        <f>IFERROR(__xludf.DUMMYFUNCTION("""COMPUTED_VALUE"""),"busy")</f>
        <v>busy</v>
      </c>
      <c r="C2245" s="4" t="str">
        <f>IFERROR(__xludf.DUMMYFUNCTION("""COMPUTED_VALUE"""),"Busy")</f>
        <v>Busy</v>
      </c>
    </row>
    <row r="2246">
      <c r="A2246" s="4" t="str">
        <f>IFERROR(__xludf.DUMMYFUNCTION("""COMPUTED_VALUE"""),"butane-token")</f>
        <v>butane-token</v>
      </c>
      <c r="B2246" s="4" t="str">
        <f>IFERROR(__xludf.DUMMYFUNCTION("""COMPUTED_VALUE"""),"btn")</f>
        <v>btn</v>
      </c>
      <c r="C2246" s="4" t="str">
        <f>IFERROR(__xludf.DUMMYFUNCTION("""COMPUTED_VALUE"""),"Butane Token")</f>
        <v>Butane Token</v>
      </c>
    </row>
    <row r="2247">
      <c r="A2247" s="4" t="str">
        <f>IFERROR(__xludf.DUMMYFUNCTION("""COMPUTED_VALUE"""),"butter")</f>
        <v>butter</v>
      </c>
      <c r="B2247" s="4" t="str">
        <f>IFERROR(__xludf.DUMMYFUNCTION("""COMPUTED_VALUE"""),"butter")</f>
        <v>butter</v>
      </c>
      <c r="C2247" s="4" t="str">
        <f>IFERROR(__xludf.DUMMYFUNCTION("""COMPUTED_VALUE"""),"Butter")</f>
        <v>Butter</v>
      </c>
    </row>
    <row r="2248">
      <c r="A2248" s="4" t="str">
        <f>IFERROR(__xludf.DUMMYFUNCTION("""COMPUTED_VALUE"""),"butter-2")</f>
        <v>butter-2</v>
      </c>
      <c r="B2248" s="4" t="str">
        <f>IFERROR(__xludf.DUMMYFUNCTION("""COMPUTED_VALUE"""),"butter")</f>
        <v>butter</v>
      </c>
      <c r="C2248" s="4" t="str">
        <f>IFERROR(__xludf.DUMMYFUNCTION("""COMPUTED_VALUE"""),"Butter")</f>
        <v>Butter</v>
      </c>
    </row>
    <row r="2249">
      <c r="A2249" s="4" t="str">
        <f>IFERROR(__xludf.DUMMYFUNCTION("""COMPUTED_VALUE"""),"butterfly-protocol-2")</f>
        <v>butterfly-protocol-2</v>
      </c>
      <c r="B2249" s="4" t="str">
        <f>IFERROR(__xludf.DUMMYFUNCTION("""COMPUTED_VALUE"""),"bfly")</f>
        <v>bfly</v>
      </c>
      <c r="C2249" s="4" t="str">
        <f>IFERROR(__xludf.DUMMYFUNCTION("""COMPUTED_VALUE"""),"Butterfly Protocol")</f>
        <v>Butterfly Protocol</v>
      </c>
    </row>
    <row r="2250">
      <c r="A2250" s="4" t="str">
        <f>IFERROR(__xludf.DUMMYFUNCTION("""COMPUTED_VALUE"""),"buttman")</f>
        <v>buttman</v>
      </c>
      <c r="B2250" s="4" t="str">
        <f>IFERROR(__xludf.DUMMYFUNCTION("""COMPUTED_VALUE"""),"butt")</f>
        <v>butt</v>
      </c>
      <c r="C2250" s="4" t="str">
        <f>IFERROR(__xludf.DUMMYFUNCTION("""COMPUTED_VALUE"""),"Buttman")</f>
        <v>Buttman</v>
      </c>
    </row>
    <row r="2251">
      <c r="A2251" s="4" t="str">
        <f>IFERROR(__xludf.DUMMYFUNCTION("""COMPUTED_VALUE"""),"buying")</f>
        <v>buying</v>
      </c>
      <c r="B2251" s="4" t="str">
        <f>IFERROR(__xludf.DUMMYFUNCTION("""COMPUTED_VALUE"""),"buy")</f>
        <v>buy</v>
      </c>
      <c r="C2251" s="5" t="str">
        <f>IFERROR(__xludf.DUMMYFUNCTION("""COMPUTED_VALUE"""),"Buying.com")</f>
        <v>Buying.com</v>
      </c>
    </row>
    <row r="2252">
      <c r="A2252" s="4" t="str">
        <f>IFERROR(__xludf.DUMMYFUNCTION("""COMPUTED_VALUE"""),"buzz-the-bellboy")</f>
        <v>buzz-the-bellboy</v>
      </c>
      <c r="B2252" s="4" t="str">
        <f>IFERROR(__xludf.DUMMYFUNCTION("""COMPUTED_VALUE"""),"buzz")</f>
        <v>buzz</v>
      </c>
      <c r="C2252" s="4" t="str">
        <f>IFERROR(__xludf.DUMMYFUNCTION("""COMPUTED_VALUE"""),"Buzz The Bellboy")</f>
        <v>Buzz The Bellboy</v>
      </c>
    </row>
    <row r="2253">
      <c r="A2253" s="4" t="str">
        <f>IFERROR(__xludf.DUMMYFUNCTION("""COMPUTED_VALUE"""),"bvm")</f>
        <v>bvm</v>
      </c>
      <c r="B2253" s="4" t="str">
        <f>IFERROR(__xludf.DUMMYFUNCTION("""COMPUTED_VALUE"""),"bvm")</f>
        <v>bvm</v>
      </c>
      <c r="C2253" s="4" t="str">
        <f>IFERROR(__xludf.DUMMYFUNCTION("""COMPUTED_VALUE"""),"BVM")</f>
        <v>BVM</v>
      </c>
    </row>
    <row r="2254">
      <c r="A2254" s="4" t="str">
        <f>IFERROR(__xludf.DUMMYFUNCTION("""COMPUTED_VALUE"""),"bware-infra")</f>
        <v>bware-infra</v>
      </c>
      <c r="B2254" s="4" t="str">
        <f>IFERROR(__xludf.DUMMYFUNCTION("""COMPUTED_VALUE"""),"infra")</f>
        <v>infra</v>
      </c>
      <c r="C2254" s="4" t="str">
        <f>IFERROR(__xludf.DUMMYFUNCTION("""COMPUTED_VALUE"""),"Bware")</f>
        <v>Bware</v>
      </c>
    </row>
    <row r="2255">
      <c r="A2255" s="4" t="str">
        <f>IFERROR(__xludf.DUMMYFUNCTION("""COMPUTED_VALUE"""),"bxh")</f>
        <v>bxh</v>
      </c>
      <c r="B2255" s="4" t="str">
        <f>IFERROR(__xludf.DUMMYFUNCTION("""COMPUTED_VALUE"""),"bxh")</f>
        <v>bxh</v>
      </c>
      <c r="C2255" s="4" t="str">
        <f>IFERROR(__xludf.DUMMYFUNCTION("""COMPUTED_VALUE"""),"BXH")</f>
        <v>BXH</v>
      </c>
    </row>
    <row r="2256">
      <c r="A2256" s="4" t="str">
        <f>IFERROR(__xludf.DUMMYFUNCTION("""COMPUTED_VALUE"""),"bxn")</f>
        <v>bxn</v>
      </c>
      <c r="B2256" s="4" t="str">
        <f>IFERROR(__xludf.DUMMYFUNCTION("""COMPUTED_VALUE"""),"bxn")</f>
        <v>bxn</v>
      </c>
      <c r="C2256" s="4" t="str">
        <f>IFERROR(__xludf.DUMMYFUNCTION("""COMPUTED_VALUE"""),"BXN")</f>
        <v>BXN</v>
      </c>
    </row>
    <row r="2257">
      <c r="A2257" s="4" t="str">
        <f>IFERROR(__xludf.DUMMYFUNCTION("""COMPUTED_VALUE"""),"byat")</f>
        <v>byat</v>
      </c>
      <c r="B2257" s="4" t="str">
        <f>IFERROR(__xludf.DUMMYFUNCTION("""COMPUTED_VALUE"""),"byat")</f>
        <v>byat</v>
      </c>
      <c r="C2257" s="4" t="str">
        <f>IFERROR(__xludf.DUMMYFUNCTION("""COMPUTED_VALUE"""),"Byat")</f>
        <v>Byat</v>
      </c>
    </row>
    <row r="2258">
      <c r="A2258" s="4" t="str">
        <f>IFERROR(__xludf.DUMMYFUNCTION("""COMPUTED_VALUE"""),"byepix")</f>
        <v>byepix</v>
      </c>
      <c r="B2258" s="4" t="str">
        <f>IFERROR(__xludf.DUMMYFUNCTION("""COMPUTED_VALUE"""),"epix")</f>
        <v>epix</v>
      </c>
      <c r="C2258" s="4" t="str">
        <f>IFERROR(__xludf.DUMMYFUNCTION("""COMPUTED_VALUE"""),"Byepix")</f>
        <v>Byepix</v>
      </c>
    </row>
    <row r="2259">
      <c r="A2259" s="4" t="str">
        <f>IFERROR(__xludf.DUMMYFUNCTION("""COMPUTED_VALUE"""),"bypass")</f>
        <v>bypass</v>
      </c>
      <c r="B2259" s="4" t="str">
        <f>IFERROR(__xludf.DUMMYFUNCTION("""COMPUTED_VALUE"""),"bypass")</f>
        <v>bypass</v>
      </c>
      <c r="C2259" s="4" t="str">
        <f>IFERROR(__xludf.DUMMYFUNCTION("""COMPUTED_VALUE"""),"Bypass")</f>
        <v>Bypass</v>
      </c>
    </row>
    <row r="2260">
      <c r="A2260" s="4" t="str">
        <f>IFERROR(__xludf.DUMMYFUNCTION("""COMPUTED_VALUE"""),"byte")</f>
        <v>byte</v>
      </c>
      <c r="B2260" s="4" t="str">
        <f>IFERROR(__xludf.DUMMYFUNCTION("""COMPUTED_VALUE"""),"byte")</f>
        <v>byte</v>
      </c>
      <c r="C2260" s="4" t="str">
        <f>IFERROR(__xludf.DUMMYFUNCTION("""COMPUTED_VALUE"""),"Byte")</f>
        <v>Byte</v>
      </c>
    </row>
    <row r="2261">
      <c r="A2261" s="4" t="str">
        <f>IFERROR(__xludf.DUMMYFUNCTION("""COMPUTED_VALUE"""),"byteai")</f>
        <v>byteai</v>
      </c>
      <c r="B2261" s="4" t="str">
        <f>IFERROR(__xludf.DUMMYFUNCTION("""COMPUTED_VALUE"""),"byte")</f>
        <v>byte</v>
      </c>
      <c r="C2261" s="4" t="str">
        <f>IFERROR(__xludf.DUMMYFUNCTION("""COMPUTED_VALUE"""),"ByteAI")</f>
        <v>ByteAI</v>
      </c>
    </row>
    <row r="2262">
      <c r="A2262" s="4" t="str">
        <f>IFERROR(__xludf.DUMMYFUNCTION("""COMPUTED_VALUE"""),"byteball")</f>
        <v>byteball</v>
      </c>
      <c r="B2262" s="4" t="str">
        <f>IFERROR(__xludf.DUMMYFUNCTION("""COMPUTED_VALUE"""),"gbyte")</f>
        <v>gbyte</v>
      </c>
      <c r="C2262" s="4" t="str">
        <f>IFERROR(__xludf.DUMMYFUNCTION("""COMPUTED_VALUE"""),"Obyte")</f>
        <v>Obyte</v>
      </c>
    </row>
    <row r="2263">
      <c r="A2263" s="4" t="str">
        <f>IFERROR(__xludf.DUMMYFUNCTION("""COMPUTED_VALUE"""),"byte-bsc")</f>
        <v>byte-bsc</v>
      </c>
      <c r="B2263" s="4" t="str">
        <f>IFERROR(__xludf.DUMMYFUNCTION("""COMPUTED_VALUE"""),"byte")</f>
        <v>byte</v>
      </c>
      <c r="C2263" s="4" t="str">
        <f>IFERROR(__xludf.DUMMYFUNCTION("""COMPUTED_VALUE"""),"BYTE BSC")</f>
        <v>BYTE BSC</v>
      </c>
    </row>
    <row r="2264">
      <c r="A2264" s="4" t="str">
        <f>IFERROR(__xludf.DUMMYFUNCTION("""COMPUTED_VALUE"""),"bytecoin")</f>
        <v>bytecoin</v>
      </c>
      <c r="B2264" s="4" t="str">
        <f>IFERROR(__xludf.DUMMYFUNCTION("""COMPUTED_VALUE"""),"bcn")</f>
        <v>bcn</v>
      </c>
      <c r="C2264" s="4" t="str">
        <f>IFERROR(__xludf.DUMMYFUNCTION("""COMPUTED_VALUE"""),"Bytecoin")</f>
        <v>Bytecoin</v>
      </c>
    </row>
    <row r="2265">
      <c r="A2265" s="4" t="str">
        <f>IFERROR(__xludf.DUMMYFUNCTION("""COMPUTED_VALUE"""),"bytenext")</f>
        <v>bytenext</v>
      </c>
      <c r="B2265" s="4" t="str">
        <f>IFERROR(__xludf.DUMMYFUNCTION("""COMPUTED_VALUE"""),"bnu")</f>
        <v>bnu</v>
      </c>
      <c r="C2265" s="4" t="str">
        <f>IFERROR(__xludf.DUMMYFUNCTION("""COMPUTED_VALUE"""),"ByteNext")</f>
        <v>ByteNext</v>
      </c>
    </row>
    <row r="2266">
      <c r="A2266" s="4" t="str">
        <f>IFERROR(__xludf.DUMMYFUNCTION("""COMPUTED_VALUE"""),"byteonblast")</f>
        <v>byteonblast</v>
      </c>
      <c r="B2266" s="4" t="str">
        <f>IFERROR(__xludf.DUMMYFUNCTION("""COMPUTED_VALUE"""),"byte")</f>
        <v>byte</v>
      </c>
      <c r="C2266" s="4" t="str">
        <f>IFERROR(__xludf.DUMMYFUNCTION("""COMPUTED_VALUE"""),"ByteonBlast")</f>
        <v>ByteonBlast</v>
      </c>
    </row>
    <row r="2267">
      <c r="A2267" s="4" t="str">
        <f>IFERROR(__xludf.DUMMYFUNCTION("""COMPUTED_VALUE"""),"bytom")</f>
        <v>bytom</v>
      </c>
      <c r="B2267" s="4" t="str">
        <f>IFERROR(__xludf.DUMMYFUNCTION("""COMPUTED_VALUE"""),"btm")</f>
        <v>btm</v>
      </c>
      <c r="C2267" s="4" t="str">
        <f>IFERROR(__xludf.DUMMYFUNCTION("""COMPUTED_VALUE"""),"Bytom")</f>
        <v>Bytom</v>
      </c>
    </row>
    <row r="2268">
      <c r="A2268" s="4" t="str">
        <f>IFERROR(__xludf.DUMMYFUNCTION("""COMPUTED_VALUE"""),"bzedge")</f>
        <v>bzedge</v>
      </c>
      <c r="B2268" s="4" t="str">
        <f>IFERROR(__xludf.DUMMYFUNCTION("""COMPUTED_VALUE"""),"bze")</f>
        <v>bze</v>
      </c>
      <c r="C2268" s="4" t="str">
        <f>IFERROR(__xludf.DUMMYFUNCTION("""COMPUTED_VALUE"""),"BeeZee")</f>
        <v>BeeZee</v>
      </c>
    </row>
    <row r="2269">
      <c r="A2269" s="4" t="str">
        <f>IFERROR(__xludf.DUMMYFUNCTION("""COMPUTED_VALUE"""),"bzetcoin")</f>
        <v>bzetcoin</v>
      </c>
      <c r="B2269" s="4" t="str">
        <f>IFERROR(__xludf.DUMMYFUNCTION("""COMPUTED_VALUE"""),"bzet")</f>
        <v>bzet</v>
      </c>
      <c r="C2269" s="4" t="str">
        <f>IFERROR(__xludf.DUMMYFUNCTION("""COMPUTED_VALUE"""),"BzetCoin")</f>
        <v>BzetCoin</v>
      </c>
    </row>
    <row r="2270">
      <c r="A2270" s="4" t="str">
        <f>IFERROR(__xludf.DUMMYFUNCTION("""COMPUTED_VALUE"""),"bzx-protocol")</f>
        <v>bzx-protocol</v>
      </c>
      <c r="B2270" s="4" t="str">
        <f>IFERROR(__xludf.DUMMYFUNCTION("""COMPUTED_VALUE"""),"bzrx")</f>
        <v>bzrx</v>
      </c>
      <c r="C2270" s="4" t="str">
        <f>IFERROR(__xludf.DUMMYFUNCTION("""COMPUTED_VALUE"""),"bZx Protocol")</f>
        <v>bZx Protocol</v>
      </c>
    </row>
    <row r="2271">
      <c r="A2271" s="4" t="str">
        <f>IFERROR(__xludf.DUMMYFUNCTION("""COMPUTED_VALUE"""),"caacon")</f>
        <v>caacon</v>
      </c>
      <c r="B2271" s="4" t="str">
        <f>IFERROR(__xludf.DUMMYFUNCTION("""COMPUTED_VALUE"""),"cc")</f>
        <v>cc</v>
      </c>
      <c r="C2271" s="4" t="str">
        <f>IFERROR(__xludf.DUMMYFUNCTION("""COMPUTED_VALUE"""),"Caacon")</f>
        <v>Caacon</v>
      </c>
    </row>
    <row r="2272">
      <c r="A2272" s="4" t="str">
        <f>IFERROR(__xludf.DUMMYFUNCTION("""COMPUTED_VALUE"""),"caave")</f>
        <v>caave</v>
      </c>
      <c r="B2272" s="4" t="str">
        <f>IFERROR(__xludf.DUMMYFUNCTION("""COMPUTED_VALUE"""),"caave")</f>
        <v>caave</v>
      </c>
      <c r="C2272" s="4" t="str">
        <f>IFERROR(__xludf.DUMMYFUNCTION("""COMPUTED_VALUE"""),"cAAVE")</f>
        <v>cAAVE</v>
      </c>
    </row>
    <row r="2273">
      <c r="A2273" s="4" t="str">
        <f>IFERROR(__xludf.DUMMYFUNCTION("""COMPUTED_VALUE"""),"cabal")</f>
        <v>cabal</v>
      </c>
      <c r="B2273" s="4" t="str">
        <f>IFERROR(__xludf.DUMMYFUNCTION("""COMPUTED_VALUE"""),"cabal")</f>
        <v>cabal</v>
      </c>
      <c r="C2273" s="4" t="str">
        <f>IFERROR(__xludf.DUMMYFUNCTION("""COMPUTED_VALUE"""),"Cabal")</f>
        <v>Cabal</v>
      </c>
    </row>
    <row r="2274">
      <c r="A2274" s="4" t="str">
        <f>IFERROR(__xludf.DUMMYFUNCTION("""COMPUTED_VALUE"""),"cacao")</f>
        <v>cacao</v>
      </c>
      <c r="B2274" s="4" t="str">
        <f>IFERROR(__xludf.DUMMYFUNCTION("""COMPUTED_VALUE"""),"cacao")</f>
        <v>cacao</v>
      </c>
      <c r="C2274" s="4" t="str">
        <f>IFERROR(__xludf.DUMMYFUNCTION("""COMPUTED_VALUE"""),"Maya Protocol")</f>
        <v>Maya Protocol</v>
      </c>
    </row>
    <row r="2275">
      <c r="A2275" s="4" t="str">
        <f>IFERROR(__xludf.DUMMYFUNCTION("""COMPUTED_VALUE"""),"cacom")</f>
        <v>cacom</v>
      </c>
      <c r="B2275" s="4" t="str">
        <f>IFERROR(__xludf.DUMMYFUNCTION("""COMPUTED_VALUE"""),"cacom")</f>
        <v>cacom</v>
      </c>
      <c r="C2275" s="4" t="str">
        <f>IFERROR(__xludf.DUMMYFUNCTION("""COMPUTED_VALUE"""),"Cacom")</f>
        <v>Cacom</v>
      </c>
    </row>
    <row r="2276">
      <c r="A2276" s="4" t="str">
        <f>IFERROR(__xludf.DUMMYFUNCTION("""COMPUTED_VALUE"""),"cadabra-finance")</f>
        <v>cadabra-finance</v>
      </c>
      <c r="B2276" s="4" t="str">
        <f>IFERROR(__xludf.DUMMYFUNCTION("""COMPUTED_VALUE"""),"abra")</f>
        <v>abra</v>
      </c>
      <c r="C2276" s="4" t="str">
        <f>IFERROR(__xludf.DUMMYFUNCTION("""COMPUTED_VALUE"""),"Cadabra Finance")</f>
        <v>Cadabra Finance</v>
      </c>
    </row>
    <row r="2277">
      <c r="A2277" s="4" t="str">
        <f>IFERROR(__xludf.DUMMYFUNCTION("""COMPUTED_VALUE"""),"cad-coin")</f>
        <v>cad-coin</v>
      </c>
      <c r="B2277" s="4" t="str">
        <f>IFERROR(__xludf.DUMMYFUNCTION("""COMPUTED_VALUE"""),"cadc")</f>
        <v>cadc</v>
      </c>
      <c r="C2277" s="4" t="str">
        <f>IFERROR(__xludf.DUMMYFUNCTION("""COMPUTED_VALUE"""),"CAD Coin")</f>
        <v>CAD Coin</v>
      </c>
    </row>
    <row r="2278">
      <c r="A2278" s="4" t="str">
        <f>IFERROR(__xludf.DUMMYFUNCTION("""COMPUTED_VALUE"""),"cadence-protocol")</f>
        <v>cadence-protocol</v>
      </c>
      <c r="B2278" s="4" t="str">
        <f>IFERROR(__xludf.DUMMYFUNCTION("""COMPUTED_VALUE"""),"cad")</f>
        <v>cad</v>
      </c>
      <c r="C2278" s="4" t="str">
        <f>IFERROR(__xludf.DUMMYFUNCTION("""COMPUTED_VALUE"""),"Cadence Protocol")</f>
        <v>Cadence Protocol</v>
      </c>
    </row>
    <row r="2279">
      <c r="A2279" s="4" t="str">
        <f>IFERROR(__xludf.DUMMYFUNCTION("""COMPUTED_VALUE"""),"cadinu-bonus")</f>
        <v>cadinu-bonus</v>
      </c>
      <c r="B2279" s="4" t="str">
        <f>IFERROR(__xludf.DUMMYFUNCTION("""COMPUTED_VALUE"""),"cbon")</f>
        <v>cbon</v>
      </c>
      <c r="C2279" s="4" t="str">
        <f>IFERROR(__xludf.DUMMYFUNCTION("""COMPUTED_VALUE"""),"CADINU Bonus")</f>
        <v>CADINU Bonus</v>
      </c>
    </row>
    <row r="2280">
      <c r="A2280" s="4" t="str">
        <f>IFERROR(__xludf.DUMMYFUNCTION("""COMPUTED_VALUE"""),"caduceus")</f>
        <v>caduceus</v>
      </c>
      <c r="B2280" s="4" t="str">
        <f>IFERROR(__xludf.DUMMYFUNCTION("""COMPUTED_VALUE"""),"cmp")</f>
        <v>cmp</v>
      </c>
      <c r="C2280" s="4" t="str">
        <f>IFERROR(__xludf.DUMMYFUNCTION("""COMPUTED_VALUE"""),"Caduceus")</f>
        <v>Caduceus</v>
      </c>
    </row>
    <row r="2281">
      <c r="A2281" s="4" t="str">
        <f>IFERROR(__xludf.DUMMYFUNCTION("""COMPUTED_VALUE"""),"caesar-s-arena")</f>
        <v>caesar-s-arena</v>
      </c>
      <c r="B2281" s="4" t="str">
        <f>IFERROR(__xludf.DUMMYFUNCTION("""COMPUTED_VALUE"""),"caesar")</f>
        <v>caesar</v>
      </c>
      <c r="C2281" s="4" t="str">
        <f>IFERROR(__xludf.DUMMYFUNCTION("""COMPUTED_VALUE"""),"Caesar's Arena")</f>
        <v>Caesar's Arena</v>
      </c>
    </row>
    <row r="2282">
      <c r="A2282" s="4" t="str">
        <f>IFERROR(__xludf.DUMMYFUNCTION("""COMPUTED_VALUE"""),"cagdas-bodrumspor-fan-token")</f>
        <v>cagdas-bodrumspor-fan-token</v>
      </c>
      <c r="B2282" s="4" t="str">
        <f>IFERROR(__xludf.DUMMYFUNCTION("""COMPUTED_VALUE"""),"cbs")</f>
        <v>cbs</v>
      </c>
      <c r="C2282" s="4" t="str">
        <f>IFERROR(__xludf.DUMMYFUNCTION("""COMPUTED_VALUE"""),"Çağdaş Bodrumspor Fan Token")</f>
        <v>Çağdaş Bodrumspor Fan Token</v>
      </c>
    </row>
    <row r="2283">
      <c r="A2283" s="4" t="str">
        <f>IFERROR(__xludf.DUMMYFUNCTION("""COMPUTED_VALUE"""),"ca-htb")</f>
        <v>ca-htb</v>
      </c>
      <c r="B2283" s="4" t="str">
        <f>IFERROR(__xludf.DUMMYFUNCTION("""COMPUTED_VALUE"""),"ca")</f>
        <v>ca</v>
      </c>
      <c r="C2283" s="4" t="str">
        <f>IFERROR(__xludf.DUMMYFUNCTION("""COMPUTED_VALUE"""),"Coupon Assets")</f>
        <v>Coupon Assets</v>
      </c>
    </row>
    <row r="2284">
      <c r="A2284" s="4" t="str">
        <f>IFERROR(__xludf.DUMMYFUNCTION("""COMPUTED_VALUE"""),"caica-coin")</f>
        <v>caica-coin</v>
      </c>
      <c r="B2284" s="4" t="str">
        <f>IFERROR(__xludf.DUMMYFUNCTION("""COMPUTED_VALUE"""),"cicc")</f>
        <v>cicc</v>
      </c>
      <c r="C2284" s="4" t="str">
        <f>IFERROR(__xludf.DUMMYFUNCTION("""COMPUTED_VALUE"""),"CAICA Coin")</f>
        <v>CAICA Coin</v>
      </c>
    </row>
    <row r="2285">
      <c r="A2285" s="4" t="str">
        <f>IFERROR(__xludf.DUMMYFUNCTION("""COMPUTED_VALUE"""),"cairo-finance-cairo-bank")</f>
        <v>cairo-finance-cairo-bank</v>
      </c>
      <c r="B2285" s="4" t="str">
        <f>IFERROR(__xludf.DUMMYFUNCTION("""COMPUTED_VALUE"""),"cbank")</f>
        <v>cbank</v>
      </c>
      <c r="C2285" s="4" t="str">
        <f>IFERROR(__xludf.DUMMYFUNCTION("""COMPUTED_VALUE"""),"Cairo Bank")</f>
        <v>Cairo Bank</v>
      </c>
    </row>
    <row r="2286">
      <c r="A2286" s="4" t="str">
        <f>IFERROR(__xludf.DUMMYFUNCTION("""COMPUTED_VALUE"""),"cajutel")</f>
        <v>cajutel</v>
      </c>
      <c r="B2286" s="4" t="str">
        <f>IFERROR(__xludf.DUMMYFUNCTION("""COMPUTED_VALUE"""),"caj")</f>
        <v>caj</v>
      </c>
      <c r="C2286" s="4" t="str">
        <f>IFERROR(__xludf.DUMMYFUNCTION("""COMPUTED_VALUE"""),"Cajutel")</f>
        <v>Cajutel</v>
      </c>
    </row>
    <row r="2287">
      <c r="A2287" s="4" t="str">
        <f>IFERROR(__xludf.DUMMYFUNCTION("""COMPUTED_VALUE"""),"cakebot")</f>
        <v>cakebot</v>
      </c>
      <c r="B2287" s="4" t="str">
        <f>IFERROR(__xludf.DUMMYFUNCTION("""COMPUTED_VALUE"""),"cakebot")</f>
        <v>cakebot</v>
      </c>
      <c r="C2287" s="4" t="str">
        <f>IFERROR(__xludf.DUMMYFUNCTION("""COMPUTED_VALUE"""),"Cakebot")</f>
        <v>Cakebot</v>
      </c>
    </row>
    <row r="2288">
      <c r="A2288" s="4" t="str">
        <f>IFERROR(__xludf.DUMMYFUNCTION("""COMPUTED_VALUE"""),"cakebot-2")</f>
        <v>cakebot-2</v>
      </c>
      <c r="B2288" s="4" t="str">
        <f>IFERROR(__xludf.DUMMYFUNCTION("""COMPUTED_VALUE"""),"cakebot")</f>
        <v>cakebot</v>
      </c>
      <c r="C2288" s="4" t="str">
        <f>IFERROR(__xludf.DUMMYFUNCTION("""COMPUTED_VALUE"""),"CakeBot")</f>
        <v>CakeBot</v>
      </c>
    </row>
    <row r="2289">
      <c r="A2289" s="4" t="str">
        <f>IFERROR(__xludf.DUMMYFUNCTION("""COMPUTED_VALUE"""),"cake-monster")</f>
        <v>cake-monster</v>
      </c>
      <c r="B2289" s="4" t="str">
        <f>IFERROR(__xludf.DUMMYFUNCTION("""COMPUTED_VALUE"""),"monsta")</f>
        <v>monsta</v>
      </c>
      <c r="C2289" s="4" t="str">
        <f>IFERROR(__xludf.DUMMYFUNCTION("""COMPUTED_VALUE"""),"Cake Monster")</f>
        <v>Cake Monster</v>
      </c>
    </row>
    <row r="2290">
      <c r="A2290" s="4" t="str">
        <f>IFERROR(__xludf.DUMMYFUNCTION("""COMPUTED_VALUE"""),"cakepie-xyz")</f>
        <v>cakepie-xyz</v>
      </c>
      <c r="B2290" s="4" t="str">
        <f>IFERROR(__xludf.DUMMYFUNCTION("""COMPUTED_VALUE"""),"ckp")</f>
        <v>ckp</v>
      </c>
      <c r="C2290" s="4" t="str">
        <f>IFERROR(__xludf.DUMMYFUNCTION("""COMPUTED_VALUE"""),"Cakepie")</f>
        <v>Cakepie</v>
      </c>
    </row>
    <row r="2291">
      <c r="A2291" s="4" t="str">
        <f>IFERROR(__xludf.DUMMYFUNCTION("""COMPUTED_VALUE"""),"cakeswap")</f>
        <v>cakeswap</v>
      </c>
      <c r="B2291" s="4" t="str">
        <f>IFERROR(__xludf.DUMMYFUNCTION("""COMPUTED_VALUE"""),"cakeswap")</f>
        <v>cakeswap</v>
      </c>
      <c r="C2291" s="4" t="str">
        <f>IFERROR(__xludf.DUMMYFUNCTION("""COMPUTED_VALUE"""),"CakeSwap")</f>
        <v>CakeSwap</v>
      </c>
    </row>
    <row r="2292">
      <c r="A2292" s="4" t="str">
        <f>IFERROR(__xludf.DUMMYFUNCTION("""COMPUTED_VALUE"""),"caketools")</f>
        <v>caketools</v>
      </c>
      <c r="B2292" s="4" t="str">
        <f>IFERROR(__xludf.DUMMYFUNCTION("""COMPUTED_VALUE"""),"ckt")</f>
        <v>ckt</v>
      </c>
      <c r="C2292" s="4" t="str">
        <f>IFERROR(__xludf.DUMMYFUNCTION("""COMPUTED_VALUE"""),"Caketools")</f>
        <v>Caketools</v>
      </c>
    </row>
    <row r="2293">
      <c r="A2293" s="4" t="str">
        <f>IFERROR(__xludf.DUMMYFUNCTION("""COMPUTED_VALUE"""),"calamari-network")</f>
        <v>calamari-network</v>
      </c>
      <c r="B2293" s="4" t="str">
        <f>IFERROR(__xludf.DUMMYFUNCTION("""COMPUTED_VALUE"""),"kma")</f>
        <v>kma</v>
      </c>
      <c r="C2293" s="4" t="str">
        <f>IFERROR(__xludf.DUMMYFUNCTION("""COMPUTED_VALUE"""),"Calamari Network")</f>
        <v>Calamari Network</v>
      </c>
    </row>
    <row r="2294">
      <c r="A2294" s="4" t="str">
        <f>IFERROR(__xludf.DUMMYFUNCTION("""COMPUTED_VALUE"""),"calaxy")</f>
        <v>calaxy</v>
      </c>
      <c r="B2294" s="4" t="str">
        <f>IFERROR(__xludf.DUMMYFUNCTION("""COMPUTED_VALUE"""),"clxy")</f>
        <v>clxy</v>
      </c>
      <c r="C2294" s="4" t="str">
        <f>IFERROR(__xludf.DUMMYFUNCTION("""COMPUTED_VALUE"""),"Calaxy")</f>
        <v>Calaxy</v>
      </c>
    </row>
    <row r="2295">
      <c r="A2295" s="4" t="str">
        <f>IFERROR(__xludf.DUMMYFUNCTION("""COMPUTED_VALUE"""),"calcium")</f>
        <v>calcium</v>
      </c>
      <c r="B2295" s="4" t="str">
        <f>IFERROR(__xludf.DUMMYFUNCTION("""COMPUTED_VALUE"""),"cal")</f>
        <v>cal</v>
      </c>
      <c r="C2295" s="4" t="str">
        <f>IFERROR(__xludf.DUMMYFUNCTION("""COMPUTED_VALUE"""),"Calcium")</f>
        <v>Calcium</v>
      </c>
    </row>
    <row r="2296">
      <c r="A2296" s="4" t="str">
        <f>IFERROR(__xludf.DUMMYFUNCTION("""COMPUTED_VALUE"""),"calico-cat")</f>
        <v>calico-cat</v>
      </c>
      <c r="B2296" s="4" t="str">
        <f>IFERROR(__xludf.DUMMYFUNCTION("""COMPUTED_VALUE"""),"calic")</f>
        <v>calic</v>
      </c>
      <c r="C2296" s="4" t="str">
        <f>IFERROR(__xludf.DUMMYFUNCTION("""COMPUTED_VALUE"""),"Calico Cat")</f>
        <v>Calico Cat</v>
      </c>
    </row>
    <row r="2297">
      <c r="A2297" s="4" t="str">
        <f>IFERROR(__xludf.DUMMYFUNCTION("""COMPUTED_VALUE"""),"calicoin")</f>
        <v>calicoin</v>
      </c>
      <c r="B2297" s="4" t="str">
        <f>IFERROR(__xludf.DUMMYFUNCTION("""COMPUTED_VALUE"""),"cali")</f>
        <v>cali</v>
      </c>
      <c r="C2297" s="4" t="str">
        <f>IFERROR(__xludf.DUMMYFUNCTION("""COMPUTED_VALUE"""),"CaliCoin")</f>
        <v>CaliCoin</v>
      </c>
    </row>
    <row r="2298">
      <c r="A2298" s="4" t="str">
        <f>IFERROR(__xludf.DUMMYFUNCTION("""COMPUTED_VALUE"""),"callhub")</f>
        <v>callhub</v>
      </c>
      <c r="B2298" s="4" t="str">
        <f>IFERROR(__xludf.DUMMYFUNCTION("""COMPUTED_VALUE"""),"chub")</f>
        <v>chub</v>
      </c>
      <c r="C2298" s="4" t="str">
        <f>IFERROR(__xludf.DUMMYFUNCTION("""COMPUTED_VALUE"""),"CallHub")</f>
        <v>CallHub</v>
      </c>
    </row>
    <row r="2299">
      <c r="A2299" s="4" t="str">
        <f>IFERROR(__xludf.DUMMYFUNCTION("""COMPUTED_VALUE"""),"callisto")</f>
        <v>callisto</v>
      </c>
      <c r="B2299" s="4" t="str">
        <f>IFERROR(__xludf.DUMMYFUNCTION("""COMPUTED_VALUE"""),"clo")</f>
        <v>clo</v>
      </c>
      <c r="C2299" s="4" t="str">
        <f>IFERROR(__xludf.DUMMYFUNCTION("""COMPUTED_VALUE"""),"Callisto Network")</f>
        <v>Callisto Network</v>
      </c>
    </row>
    <row r="2300">
      <c r="A2300" s="4" t="str">
        <f>IFERROR(__xludf.DUMMYFUNCTION("""COMPUTED_VALUE"""),"calorie")</f>
        <v>calorie</v>
      </c>
      <c r="B2300" s="4" t="str">
        <f>IFERROR(__xludf.DUMMYFUNCTION("""COMPUTED_VALUE"""),"cal")</f>
        <v>cal</v>
      </c>
      <c r="C2300" s="4" t="str">
        <f>IFERROR(__xludf.DUMMYFUNCTION("""COMPUTED_VALUE"""),"FitBurn")</f>
        <v>FitBurn</v>
      </c>
    </row>
    <row r="2301">
      <c r="A2301" s="4" t="str">
        <f>IFERROR(__xludf.DUMMYFUNCTION("""COMPUTED_VALUE"""),"calvaria-doe")</f>
        <v>calvaria-doe</v>
      </c>
      <c r="B2301" s="4" t="str">
        <f>IFERROR(__xludf.DUMMYFUNCTION("""COMPUTED_VALUE"""),"ria")</f>
        <v>ria</v>
      </c>
      <c r="C2301" s="4" t="str">
        <f>IFERROR(__xludf.DUMMYFUNCTION("""COMPUTED_VALUE"""),"Calvaria: DoE")</f>
        <v>Calvaria: DoE</v>
      </c>
    </row>
    <row r="2302">
      <c r="A2302" s="4" t="str">
        <f>IFERROR(__xludf.DUMMYFUNCTION("""COMPUTED_VALUE"""),"camelcoin")</f>
        <v>camelcoin</v>
      </c>
      <c r="B2302" s="4" t="str">
        <f>IFERROR(__xludf.DUMMYFUNCTION("""COMPUTED_VALUE"""),"cml")</f>
        <v>cml</v>
      </c>
      <c r="C2302" s="4" t="str">
        <f>IFERROR(__xludf.DUMMYFUNCTION("""COMPUTED_VALUE"""),"Camelcoin")</f>
        <v>Camelcoin</v>
      </c>
    </row>
    <row r="2303">
      <c r="A2303" s="4" t="str">
        <f>IFERROR(__xludf.DUMMYFUNCTION("""COMPUTED_VALUE"""),"camelot-token")</f>
        <v>camelot-token</v>
      </c>
      <c r="B2303" s="4" t="str">
        <f>IFERROR(__xludf.DUMMYFUNCTION("""COMPUTED_VALUE"""),"grail")</f>
        <v>grail</v>
      </c>
      <c r="C2303" s="4" t="str">
        <f>IFERROR(__xludf.DUMMYFUNCTION("""COMPUTED_VALUE"""),"Camelot Token")</f>
        <v>Camelot Token</v>
      </c>
    </row>
    <row r="2304">
      <c r="A2304" s="4" t="str">
        <f>IFERROR(__xludf.DUMMYFUNCTION("""COMPUTED_VALUE"""),"camly-coin")</f>
        <v>camly-coin</v>
      </c>
      <c r="B2304" s="4" t="str">
        <f>IFERROR(__xludf.DUMMYFUNCTION("""COMPUTED_VALUE"""),"camly")</f>
        <v>camly</v>
      </c>
      <c r="C2304" s="4" t="str">
        <f>IFERROR(__xludf.DUMMYFUNCTION("""COMPUTED_VALUE"""),"CAMLY COIN")</f>
        <v>CAMLY COIN</v>
      </c>
    </row>
    <row r="2305">
      <c r="A2305" s="4" t="str">
        <f>IFERROR(__xludf.DUMMYFUNCTION("""COMPUTED_VALUE"""),"canada-ecoin")</f>
        <v>canada-ecoin</v>
      </c>
      <c r="B2305" s="4" t="str">
        <f>IFERROR(__xludf.DUMMYFUNCTION("""COMPUTED_VALUE"""),"cdn")</f>
        <v>cdn</v>
      </c>
      <c r="C2305" s="4" t="str">
        <f>IFERROR(__xludf.DUMMYFUNCTION("""COMPUTED_VALUE"""),"Canada eCoin")</f>
        <v>Canada eCoin</v>
      </c>
    </row>
    <row r="2306">
      <c r="A2306" s="4" t="str">
        <f>IFERROR(__xludf.DUMMYFUNCTION("""COMPUTED_VALUE"""),"canadian-inuit-dog-2")</f>
        <v>canadian-inuit-dog-2</v>
      </c>
      <c r="B2306" s="4" t="str">
        <f>IFERROR(__xludf.DUMMYFUNCTION("""COMPUTED_VALUE"""),"cadinu")</f>
        <v>cadinu</v>
      </c>
      <c r="C2306" s="4" t="str">
        <f>IFERROR(__xludf.DUMMYFUNCTION("""COMPUTED_VALUE"""),"Canadian Inuit Dog")</f>
        <v>Canadian Inuit Dog</v>
      </c>
    </row>
    <row r="2307">
      <c r="A2307" s="4" t="str">
        <f>IFERROR(__xludf.DUMMYFUNCTION("""COMPUTED_VALUE"""),"canary")</f>
        <v>canary</v>
      </c>
      <c r="B2307" s="4" t="str">
        <f>IFERROR(__xludf.DUMMYFUNCTION("""COMPUTED_VALUE"""),"cnr")</f>
        <v>cnr</v>
      </c>
      <c r="C2307" s="4" t="str">
        <f>IFERROR(__xludf.DUMMYFUNCTION("""COMPUTED_VALUE"""),"Canary")</f>
        <v>Canary</v>
      </c>
    </row>
    <row r="2308">
      <c r="A2308" s="4" t="str">
        <f>IFERROR(__xludf.DUMMYFUNCTION("""COMPUTED_VALUE"""),"canary-dollar")</f>
        <v>canary-dollar</v>
      </c>
      <c r="B2308" s="4" t="str">
        <f>IFERROR(__xludf.DUMMYFUNCTION("""COMPUTED_VALUE"""),"cand")</f>
        <v>cand</v>
      </c>
      <c r="C2308" s="4" t="str">
        <f>IFERROR(__xludf.DUMMYFUNCTION("""COMPUTED_VALUE"""),"Canary Dollar")</f>
        <v>Canary Dollar</v>
      </c>
    </row>
    <row r="2309">
      <c r="A2309" s="4" t="str">
        <f>IFERROR(__xludf.DUMMYFUNCTION("""COMPUTED_VALUE"""),"canary-reborn")</f>
        <v>canary-reborn</v>
      </c>
      <c r="B2309" s="4" t="str">
        <f>IFERROR(__xludf.DUMMYFUNCTION("""COMPUTED_VALUE"""),"crb")</f>
        <v>crb</v>
      </c>
      <c r="C2309" s="4" t="str">
        <f>IFERROR(__xludf.DUMMYFUNCTION("""COMPUTED_VALUE"""),"Canary Reborn")</f>
        <v>Canary Reborn</v>
      </c>
    </row>
    <row r="2310">
      <c r="A2310" s="4" t="str">
        <f>IFERROR(__xludf.DUMMYFUNCTION("""COMPUTED_VALUE"""),"candy-pocket")</f>
        <v>candy-pocket</v>
      </c>
      <c r="B2310" s="4" t="str">
        <f>IFERROR(__xludf.DUMMYFUNCTION("""COMPUTED_VALUE"""),"candy")</f>
        <v>candy</v>
      </c>
      <c r="C2310" s="4" t="str">
        <f>IFERROR(__xludf.DUMMYFUNCTION("""COMPUTED_VALUE"""),"Candy Pocket")</f>
        <v>Candy Pocket</v>
      </c>
    </row>
    <row r="2311">
      <c r="A2311" s="4" t="str">
        <f>IFERROR(__xludf.DUMMYFUNCTION("""COMPUTED_VALUE"""),"candy-token")</f>
        <v>candy-token</v>
      </c>
      <c r="B2311" s="4" t="str">
        <f>IFERROR(__xludf.DUMMYFUNCTION("""COMPUTED_VALUE"""),"candy")</f>
        <v>candy</v>
      </c>
      <c r="C2311" s="4" t="str">
        <f>IFERROR(__xludf.DUMMYFUNCTION("""COMPUTED_VALUE"""),"CANDY Token")</f>
        <v>CANDY Token</v>
      </c>
    </row>
    <row r="2312">
      <c r="A2312" s="4" t="str">
        <f>IFERROR(__xludf.DUMMYFUNCTION("""COMPUTED_VALUE"""),"cantina-royale")</f>
        <v>cantina-royale</v>
      </c>
      <c r="B2312" s="4" t="str">
        <f>IFERROR(__xludf.DUMMYFUNCTION("""COMPUTED_VALUE"""),"crt")</f>
        <v>crt</v>
      </c>
      <c r="C2312" s="4" t="str">
        <f>IFERROR(__xludf.DUMMYFUNCTION("""COMPUTED_VALUE"""),"Cantina Royale")</f>
        <v>Cantina Royale</v>
      </c>
    </row>
    <row r="2313">
      <c r="A2313" s="4" t="str">
        <f>IFERROR(__xludf.DUMMYFUNCTION("""COMPUTED_VALUE"""),"canto")</f>
        <v>canto</v>
      </c>
      <c r="B2313" s="4" t="str">
        <f>IFERROR(__xludf.DUMMYFUNCTION("""COMPUTED_VALUE"""),"canto")</f>
        <v>canto</v>
      </c>
      <c r="C2313" s="4" t="str">
        <f>IFERROR(__xludf.DUMMYFUNCTION("""COMPUTED_VALUE"""),"CANTO")</f>
        <v>CANTO</v>
      </c>
    </row>
    <row r="2314">
      <c r="A2314" s="4" t="str">
        <f>IFERROR(__xludf.DUMMYFUNCTION("""COMPUTED_VALUE"""),"canto-crabs-chip")</f>
        <v>canto-crabs-chip</v>
      </c>
      <c r="B2314" s="4" t="str">
        <f>IFERROR(__xludf.DUMMYFUNCTION("""COMPUTED_VALUE"""),"crab")</f>
        <v>crab</v>
      </c>
      <c r="C2314" s="4" t="str">
        <f>IFERROR(__xludf.DUMMYFUNCTION("""COMPUTED_VALUE"""),"Canto Crabs Chip")</f>
        <v>Canto Crabs Chip</v>
      </c>
    </row>
    <row r="2315">
      <c r="A2315" s="4" t="str">
        <f>IFERROR(__xludf.DUMMYFUNCTION("""COMPUTED_VALUE"""),"cantohm")</f>
        <v>cantohm</v>
      </c>
      <c r="B2315" s="4" t="str">
        <f>IFERROR(__xludf.DUMMYFUNCTION("""COMPUTED_VALUE"""),"cohm")</f>
        <v>cohm</v>
      </c>
      <c r="C2315" s="4" t="str">
        <f>IFERROR(__xludf.DUMMYFUNCTION("""COMPUTED_VALUE"""),"CantOHM")</f>
        <v>CantOHM</v>
      </c>
    </row>
    <row r="2316">
      <c r="A2316" s="4" t="str">
        <f>IFERROR(__xludf.DUMMYFUNCTION("""COMPUTED_VALUE"""),"canto-inu")</f>
        <v>canto-inu</v>
      </c>
      <c r="B2316" s="4" t="str">
        <f>IFERROR(__xludf.DUMMYFUNCTION("""COMPUTED_VALUE"""),"cinu")</f>
        <v>cinu</v>
      </c>
      <c r="C2316" s="4" t="str">
        <f>IFERROR(__xludf.DUMMYFUNCTION("""COMPUTED_VALUE"""),"Canto Inu")</f>
        <v>Canto Inu</v>
      </c>
    </row>
    <row r="2317">
      <c r="A2317" s="4" t="str">
        <f>IFERROR(__xludf.DUMMYFUNCTION("""COMPUTED_VALUE"""),"cantosino-com-profit-pass")</f>
        <v>cantosino-com-profit-pass</v>
      </c>
      <c r="B2317" s="4" t="str">
        <f>IFERROR(__xludf.DUMMYFUNCTION("""COMPUTED_VALUE"""),"cpp")</f>
        <v>cpp</v>
      </c>
      <c r="C2317" s="4" t="str">
        <f>IFERROR(__xludf.DUMMYFUNCTION("""COMPUTED_VALUE"""),"Cantosino.com Profit Pass")</f>
        <v>Cantosino.com Profit Pass</v>
      </c>
    </row>
    <row r="2318">
      <c r="A2318" s="4" t="str">
        <f>IFERROR(__xludf.DUMMYFUNCTION("""COMPUTED_VALUE"""),"canvas-n-glr")</f>
        <v>canvas-n-glr</v>
      </c>
      <c r="B2318" s="4" t="str">
        <f>IFERROR(__xludf.DUMMYFUNCTION("""COMPUTED_VALUE"""),"glr")</f>
        <v>glr</v>
      </c>
      <c r="C2318" s="4" t="str">
        <f>IFERROR(__xludf.DUMMYFUNCTION("""COMPUTED_VALUE"""),"GalleryCoin")</f>
        <v>GalleryCoin</v>
      </c>
    </row>
    <row r="2319">
      <c r="A2319" s="4" t="str">
        <f>IFERROR(__xludf.DUMMYFUNCTION("""COMPUTED_VALUE"""),"canwifhat")</f>
        <v>canwifhat</v>
      </c>
      <c r="B2319" s="4" t="str">
        <f>IFERROR(__xludf.DUMMYFUNCTION("""COMPUTED_VALUE"""),"can")</f>
        <v>can</v>
      </c>
      <c r="C2319" s="4" t="str">
        <f>IFERROR(__xludf.DUMMYFUNCTION("""COMPUTED_VALUE"""),"Canwifhat")</f>
        <v>Canwifhat</v>
      </c>
    </row>
    <row r="2320">
      <c r="A2320" s="4" t="str">
        <f>IFERROR(__xludf.DUMMYFUNCTION("""COMPUTED_VALUE"""),"canxium")</f>
        <v>canxium</v>
      </c>
      <c r="B2320" s="4" t="str">
        <f>IFERROR(__xludf.DUMMYFUNCTION("""COMPUTED_VALUE"""),"cau")</f>
        <v>cau</v>
      </c>
      <c r="C2320" s="4" t="str">
        <f>IFERROR(__xludf.DUMMYFUNCTION("""COMPUTED_VALUE"""),"Canxium")</f>
        <v>Canxium</v>
      </c>
    </row>
    <row r="2321">
      <c r="A2321" s="4" t="str">
        <f>IFERROR(__xludf.DUMMYFUNCTION("""COMPUTED_VALUE"""),"cap")</f>
        <v>cap</v>
      </c>
      <c r="B2321" s="4" t="str">
        <f>IFERROR(__xludf.DUMMYFUNCTION("""COMPUTED_VALUE"""),"cap")</f>
        <v>cap</v>
      </c>
      <c r="C2321" s="4" t="str">
        <f>IFERROR(__xludf.DUMMYFUNCTION("""COMPUTED_VALUE"""),"Cap")</f>
        <v>Cap</v>
      </c>
    </row>
    <row r="2322">
      <c r="A2322" s="4" t="str">
        <f>IFERROR(__xludf.DUMMYFUNCTION("""COMPUTED_VALUE"""),"capapult")</f>
        <v>capapult</v>
      </c>
      <c r="B2322" s="4" t="str">
        <f>IFERROR(__xludf.DUMMYFUNCTION("""COMPUTED_VALUE"""),"capa")</f>
        <v>capa</v>
      </c>
      <c r="C2322" s="4" t="str">
        <f>IFERROR(__xludf.DUMMYFUNCTION("""COMPUTED_VALUE"""),"Solid")</f>
        <v>Solid</v>
      </c>
    </row>
    <row r="2323">
      <c r="A2323" s="4" t="str">
        <f>IFERROR(__xludf.DUMMYFUNCTION("""COMPUTED_VALUE"""),"capital-dao-starter-token")</f>
        <v>capital-dao-starter-token</v>
      </c>
      <c r="B2323" s="4" t="str">
        <f>IFERROR(__xludf.DUMMYFUNCTION("""COMPUTED_VALUE"""),"cds")</f>
        <v>cds</v>
      </c>
      <c r="C2323" s="4" t="str">
        <f>IFERROR(__xludf.DUMMYFUNCTION("""COMPUTED_VALUE"""),"Capital DAO Starter")</f>
        <v>Capital DAO Starter</v>
      </c>
    </row>
    <row r="2324">
      <c r="A2324" s="4" t="str">
        <f>IFERROR(__xludf.DUMMYFUNCTION("""COMPUTED_VALUE"""),"capital-rock")</f>
        <v>capital-rock</v>
      </c>
      <c r="B2324" s="4" t="str">
        <f>IFERROR(__xludf.DUMMYFUNCTION("""COMPUTED_VALUE"""),"cr")</f>
        <v>cr</v>
      </c>
      <c r="C2324" s="4" t="str">
        <f>IFERROR(__xludf.DUMMYFUNCTION("""COMPUTED_VALUE"""),"CAPITAL ROCK")</f>
        <v>CAPITAL ROCK</v>
      </c>
    </row>
    <row r="2325">
      <c r="A2325" s="4" t="str">
        <f>IFERROR(__xludf.DUMMYFUNCTION("""COMPUTED_VALUE"""),"capone")</f>
        <v>capone</v>
      </c>
      <c r="B2325" s="4" t="str">
        <f>IFERROR(__xludf.DUMMYFUNCTION("""COMPUTED_VALUE"""),"capone")</f>
        <v>capone</v>
      </c>
      <c r="C2325" s="4" t="str">
        <f>IFERROR(__xludf.DUMMYFUNCTION("""COMPUTED_VALUE"""),"Capone")</f>
        <v>Capone</v>
      </c>
    </row>
    <row r="2326">
      <c r="A2326" s="4" t="str">
        <f>IFERROR(__xludf.DUMMYFUNCTION("""COMPUTED_VALUE"""),"capo-was-right")</f>
        <v>capo-was-right</v>
      </c>
      <c r="B2326" s="4" t="str">
        <f>IFERROR(__xludf.DUMMYFUNCTION("""COMPUTED_VALUE"""),"cwr")</f>
        <v>cwr</v>
      </c>
      <c r="C2326" s="4" t="str">
        <f>IFERROR(__xludf.DUMMYFUNCTION("""COMPUTED_VALUE"""),"Capo Was Right")</f>
        <v>Capo Was Right</v>
      </c>
    </row>
    <row r="2327">
      <c r="A2327" s="4" t="str">
        <f>IFERROR(__xludf.DUMMYFUNCTION("""COMPUTED_VALUE"""),"cappasity")</f>
        <v>cappasity</v>
      </c>
      <c r="B2327" s="4" t="str">
        <f>IFERROR(__xludf.DUMMYFUNCTION("""COMPUTED_VALUE"""),"capp")</f>
        <v>capp</v>
      </c>
      <c r="C2327" s="4" t="str">
        <f>IFERROR(__xludf.DUMMYFUNCTION("""COMPUTED_VALUE"""),"Cappasity")</f>
        <v>Cappasity</v>
      </c>
    </row>
    <row r="2328">
      <c r="A2328" s="4" t="str">
        <f>IFERROR(__xludf.DUMMYFUNCTION("""COMPUTED_VALUE"""),"capshort-token")</f>
        <v>capshort-token</v>
      </c>
      <c r="B2328" s="4" t="str">
        <f>IFERROR(__xludf.DUMMYFUNCTION("""COMPUTED_VALUE"""),"caps")</f>
        <v>caps</v>
      </c>
      <c r="C2328" s="4" t="str">
        <f>IFERROR(__xludf.DUMMYFUNCTION("""COMPUTED_VALUE"""),"Capshort token")</f>
        <v>Capshort token</v>
      </c>
    </row>
    <row r="2329">
      <c r="A2329" s="4" t="str">
        <f>IFERROR(__xludf.DUMMYFUNCTION("""COMPUTED_VALUE"""),"captain-planet")</f>
        <v>captain-planet</v>
      </c>
      <c r="B2329" s="4" t="str">
        <f>IFERROR(__xludf.DUMMYFUNCTION("""COMPUTED_VALUE"""),"ctp")</f>
        <v>ctp</v>
      </c>
      <c r="C2329" s="4" t="str">
        <f>IFERROR(__xludf.DUMMYFUNCTION("""COMPUTED_VALUE"""),"Captain Planet")</f>
        <v>Captain Planet</v>
      </c>
    </row>
    <row r="2330">
      <c r="A2330" s="4" t="str">
        <f>IFERROR(__xludf.DUMMYFUNCTION("""COMPUTED_VALUE"""),"captain-tsubasa")</f>
        <v>captain-tsubasa</v>
      </c>
      <c r="B2330" s="4" t="str">
        <f>IFERROR(__xludf.DUMMYFUNCTION("""COMPUTED_VALUE"""),"tsugt")</f>
        <v>tsugt</v>
      </c>
      <c r="C2330" s="4" t="str">
        <f>IFERROR(__xludf.DUMMYFUNCTION("""COMPUTED_VALUE"""),"Captain Tsubasa")</f>
        <v>Captain Tsubasa</v>
      </c>
    </row>
    <row r="2331">
      <c r="A2331" s="4" t="str">
        <f>IFERROR(__xludf.DUMMYFUNCTION("""COMPUTED_VALUE"""),"capybara")</f>
        <v>capybara</v>
      </c>
      <c r="B2331" s="4" t="str">
        <f>IFERROR(__xludf.DUMMYFUNCTION("""COMPUTED_VALUE"""),"capy")</f>
        <v>capy</v>
      </c>
      <c r="C2331" s="4" t="str">
        <f>IFERROR(__xludf.DUMMYFUNCTION("""COMPUTED_VALUE"""),"Capybara")</f>
        <v>Capybara</v>
      </c>
    </row>
    <row r="2332">
      <c r="A2332" s="4" t="str">
        <f>IFERROR(__xludf.DUMMYFUNCTION("""COMPUTED_VALUE"""),"capybara-bsc")</f>
        <v>capybara-bsc</v>
      </c>
      <c r="B2332" s="4" t="str">
        <f>IFERROR(__xludf.DUMMYFUNCTION("""COMPUTED_VALUE"""),"capy")</f>
        <v>capy</v>
      </c>
      <c r="C2332" s="4" t="str">
        <f>IFERROR(__xludf.DUMMYFUNCTION("""COMPUTED_VALUE"""),"Capybara BSC")</f>
        <v>Capybara BSC</v>
      </c>
    </row>
    <row r="2333">
      <c r="A2333" s="4" t="str">
        <f>IFERROR(__xludf.DUMMYFUNCTION("""COMPUTED_VALUE"""),"capybara-memecoin")</f>
        <v>capybara-memecoin</v>
      </c>
      <c r="B2333" s="4" t="str">
        <f>IFERROR(__xludf.DUMMYFUNCTION("""COMPUTED_VALUE"""),"bara")</f>
        <v>bara</v>
      </c>
      <c r="C2333" s="4" t="str">
        <f>IFERROR(__xludf.DUMMYFUNCTION("""COMPUTED_VALUE"""),"Capybara Memecoin")</f>
        <v>Capybara Memecoin</v>
      </c>
    </row>
    <row r="2334">
      <c r="A2334" s="4" t="str">
        <f>IFERROR(__xludf.DUMMYFUNCTION("""COMPUTED_VALUE"""),"capybara-token")</f>
        <v>capybara-token</v>
      </c>
      <c r="B2334" s="4" t="str">
        <f>IFERROR(__xludf.DUMMYFUNCTION("""COMPUTED_VALUE"""),"capy")</f>
        <v>capy</v>
      </c>
      <c r="C2334" s="4" t="str">
        <f>IFERROR(__xludf.DUMMYFUNCTION("""COMPUTED_VALUE"""),"Capybara Token")</f>
        <v>Capybara Token</v>
      </c>
    </row>
    <row r="2335">
      <c r="A2335" s="4" t="str">
        <f>IFERROR(__xludf.DUMMYFUNCTION("""COMPUTED_VALUE"""),"carbify")</f>
        <v>carbify</v>
      </c>
      <c r="B2335" s="4" t="str">
        <f>IFERROR(__xludf.DUMMYFUNCTION("""COMPUTED_VALUE"""),"cby")</f>
        <v>cby</v>
      </c>
      <c r="C2335" s="4" t="str">
        <f>IFERROR(__xludf.DUMMYFUNCTION("""COMPUTED_VALUE"""),"Carbify")</f>
        <v>Carbify</v>
      </c>
    </row>
    <row r="2336">
      <c r="A2336" s="4" t="str">
        <f>IFERROR(__xludf.DUMMYFUNCTION("""COMPUTED_VALUE"""),"carbon")</f>
        <v>carbon</v>
      </c>
      <c r="B2336" s="4" t="str">
        <f>IFERROR(__xludf.DUMMYFUNCTION("""COMPUTED_VALUE"""),"carbon")</f>
        <v>carbon</v>
      </c>
      <c r="C2336" s="4" t="str">
        <f>IFERROR(__xludf.DUMMYFUNCTION("""COMPUTED_VALUE"""),"Carbon")</f>
        <v>Carbon</v>
      </c>
    </row>
    <row r="2337">
      <c r="A2337" s="4" t="str">
        <f>IFERROR(__xludf.DUMMYFUNCTION("""COMPUTED_VALUE"""),"carbon21")</f>
        <v>carbon21</v>
      </c>
      <c r="B2337" s="4" t="str">
        <f>IFERROR(__xludf.DUMMYFUNCTION("""COMPUTED_VALUE"""),"c21")</f>
        <v>c21</v>
      </c>
      <c r="C2337" s="4" t="str">
        <f>IFERROR(__xludf.DUMMYFUNCTION("""COMPUTED_VALUE"""),"Carbon21")</f>
        <v>Carbon21</v>
      </c>
    </row>
    <row r="2338">
      <c r="A2338" s="4" t="str">
        <f>IFERROR(__xludf.DUMMYFUNCTION("""COMPUTED_VALUE"""),"carbon-browser")</f>
        <v>carbon-browser</v>
      </c>
      <c r="B2338" s="4" t="str">
        <f>IFERROR(__xludf.DUMMYFUNCTION("""COMPUTED_VALUE"""),"csix")</f>
        <v>csix</v>
      </c>
      <c r="C2338" s="4" t="str">
        <f>IFERROR(__xludf.DUMMYFUNCTION("""COMPUTED_VALUE"""),"Carbon Browser")</f>
        <v>Carbon Browser</v>
      </c>
    </row>
    <row r="2339">
      <c r="A2339" s="4" t="str">
        <f>IFERROR(__xludf.DUMMYFUNCTION("""COMPUTED_VALUE"""),"carbon-crates")</f>
        <v>carbon-crates</v>
      </c>
      <c r="B2339" s="4" t="str">
        <f>IFERROR(__xludf.DUMMYFUNCTION("""COMPUTED_VALUE"""),"carb")</f>
        <v>carb</v>
      </c>
      <c r="C2339" s="4" t="str">
        <f>IFERROR(__xludf.DUMMYFUNCTION("""COMPUTED_VALUE"""),"Carbon Crates")</f>
        <v>Carbon Crates</v>
      </c>
    </row>
    <row r="2340">
      <c r="A2340" s="4" t="str">
        <f>IFERROR(__xludf.DUMMYFUNCTION("""COMPUTED_VALUE"""),"carbon-credit")</f>
        <v>carbon-credit</v>
      </c>
      <c r="B2340" s="4" t="str">
        <f>IFERROR(__xludf.DUMMYFUNCTION("""COMPUTED_VALUE"""),"cct")</f>
        <v>cct</v>
      </c>
      <c r="C2340" s="4" t="str">
        <f>IFERROR(__xludf.DUMMYFUNCTION("""COMPUTED_VALUE"""),"Carbon Credit")</f>
        <v>Carbon Credit</v>
      </c>
    </row>
    <row r="2341">
      <c r="A2341" s="4" t="str">
        <f>IFERROR(__xludf.DUMMYFUNCTION("""COMPUTED_VALUE"""),"carbon-labs")</f>
        <v>carbon-labs</v>
      </c>
      <c r="B2341" s="4" t="str">
        <f>IFERROR(__xludf.DUMMYFUNCTION("""COMPUTED_VALUE"""),"carb")</f>
        <v>carb</v>
      </c>
      <c r="C2341" s="4" t="str">
        <f>IFERROR(__xludf.DUMMYFUNCTION("""COMPUTED_VALUE"""),"Carbon Labs")</f>
        <v>Carbon Labs</v>
      </c>
    </row>
    <row r="2342">
      <c r="A2342" s="4" t="str">
        <f>IFERROR(__xludf.DUMMYFUNCTION("""COMPUTED_VALUE"""),"carbon-neutrality-blockchain")</f>
        <v>carbon-neutrality-blockchain</v>
      </c>
      <c r="B2342" s="4" t="str">
        <f>IFERROR(__xludf.DUMMYFUNCTION("""COMPUTED_VALUE"""),"cnb")</f>
        <v>cnb</v>
      </c>
      <c r="C2342" s="4" t="str">
        <f>IFERROR(__xludf.DUMMYFUNCTION("""COMPUTED_VALUE"""),"Carbon Neutrality Blockchain")</f>
        <v>Carbon Neutrality Blockchain</v>
      </c>
    </row>
    <row r="2343">
      <c r="A2343" s="4" t="str">
        <f>IFERROR(__xludf.DUMMYFUNCTION("""COMPUTED_VALUE"""),"cardano")</f>
        <v>cardano</v>
      </c>
      <c r="B2343" s="4" t="str">
        <f>IFERROR(__xludf.DUMMYFUNCTION("""COMPUTED_VALUE"""),"ada")</f>
        <v>ada</v>
      </c>
      <c r="C2343" s="4" t="str">
        <f>IFERROR(__xludf.DUMMYFUNCTION("""COMPUTED_VALUE"""),"Cardano")</f>
        <v>Cardano</v>
      </c>
    </row>
    <row r="2344">
      <c r="A2344" s="4" t="str">
        <f>IFERROR(__xludf.DUMMYFUNCTION("""COMPUTED_VALUE"""),"cardano-crocs-club")</f>
        <v>cardano-crocs-club</v>
      </c>
      <c r="B2344" s="4" t="str">
        <f>IFERROR(__xludf.DUMMYFUNCTION("""COMPUTED_VALUE"""),"c4")</f>
        <v>c4</v>
      </c>
      <c r="C2344" s="4" t="str">
        <f>IFERROR(__xludf.DUMMYFUNCTION("""COMPUTED_VALUE"""),"Cardano Crocs Club")</f>
        <v>Cardano Crocs Club</v>
      </c>
    </row>
    <row r="2345">
      <c r="A2345" s="4" t="str">
        <f>IFERROR(__xludf.DUMMYFUNCTION("""COMPUTED_VALUE"""),"cardanogpt")</f>
        <v>cardanogpt</v>
      </c>
      <c r="B2345" s="4" t="str">
        <f>IFERROR(__xludf.DUMMYFUNCTION("""COMPUTED_VALUE"""),"cgi")</f>
        <v>cgi</v>
      </c>
      <c r="C2345" s="4" t="str">
        <f>IFERROR(__xludf.DUMMYFUNCTION("""COMPUTED_VALUE"""),"CardanoGPT")</f>
        <v>CardanoGPT</v>
      </c>
    </row>
    <row r="2346">
      <c r="A2346" s="4" t="str">
        <f>IFERROR(__xludf.DUMMYFUNCTION("""COMPUTED_VALUE"""),"cardanum")</f>
        <v>cardanum</v>
      </c>
      <c r="B2346" s="4" t="str">
        <f>IFERROR(__xludf.DUMMYFUNCTION("""COMPUTED_VALUE"""),"carda")</f>
        <v>carda</v>
      </c>
      <c r="C2346" s="4" t="str">
        <f>IFERROR(__xludf.DUMMYFUNCTION("""COMPUTED_VALUE"""),"Cardanum")</f>
        <v>Cardanum</v>
      </c>
    </row>
    <row r="2347">
      <c r="A2347" s="4" t="str">
        <f>IFERROR(__xludf.DUMMYFUNCTION("""COMPUTED_VALUE"""),"cardence")</f>
        <v>cardence</v>
      </c>
      <c r="B2347" s="4" t="str">
        <f>IFERROR(__xludf.DUMMYFUNCTION("""COMPUTED_VALUE"""),"$crdn")</f>
        <v>$crdn</v>
      </c>
      <c r="C2347" s="4" t="str">
        <f>IFERROR(__xludf.DUMMYFUNCTION("""COMPUTED_VALUE"""),"Cardence")</f>
        <v>Cardence</v>
      </c>
    </row>
    <row r="2348">
      <c r="A2348" s="4" t="str">
        <f>IFERROR(__xludf.DUMMYFUNCTION("""COMPUTED_VALUE"""),"cardinals")</f>
        <v>cardinals</v>
      </c>
      <c r="B2348" s="4" t="str">
        <f>IFERROR(__xludf.DUMMYFUNCTION("""COMPUTED_VALUE"""),"cardi")</f>
        <v>cardi</v>
      </c>
      <c r="C2348" s="4" t="str">
        <f>IFERROR(__xludf.DUMMYFUNCTION("""COMPUTED_VALUE"""),"Cardinals (DRC-20)")</f>
        <v>Cardinals (DRC-20)</v>
      </c>
    </row>
    <row r="2349">
      <c r="A2349" s="4" t="str">
        <f>IFERROR(__xludf.DUMMYFUNCTION("""COMPUTED_VALUE"""),"cardiocoin")</f>
        <v>cardiocoin</v>
      </c>
      <c r="B2349" s="4" t="str">
        <f>IFERROR(__xludf.DUMMYFUNCTION("""COMPUTED_VALUE"""),"crdc")</f>
        <v>crdc</v>
      </c>
      <c r="C2349" s="4" t="str">
        <f>IFERROR(__xludf.DUMMYFUNCTION("""COMPUTED_VALUE"""),"Cardiocoin")</f>
        <v>Cardiocoin</v>
      </c>
    </row>
    <row r="2350">
      <c r="A2350" s="4" t="str">
        <f>IFERROR(__xludf.DUMMYFUNCTION("""COMPUTED_VALUE"""),"cards")</f>
        <v>cards</v>
      </c>
      <c r="B2350" s="4" t="str">
        <f>IFERROR(__xludf.DUMMYFUNCTION("""COMPUTED_VALUE"""),"cards")</f>
        <v>cards</v>
      </c>
      <c r="C2350" s="4" t="str">
        <f>IFERROR(__xludf.DUMMYFUNCTION("""COMPUTED_VALUE"""),"Cards")</f>
        <v>Cards</v>
      </c>
    </row>
    <row r="2351">
      <c r="A2351" s="4" t="str">
        <f>IFERROR(__xludf.DUMMYFUNCTION("""COMPUTED_VALUE"""),"cardstack")</f>
        <v>cardstack</v>
      </c>
      <c r="B2351" s="4" t="str">
        <f>IFERROR(__xludf.DUMMYFUNCTION("""COMPUTED_VALUE"""),"card")</f>
        <v>card</v>
      </c>
      <c r="C2351" s="4" t="str">
        <f>IFERROR(__xludf.DUMMYFUNCTION("""COMPUTED_VALUE"""),"Cardstack")</f>
        <v>Cardstack</v>
      </c>
    </row>
    <row r="2352">
      <c r="A2352" s="4" t="str">
        <f>IFERROR(__xludf.DUMMYFUNCTION("""COMPUTED_VALUE"""),"cardstarter")</f>
        <v>cardstarter</v>
      </c>
      <c r="B2352" s="4" t="str">
        <f>IFERROR(__xludf.DUMMYFUNCTION("""COMPUTED_VALUE"""),"cards")</f>
        <v>cards</v>
      </c>
      <c r="C2352" s="4" t="str">
        <f>IFERROR(__xludf.DUMMYFUNCTION("""COMPUTED_VALUE"""),"Cardstarter")</f>
        <v>Cardstarter</v>
      </c>
    </row>
    <row r="2353">
      <c r="A2353" s="4" t="str">
        <f>IFERROR(__xludf.DUMMYFUNCTION("""COMPUTED_VALUE"""),"carecoin")</f>
        <v>carecoin</v>
      </c>
      <c r="B2353" s="4" t="str">
        <f>IFERROR(__xludf.DUMMYFUNCTION("""COMPUTED_VALUE"""),"care")</f>
        <v>care</v>
      </c>
      <c r="C2353" s="4" t="str">
        <f>IFERROR(__xludf.DUMMYFUNCTION("""COMPUTED_VALUE"""),"CareCoin")</f>
        <v>CareCoin</v>
      </c>
    </row>
    <row r="2354">
      <c r="A2354" s="4" t="str">
        <f>IFERROR(__xludf.DUMMYFUNCTION("""COMPUTED_VALUE"""),"cargox")</f>
        <v>cargox</v>
      </c>
      <c r="B2354" s="4" t="str">
        <f>IFERROR(__xludf.DUMMYFUNCTION("""COMPUTED_VALUE"""),"cxo")</f>
        <v>cxo</v>
      </c>
      <c r="C2354" s="4" t="str">
        <f>IFERROR(__xludf.DUMMYFUNCTION("""COMPUTED_VALUE"""),"CargoX")</f>
        <v>CargoX</v>
      </c>
    </row>
    <row r="2355">
      <c r="A2355" s="4" t="str">
        <f>IFERROR(__xludf.DUMMYFUNCTION("""COMPUTED_VALUE"""),"carmin")</f>
        <v>carmin</v>
      </c>
      <c r="B2355" s="4" t="str">
        <f>IFERROR(__xludf.DUMMYFUNCTION("""COMPUTED_VALUE"""),"carmin")</f>
        <v>carmin</v>
      </c>
      <c r="C2355" s="4" t="str">
        <f>IFERROR(__xludf.DUMMYFUNCTION("""COMPUTED_VALUE"""),"Carmin")</f>
        <v>Carmin</v>
      </c>
    </row>
    <row r="2356">
      <c r="A2356" s="4" t="str">
        <f>IFERROR(__xludf.DUMMYFUNCTION("""COMPUTED_VALUE"""),"carnomaly")</f>
        <v>carnomaly</v>
      </c>
      <c r="B2356" s="4" t="str">
        <f>IFERROR(__xludf.DUMMYFUNCTION("""COMPUTED_VALUE"""),"carr")</f>
        <v>carr</v>
      </c>
      <c r="C2356" s="4" t="str">
        <f>IFERROR(__xludf.DUMMYFUNCTION("""COMPUTED_VALUE"""),"Carnomaly")</f>
        <v>Carnomaly</v>
      </c>
    </row>
    <row r="2357">
      <c r="A2357" s="4" t="str">
        <f>IFERROR(__xludf.DUMMYFUNCTION("""COMPUTED_VALUE"""),"caroline")</f>
        <v>caroline</v>
      </c>
      <c r="B2357" s="4" t="str">
        <f>IFERROR(__xludf.DUMMYFUNCTION("""COMPUTED_VALUE"""),"her")</f>
        <v>her</v>
      </c>
      <c r="C2357" s="4" t="str">
        <f>IFERROR(__xludf.DUMMYFUNCTION("""COMPUTED_VALUE"""),"Caroline")</f>
        <v>Caroline</v>
      </c>
    </row>
    <row r="2358">
      <c r="A2358" s="4" t="str">
        <f>IFERROR(__xludf.DUMMYFUNCTION("""COMPUTED_VALUE"""),"caroltoken")</f>
        <v>caroltoken</v>
      </c>
      <c r="B2358" s="4" t="str">
        <f>IFERROR(__xludf.DUMMYFUNCTION("""COMPUTED_VALUE"""),"carol")</f>
        <v>carol</v>
      </c>
      <c r="C2358" s="4" t="str">
        <f>IFERROR(__xludf.DUMMYFUNCTION("""COMPUTED_VALUE"""),"CAROLToken")</f>
        <v>CAROLToken</v>
      </c>
    </row>
    <row r="2359">
      <c r="A2359" s="4" t="str">
        <f>IFERROR(__xludf.DUMMYFUNCTION("""COMPUTED_VALUE"""),"carrieverse")</f>
        <v>carrieverse</v>
      </c>
      <c r="B2359" s="4" t="str">
        <f>IFERROR(__xludf.DUMMYFUNCTION("""COMPUTED_VALUE"""),"cvtx")</f>
        <v>cvtx</v>
      </c>
      <c r="C2359" s="4" t="str">
        <f>IFERROR(__xludf.DUMMYFUNCTION("""COMPUTED_VALUE"""),"CarrieVerse")</f>
        <v>CarrieVerse</v>
      </c>
    </row>
    <row r="2360">
      <c r="A2360" s="4" t="str">
        <f>IFERROR(__xludf.DUMMYFUNCTION("""COMPUTED_VALUE"""),"carry")</f>
        <v>carry</v>
      </c>
      <c r="B2360" s="4" t="str">
        <f>IFERROR(__xludf.DUMMYFUNCTION("""COMPUTED_VALUE"""),"cre")</f>
        <v>cre</v>
      </c>
      <c r="C2360" s="4" t="str">
        <f>IFERROR(__xludf.DUMMYFUNCTION("""COMPUTED_VALUE"""),"Carry")</f>
        <v>Carry</v>
      </c>
    </row>
    <row r="2361">
      <c r="A2361" s="4" t="str">
        <f>IFERROR(__xludf.DUMMYFUNCTION("""COMPUTED_VALUE"""),"cartel-coin-2")</f>
        <v>cartel-coin-2</v>
      </c>
      <c r="B2361" s="4" t="str">
        <f>IFERROR(__xludf.DUMMYFUNCTION("""COMPUTED_VALUE"""),"cartel")</f>
        <v>cartel</v>
      </c>
      <c r="C2361" s="4" t="str">
        <f>IFERROR(__xludf.DUMMYFUNCTION("""COMPUTED_VALUE"""),"Cartel Coin")</f>
        <v>Cartel Coin</v>
      </c>
    </row>
    <row r="2362">
      <c r="A2362" s="4" t="str">
        <f>IFERROR(__xludf.DUMMYFUNCTION("""COMPUTED_VALUE"""),"cartesi")</f>
        <v>cartesi</v>
      </c>
      <c r="B2362" s="4" t="str">
        <f>IFERROR(__xludf.DUMMYFUNCTION("""COMPUTED_VALUE"""),"ctsi")</f>
        <v>ctsi</v>
      </c>
      <c r="C2362" s="4" t="str">
        <f>IFERROR(__xludf.DUMMYFUNCTION("""COMPUTED_VALUE"""),"Cartesi")</f>
        <v>Cartesi</v>
      </c>
    </row>
    <row r="2363">
      <c r="A2363" s="4" t="str">
        <f>IFERROR(__xludf.DUMMYFUNCTION("""COMPUTED_VALUE"""),"cartman")</f>
        <v>cartman</v>
      </c>
      <c r="B2363" s="4" t="str">
        <f>IFERROR(__xludf.DUMMYFUNCTION("""COMPUTED_VALUE"""),"$cartman")</f>
        <v>$cartman</v>
      </c>
      <c r="C2363" s="4" t="str">
        <f>IFERROR(__xludf.DUMMYFUNCTION("""COMPUTED_VALUE"""),"Cartman")</f>
        <v>Cartman</v>
      </c>
    </row>
    <row r="2364">
      <c r="A2364" s="4" t="str">
        <f>IFERROR(__xludf.DUMMYFUNCTION("""COMPUTED_VALUE"""),"carvertical")</f>
        <v>carvertical</v>
      </c>
      <c r="B2364" s="4" t="str">
        <f>IFERROR(__xludf.DUMMYFUNCTION("""COMPUTED_VALUE"""),"cv")</f>
        <v>cv</v>
      </c>
      <c r="C2364" s="4" t="str">
        <f>IFERROR(__xludf.DUMMYFUNCTION("""COMPUTED_VALUE"""),"carVertical")</f>
        <v>carVertical</v>
      </c>
    </row>
    <row r="2365">
      <c r="A2365" s="4" t="str">
        <f>IFERROR(__xludf.DUMMYFUNCTION("""COMPUTED_VALUE"""),"cascadia")</f>
        <v>cascadia</v>
      </c>
      <c r="B2365" s="4" t="str">
        <f>IFERROR(__xludf.DUMMYFUNCTION("""COMPUTED_VALUE"""),"cc")</f>
        <v>cc</v>
      </c>
      <c r="C2365" s="4" t="str">
        <f>IFERROR(__xludf.DUMMYFUNCTION("""COMPUTED_VALUE"""),"Cascadia")</f>
        <v>Cascadia</v>
      </c>
    </row>
    <row r="2366">
      <c r="A2366" s="4" t="str">
        <f>IFERROR(__xludf.DUMMYFUNCTION("""COMPUTED_VALUE"""),"cashaa")</f>
        <v>cashaa</v>
      </c>
      <c r="B2366" s="4" t="str">
        <f>IFERROR(__xludf.DUMMYFUNCTION("""COMPUTED_VALUE"""),"cas")</f>
        <v>cas</v>
      </c>
      <c r="C2366" s="4" t="str">
        <f>IFERROR(__xludf.DUMMYFUNCTION("""COMPUTED_VALUE"""),"Cashaa")</f>
        <v>Cashaa</v>
      </c>
    </row>
    <row r="2367">
      <c r="A2367" s="4" t="str">
        <f>IFERROR(__xludf.DUMMYFUNCTION("""COMPUTED_VALUE"""),"cashback")</f>
        <v>cashback</v>
      </c>
      <c r="B2367" s="4" t="str">
        <f>IFERROR(__xludf.DUMMYFUNCTION("""COMPUTED_VALUE"""),"cbk")</f>
        <v>cbk</v>
      </c>
      <c r="C2367" s="4" t="str">
        <f>IFERROR(__xludf.DUMMYFUNCTION("""COMPUTED_VALUE"""),"Cashback")</f>
        <v>Cashback</v>
      </c>
    </row>
    <row r="2368">
      <c r="A2368" s="4" t="str">
        <f>IFERROR(__xludf.DUMMYFUNCTION("""COMPUTED_VALUE"""),"cashbackpro")</f>
        <v>cashbackpro</v>
      </c>
      <c r="B2368" s="4" t="str">
        <f>IFERROR(__xludf.DUMMYFUNCTION("""COMPUTED_VALUE"""),"cbp")</f>
        <v>cbp</v>
      </c>
      <c r="C2368" s="4" t="str">
        <f>IFERROR(__xludf.DUMMYFUNCTION("""COMPUTED_VALUE"""),"CashBackPro")</f>
        <v>CashBackPro</v>
      </c>
    </row>
    <row r="2369">
      <c r="A2369" s="4" t="str">
        <f>IFERROR(__xludf.DUMMYFUNCTION("""COMPUTED_VALUE"""),"cashcab")</f>
        <v>cashcab</v>
      </c>
      <c r="B2369" s="4" t="str">
        <f>IFERROR(__xludf.DUMMYFUNCTION("""COMPUTED_VALUE"""),"cab")</f>
        <v>cab</v>
      </c>
      <c r="C2369" s="4" t="str">
        <f>IFERROR(__xludf.DUMMYFUNCTION("""COMPUTED_VALUE"""),"CASHCAB")</f>
        <v>CASHCAB</v>
      </c>
    </row>
    <row r="2370">
      <c r="A2370" s="4" t="str">
        <f>IFERROR(__xludf.DUMMYFUNCTION("""COMPUTED_VALUE"""),"cashcats")</f>
        <v>cashcats</v>
      </c>
      <c r="B2370" s="4" t="str">
        <f>IFERROR(__xludf.DUMMYFUNCTION("""COMPUTED_VALUE"""),"$cats")</f>
        <v>$cats</v>
      </c>
      <c r="C2370" s="4" t="str">
        <f>IFERROR(__xludf.DUMMYFUNCTION("""COMPUTED_VALUE"""),"CashCats")</f>
        <v>CashCats</v>
      </c>
    </row>
    <row r="2371">
      <c r="A2371" s="4" t="str">
        <f>IFERROR(__xludf.DUMMYFUNCTION("""COMPUTED_VALUE"""),"cashcow")</f>
        <v>cashcow</v>
      </c>
      <c r="B2371" s="4" t="str">
        <f>IFERROR(__xludf.DUMMYFUNCTION("""COMPUTED_VALUE"""),"cow")</f>
        <v>cow</v>
      </c>
      <c r="C2371" s="4" t="str">
        <f>IFERROR(__xludf.DUMMYFUNCTION("""COMPUTED_VALUE"""),"CashCow")</f>
        <v>CashCow</v>
      </c>
    </row>
    <row r="2372">
      <c r="A2372" s="4" t="str">
        <f>IFERROR(__xludf.DUMMYFUNCTION("""COMPUTED_VALUE"""),"cash-driver")</f>
        <v>cash-driver</v>
      </c>
      <c r="B2372" s="4" t="str">
        <f>IFERROR(__xludf.DUMMYFUNCTION("""COMPUTED_VALUE"""),"cd")</f>
        <v>cd</v>
      </c>
      <c r="C2372" s="4" t="str">
        <f>IFERROR(__xludf.DUMMYFUNCTION("""COMPUTED_VALUE"""),"Cash Driver")</f>
        <v>Cash Driver</v>
      </c>
    </row>
    <row r="2373">
      <c r="A2373" s="4" t="str">
        <f>IFERROR(__xludf.DUMMYFUNCTION("""COMPUTED_VALUE"""),"cash-flash")</f>
        <v>cash-flash</v>
      </c>
      <c r="B2373" s="4" t="str">
        <f>IFERROR(__xludf.DUMMYFUNCTION("""COMPUTED_VALUE"""),"cft")</f>
        <v>cft</v>
      </c>
      <c r="C2373" s="4" t="str">
        <f>IFERROR(__xludf.DUMMYFUNCTION("""COMPUTED_VALUE"""),"Cash Flash")</f>
        <v>Cash Flash</v>
      </c>
    </row>
    <row r="2374">
      <c r="A2374" s="4" t="str">
        <f>IFERROR(__xludf.DUMMYFUNCTION("""COMPUTED_VALUE"""),"cashtree-token")</f>
        <v>cashtree-token</v>
      </c>
      <c r="B2374" s="4" t="str">
        <f>IFERROR(__xludf.DUMMYFUNCTION("""COMPUTED_VALUE"""),"ctt")</f>
        <v>ctt</v>
      </c>
      <c r="C2374" s="4" t="str">
        <f>IFERROR(__xludf.DUMMYFUNCTION("""COMPUTED_VALUE"""),"Cashtree Token")</f>
        <v>Cashtree Token</v>
      </c>
    </row>
    <row r="2375">
      <c r="A2375" s="4" t="str">
        <f>IFERROR(__xludf.DUMMYFUNCTION("""COMPUTED_VALUE"""),"casinocoin")</f>
        <v>casinocoin</v>
      </c>
      <c r="B2375" s="4" t="str">
        <f>IFERROR(__xludf.DUMMYFUNCTION("""COMPUTED_VALUE"""),"csc")</f>
        <v>csc</v>
      </c>
      <c r="C2375" s="4" t="str">
        <f>IFERROR(__xludf.DUMMYFUNCTION("""COMPUTED_VALUE"""),"Casinocoin")</f>
        <v>Casinocoin</v>
      </c>
    </row>
    <row r="2376">
      <c r="A2376" s="4" t="str">
        <f>IFERROR(__xludf.DUMMYFUNCTION("""COMPUTED_VALUE"""),"casinu-inu")</f>
        <v>casinu-inu</v>
      </c>
      <c r="B2376" s="4" t="str">
        <f>IFERROR(__xludf.DUMMYFUNCTION("""COMPUTED_VALUE"""),"casinu")</f>
        <v>casinu</v>
      </c>
      <c r="C2376" s="4" t="str">
        <f>IFERROR(__xludf.DUMMYFUNCTION("""COMPUTED_VALUE"""),"Casinu Inu")</f>
        <v>Casinu Inu</v>
      </c>
    </row>
    <row r="2377">
      <c r="A2377" s="4" t="str">
        <f>IFERROR(__xludf.DUMMYFUNCTION("""COMPUTED_VALUE"""),"casper-network")</f>
        <v>casper-network</v>
      </c>
      <c r="B2377" s="4" t="str">
        <f>IFERROR(__xludf.DUMMYFUNCTION("""COMPUTED_VALUE"""),"cspr")</f>
        <v>cspr</v>
      </c>
      <c r="C2377" s="4" t="str">
        <f>IFERROR(__xludf.DUMMYFUNCTION("""COMPUTED_VALUE"""),"Casper Network")</f>
        <v>Casper Network</v>
      </c>
    </row>
    <row r="2378">
      <c r="A2378" s="4" t="str">
        <f>IFERROR(__xludf.DUMMYFUNCTION("""COMPUTED_VALUE"""),"casperpad")</f>
        <v>casperpad</v>
      </c>
      <c r="B2378" s="4" t="str">
        <f>IFERROR(__xludf.DUMMYFUNCTION("""COMPUTED_VALUE"""),"cspd")</f>
        <v>cspd</v>
      </c>
      <c r="C2378" s="4" t="str">
        <f>IFERROR(__xludf.DUMMYFUNCTION("""COMPUTED_VALUE"""),"CasperPad")</f>
        <v>CasperPad</v>
      </c>
    </row>
    <row r="2379">
      <c r="A2379" s="4" t="str">
        <f>IFERROR(__xludf.DUMMYFUNCTION("""COMPUTED_VALUE"""),"cassie-dragon")</f>
        <v>cassie-dragon</v>
      </c>
      <c r="B2379" s="4" t="str">
        <f>IFERROR(__xludf.DUMMYFUNCTION("""COMPUTED_VALUE"""),"cassie 🐉")</f>
        <v>cassie 🐉</v>
      </c>
      <c r="C2379" s="4" t="str">
        <f>IFERROR(__xludf.DUMMYFUNCTION("""COMPUTED_VALUE"""),"Cassie Dragon")</f>
        <v>Cassie Dragon</v>
      </c>
    </row>
    <row r="2380">
      <c r="A2380" s="4" t="str">
        <f>IFERROR(__xludf.DUMMYFUNCTION("""COMPUTED_VALUE"""),"castello-coin")</f>
        <v>castello-coin</v>
      </c>
      <c r="B2380" s="4" t="str">
        <f>IFERROR(__xludf.DUMMYFUNCTION("""COMPUTED_VALUE"""),"cast")</f>
        <v>cast</v>
      </c>
      <c r="C2380" s="4" t="str">
        <f>IFERROR(__xludf.DUMMYFUNCTION("""COMPUTED_VALUE"""),"Castello Coin")</f>
        <v>Castello Coin</v>
      </c>
    </row>
    <row r="2381">
      <c r="A2381" s="4" t="str">
        <f>IFERROR(__xludf.DUMMYFUNCTION("""COMPUTED_VALUE"""),"castle-of-blackwater")</f>
        <v>castle-of-blackwater</v>
      </c>
      <c r="B2381" s="4" t="str">
        <f>IFERROR(__xludf.DUMMYFUNCTION("""COMPUTED_VALUE"""),"cobe")</f>
        <v>cobe</v>
      </c>
      <c r="C2381" s="4" t="str">
        <f>IFERROR(__xludf.DUMMYFUNCTION("""COMPUTED_VALUE"""),"Castle Of Blackwater")</f>
        <v>Castle Of Blackwater</v>
      </c>
    </row>
    <row r="2382">
      <c r="A2382" s="4" t="str">
        <f>IFERROR(__xludf.DUMMYFUNCTION("""COMPUTED_VALUE"""),"catalina-whales-index")</f>
        <v>catalina-whales-index</v>
      </c>
      <c r="B2382" s="4" t="str">
        <f>IFERROR(__xludf.DUMMYFUNCTION("""COMPUTED_VALUE"""),"whales")</f>
        <v>whales</v>
      </c>
      <c r="C2382" s="4" t="str">
        <f>IFERROR(__xludf.DUMMYFUNCTION("""COMPUTED_VALUE"""),"Catalina Whales Index")</f>
        <v>Catalina Whales Index</v>
      </c>
    </row>
    <row r="2383">
      <c r="A2383" s="4" t="str">
        <f>IFERROR(__xludf.DUMMYFUNCTION("""COMPUTED_VALUE"""),"catapult")</f>
        <v>catapult</v>
      </c>
      <c r="B2383" s="4" t="str">
        <f>IFERROR(__xludf.DUMMYFUNCTION("""COMPUTED_VALUE"""),"atd")</f>
        <v>atd</v>
      </c>
      <c r="C2383" s="4" t="str">
        <f>IFERROR(__xludf.DUMMYFUNCTION("""COMPUTED_VALUE"""),"A2DAO")</f>
        <v>A2DAO</v>
      </c>
    </row>
    <row r="2384">
      <c r="A2384" s="4" t="str">
        <f>IFERROR(__xludf.DUMMYFUNCTION("""COMPUTED_VALUE"""),"catbonk")</f>
        <v>catbonk</v>
      </c>
      <c r="B2384" s="4" t="str">
        <f>IFERROR(__xludf.DUMMYFUNCTION("""COMPUTED_VALUE"""),"cabo")</f>
        <v>cabo</v>
      </c>
      <c r="C2384" s="4" t="str">
        <f>IFERROR(__xludf.DUMMYFUNCTION("""COMPUTED_VALUE"""),"Catbonk")</f>
        <v>Catbonk</v>
      </c>
    </row>
    <row r="2385">
      <c r="A2385" s="4" t="str">
        <f>IFERROR(__xludf.DUMMYFUNCTION("""COMPUTED_VALUE"""),"catboy-3")</f>
        <v>catboy-3</v>
      </c>
      <c r="B2385" s="4" t="str">
        <f>IFERROR(__xludf.DUMMYFUNCTION("""COMPUTED_VALUE"""),"catboy")</f>
        <v>catboy</v>
      </c>
      <c r="C2385" s="4" t="str">
        <f>IFERROR(__xludf.DUMMYFUNCTION("""COMPUTED_VALUE"""),"Catboy")</f>
        <v>Catboy</v>
      </c>
    </row>
    <row r="2386">
      <c r="A2386" s="4" t="str">
        <f>IFERROR(__xludf.DUMMYFUNCTION("""COMPUTED_VALUE"""),"catboy-4")</f>
        <v>catboy-4</v>
      </c>
      <c r="B2386" s="4" t="str">
        <f>IFERROR(__xludf.DUMMYFUNCTION("""COMPUTED_VALUE"""),"catboy")</f>
        <v>catboy</v>
      </c>
      <c r="C2386" s="4" t="str">
        <f>IFERROR(__xludf.DUMMYFUNCTION("""COMPUTED_VALUE"""),"Catboy")</f>
        <v>Catboy</v>
      </c>
    </row>
    <row r="2387">
      <c r="A2387" s="4" t="str">
        <f>IFERROR(__xludf.DUMMYFUNCTION("""COMPUTED_VALUE"""),"cat-cat-token")</f>
        <v>cat-cat-token</v>
      </c>
      <c r="B2387" s="4" t="str">
        <f>IFERROR(__xludf.DUMMYFUNCTION("""COMPUTED_VALUE"""),"cat")</f>
        <v>cat</v>
      </c>
      <c r="C2387" s="4" t="str">
        <f>IFERROR(__xludf.DUMMYFUNCTION("""COMPUTED_VALUE"""),"Cat")</f>
        <v>Cat</v>
      </c>
    </row>
    <row r="2388">
      <c r="A2388" s="4" t="str">
        <f>IFERROR(__xludf.DUMMYFUNCTION("""COMPUTED_VALUE"""),"catceo")</f>
        <v>catceo</v>
      </c>
      <c r="B2388" s="4" t="str">
        <f>IFERROR(__xludf.DUMMYFUNCTION("""COMPUTED_VALUE"""),"catceo")</f>
        <v>catceo</v>
      </c>
      <c r="C2388" s="4" t="str">
        <f>IFERROR(__xludf.DUMMYFUNCTION("""COMPUTED_VALUE"""),"CATCEO")</f>
        <v>CATCEO</v>
      </c>
    </row>
    <row r="2389">
      <c r="A2389" s="4" t="str">
        <f>IFERROR(__xludf.DUMMYFUNCTION("""COMPUTED_VALUE"""),"catchy")</f>
        <v>catchy</v>
      </c>
      <c r="B2389" s="4" t="str">
        <f>IFERROR(__xludf.DUMMYFUNCTION("""COMPUTED_VALUE"""),"catchy")</f>
        <v>catchy</v>
      </c>
      <c r="C2389" s="4" t="str">
        <f>IFERROR(__xludf.DUMMYFUNCTION("""COMPUTED_VALUE"""),"Catchy")</f>
        <v>Catchy</v>
      </c>
    </row>
    <row r="2390">
      <c r="A2390" s="4" t="str">
        <f>IFERROR(__xludf.DUMMYFUNCTION("""COMPUTED_VALUE"""),"catcoin-bsc")</f>
        <v>catcoin-bsc</v>
      </c>
      <c r="B2390" s="4" t="str">
        <f>IFERROR(__xludf.DUMMYFUNCTION("""COMPUTED_VALUE"""),"cat")</f>
        <v>cat</v>
      </c>
      <c r="C2390" s="4" t="str">
        <f>IFERROR(__xludf.DUMMYFUNCTION("""COMPUTED_VALUE"""),"Catcoin BSC")</f>
        <v>Catcoin BSC</v>
      </c>
    </row>
    <row r="2391">
      <c r="A2391" s="4" t="str">
        <f>IFERROR(__xludf.DUMMYFUNCTION("""COMPUTED_VALUE"""),"catcoin-cash")</f>
        <v>catcoin-cash</v>
      </c>
      <c r="B2391" s="4" t="str">
        <f>IFERROR(__xludf.DUMMYFUNCTION("""COMPUTED_VALUE"""),"cat")</f>
        <v>cat</v>
      </c>
      <c r="C2391" s="4" t="str">
        <f>IFERROR(__xludf.DUMMYFUNCTION("""COMPUTED_VALUE"""),"Catcoin")</f>
        <v>Catcoin</v>
      </c>
    </row>
    <row r="2392">
      <c r="A2392" s="4" t="str">
        <f>IFERROR(__xludf.DUMMYFUNCTION("""COMPUTED_VALUE"""),"catcoin-token")</f>
        <v>catcoin-token</v>
      </c>
      <c r="B2392" s="4" t="str">
        <f>IFERROR(__xludf.DUMMYFUNCTION("""COMPUTED_VALUE"""),"cats")</f>
        <v>cats</v>
      </c>
      <c r="C2392" s="4" t="str">
        <f>IFERROR(__xludf.DUMMYFUNCTION("""COMPUTED_VALUE"""),"CatCoin Token")</f>
        <v>CatCoin Token</v>
      </c>
    </row>
    <row r="2393">
      <c r="A2393" s="4" t="str">
        <f>IFERROR(__xludf.DUMMYFUNCTION("""COMPUTED_VALUE"""),"catdog")</f>
        <v>catdog</v>
      </c>
      <c r="B2393" s="4" t="str">
        <f>IFERROR(__xludf.DUMMYFUNCTION("""COMPUTED_VALUE"""),"catdog")</f>
        <v>catdog</v>
      </c>
      <c r="C2393" s="4" t="str">
        <f>IFERROR(__xludf.DUMMYFUNCTION("""COMPUTED_VALUE"""),"CATDOG")</f>
        <v>CATDOG</v>
      </c>
    </row>
    <row r="2394">
      <c r="A2394" s="4" t="str">
        <f>IFERROR(__xludf.DUMMYFUNCTION("""COMPUTED_VALUE"""),"catecoin")</f>
        <v>catecoin</v>
      </c>
      <c r="B2394" s="4" t="str">
        <f>IFERROR(__xludf.DUMMYFUNCTION("""COMPUTED_VALUE"""),"cate")</f>
        <v>cate</v>
      </c>
      <c r="C2394" s="4" t="str">
        <f>IFERROR(__xludf.DUMMYFUNCTION("""COMPUTED_VALUE"""),"CateCoin")</f>
        <v>CateCoin</v>
      </c>
    </row>
    <row r="2395">
      <c r="A2395" s="4" t="str">
        <f>IFERROR(__xludf.DUMMYFUNCTION("""COMPUTED_VALUE"""),"catex")</f>
        <v>catex</v>
      </c>
      <c r="B2395" s="4" t="str">
        <f>IFERROR(__xludf.DUMMYFUNCTION("""COMPUTED_VALUE"""),"catex")</f>
        <v>catex</v>
      </c>
      <c r="C2395" s="4" t="str">
        <f>IFERROR(__xludf.DUMMYFUNCTION("""COMPUTED_VALUE"""),"CATEX")</f>
        <v>CATEX</v>
      </c>
    </row>
    <row r="2396">
      <c r="A2396" s="4" t="str">
        <f>IFERROR(__xludf.DUMMYFUNCTION("""COMPUTED_VALUE"""),"catex-token")</f>
        <v>catex-token</v>
      </c>
      <c r="B2396" s="4" t="str">
        <f>IFERROR(__xludf.DUMMYFUNCTION("""COMPUTED_VALUE"""),"catt")</f>
        <v>catt</v>
      </c>
      <c r="C2396" s="4" t="str">
        <f>IFERROR(__xludf.DUMMYFUNCTION("""COMPUTED_VALUE"""),"Catex")</f>
        <v>Catex</v>
      </c>
    </row>
    <row r="2397">
      <c r="A2397" s="4" t="str">
        <f>IFERROR(__xludf.DUMMYFUNCTION("""COMPUTED_VALUE"""),"catfish")</f>
        <v>catfish</v>
      </c>
      <c r="B2397" s="4" t="str">
        <f>IFERROR(__xludf.DUMMYFUNCTION("""COMPUTED_VALUE"""),"catfish")</f>
        <v>catfish</v>
      </c>
      <c r="C2397" s="4" t="str">
        <f>IFERROR(__xludf.DUMMYFUNCTION("""COMPUTED_VALUE"""),"Catfish")</f>
        <v>Catfish</v>
      </c>
    </row>
    <row r="2398">
      <c r="A2398" s="4" t="str">
        <f>IFERROR(__xludf.DUMMYFUNCTION("""COMPUTED_VALUE"""),"catge-coin")</f>
        <v>catge-coin</v>
      </c>
      <c r="B2398" s="4" t="str">
        <f>IFERROR(__xludf.DUMMYFUNCTION("""COMPUTED_VALUE"""),"catge")</f>
        <v>catge</v>
      </c>
      <c r="C2398" s="4" t="str">
        <f>IFERROR(__xludf.DUMMYFUNCTION("""COMPUTED_VALUE"""),"Catge Coin")</f>
        <v>Catge Coin</v>
      </c>
    </row>
    <row r="2399">
      <c r="A2399" s="4" t="str">
        <f>IFERROR(__xludf.DUMMYFUNCTION("""COMPUTED_VALUE"""),"cat-getting-fade")</f>
        <v>cat-getting-fade</v>
      </c>
      <c r="B2399" s="4" t="str">
        <f>IFERROR(__xludf.DUMMYFUNCTION("""COMPUTED_VALUE"""),"cgf")</f>
        <v>cgf</v>
      </c>
      <c r="C2399" s="4" t="str">
        <f>IFERROR(__xludf.DUMMYFUNCTION("""COMPUTED_VALUE"""),"Cat getting fade")</f>
        <v>Cat getting fade</v>
      </c>
    </row>
    <row r="2400">
      <c r="A2400" s="4" t="str">
        <f>IFERROR(__xludf.DUMMYFUNCTION("""COMPUTED_VALUE"""),"catgirl")</f>
        <v>catgirl</v>
      </c>
      <c r="B2400" s="4" t="str">
        <f>IFERROR(__xludf.DUMMYFUNCTION("""COMPUTED_VALUE"""),"catgirl")</f>
        <v>catgirl</v>
      </c>
      <c r="C2400" s="4" t="str">
        <f>IFERROR(__xludf.DUMMYFUNCTION("""COMPUTED_VALUE"""),"Catgirl")</f>
        <v>Catgirl</v>
      </c>
    </row>
    <row r="2401">
      <c r="A2401" s="4" t="str">
        <f>IFERROR(__xludf.DUMMYFUNCTION("""COMPUTED_VALUE"""),"catgirl-optimus")</f>
        <v>catgirl-optimus</v>
      </c>
      <c r="B2401" s="4" t="str">
        <f>IFERROR(__xludf.DUMMYFUNCTION("""COMPUTED_VALUE"""),"optig")</f>
        <v>optig</v>
      </c>
      <c r="C2401" s="4" t="str">
        <f>IFERROR(__xludf.DUMMYFUNCTION("""COMPUTED_VALUE"""),"Catgirl Optimus")</f>
        <v>Catgirl Optimus</v>
      </c>
    </row>
    <row r="2402">
      <c r="A2402" s="4" t="str">
        <f>IFERROR(__xludf.DUMMYFUNCTION("""COMPUTED_VALUE"""),"cathena-gold")</f>
        <v>cathena-gold</v>
      </c>
      <c r="B2402" s="4" t="str">
        <f>IFERROR(__xludf.DUMMYFUNCTION("""COMPUTED_VALUE"""),"cgo")</f>
        <v>cgo</v>
      </c>
      <c r="C2402" s="4" t="str">
        <f>IFERROR(__xludf.DUMMYFUNCTION("""COMPUTED_VALUE"""),"Cathena Gold")</f>
        <v>Cathena Gold</v>
      </c>
    </row>
    <row r="2403">
      <c r="A2403" s="4" t="str">
        <f>IFERROR(__xludf.DUMMYFUNCTION("""COMPUTED_VALUE"""),"catheon-gaming")</f>
        <v>catheon-gaming</v>
      </c>
      <c r="B2403" s="4" t="str">
        <f>IFERROR(__xludf.DUMMYFUNCTION("""COMPUTED_VALUE"""),"catheon")</f>
        <v>catheon</v>
      </c>
      <c r="C2403" s="4" t="str">
        <f>IFERROR(__xludf.DUMMYFUNCTION("""COMPUTED_VALUE"""),"Catheon Gaming")</f>
        <v>Catheon Gaming</v>
      </c>
    </row>
    <row r="2404">
      <c r="A2404" s="4" t="str">
        <f>IFERROR(__xludf.DUMMYFUNCTION("""COMPUTED_VALUE"""),"cat-in-a-box-ether")</f>
        <v>cat-in-a-box-ether</v>
      </c>
      <c r="B2404" s="4" t="str">
        <f>IFERROR(__xludf.DUMMYFUNCTION("""COMPUTED_VALUE"""),"boxeth")</f>
        <v>boxeth</v>
      </c>
      <c r="C2404" s="4" t="str">
        <f>IFERROR(__xludf.DUMMYFUNCTION("""COMPUTED_VALUE"""),"Cat-in-a-Box Ether")</f>
        <v>Cat-in-a-Box Ether</v>
      </c>
    </row>
    <row r="2405">
      <c r="A2405" s="4" t="str">
        <f>IFERROR(__xludf.DUMMYFUNCTION("""COMPUTED_VALUE"""),"cat-in-a-box-fee-token")</f>
        <v>cat-in-a-box-fee-token</v>
      </c>
      <c r="B2405" s="4" t="str">
        <f>IFERROR(__xludf.DUMMYFUNCTION("""COMPUTED_VALUE"""),"boxfee")</f>
        <v>boxfee</v>
      </c>
      <c r="C2405" s="4" t="str">
        <f>IFERROR(__xludf.DUMMYFUNCTION("""COMPUTED_VALUE"""),"Cat-in-a-Box Fee Token")</f>
        <v>Cat-in-a-Box Fee Token</v>
      </c>
    </row>
    <row r="2406">
      <c r="A2406" s="4" t="str">
        <f>IFERROR(__xludf.DUMMYFUNCTION("""COMPUTED_VALUE"""),"cat-in-a-dogs-world")</f>
        <v>cat-in-a-dogs-world</v>
      </c>
      <c r="B2406" s="4" t="str">
        <f>IFERROR(__xludf.DUMMYFUNCTION("""COMPUTED_VALUE"""),"mew")</f>
        <v>mew</v>
      </c>
      <c r="C2406" s="4" t="str">
        <f>IFERROR(__xludf.DUMMYFUNCTION("""COMPUTED_VALUE"""),"cat in a dogs world")</f>
        <v>cat in a dogs world</v>
      </c>
    </row>
    <row r="2407">
      <c r="A2407" s="4" t="str">
        <f>IFERROR(__xludf.DUMMYFUNCTION("""COMPUTED_VALUE"""),"catino")</f>
        <v>catino</v>
      </c>
      <c r="B2407" s="4" t="str">
        <f>IFERROR(__xludf.DUMMYFUNCTION("""COMPUTED_VALUE"""),"catino")</f>
        <v>catino</v>
      </c>
      <c r="C2407" s="4" t="str">
        <f>IFERROR(__xludf.DUMMYFUNCTION("""COMPUTED_VALUE"""),"Catino")</f>
        <v>Catino</v>
      </c>
    </row>
    <row r="2408">
      <c r="A2408" s="4" t="str">
        <f>IFERROR(__xludf.DUMMYFUNCTION("""COMPUTED_VALUE"""),"cat-inu")</f>
        <v>cat-inu</v>
      </c>
      <c r="B2408" s="4" t="str">
        <f>IFERROR(__xludf.DUMMYFUNCTION("""COMPUTED_VALUE"""),"cat")</f>
        <v>cat</v>
      </c>
      <c r="C2408" s="4" t="str">
        <f>IFERROR(__xludf.DUMMYFUNCTION("""COMPUTED_VALUE"""),"CAT INU")</f>
        <v>CAT INU</v>
      </c>
    </row>
    <row r="2409">
      <c r="A2409" s="4" t="str">
        <f>IFERROR(__xludf.DUMMYFUNCTION("""COMPUTED_VALUE"""),"catman")</f>
        <v>catman</v>
      </c>
      <c r="B2409" s="4" t="str">
        <f>IFERROR(__xludf.DUMMYFUNCTION("""COMPUTED_VALUE"""),"catman")</f>
        <v>catman</v>
      </c>
      <c r="C2409" s="4" t="str">
        <f>IFERROR(__xludf.DUMMYFUNCTION("""COMPUTED_VALUE"""),"Catman")</f>
        <v>Catman</v>
      </c>
    </row>
    <row r="2410">
      <c r="A2410" s="4" t="str">
        <f>IFERROR(__xludf.DUMMYFUNCTION("""COMPUTED_VALUE"""),"cat-mouse")</f>
        <v>cat-mouse</v>
      </c>
      <c r="B2410" s="4" t="str">
        <f>IFERROR(__xludf.DUMMYFUNCTION("""COMPUTED_VALUE"""),"catmouse")</f>
        <v>catmouse</v>
      </c>
      <c r="C2410" s="4" t="str">
        <f>IFERROR(__xludf.DUMMYFUNCTION("""COMPUTED_VALUE"""),"Cat &amp; Mouse")</f>
        <v>Cat &amp; Mouse</v>
      </c>
    </row>
    <row r="2411">
      <c r="A2411" s="4" t="str">
        <f>IFERROR(__xludf.DUMMYFUNCTION("""COMPUTED_VALUE"""),"cato")</f>
        <v>cato</v>
      </c>
      <c r="B2411" s="4" t="str">
        <f>IFERROR(__xludf.DUMMYFUNCTION("""COMPUTED_VALUE"""),"cato")</f>
        <v>cato</v>
      </c>
      <c r="C2411" s="4" t="str">
        <f>IFERROR(__xludf.DUMMYFUNCTION("""COMPUTED_VALUE"""),"CATO")</f>
        <v>CATO</v>
      </c>
    </row>
    <row r="2412">
      <c r="A2412" s="4" t="str">
        <f>IFERROR(__xludf.DUMMYFUNCTION("""COMPUTED_VALUE"""),"catocoin")</f>
        <v>catocoin</v>
      </c>
      <c r="B2412" s="4" t="str">
        <f>IFERROR(__xludf.DUMMYFUNCTION("""COMPUTED_VALUE"""),"cato")</f>
        <v>cato</v>
      </c>
      <c r="C2412" s="4" t="str">
        <f>IFERROR(__xludf.DUMMYFUNCTION("""COMPUTED_VALUE"""),"CatoCoin")</f>
        <v>CatoCoin</v>
      </c>
    </row>
    <row r="2413">
      <c r="A2413" s="4" t="str">
        <f>IFERROR(__xludf.DUMMYFUNCTION("""COMPUTED_VALUE"""),"cat-of-elon")</f>
        <v>cat-of-elon</v>
      </c>
      <c r="B2413" s="4" t="str">
        <f>IFERROR(__xludf.DUMMYFUNCTION("""COMPUTED_VALUE"""),"eloncat")</f>
        <v>eloncat</v>
      </c>
      <c r="C2413" s="4" t="str">
        <f>IFERROR(__xludf.DUMMYFUNCTION("""COMPUTED_VALUE"""),"Cat of ELON")</f>
        <v>Cat of ELON</v>
      </c>
    </row>
    <row r="2414">
      <c r="A2414" s="4" t="str">
        <f>IFERROR(__xludf.DUMMYFUNCTION("""COMPUTED_VALUE"""),"catpay")</f>
        <v>catpay</v>
      </c>
      <c r="B2414" s="4" t="str">
        <f>IFERROR(__xludf.DUMMYFUNCTION("""COMPUTED_VALUE"""),"catpay")</f>
        <v>catpay</v>
      </c>
      <c r="C2414" s="4" t="str">
        <f>IFERROR(__xludf.DUMMYFUNCTION("""COMPUTED_VALUE"""),"CATpay")</f>
        <v>CATpay</v>
      </c>
    </row>
    <row r="2415">
      <c r="A2415" s="4" t="str">
        <f>IFERROR(__xludf.DUMMYFUNCTION("""COMPUTED_VALUE"""),"catsapes")</f>
        <v>catsapes</v>
      </c>
      <c r="B2415" s="4" t="str">
        <f>IFERROR(__xludf.DUMMYFUNCTION("""COMPUTED_VALUE"""),"cats")</f>
        <v>cats</v>
      </c>
      <c r="C2415" s="4" t="str">
        <f>IFERROR(__xludf.DUMMYFUNCTION("""COMPUTED_VALUE"""),"CatsApes")</f>
        <v>CatsApes</v>
      </c>
    </row>
    <row r="2416">
      <c r="A2416" s="4" t="str">
        <f>IFERROR(__xludf.DUMMYFUNCTION("""COMPUTED_VALUE"""),"catscoin")</f>
        <v>catscoin</v>
      </c>
      <c r="B2416" s="4" t="str">
        <f>IFERROR(__xludf.DUMMYFUNCTION("""COMPUTED_VALUE"""),"cats")</f>
        <v>cats</v>
      </c>
      <c r="C2416" s="4" t="str">
        <f>IFERROR(__xludf.DUMMYFUNCTION("""COMPUTED_VALUE"""),"Catscoin")</f>
        <v>Catscoin</v>
      </c>
    </row>
    <row r="2417">
      <c r="A2417" s="4" t="str">
        <f>IFERROR(__xludf.DUMMYFUNCTION("""COMPUTED_VALUE"""),"cats-coin-1722f9f2-68f8-4ad8-a123-2835ea18abc5")</f>
        <v>cats-coin-1722f9f2-68f8-4ad8-a123-2835ea18abc5</v>
      </c>
      <c r="B2417" s="4" t="str">
        <f>IFERROR(__xludf.DUMMYFUNCTION("""COMPUTED_VALUE"""),"cts")</f>
        <v>cts</v>
      </c>
      <c r="C2417" s="4" t="str">
        <f>IFERROR(__xludf.DUMMYFUNCTION("""COMPUTED_VALUE"""),"Cats Coin (BSC)")</f>
        <v>Cats Coin (BSC)</v>
      </c>
    </row>
    <row r="2418">
      <c r="A2418" s="4" t="str">
        <f>IFERROR(__xludf.DUMMYFUNCTION("""COMPUTED_VALUE"""),"catscoin-2")</f>
        <v>catscoin-2</v>
      </c>
      <c r="B2418" s="4" t="str">
        <f>IFERROR(__xludf.DUMMYFUNCTION("""COMPUTED_VALUE"""),"cats")</f>
        <v>cats</v>
      </c>
      <c r="C2418" s="4" t="str">
        <f>IFERROR(__xludf.DUMMYFUNCTION("""COMPUTED_VALUE"""),"Catscoin")</f>
        <v>Catscoin</v>
      </c>
    </row>
    <row r="2419">
      <c r="A2419" s="4" t="str">
        <f>IFERROR(__xludf.DUMMYFUNCTION("""COMPUTED_VALUE"""),"cats-of-sol")</f>
        <v>cats-of-sol</v>
      </c>
      <c r="B2419" s="4" t="str">
        <f>IFERROR(__xludf.DUMMYFUNCTION("""COMPUTED_VALUE"""),"cos")</f>
        <v>cos</v>
      </c>
      <c r="C2419" s="4" t="str">
        <f>IFERROR(__xludf.DUMMYFUNCTION("""COMPUTED_VALUE"""),"Cats Of Sol")</f>
        <v>Cats Of Sol</v>
      </c>
    </row>
    <row r="2420">
      <c r="A2420" s="4" t="str">
        <f>IFERROR(__xludf.DUMMYFUNCTION("""COMPUTED_VALUE"""),"cat-token")</f>
        <v>cat-token</v>
      </c>
      <c r="B2420" s="4" t="str">
        <f>IFERROR(__xludf.DUMMYFUNCTION("""COMPUTED_VALUE"""),"cat")</f>
        <v>cat</v>
      </c>
      <c r="C2420" s="4" t="str">
        <f>IFERROR(__xludf.DUMMYFUNCTION("""COMPUTED_VALUE"""),"Mooncat CAT")</f>
        <v>Mooncat CAT</v>
      </c>
    </row>
    <row r="2421">
      <c r="A2421" s="4" t="str">
        <f>IFERROR(__xludf.DUMMYFUNCTION("""COMPUTED_VALUE"""),"catvax")</f>
        <v>catvax</v>
      </c>
      <c r="B2421" s="4" t="str">
        <f>IFERROR(__xludf.DUMMYFUNCTION("""COMPUTED_VALUE"""),"catvax")</f>
        <v>catvax</v>
      </c>
      <c r="C2421" s="4" t="str">
        <f>IFERROR(__xludf.DUMMYFUNCTION("""COMPUTED_VALUE"""),"Catvax")</f>
        <v>Catvax</v>
      </c>
    </row>
    <row r="2422">
      <c r="A2422" s="4" t="str">
        <f>IFERROR(__xludf.DUMMYFUNCTION("""COMPUTED_VALUE"""),"catwifbag")</f>
        <v>catwifbag</v>
      </c>
      <c r="B2422" s="4" t="str">
        <f>IFERROR(__xludf.DUMMYFUNCTION("""COMPUTED_VALUE"""),"bag")</f>
        <v>bag</v>
      </c>
      <c r="C2422" s="4" t="str">
        <f>IFERROR(__xludf.DUMMYFUNCTION("""COMPUTED_VALUE"""),"catwifbag")</f>
        <v>catwifbag</v>
      </c>
    </row>
    <row r="2423">
      <c r="A2423" s="4" t="str">
        <f>IFERROR(__xludf.DUMMYFUNCTION("""COMPUTED_VALUE"""),"cat-wif-hands")</f>
        <v>cat-wif-hands</v>
      </c>
      <c r="B2423" s="4" t="str">
        <f>IFERROR(__xludf.DUMMYFUNCTION("""COMPUTED_VALUE"""),"catwif")</f>
        <v>catwif</v>
      </c>
      <c r="C2423" s="4" t="str">
        <f>IFERROR(__xludf.DUMMYFUNCTION("""COMPUTED_VALUE"""),"Cat Wif Hands")</f>
        <v>Cat Wif Hands</v>
      </c>
    </row>
    <row r="2424">
      <c r="A2424" s="4" t="str">
        <f>IFERROR(__xludf.DUMMYFUNCTION("""COMPUTED_VALUE"""),"catwifhat")</f>
        <v>catwifhat</v>
      </c>
      <c r="B2424" s="4" t="str">
        <f>IFERROR(__xludf.DUMMYFUNCTION("""COMPUTED_VALUE"""),"cif")</f>
        <v>cif</v>
      </c>
      <c r="C2424" s="4" t="str">
        <f>IFERROR(__xludf.DUMMYFUNCTION("""COMPUTED_VALUE"""),"CatwifHat")</f>
        <v>CatwifHat</v>
      </c>
    </row>
    <row r="2425">
      <c r="A2425" s="4" t="str">
        <f>IFERROR(__xludf.DUMMYFUNCTION("""COMPUTED_VALUE"""),"catwifhat-2")</f>
        <v>catwifhat-2</v>
      </c>
      <c r="B2425" s="4" t="str">
        <f>IFERROR(__xludf.DUMMYFUNCTION("""COMPUTED_VALUE"""),"$cwif")</f>
        <v>$cwif</v>
      </c>
      <c r="C2425" s="4" t="str">
        <f>IFERROR(__xludf.DUMMYFUNCTION("""COMPUTED_VALUE"""),"catwifhat")</f>
        <v>catwifhat</v>
      </c>
    </row>
    <row r="2426">
      <c r="A2426" s="4" t="str">
        <f>IFERROR(__xludf.DUMMYFUNCTION("""COMPUTED_VALUE"""),"catwifhat-3")</f>
        <v>catwifhat-3</v>
      </c>
      <c r="B2426" s="4" t="str">
        <f>IFERROR(__xludf.DUMMYFUNCTION("""COMPUTED_VALUE"""),"catwif")</f>
        <v>catwif</v>
      </c>
      <c r="C2426" s="4" t="str">
        <f>IFERROR(__xludf.DUMMYFUNCTION("""COMPUTED_VALUE"""),"CatWifHat")</f>
        <v>CatWifHat</v>
      </c>
    </row>
    <row r="2427">
      <c r="A2427" s="4" t="str">
        <f>IFERROR(__xludf.DUMMYFUNCTION("""COMPUTED_VALUE"""),"catwifmelon")</f>
        <v>catwifmelon</v>
      </c>
      <c r="B2427" s="4" t="str">
        <f>IFERROR(__xludf.DUMMYFUNCTION("""COMPUTED_VALUE"""),"melon")</f>
        <v>melon</v>
      </c>
      <c r="C2427" s="4" t="str">
        <f>IFERROR(__xludf.DUMMYFUNCTION("""COMPUTED_VALUE"""),"CATWIFMELON")</f>
        <v>CATWIFMELON</v>
      </c>
    </row>
    <row r="2428">
      <c r="A2428" s="4" t="str">
        <f>IFERROR(__xludf.DUMMYFUNCTION("""COMPUTED_VALUE"""),"catzcoin")</f>
        <v>catzcoin</v>
      </c>
      <c r="B2428" s="4" t="str">
        <f>IFERROR(__xludf.DUMMYFUNCTION("""COMPUTED_VALUE"""),"catz")</f>
        <v>catz</v>
      </c>
      <c r="C2428" s="4" t="str">
        <f>IFERROR(__xludf.DUMMYFUNCTION("""COMPUTED_VALUE"""),"CatzCoin")</f>
        <v>CatzCoin</v>
      </c>
    </row>
    <row r="2429">
      <c r="A2429" s="4" t="str">
        <f>IFERROR(__xludf.DUMMYFUNCTION("""COMPUTED_VALUE"""),"cavada")</f>
        <v>cavada</v>
      </c>
      <c r="B2429" s="4" t="str">
        <f>IFERROR(__xludf.DUMMYFUNCTION("""COMPUTED_VALUE"""),"cavada")</f>
        <v>cavada</v>
      </c>
      <c r="C2429" s="4" t="str">
        <f>IFERROR(__xludf.DUMMYFUNCTION("""COMPUTED_VALUE"""),"Cavada")</f>
        <v>Cavada</v>
      </c>
    </row>
    <row r="2430">
      <c r="A2430" s="4" t="str">
        <f>IFERROR(__xludf.DUMMYFUNCTION("""COMPUTED_VALUE"""),"cavatar")</f>
        <v>cavatar</v>
      </c>
      <c r="B2430" s="4" t="str">
        <f>IFERROR(__xludf.DUMMYFUNCTION("""COMPUTED_VALUE"""),"cavat")</f>
        <v>cavat</v>
      </c>
      <c r="C2430" s="4" t="str">
        <f>IFERROR(__xludf.DUMMYFUNCTION("""COMPUTED_VALUE"""),"Cavatar")</f>
        <v>Cavatar</v>
      </c>
    </row>
    <row r="2431">
      <c r="A2431" s="4" t="str">
        <f>IFERROR(__xludf.DUMMYFUNCTION("""COMPUTED_VALUE"""),"cave")</f>
        <v>cave</v>
      </c>
      <c r="B2431" s="4" t="str">
        <f>IFERROR(__xludf.DUMMYFUNCTION("""COMPUTED_VALUE"""),"cave")</f>
        <v>cave</v>
      </c>
      <c r="C2431" s="4" t="str">
        <f>IFERROR(__xludf.DUMMYFUNCTION("""COMPUTED_VALUE"""),"CaveWorld")</f>
        <v>CaveWorld</v>
      </c>
    </row>
    <row r="2432">
      <c r="A2432" s="4" t="str">
        <f>IFERROR(__xludf.DUMMYFUNCTION("""COMPUTED_VALUE"""),"caviar")</f>
        <v>caviar</v>
      </c>
      <c r="B2432" s="4" t="str">
        <f>IFERROR(__xludf.DUMMYFUNCTION("""COMPUTED_VALUE"""),"cvr")</f>
        <v>cvr</v>
      </c>
      <c r="C2432" s="4" t="str">
        <f>IFERROR(__xludf.DUMMYFUNCTION("""COMPUTED_VALUE"""),"Caviar")</f>
        <v>Caviar</v>
      </c>
    </row>
    <row r="2433">
      <c r="A2433" s="4" t="str">
        <f>IFERROR(__xludf.DUMMYFUNCTION("""COMPUTED_VALUE"""),"caviar-2")</f>
        <v>caviar-2</v>
      </c>
      <c r="B2433" s="4" t="str">
        <f>IFERROR(__xludf.DUMMYFUNCTION("""COMPUTED_VALUE"""),"caviar")</f>
        <v>caviar</v>
      </c>
      <c r="C2433" s="4" t="str">
        <f>IFERROR(__xludf.DUMMYFUNCTION("""COMPUTED_VALUE"""),"CAVIAR")</f>
        <v>CAVIAR</v>
      </c>
    </row>
    <row r="2434">
      <c r="A2434" s="4" t="str">
        <f>IFERROR(__xludf.DUMMYFUNCTION("""COMPUTED_VALUE"""),"caviarnine-lsu-pool-lp")</f>
        <v>caviarnine-lsu-pool-lp</v>
      </c>
      <c r="B2434" s="4" t="str">
        <f>IFERROR(__xludf.DUMMYFUNCTION("""COMPUTED_VALUE"""),"lsulp")</f>
        <v>lsulp</v>
      </c>
      <c r="C2434" s="4" t="str">
        <f>IFERROR(__xludf.DUMMYFUNCTION("""COMPUTED_VALUE"""),"CaviarNine LSU Pool LP")</f>
        <v>CaviarNine LSU Pool LP</v>
      </c>
    </row>
    <row r="2435">
      <c r="A2435" s="4" t="str">
        <f>IFERROR(__xludf.DUMMYFUNCTION("""COMPUTED_VALUE"""),"caw-ceo")</f>
        <v>caw-ceo</v>
      </c>
      <c r="B2435" s="4" t="str">
        <f>IFERROR(__xludf.DUMMYFUNCTION("""COMPUTED_VALUE"""),"cawceo")</f>
        <v>cawceo</v>
      </c>
      <c r="C2435" s="4" t="str">
        <f>IFERROR(__xludf.DUMMYFUNCTION("""COMPUTED_VALUE"""),"Caw CEO")</f>
        <v>Caw CEO</v>
      </c>
    </row>
    <row r="2436">
      <c r="A2436" s="4" t="str">
        <f>IFERROR(__xludf.DUMMYFUNCTION("""COMPUTED_VALUE"""),"cbdc")</f>
        <v>cbdc</v>
      </c>
      <c r="B2436" s="4" t="str">
        <f>IFERROR(__xludf.DUMMYFUNCTION("""COMPUTED_VALUE"""),"cbdc")</f>
        <v>cbdc</v>
      </c>
      <c r="C2436" s="4" t="str">
        <f>IFERROR(__xludf.DUMMYFUNCTION("""COMPUTED_VALUE"""),"CBDC")</f>
        <v>CBDC</v>
      </c>
    </row>
    <row r="2437">
      <c r="A2437" s="4" t="str">
        <f>IFERROR(__xludf.DUMMYFUNCTION("""COMPUTED_VALUE"""),"cbdx")</f>
        <v>cbdx</v>
      </c>
      <c r="B2437" s="4" t="str">
        <f>IFERROR(__xludf.DUMMYFUNCTION("""COMPUTED_VALUE"""),"cbdx")</f>
        <v>cbdx</v>
      </c>
      <c r="C2437" s="4" t="str">
        <f>IFERROR(__xludf.DUMMYFUNCTION("""COMPUTED_VALUE"""),"CBDX (Ordinals)")</f>
        <v>CBDX (Ordinals)</v>
      </c>
    </row>
    <row r="2438">
      <c r="A2438" s="4" t="str">
        <f>IFERROR(__xludf.DUMMYFUNCTION("""COMPUTED_VALUE"""),"cbyte-network")</f>
        <v>cbyte-network</v>
      </c>
      <c r="B2438" s="4" t="str">
        <f>IFERROR(__xludf.DUMMYFUNCTION("""COMPUTED_VALUE"""),"cbyte")</f>
        <v>cbyte</v>
      </c>
      <c r="C2438" s="4" t="str">
        <f>IFERROR(__xludf.DUMMYFUNCTION("""COMPUTED_VALUE"""),"CBYTE Network")</f>
        <v>CBYTE Network</v>
      </c>
    </row>
    <row r="2439">
      <c r="A2439" s="4" t="str">
        <f>IFERROR(__xludf.DUMMYFUNCTION("""COMPUTED_VALUE"""),"cca")</f>
        <v>cca</v>
      </c>
      <c r="B2439" s="4" t="str">
        <f>IFERROR(__xludf.DUMMYFUNCTION("""COMPUTED_VALUE"""),"cca")</f>
        <v>cca</v>
      </c>
      <c r="C2439" s="4" t="str">
        <f>IFERROR(__xludf.DUMMYFUNCTION("""COMPUTED_VALUE"""),"CCA")</f>
        <v>CCA</v>
      </c>
    </row>
    <row r="2440">
      <c r="A2440" s="4" t="str">
        <f>IFERROR(__xludf.DUMMYFUNCTION("""COMPUTED_VALUE"""),"c-cash")</f>
        <v>c-cash</v>
      </c>
      <c r="B2440" s="4" t="str">
        <f>IFERROR(__xludf.DUMMYFUNCTION("""COMPUTED_VALUE"""),"ccash")</f>
        <v>ccash</v>
      </c>
      <c r="C2440" s="4" t="str">
        <f>IFERROR(__xludf.DUMMYFUNCTION("""COMPUTED_VALUE"""),"C-Cash")</f>
        <v>C-Cash</v>
      </c>
    </row>
    <row r="2441">
      <c r="A2441" s="4" t="str">
        <f>IFERROR(__xludf.DUMMYFUNCTION("""COMPUTED_VALUE"""),"ccb")</f>
        <v>ccb</v>
      </c>
      <c r="B2441" s="4" t="str">
        <f>IFERROR(__xludf.DUMMYFUNCTION("""COMPUTED_VALUE"""),"鸡鸡币 (ccb)")</f>
        <v>鸡鸡币 (ccb)</v>
      </c>
      <c r="C2441" s="4" t="str">
        <f>IFERROR(__xludf.DUMMYFUNCTION("""COMPUTED_VALUE"""),"$CCB 鸡鸡币")</f>
        <v>$CCB 鸡鸡币</v>
      </c>
    </row>
    <row r="2442">
      <c r="A2442" s="4" t="str">
        <f>IFERROR(__xludf.DUMMYFUNCTION("""COMPUTED_VALUE"""),"ccc-protocol")</f>
        <v>ccc-protocol</v>
      </c>
      <c r="B2442" s="4" t="str">
        <f>IFERROR(__xludf.DUMMYFUNCTION("""COMPUTED_VALUE"""),"ccc")</f>
        <v>ccc</v>
      </c>
      <c r="C2442" s="4" t="str">
        <f>IFERROR(__xludf.DUMMYFUNCTION("""COMPUTED_VALUE"""),"CCC Protocol")</f>
        <v>CCC Protocol</v>
      </c>
    </row>
    <row r="2443">
      <c r="A2443" s="4" t="str">
        <f>IFERROR(__xludf.DUMMYFUNCTION("""COMPUTED_VALUE"""),"ccgds")</f>
        <v>ccgds</v>
      </c>
      <c r="B2443" s="4" t="str">
        <f>IFERROR(__xludf.DUMMYFUNCTION("""COMPUTED_VALUE"""),"ccgds")</f>
        <v>ccgds</v>
      </c>
      <c r="C2443" s="4" t="str">
        <f>IFERROR(__xludf.DUMMYFUNCTION("""COMPUTED_VALUE"""),"CCGDS")</f>
        <v>CCGDS</v>
      </c>
    </row>
    <row r="2444">
      <c r="A2444" s="4" t="str">
        <f>IFERROR(__xludf.DUMMYFUNCTION("""COMPUTED_VALUE"""),"c-charge")</f>
        <v>c-charge</v>
      </c>
      <c r="B2444" s="4" t="str">
        <f>IFERROR(__xludf.DUMMYFUNCTION("""COMPUTED_VALUE"""),"cchg")</f>
        <v>cchg</v>
      </c>
      <c r="C2444" s="4" t="str">
        <f>IFERROR(__xludf.DUMMYFUNCTION("""COMPUTED_VALUE"""),"C+Charge")</f>
        <v>C+Charge</v>
      </c>
    </row>
    <row r="2445">
      <c r="A2445" s="4" t="str">
        <f>IFERROR(__xludf.DUMMYFUNCTION("""COMPUTED_VALUE"""),"ccomp")</f>
        <v>ccomp</v>
      </c>
      <c r="B2445" s="4" t="str">
        <f>IFERROR(__xludf.DUMMYFUNCTION("""COMPUTED_VALUE"""),"ccomp")</f>
        <v>ccomp</v>
      </c>
      <c r="C2445" s="4" t="str">
        <f>IFERROR(__xludf.DUMMYFUNCTION("""COMPUTED_VALUE"""),"cCOMP")</f>
        <v>cCOMP</v>
      </c>
    </row>
    <row r="2446">
      <c r="A2446" s="4" t="str">
        <f>IFERROR(__xludf.DUMMYFUNCTION("""COMPUTED_VALUE"""),"ccore")</f>
        <v>ccore</v>
      </c>
      <c r="B2446" s="4" t="str">
        <f>IFERROR(__xludf.DUMMYFUNCTION("""COMPUTED_VALUE"""),"cco")</f>
        <v>cco</v>
      </c>
      <c r="C2446" s="4" t="str">
        <f>IFERROR(__xludf.DUMMYFUNCTION("""COMPUTED_VALUE"""),"Ccore")</f>
        <v>Ccore</v>
      </c>
    </row>
    <row r="2447">
      <c r="A2447" s="4" t="str">
        <f>IFERROR(__xludf.DUMMYFUNCTION("""COMPUTED_VALUE"""),"ccqkl")</f>
        <v>ccqkl</v>
      </c>
      <c r="B2447" s="4" t="str">
        <f>IFERROR(__xludf.DUMMYFUNCTION("""COMPUTED_VALUE"""),"cc")</f>
        <v>cc</v>
      </c>
      <c r="C2447" s="4" t="str">
        <f>IFERROR(__xludf.DUMMYFUNCTION("""COMPUTED_VALUE"""),"CCQKL")</f>
        <v>CCQKL</v>
      </c>
    </row>
    <row r="2448">
      <c r="A2448" s="4" t="str">
        <f>IFERROR(__xludf.DUMMYFUNCTION("""COMPUTED_VALUE"""),"cdai")</f>
        <v>cdai</v>
      </c>
      <c r="B2448" s="4" t="str">
        <f>IFERROR(__xludf.DUMMYFUNCTION("""COMPUTED_VALUE"""),"cdai")</f>
        <v>cdai</v>
      </c>
      <c r="C2448" s="4" t="str">
        <f>IFERROR(__xludf.DUMMYFUNCTION("""COMPUTED_VALUE"""),"cDAI")</f>
        <v>cDAI</v>
      </c>
    </row>
    <row r="2449">
      <c r="A2449" s="4" t="str">
        <f>IFERROR(__xludf.DUMMYFUNCTION("""COMPUTED_VALUE"""),"cdao")</f>
        <v>cdao</v>
      </c>
      <c r="B2449" s="4" t="str">
        <f>IFERROR(__xludf.DUMMYFUNCTION("""COMPUTED_VALUE"""),"cdao")</f>
        <v>cdao</v>
      </c>
      <c r="C2449" s="4" t="str">
        <f>IFERROR(__xludf.DUMMYFUNCTION("""COMPUTED_VALUE"""),"cDAO")</f>
        <v>cDAO</v>
      </c>
    </row>
    <row r="2450">
      <c r="A2450" s="4" t="str">
        <f>IFERROR(__xludf.DUMMYFUNCTION("""COMPUTED_VALUE"""),"cdbio")</f>
        <v>cdbio</v>
      </c>
      <c r="B2450" s="4" t="str">
        <f>IFERROR(__xludf.DUMMYFUNCTION("""COMPUTED_VALUE"""),"mcd")</f>
        <v>mcd</v>
      </c>
      <c r="C2450" s="4" t="str">
        <f>IFERROR(__xludf.DUMMYFUNCTION("""COMPUTED_VALUE"""),"CDbio")</f>
        <v>CDbio</v>
      </c>
    </row>
    <row r="2451">
      <c r="A2451" s="4" t="str">
        <f>IFERROR(__xludf.DUMMYFUNCTION("""COMPUTED_VALUE"""),"ceasports")</f>
        <v>ceasports</v>
      </c>
      <c r="B2451" s="4" t="str">
        <f>IFERROR(__xludf.DUMMYFUNCTION("""COMPUTED_VALUE"""),"cspt")</f>
        <v>cspt</v>
      </c>
      <c r="C2451" s="4" t="str">
        <f>IFERROR(__xludf.DUMMYFUNCTION("""COMPUTED_VALUE"""),"CEASports")</f>
        <v>CEASports</v>
      </c>
    </row>
    <row r="2452">
      <c r="A2452" s="4" t="str">
        <f>IFERROR(__xludf.DUMMYFUNCTION("""COMPUTED_VALUE"""),"cebiolabs")</f>
        <v>cebiolabs</v>
      </c>
      <c r="B2452" s="4" t="str">
        <f>IFERROR(__xludf.DUMMYFUNCTION("""COMPUTED_VALUE"""),"cbsl")</f>
        <v>cbsl</v>
      </c>
      <c r="C2452" s="4" t="str">
        <f>IFERROR(__xludf.DUMMYFUNCTION("""COMPUTED_VALUE"""),"CeBioLabs")</f>
        <v>CeBioLabs</v>
      </c>
    </row>
    <row r="2453">
      <c r="A2453" s="4" t="str">
        <f>IFERROR(__xludf.DUMMYFUNCTION("""COMPUTED_VALUE"""),"cedefiai")</f>
        <v>cedefiai</v>
      </c>
      <c r="B2453" s="4" t="str">
        <f>IFERROR(__xludf.DUMMYFUNCTION("""COMPUTED_VALUE"""),"cdfi")</f>
        <v>cdfi</v>
      </c>
      <c r="C2453" s="4" t="str">
        <f>IFERROR(__xludf.DUMMYFUNCTION("""COMPUTED_VALUE"""),"CeDeFiAi")</f>
        <v>CeDeFiAi</v>
      </c>
    </row>
    <row r="2454">
      <c r="A2454" s="4" t="str">
        <f>IFERROR(__xludf.DUMMYFUNCTION("""COMPUTED_VALUE"""),"ceek")</f>
        <v>ceek</v>
      </c>
      <c r="B2454" s="4" t="str">
        <f>IFERROR(__xludf.DUMMYFUNCTION("""COMPUTED_VALUE"""),"ceek")</f>
        <v>ceek</v>
      </c>
      <c r="C2454" s="4" t="str">
        <f>IFERROR(__xludf.DUMMYFUNCTION("""COMPUTED_VALUE"""),"CEEK Smart VR")</f>
        <v>CEEK Smart VR</v>
      </c>
    </row>
    <row r="2455">
      <c r="A2455" s="4" t="str">
        <f>IFERROR(__xludf.DUMMYFUNCTION("""COMPUTED_VALUE"""),"ceiling-cat")</f>
        <v>ceiling-cat</v>
      </c>
      <c r="B2455" s="4" t="str">
        <f>IFERROR(__xludf.DUMMYFUNCTION("""COMPUTED_VALUE"""),"ceicat")</f>
        <v>ceicat</v>
      </c>
      <c r="C2455" s="4" t="str">
        <f>IFERROR(__xludf.DUMMYFUNCTION("""COMPUTED_VALUE"""),"Ceiling Cat")</f>
        <v>Ceiling Cat</v>
      </c>
    </row>
    <row r="2456">
      <c r="A2456" s="4" t="str">
        <f>IFERROR(__xludf.DUMMYFUNCTION("""COMPUTED_VALUE"""),"ceji")</f>
        <v>ceji</v>
      </c>
      <c r="B2456" s="4" t="str">
        <f>IFERROR(__xludf.DUMMYFUNCTION("""COMPUTED_VALUE"""),"ceji")</f>
        <v>ceji</v>
      </c>
      <c r="C2456" s="4" t="str">
        <f>IFERROR(__xludf.DUMMYFUNCTION("""COMPUTED_VALUE"""),"Ceji")</f>
        <v>Ceji</v>
      </c>
    </row>
    <row r="2457">
      <c r="A2457" s="4" t="str">
        <f>IFERROR(__xludf.DUMMYFUNCTION("""COMPUTED_VALUE"""),"cekke-cronje")</f>
        <v>cekke-cronje</v>
      </c>
      <c r="B2457" s="4" t="str">
        <f>IFERROR(__xludf.DUMMYFUNCTION("""COMPUTED_VALUE"""),"cekke")</f>
        <v>cekke</v>
      </c>
      <c r="C2457" s="4" t="str">
        <f>IFERROR(__xludf.DUMMYFUNCTION("""COMPUTED_VALUE"""),"Cekke Cronje")</f>
        <v>Cekke Cronje</v>
      </c>
    </row>
    <row r="2458">
      <c r="A2458" s="4" t="str">
        <f>IFERROR(__xludf.DUMMYFUNCTION("""COMPUTED_VALUE"""),"celer-bridged-busd-zksync")</f>
        <v>celer-bridged-busd-zksync</v>
      </c>
      <c r="B2458" s="4" t="str">
        <f>IFERROR(__xludf.DUMMYFUNCTION("""COMPUTED_VALUE"""),"busd")</f>
        <v>busd</v>
      </c>
      <c r="C2458" s="4" t="str">
        <f>IFERROR(__xludf.DUMMYFUNCTION("""COMPUTED_VALUE"""),"Celer Bridged BUSD (zkSync)")</f>
        <v>Celer Bridged BUSD (zkSync)</v>
      </c>
    </row>
    <row r="2459">
      <c r="A2459" s="4" t="str">
        <f>IFERROR(__xludf.DUMMYFUNCTION("""COMPUTED_VALUE"""),"celer-bridged-usdc-astar")</f>
        <v>celer-bridged-usdc-astar</v>
      </c>
      <c r="B2459" s="4" t="str">
        <f>IFERROR(__xludf.DUMMYFUNCTION("""COMPUTED_VALUE"""),"usdc")</f>
        <v>usdc</v>
      </c>
      <c r="C2459" s="4" t="str">
        <f>IFERROR(__xludf.DUMMYFUNCTION("""COMPUTED_VALUE"""),"Celer Bridged USDC (Astar)")</f>
        <v>Celer Bridged USDC (Astar)</v>
      </c>
    </row>
    <row r="2460">
      <c r="A2460" s="4" t="str">
        <f>IFERROR(__xludf.DUMMYFUNCTION("""COMPUTED_VALUE"""),"celer-bridged-usdc-conflux")</f>
        <v>celer-bridged-usdc-conflux</v>
      </c>
      <c r="B2460" s="4" t="str">
        <f>IFERROR(__xludf.DUMMYFUNCTION("""COMPUTED_VALUE"""),"usdc")</f>
        <v>usdc</v>
      </c>
      <c r="C2460" s="4" t="str">
        <f>IFERROR(__xludf.DUMMYFUNCTION("""COMPUTED_VALUE"""),"Celer Bridged USDC (Conflux)")</f>
        <v>Celer Bridged USDC (Conflux)</v>
      </c>
    </row>
    <row r="2461">
      <c r="A2461" s="4" t="str">
        <f>IFERROR(__xludf.DUMMYFUNCTION("""COMPUTED_VALUE"""),"celer-bridged-usdc-oasys")</f>
        <v>celer-bridged-usdc-oasys</v>
      </c>
      <c r="B2461" s="4" t="str">
        <f>IFERROR(__xludf.DUMMYFUNCTION("""COMPUTED_VALUE"""),"usdc")</f>
        <v>usdc</v>
      </c>
      <c r="C2461" s="4" t="str">
        <f>IFERROR(__xludf.DUMMYFUNCTION("""COMPUTED_VALUE"""),"Celer Bridged USDC (Oasys)")</f>
        <v>Celer Bridged USDC (Oasys)</v>
      </c>
    </row>
    <row r="2462">
      <c r="A2462" s="4" t="str">
        <f>IFERROR(__xludf.DUMMYFUNCTION("""COMPUTED_VALUE"""),"celer-bridged-usdt-astar")</f>
        <v>celer-bridged-usdt-astar</v>
      </c>
      <c r="B2462" s="4" t="str">
        <f>IFERROR(__xludf.DUMMYFUNCTION("""COMPUTED_VALUE"""),"usdc")</f>
        <v>usdc</v>
      </c>
      <c r="C2462" s="4" t="str">
        <f>IFERROR(__xludf.DUMMYFUNCTION("""COMPUTED_VALUE"""),"Celer Bridged USDT (Astar)")</f>
        <v>Celer Bridged USDT (Astar)</v>
      </c>
    </row>
    <row r="2463">
      <c r="A2463" s="4" t="str">
        <f>IFERROR(__xludf.DUMMYFUNCTION("""COMPUTED_VALUE"""),"celer-bridged-usdt-conflux")</f>
        <v>celer-bridged-usdt-conflux</v>
      </c>
      <c r="B2463" s="4" t="str">
        <f>IFERROR(__xludf.DUMMYFUNCTION("""COMPUTED_VALUE"""),"usdt")</f>
        <v>usdt</v>
      </c>
      <c r="C2463" s="4" t="str">
        <f>IFERROR(__xludf.DUMMYFUNCTION("""COMPUTED_VALUE"""),"Celer Bridged USDT (Conflux)")</f>
        <v>Celer Bridged USDT (Conflux)</v>
      </c>
    </row>
    <row r="2464">
      <c r="A2464" s="4" t="str">
        <f>IFERROR(__xludf.DUMMYFUNCTION("""COMPUTED_VALUE"""),"celer-network")</f>
        <v>celer-network</v>
      </c>
      <c r="B2464" s="4" t="str">
        <f>IFERROR(__xludf.DUMMYFUNCTION("""COMPUTED_VALUE"""),"celr")</f>
        <v>celr</v>
      </c>
      <c r="C2464" s="4" t="str">
        <f>IFERROR(__xludf.DUMMYFUNCTION("""COMPUTED_VALUE"""),"Celer Network")</f>
        <v>Celer Network</v>
      </c>
    </row>
    <row r="2465">
      <c r="A2465" s="4" t="str">
        <f>IFERROR(__xludf.DUMMYFUNCTION("""COMPUTED_VALUE"""),"celestia")</f>
        <v>celestia</v>
      </c>
      <c r="B2465" s="4" t="str">
        <f>IFERROR(__xludf.DUMMYFUNCTION("""COMPUTED_VALUE"""),"tia")</f>
        <v>tia</v>
      </c>
      <c r="C2465" s="4" t="str">
        <f>IFERROR(__xludf.DUMMYFUNCTION("""COMPUTED_VALUE"""),"Celestia")</f>
        <v>Celestia</v>
      </c>
    </row>
    <row r="2466">
      <c r="A2466" s="4" t="str">
        <f>IFERROR(__xludf.DUMMYFUNCTION("""COMPUTED_VALUE"""),"celestial")</f>
        <v>celestial</v>
      </c>
      <c r="B2466" s="4" t="str">
        <f>IFERROR(__xludf.DUMMYFUNCTION("""COMPUTED_VALUE"""),"celt")</f>
        <v>celt</v>
      </c>
      <c r="C2466" s="4" t="str">
        <f>IFERROR(__xludf.DUMMYFUNCTION("""COMPUTED_VALUE"""),"Celestial")</f>
        <v>Celestial</v>
      </c>
    </row>
    <row r="2467">
      <c r="A2467" s="4" t="str">
        <f>IFERROR(__xludf.DUMMYFUNCTION("""COMPUTED_VALUE"""),"cellena-finance")</f>
        <v>cellena-finance</v>
      </c>
      <c r="B2467" s="4" t="str">
        <f>IFERROR(__xludf.DUMMYFUNCTION("""COMPUTED_VALUE"""),"cell")</f>
        <v>cell</v>
      </c>
      <c r="C2467" s="4" t="str">
        <f>IFERROR(__xludf.DUMMYFUNCTION("""COMPUTED_VALUE"""),"Cellana Finance")</f>
        <v>Cellana Finance</v>
      </c>
    </row>
    <row r="2468">
      <c r="A2468" s="4" t="str">
        <f>IFERROR(__xludf.DUMMYFUNCTION("""COMPUTED_VALUE"""),"cellframe")</f>
        <v>cellframe</v>
      </c>
      <c r="B2468" s="4" t="str">
        <f>IFERROR(__xludf.DUMMYFUNCTION("""COMPUTED_VALUE"""),"cell")</f>
        <v>cell</v>
      </c>
      <c r="C2468" s="4" t="str">
        <f>IFERROR(__xludf.DUMMYFUNCTION("""COMPUTED_VALUE"""),"Cellframe")</f>
        <v>Cellframe</v>
      </c>
    </row>
    <row r="2469">
      <c r="A2469" s="4" t="str">
        <f>IFERROR(__xludf.DUMMYFUNCTION("""COMPUTED_VALUE"""),"cellmates")</f>
        <v>cellmates</v>
      </c>
      <c r="B2469" s="4" t="str">
        <f>IFERROR(__xludf.DUMMYFUNCTION("""COMPUTED_VALUE"""),"cell")</f>
        <v>cell</v>
      </c>
      <c r="C2469" s="4" t="str">
        <f>IFERROR(__xludf.DUMMYFUNCTION("""COMPUTED_VALUE"""),"CellMates")</f>
        <v>CellMates</v>
      </c>
    </row>
    <row r="2470">
      <c r="A2470" s="4" t="str">
        <f>IFERROR(__xludf.DUMMYFUNCTION("""COMPUTED_VALUE"""),"cells-token")</f>
        <v>cells-token</v>
      </c>
      <c r="B2470" s="4" t="str">
        <f>IFERROR(__xludf.DUMMYFUNCTION("""COMPUTED_VALUE"""),"cells")</f>
        <v>cells</v>
      </c>
      <c r="C2470" s="4" t="str">
        <f>IFERROR(__xludf.DUMMYFUNCTION("""COMPUTED_VALUE"""),"Cells Token")</f>
        <v>Cells Token</v>
      </c>
    </row>
    <row r="2471">
      <c r="A2471" s="4" t="str">
        <f>IFERROR(__xludf.DUMMYFUNCTION("""COMPUTED_VALUE"""),"celo")</f>
        <v>celo</v>
      </c>
      <c r="B2471" s="4" t="str">
        <f>IFERROR(__xludf.DUMMYFUNCTION("""COMPUTED_VALUE"""),"celo")</f>
        <v>celo</v>
      </c>
      <c r="C2471" s="4" t="str">
        <f>IFERROR(__xludf.DUMMYFUNCTION("""COMPUTED_VALUE"""),"Celo")</f>
        <v>Celo</v>
      </c>
    </row>
    <row r="2472">
      <c r="A2472" s="4" t="str">
        <f>IFERROR(__xludf.DUMMYFUNCTION("""COMPUTED_VALUE"""),"celo-dollar")</f>
        <v>celo-dollar</v>
      </c>
      <c r="B2472" s="4" t="str">
        <f>IFERROR(__xludf.DUMMYFUNCTION("""COMPUTED_VALUE"""),"cusd")</f>
        <v>cusd</v>
      </c>
      <c r="C2472" s="4" t="str">
        <f>IFERROR(__xludf.DUMMYFUNCTION("""COMPUTED_VALUE"""),"Celo Dollar")</f>
        <v>Celo Dollar</v>
      </c>
    </row>
    <row r="2473">
      <c r="A2473" s="4" t="str">
        <f>IFERROR(__xludf.DUMMYFUNCTION("""COMPUTED_VALUE"""),"celo-euro")</f>
        <v>celo-euro</v>
      </c>
      <c r="B2473" s="4" t="str">
        <f>IFERROR(__xludf.DUMMYFUNCTION("""COMPUTED_VALUE"""),"ceur")</f>
        <v>ceur</v>
      </c>
      <c r="C2473" s="4" t="str">
        <f>IFERROR(__xludf.DUMMYFUNCTION("""COMPUTED_VALUE"""),"Celo Euro")</f>
        <v>Celo Euro</v>
      </c>
    </row>
    <row r="2474">
      <c r="A2474" s="4" t="str">
        <f>IFERROR(__xludf.DUMMYFUNCTION("""COMPUTED_VALUE"""),"celo-real-creal")</f>
        <v>celo-real-creal</v>
      </c>
      <c r="B2474" s="4" t="str">
        <f>IFERROR(__xludf.DUMMYFUNCTION("""COMPUTED_VALUE"""),"creal")</f>
        <v>creal</v>
      </c>
      <c r="C2474" s="4" t="str">
        <f>IFERROR(__xludf.DUMMYFUNCTION("""COMPUTED_VALUE"""),"Celo Real (cREAL)")</f>
        <v>Celo Real (cREAL)</v>
      </c>
    </row>
    <row r="2475">
      <c r="A2475" s="4" t="str">
        <f>IFERROR(__xludf.DUMMYFUNCTION("""COMPUTED_VALUE"""),"celo-wormhole")</f>
        <v>celo-wormhole</v>
      </c>
      <c r="B2475" s="4" t="str">
        <f>IFERROR(__xludf.DUMMYFUNCTION("""COMPUTED_VALUE"""),"celo")</f>
        <v>celo</v>
      </c>
      <c r="C2475" s="4" t="str">
        <f>IFERROR(__xludf.DUMMYFUNCTION("""COMPUTED_VALUE"""),"Celo (Wormhole)")</f>
        <v>Celo (Wormhole)</v>
      </c>
    </row>
    <row r="2476">
      <c r="A2476" s="4" t="str">
        <f>IFERROR(__xludf.DUMMYFUNCTION("""COMPUTED_VALUE"""),"celsius-degree-token")</f>
        <v>celsius-degree-token</v>
      </c>
      <c r="B2476" s="4" t="str">
        <f>IFERROR(__xludf.DUMMYFUNCTION("""COMPUTED_VALUE"""),"cel")</f>
        <v>cel</v>
      </c>
      <c r="C2476" s="4" t="str">
        <f>IFERROR(__xludf.DUMMYFUNCTION("""COMPUTED_VALUE"""),"Celsius Network")</f>
        <v>Celsius Network</v>
      </c>
    </row>
    <row r="2477">
      <c r="A2477" s="4" t="str">
        <f>IFERROR(__xludf.DUMMYFUNCTION("""COMPUTED_VALUE"""),"celsiusx-wrapped-eth")</f>
        <v>celsiusx-wrapped-eth</v>
      </c>
      <c r="B2477" s="4" t="str">
        <f>IFERROR(__xludf.DUMMYFUNCTION("""COMPUTED_VALUE"""),"cxeth")</f>
        <v>cxeth</v>
      </c>
      <c r="C2477" s="4" t="str">
        <f>IFERROR(__xludf.DUMMYFUNCTION("""COMPUTED_VALUE"""),"CelsiusX Wrapped ETH")</f>
        <v>CelsiusX Wrapped ETH</v>
      </c>
    </row>
    <row r="2478">
      <c r="A2478" s="4" t="str">
        <f>IFERROR(__xludf.DUMMYFUNCTION("""COMPUTED_VALUE"""),"centaur")</f>
        <v>centaur</v>
      </c>
      <c r="B2478" s="4" t="str">
        <f>IFERROR(__xludf.DUMMYFUNCTION("""COMPUTED_VALUE"""),"cntr")</f>
        <v>cntr</v>
      </c>
      <c r="C2478" s="4" t="str">
        <f>IFERROR(__xludf.DUMMYFUNCTION("""COMPUTED_VALUE"""),"Centaur")</f>
        <v>Centaur</v>
      </c>
    </row>
    <row r="2479">
      <c r="A2479" s="4" t="str">
        <f>IFERROR(__xludf.DUMMYFUNCTION("""COMPUTED_VALUE"""),"centaurify")</f>
        <v>centaurify</v>
      </c>
      <c r="B2479" s="4" t="str">
        <f>IFERROR(__xludf.DUMMYFUNCTION("""COMPUTED_VALUE"""),"cent")</f>
        <v>cent</v>
      </c>
      <c r="C2479" s="4" t="str">
        <f>IFERROR(__xludf.DUMMYFUNCTION("""COMPUTED_VALUE"""),"Centaurify")</f>
        <v>Centaurify</v>
      </c>
    </row>
    <row r="2480">
      <c r="A2480" s="4" t="str">
        <f>IFERROR(__xludf.DUMMYFUNCTION("""COMPUTED_VALUE"""),"centbit")</f>
        <v>centbit</v>
      </c>
      <c r="B2480" s="4" t="str">
        <f>IFERROR(__xludf.DUMMYFUNCTION("""COMPUTED_VALUE"""),"cbit")</f>
        <v>cbit</v>
      </c>
      <c r="C2480" s="4" t="str">
        <f>IFERROR(__xludf.DUMMYFUNCTION("""COMPUTED_VALUE"""),"CentBit")</f>
        <v>CentBit</v>
      </c>
    </row>
    <row r="2481">
      <c r="A2481" s="4" t="str">
        <f>IFERROR(__xludf.DUMMYFUNCTION("""COMPUTED_VALUE"""),"centcex")</f>
        <v>centcex</v>
      </c>
      <c r="B2481" s="4" t="str">
        <f>IFERROR(__xludf.DUMMYFUNCTION("""COMPUTED_VALUE"""),"cenx")</f>
        <v>cenx</v>
      </c>
      <c r="C2481" s="4" t="str">
        <f>IFERROR(__xludf.DUMMYFUNCTION("""COMPUTED_VALUE"""),"Centcex")</f>
        <v>Centcex</v>
      </c>
    </row>
    <row r="2482">
      <c r="A2482" s="4" t="str">
        <f>IFERROR(__xludf.DUMMYFUNCTION("""COMPUTED_VALUE"""),"central-bank-digital-currency-memecoin")</f>
        <v>central-bank-digital-currency-memecoin</v>
      </c>
      <c r="B2482" s="4" t="str">
        <f>IFERROR(__xludf.DUMMYFUNCTION("""COMPUTED_VALUE"""),"cbdc")</f>
        <v>cbdc</v>
      </c>
      <c r="C2482" s="4" t="str">
        <f>IFERROR(__xludf.DUMMYFUNCTION("""COMPUTED_VALUE"""),"Central Bank Digital Currency Memecoin")</f>
        <v>Central Bank Digital Currency Memecoin</v>
      </c>
    </row>
    <row r="2483">
      <c r="A2483" s="4" t="str">
        <f>IFERROR(__xludf.DUMMYFUNCTION("""COMPUTED_VALUE"""),"centrality")</f>
        <v>centrality</v>
      </c>
      <c r="B2483" s="4" t="str">
        <f>IFERROR(__xludf.DUMMYFUNCTION("""COMPUTED_VALUE"""),"cennz")</f>
        <v>cennz</v>
      </c>
      <c r="C2483" s="4" t="str">
        <f>IFERROR(__xludf.DUMMYFUNCTION("""COMPUTED_VALUE"""),"CENNZnet")</f>
        <v>CENNZnet</v>
      </c>
    </row>
    <row r="2484">
      <c r="A2484" s="4" t="str">
        <f>IFERROR(__xludf.DUMMYFUNCTION("""COMPUTED_VALUE"""),"centric-cash")</f>
        <v>centric-cash</v>
      </c>
      <c r="B2484" s="4" t="str">
        <f>IFERROR(__xludf.DUMMYFUNCTION("""COMPUTED_VALUE"""),"cns")</f>
        <v>cns</v>
      </c>
      <c r="C2484" s="4" t="str">
        <f>IFERROR(__xludf.DUMMYFUNCTION("""COMPUTED_VALUE"""),"Centric Swap")</f>
        <v>Centric Swap</v>
      </c>
    </row>
    <row r="2485">
      <c r="A2485" s="4" t="str">
        <f>IFERROR(__xludf.DUMMYFUNCTION("""COMPUTED_VALUE"""),"centrifuge")</f>
        <v>centrifuge</v>
      </c>
      <c r="B2485" s="4" t="str">
        <f>IFERROR(__xludf.DUMMYFUNCTION("""COMPUTED_VALUE"""),"cfg")</f>
        <v>cfg</v>
      </c>
      <c r="C2485" s="4" t="str">
        <f>IFERROR(__xludf.DUMMYFUNCTION("""COMPUTED_VALUE"""),"Centrifuge")</f>
        <v>Centrifuge</v>
      </c>
    </row>
    <row r="2486">
      <c r="A2486" s="4" t="str">
        <f>IFERROR(__xludf.DUMMYFUNCTION("""COMPUTED_VALUE"""),"centrofi")</f>
        <v>centrofi</v>
      </c>
      <c r="B2486" s="4" t="str">
        <f>IFERROR(__xludf.DUMMYFUNCTION("""COMPUTED_VALUE"""),"centro")</f>
        <v>centro</v>
      </c>
      <c r="C2486" s="4" t="str">
        <f>IFERROR(__xludf.DUMMYFUNCTION("""COMPUTED_VALUE"""),"CentroFi")</f>
        <v>CentroFi</v>
      </c>
    </row>
    <row r="2487">
      <c r="A2487" s="4" t="str">
        <f>IFERROR(__xludf.DUMMYFUNCTION("""COMPUTED_VALUE"""),"centurion-invest")</f>
        <v>centurion-invest</v>
      </c>
      <c r="B2487" s="4" t="str">
        <f>IFERROR(__xludf.DUMMYFUNCTION("""COMPUTED_VALUE"""),"cix")</f>
        <v>cix</v>
      </c>
      <c r="C2487" s="4" t="str">
        <f>IFERROR(__xludf.DUMMYFUNCTION("""COMPUTED_VALUE"""),"Centurion Invest")</f>
        <v>Centurion Invest</v>
      </c>
    </row>
    <row r="2488">
      <c r="A2488" s="4" t="str">
        <f>IFERROR(__xludf.DUMMYFUNCTION("""COMPUTED_VALUE"""),"ceo")</f>
        <v>ceo</v>
      </c>
      <c r="B2488" s="4" t="str">
        <f>IFERROR(__xludf.DUMMYFUNCTION("""COMPUTED_VALUE"""),"ceo")</f>
        <v>ceo</v>
      </c>
      <c r="C2488" s="4" t="str">
        <f>IFERROR(__xludf.DUMMYFUNCTION("""COMPUTED_VALUE"""),"CEO")</f>
        <v>CEO</v>
      </c>
    </row>
    <row r="2489">
      <c r="A2489" s="4" t="str">
        <f>IFERROR(__xludf.DUMMYFUNCTION("""COMPUTED_VALUE"""),"cerberus-2")</f>
        <v>cerberus-2</v>
      </c>
      <c r="B2489" s="4" t="str">
        <f>IFERROR(__xludf.DUMMYFUNCTION("""COMPUTED_VALUE"""),"crbrus")</f>
        <v>crbrus</v>
      </c>
      <c r="C2489" s="4" t="str">
        <f>IFERROR(__xludf.DUMMYFUNCTION("""COMPUTED_VALUE"""),"Cerberus")</f>
        <v>Cerberus</v>
      </c>
    </row>
    <row r="2490">
      <c r="A2490" s="4" t="str">
        <f>IFERROR(__xludf.DUMMYFUNCTION("""COMPUTED_VALUE"""),"cere-network")</f>
        <v>cere-network</v>
      </c>
      <c r="B2490" s="4" t="str">
        <f>IFERROR(__xludf.DUMMYFUNCTION("""COMPUTED_VALUE"""),"cere")</f>
        <v>cere</v>
      </c>
      <c r="C2490" s="4" t="str">
        <f>IFERROR(__xludf.DUMMYFUNCTION("""COMPUTED_VALUE"""),"Cere Network")</f>
        <v>Cere Network</v>
      </c>
    </row>
    <row r="2491">
      <c r="A2491" s="4" t="str">
        <f>IFERROR(__xludf.DUMMYFUNCTION("""COMPUTED_VALUE"""),"ceres")</f>
        <v>ceres</v>
      </c>
      <c r="B2491" s="4" t="str">
        <f>IFERROR(__xludf.DUMMYFUNCTION("""COMPUTED_VALUE"""),"ceres")</f>
        <v>ceres</v>
      </c>
      <c r="C2491" s="4" t="str">
        <f>IFERROR(__xludf.DUMMYFUNCTION("""COMPUTED_VALUE"""),"Ceres")</f>
        <v>Ceres</v>
      </c>
    </row>
    <row r="2492">
      <c r="A2492" s="4" t="str">
        <f>IFERROR(__xludf.DUMMYFUNCTION("""COMPUTED_VALUE"""),"cerra")</f>
        <v>cerra</v>
      </c>
      <c r="B2492" s="4" t="str">
        <f>IFERROR(__xludf.DUMMYFUNCTION("""COMPUTED_VALUE"""),"cerra")</f>
        <v>cerra</v>
      </c>
      <c r="C2492" s="4" t="str">
        <f>IFERROR(__xludf.DUMMYFUNCTION("""COMPUTED_VALUE"""),"Cerra")</f>
        <v>Cerra</v>
      </c>
    </row>
    <row r="2493">
      <c r="A2493" s="4" t="str">
        <f>IFERROR(__xludf.DUMMYFUNCTION("""COMPUTED_VALUE"""),"certicos-2")</f>
        <v>certicos-2</v>
      </c>
      <c r="B2493" s="4" t="str">
        <f>IFERROR(__xludf.DUMMYFUNCTION("""COMPUTED_VALUE"""),"cert")</f>
        <v>cert</v>
      </c>
      <c r="C2493" s="4" t="str">
        <f>IFERROR(__xludf.DUMMYFUNCTION("""COMPUTED_VALUE"""),"Certicos")</f>
        <v>Certicos</v>
      </c>
    </row>
    <row r="2494">
      <c r="A2494" s="4" t="str">
        <f>IFERROR(__xludf.DUMMYFUNCTION("""COMPUTED_VALUE"""),"certik")</f>
        <v>certik</v>
      </c>
      <c r="B2494" s="4" t="str">
        <f>IFERROR(__xludf.DUMMYFUNCTION("""COMPUTED_VALUE"""),"ctk")</f>
        <v>ctk</v>
      </c>
      <c r="C2494" s="4" t="str">
        <f>IFERROR(__xludf.DUMMYFUNCTION("""COMPUTED_VALUE"""),"Shentu")</f>
        <v>Shentu</v>
      </c>
    </row>
    <row r="2495">
      <c r="A2495" s="4" t="str">
        <f>IFERROR(__xludf.DUMMYFUNCTION("""COMPUTED_VALUE"""),"cerus")</f>
        <v>cerus</v>
      </c>
      <c r="B2495" s="4" t="str">
        <f>IFERROR(__xludf.DUMMYFUNCTION("""COMPUTED_VALUE"""),"cerus")</f>
        <v>cerus</v>
      </c>
      <c r="C2495" s="4" t="str">
        <f>IFERROR(__xludf.DUMMYFUNCTION("""COMPUTED_VALUE"""),"Cerus")</f>
        <v>Cerus</v>
      </c>
    </row>
    <row r="2496">
      <c r="A2496" s="4" t="str">
        <f>IFERROR(__xludf.DUMMYFUNCTION("""COMPUTED_VALUE"""),"cetus-protocol")</f>
        <v>cetus-protocol</v>
      </c>
      <c r="B2496" s="4" t="str">
        <f>IFERROR(__xludf.DUMMYFUNCTION("""COMPUTED_VALUE"""),"cetus")</f>
        <v>cetus</v>
      </c>
      <c r="C2496" s="4" t="str">
        <f>IFERROR(__xludf.DUMMYFUNCTION("""COMPUTED_VALUE"""),"Cetus Protocol")</f>
        <v>Cetus Protocol</v>
      </c>
    </row>
    <row r="2497">
      <c r="A2497" s="4" t="str">
        <f>IFERROR(__xludf.DUMMYFUNCTION("""COMPUTED_VALUE"""),"cex-ai")</f>
        <v>cex-ai</v>
      </c>
      <c r="B2497" s="4" t="str">
        <f>IFERROR(__xludf.DUMMYFUNCTION("""COMPUTED_VALUE"""),"cex-ai")</f>
        <v>cex-ai</v>
      </c>
      <c r="C2497" s="4" t="str">
        <f>IFERROR(__xludf.DUMMYFUNCTION("""COMPUTED_VALUE"""),"CEX AI")</f>
        <v>CEX AI</v>
      </c>
    </row>
    <row r="2498">
      <c r="A2498" s="4" t="str">
        <f>IFERROR(__xludf.DUMMYFUNCTION("""COMPUTED_VALUE"""),"cex-index")</f>
        <v>cex-index</v>
      </c>
      <c r="B2498" s="4" t="str">
        <f>IFERROR(__xludf.DUMMYFUNCTION("""COMPUTED_VALUE"""),"cex")</f>
        <v>cex</v>
      </c>
      <c r="C2498" s="4" t="str">
        <f>IFERROR(__xludf.DUMMYFUNCTION("""COMPUTED_VALUE"""),"CEX Index")</f>
        <v>CEX Index</v>
      </c>
    </row>
    <row r="2499">
      <c r="A2499" s="4" t="str">
        <f>IFERROR(__xludf.DUMMYFUNCTION("""COMPUTED_VALUE"""),"cfx-quantum")</f>
        <v>cfx-quantum</v>
      </c>
      <c r="B2499" s="4" t="str">
        <f>IFERROR(__xludf.DUMMYFUNCTION("""COMPUTED_VALUE"""),"cfxq")</f>
        <v>cfxq</v>
      </c>
      <c r="C2499" s="4" t="str">
        <f>IFERROR(__xludf.DUMMYFUNCTION("""COMPUTED_VALUE"""),"CFX Quantum")</f>
        <v>CFX Quantum</v>
      </c>
    </row>
    <row r="2500">
      <c r="A2500" s="4" t="str">
        <f>IFERROR(__xludf.DUMMYFUNCTION("""COMPUTED_VALUE"""),"chabit")</f>
        <v>chabit</v>
      </c>
      <c r="B2500" s="4" t="str">
        <f>IFERROR(__xludf.DUMMYFUNCTION("""COMPUTED_VALUE"""),"cb8")</f>
        <v>cb8</v>
      </c>
      <c r="C2500" s="4" t="str">
        <f>IFERROR(__xludf.DUMMYFUNCTION("""COMPUTED_VALUE"""),"chabit")</f>
        <v>chabit</v>
      </c>
    </row>
    <row r="2501">
      <c r="A2501" s="4" t="str">
        <f>IFERROR(__xludf.DUMMYFUNCTION("""COMPUTED_VALUE"""),"chad")</f>
        <v>chad</v>
      </c>
      <c r="B2501" s="4" t="str">
        <f>IFERROR(__xludf.DUMMYFUNCTION("""COMPUTED_VALUE"""),"chad")</f>
        <v>chad</v>
      </c>
      <c r="C2501" s="4" t="str">
        <f>IFERROR(__xludf.DUMMYFUNCTION("""COMPUTED_VALUE"""),"CHAD")</f>
        <v>CHAD</v>
      </c>
    </row>
    <row r="2502">
      <c r="A2502" s="4" t="str">
        <f>IFERROR(__xludf.DUMMYFUNCTION("""COMPUTED_VALUE"""),"chad-coin")</f>
        <v>chad-coin</v>
      </c>
      <c r="B2502" s="4" t="str">
        <f>IFERROR(__xludf.DUMMYFUNCTION("""COMPUTED_VALUE"""),"chad")</f>
        <v>chad</v>
      </c>
      <c r="C2502" s="4" t="str">
        <f>IFERROR(__xludf.DUMMYFUNCTION("""COMPUTED_VALUE"""),"Chad Coin")</f>
        <v>Chad Coin</v>
      </c>
    </row>
    <row r="2503">
      <c r="A2503" s="4" t="str">
        <f>IFERROR(__xludf.DUMMYFUNCTION("""COMPUTED_VALUE"""),"chadimir-putni")</f>
        <v>chadimir-putni</v>
      </c>
      <c r="B2503" s="4" t="str">
        <f>IFERROR(__xludf.DUMMYFUNCTION("""COMPUTED_VALUE"""),"putni")</f>
        <v>putni</v>
      </c>
      <c r="C2503" s="4" t="str">
        <f>IFERROR(__xludf.DUMMYFUNCTION("""COMPUTED_VALUE"""),"Chadimir Putni")</f>
        <v>Chadimir Putni</v>
      </c>
    </row>
    <row r="2504">
      <c r="A2504" s="4" t="str">
        <f>IFERROR(__xludf.DUMMYFUNCTION("""COMPUTED_VALUE"""),"chad-on-solana")</f>
        <v>chad-on-solana</v>
      </c>
      <c r="B2504" s="4" t="str">
        <f>IFERROR(__xludf.DUMMYFUNCTION("""COMPUTED_VALUE"""),"chad")</f>
        <v>chad</v>
      </c>
      <c r="C2504" s="4" t="str">
        <f>IFERROR(__xludf.DUMMYFUNCTION("""COMPUTED_VALUE"""),"Chad On Solana")</f>
        <v>Chad On Solana</v>
      </c>
    </row>
    <row r="2505">
      <c r="A2505" s="4" t="str">
        <f>IFERROR(__xludf.DUMMYFUNCTION("""COMPUTED_VALUE"""),"chad-scanner")</f>
        <v>chad-scanner</v>
      </c>
      <c r="B2505" s="4" t="str">
        <f>IFERROR(__xludf.DUMMYFUNCTION("""COMPUTED_VALUE"""),"chad")</f>
        <v>chad</v>
      </c>
      <c r="C2505" s="4" t="str">
        <f>IFERROR(__xludf.DUMMYFUNCTION("""COMPUTED_VALUE"""),"Chad Scanner")</f>
        <v>Chad Scanner</v>
      </c>
    </row>
    <row r="2506">
      <c r="A2506" s="4" t="str">
        <f>IFERROR(__xludf.DUMMYFUNCTION("""COMPUTED_VALUE"""),"chain-2")</f>
        <v>chain-2</v>
      </c>
      <c r="B2506" s="4" t="str">
        <f>IFERROR(__xludf.DUMMYFUNCTION("""COMPUTED_VALUE"""),"xcn")</f>
        <v>xcn</v>
      </c>
      <c r="C2506" s="4" t="str">
        <f>IFERROR(__xludf.DUMMYFUNCTION("""COMPUTED_VALUE"""),"Onyxcoin")</f>
        <v>Onyxcoin</v>
      </c>
    </row>
    <row r="2507">
      <c r="A2507" s="4" t="str">
        <f>IFERROR(__xludf.DUMMYFUNCTION("""COMPUTED_VALUE"""),"chainback")</f>
        <v>chainback</v>
      </c>
      <c r="B2507" s="4" t="str">
        <f>IFERROR(__xludf.DUMMYFUNCTION("""COMPUTED_VALUE"""),"archive")</f>
        <v>archive</v>
      </c>
      <c r="C2507" s="4" t="str">
        <f>IFERROR(__xludf.DUMMYFUNCTION("""COMPUTED_VALUE"""),"Chainback")</f>
        <v>Chainback</v>
      </c>
    </row>
    <row r="2508">
      <c r="A2508" s="4" t="str">
        <f>IFERROR(__xludf.DUMMYFUNCTION("""COMPUTED_VALUE"""),"chainbing")</f>
        <v>chainbing</v>
      </c>
      <c r="B2508" s="4" t="str">
        <f>IFERROR(__xludf.DUMMYFUNCTION("""COMPUTED_VALUE"""),"cbg")</f>
        <v>cbg</v>
      </c>
      <c r="C2508" s="4" t="str">
        <f>IFERROR(__xludf.DUMMYFUNCTION("""COMPUTED_VALUE"""),"Chainbing")</f>
        <v>Chainbing</v>
      </c>
    </row>
    <row r="2509">
      <c r="A2509" s="4" t="str">
        <f>IFERROR(__xludf.DUMMYFUNCTION("""COMPUTED_VALUE"""),"chaincade")</f>
        <v>chaincade</v>
      </c>
      <c r="B2509" s="4" t="str">
        <f>IFERROR(__xludf.DUMMYFUNCTION("""COMPUTED_VALUE"""),"chaincade")</f>
        <v>chaincade</v>
      </c>
      <c r="C2509" s="4" t="str">
        <f>IFERROR(__xludf.DUMMYFUNCTION("""COMPUTED_VALUE"""),"ChainCade")</f>
        <v>ChainCade</v>
      </c>
    </row>
    <row r="2510">
      <c r="A2510" s="4" t="str">
        <f>IFERROR(__xludf.DUMMYFUNCTION("""COMPUTED_VALUE"""),"chain-crisis")</f>
        <v>chain-crisis</v>
      </c>
      <c r="B2510" s="4" t="str">
        <f>IFERROR(__xludf.DUMMYFUNCTION("""COMPUTED_VALUE"""),"crisis")</f>
        <v>crisis</v>
      </c>
      <c r="C2510" s="4" t="str">
        <f>IFERROR(__xludf.DUMMYFUNCTION("""COMPUTED_VALUE"""),"Chain Crisis")</f>
        <v>Chain Crisis</v>
      </c>
    </row>
    <row r="2511">
      <c r="A2511" s="4" t="str">
        <f>IFERROR(__xludf.DUMMYFUNCTION("""COMPUTED_VALUE"""),"chainers")</f>
        <v>chainers</v>
      </c>
      <c r="B2511" s="4" t="str">
        <f>IFERROR(__xludf.DUMMYFUNCTION("""COMPUTED_VALUE"""),"chu")</f>
        <v>chu</v>
      </c>
      <c r="C2511" s="4" t="str">
        <f>IFERROR(__xludf.DUMMYFUNCTION("""COMPUTED_VALUE"""),"Chainers")</f>
        <v>Chainers</v>
      </c>
    </row>
    <row r="2512">
      <c r="A2512" s="4" t="str">
        <f>IFERROR(__xludf.DUMMYFUNCTION("""COMPUTED_VALUE"""),"chainex")</f>
        <v>chainex</v>
      </c>
      <c r="B2512" s="4" t="str">
        <f>IFERROR(__xludf.DUMMYFUNCTION("""COMPUTED_VALUE"""),"cex")</f>
        <v>cex</v>
      </c>
      <c r="C2512" s="4" t="str">
        <f>IFERROR(__xludf.DUMMYFUNCTION("""COMPUTED_VALUE"""),"ChainEx")</f>
        <v>ChainEx</v>
      </c>
    </row>
    <row r="2513">
      <c r="A2513" s="4" t="str">
        <f>IFERROR(__xludf.DUMMYFUNCTION("""COMPUTED_VALUE"""),"chainfactory")</f>
        <v>chainfactory</v>
      </c>
      <c r="B2513" s="4" t="str">
        <f>IFERROR(__xludf.DUMMYFUNCTION("""COMPUTED_VALUE"""),"factory")</f>
        <v>factory</v>
      </c>
      <c r="C2513" s="4" t="str">
        <f>IFERROR(__xludf.DUMMYFUNCTION("""COMPUTED_VALUE"""),"ChainFactory")</f>
        <v>ChainFactory</v>
      </c>
    </row>
    <row r="2514">
      <c r="A2514" s="4" t="str">
        <f>IFERROR(__xludf.DUMMYFUNCTION("""COMPUTED_VALUE"""),"chainflip")</f>
        <v>chainflip</v>
      </c>
      <c r="B2514" s="4" t="str">
        <f>IFERROR(__xludf.DUMMYFUNCTION("""COMPUTED_VALUE"""),"flip")</f>
        <v>flip</v>
      </c>
      <c r="C2514" s="4" t="str">
        <f>IFERROR(__xludf.DUMMYFUNCTION("""COMPUTED_VALUE"""),"Chainflip")</f>
        <v>Chainflip</v>
      </c>
    </row>
    <row r="2515">
      <c r="A2515" s="4" t="str">
        <f>IFERROR(__xludf.DUMMYFUNCTION("""COMPUTED_VALUE"""),"chain-games")</f>
        <v>chain-games</v>
      </c>
      <c r="B2515" s="4" t="str">
        <f>IFERROR(__xludf.DUMMYFUNCTION("""COMPUTED_VALUE"""),"chain")</f>
        <v>chain</v>
      </c>
      <c r="C2515" s="4" t="str">
        <f>IFERROR(__xludf.DUMMYFUNCTION("""COMPUTED_VALUE"""),"Chain Games")</f>
        <v>Chain Games</v>
      </c>
    </row>
    <row r="2516">
      <c r="A2516" s="4" t="str">
        <f>IFERROR(__xludf.DUMMYFUNCTION("""COMPUTED_VALUE"""),"chainge-finance")</f>
        <v>chainge-finance</v>
      </c>
      <c r="B2516" s="4" t="str">
        <f>IFERROR(__xludf.DUMMYFUNCTION("""COMPUTED_VALUE"""),"xchng")</f>
        <v>xchng</v>
      </c>
      <c r="C2516" s="4" t="str">
        <f>IFERROR(__xludf.DUMMYFUNCTION("""COMPUTED_VALUE"""),"Chainge")</f>
        <v>Chainge</v>
      </c>
    </row>
    <row r="2517">
      <c r="A2517" s="4" t="str">
        <f>IFERROR(__xludf.DUMMYFUNCTION("""COMPUTED_VALUE"""),"chaingpt")</f>
        <v>chaingpt</v>
      </c>
      <c r="B2517" s="4" t="str">
        <f>IFERROR(__xludf.DUMMYFUNCTION("""COMPUTED_VALUE"""),"cgpt")</f>
        <v>cgpt</v>
      </c>
      <c r="C2517" s="4" t="str">
        <f>IFERROR(__xludf.DUMMYFUNCTION("""COMPUTED_VALUE"""),"ChainGPT")</f>
        <v>ChainGPT</v>
      </c>
    </row>
    <row r="2518">
      <c r="A2518" s="4" t="str">
        <f>IFERROR(__xludf.DUMMYFUNCTION("""COMPUTED_VALUE"""),"chain-guardians")</f>
        <v>chain-guardians</v>
      </c>
      <c r="B2518" s="4" t="str">
        <f>IFERROR(__xludf.DUMMYFUNCTION("""COMPUTED_VALUE"""),"cgg")</f>
        <v>cgg</v>
      </c>
      <c r="C2518" s="4" t="str">
        <f>IFERROR(__xludf.DUMMYFUNCTION("""COMPUTED_VALUE"""),"Chain Guardians")</f>
        <v>Chain Guardians</v>
      </c>
    </row>
    <row r="2519">
      <c r="A2519" s="4" t="str">
        <f>IFERROR(__xludf.DUMMYFUNCTION("""COMPUTED_VALUE"""),"chain-key-bitcoin")</f>
        <v>chain-key-bitcoin</v>
      </c>
      <c r="B2519" s="4" t="str">
        <f>IFERROR(__xludf.DUMMYFUNCTION("""COMPUTED_VALUE"""),"ckbtc")</f>
        <v>ckbtc</v>
      </c>
      <c r="C2519" s="4" t="str">
        <f>IFERROR(__xludf.DUMMYFUNCTION("""COMPUTED_VALUE"""),"Chain-key Bitcoin")</f>
        <v>Chain-key Bitcoin</v>
      </c>
    </row>
    <row r="2520">
      <c r="A2520" s="4" t="str">
        <f>IFERROR(__xludf.DUMMYFUNCTION("""COMPUTED_VALUE"""),"chain-key-ethereum")</f>
        <v>chain-key-ethereum</v>
      </c>
      <c r="B2520" s="4" t="str">
        <f>IFERROR(__xludf.DUMMYFUNCTION("""COMPUTED_VALUE"""),"cketh")</f>
        <v>cketh</v>
      </c>
      <c r="C2520" s="4" t="str">
        <f>IFERROR(__xludf.DUMMYFUNCTION("""COMPUTED_VALUE"""),"Chain-key Ethereum")</f>
        <v>Chain-key Ethereum</v>
      </c>
    </row>
    <row r="2521">
      <c r="A2521" s="4" t="str">
        <f>IFERROR(__xludf.DUMMYFUNCTION("""COMPUTED_VALUE"""),"chainlink")</f>
        <v>chainlink</v>
      </c>
      <c r="B2521" s="4" t="str">
        <f>IFERROR(__xludf.DUMMYFUNCTION("""COMPUTED_VALUE"""),"link")</f>
        <v>link</v>
      </c>
      <c r="C2521" s="4" t="str">
        <f>IFERROR(__xludf.DUMMYFUNCTION("""COMPUTED_VALUE"""),"Chainlink")</f>
        <v>Chainlink</v>
      </c>
    </row>
    <row r="2522">
      <c r="A2522" s="4" t="str">
        <f>IFERROR(__xludf.DUMMYFUNCTION("""COMPUTED_VALUE"""),"chainlink-plenty-bridge")</f>
        <v>chainlink-plenty-bridge</v>
      </c>
      <c r="B2522" s="4" t="str">
        <f>IFERROR(__xludf.DUMMYFUNCTION("""COMPUTED_VALUE"""),"link.e")</f>
        <v>link.e</v>
      </c>
      <c r="C2522" s="4" t="str">
        <f>IFERROR(__xludf.DUMMYFUNCTION("""COMPUTED_VALUE"""),"Chainlink (Plenty Bridge)")</f>
        <v>Chainlink (Plenty Bridge)</v>
      </c>
    </row>
    <row r="2523">
      <c r="A2523" s="4" t="str">
        <f>IFERROR(__xludf.DUMMYFUNCTION("""COMPUTED_VALUE"""),"chainmail")</f>
        <v>chainmail</v>
      </c>
      <c r="B2523" s="4" t="str">
        <f>IFERROR(__xludf.DUMMYFUNCTION("""COMPUTED_VALUE"""),"mail")</f>
        <v>mail</v>
      </c>
      <c r="C2523" s="4" t="str">
        <f>IFERROR(__xludf.DUMMYFUNCTION("""COMPUTED_VALUE"""),"CHAINMAIL")</f>
        <v>CHAINMAIL</v>
      </c>
    </row>
    <row r="2524">
      <c r="A2524" s="4" t="str">
        <f>IFERROR(__xludf.DUMMYFUNCTION("""COMPUTED_VALUE"""),"chain-of-legends")</f>
        <v>chain-of-legends</v>
      </c>
      <c r="B2524" s="4" t="str">
        <f>IFERROR(__xludf.DUMMYFUNCTION("""COMPUTED_VALUE"""),"cleg")</f>
        <v>cleg</v>
      </c>
      <c r="C2524" s="4" t="str">
        <f>IFERROR(__xludf.DUMMYFUNCTION("""COMPUTED_VALUE"""),"Chain of Legends")</f>
        <v>Chain of Legends</v>
      </c>
    </row>
    <row r="2525">
      <c r="A2525" s="4" t="str">
        <f>IFERROR(__xludf.DUMMYFUNCTION("""COMPUTED_VALUE"""),"chainpay")</f>
        <v>chainpay</v>
      </c>
      <c r="B2525" s="4" t="str">
        <f>IFERROR(__xludf.DUMMYFUNCTION("""COMPUTED_VALUE"""),"cpay")</f>
        <v>cpay</v>
      </c>
      <c r="C2525" s="4" t="str">
        <f>IFERROR(__xludf.DUMMYFUNCTION("""COMPUTED_VALUE"""),"Chainpay")</f>
        <v>Chainpay</v>
      </c>
    </row>
    <row r="2526">
      <c r="A2526" s="4" t="str">
        <f>IFERROR(__xludf.DUMMYFUNCTION("""COMPUTED_VALUE"""),"chainport")</f>
        <v>chainport</v>
      </c>
      <c r="B2526" s="4" t="str">
        <f>IFERROR(__xludf.DUMMYFUNCTION("""COMPUTED_VALUE"""),"portx")</f>
        <v>portx</v>
      </c>
      <c r="C2526" s="4" t="str">
        <f>IFERROR(__xludf.DUMMYFUNCTION("""COMPUTED_VALUE"""),"ChainPort")</f>
        <v>ChainPort</v>
      </c>
    </row>
    <row r="2527">
      <c r="A2527" s="4" t="str">
        <f>IFERROR(__xludf.DUMMYFUNCTION("""COMPUTED_VALUE"""),"chainpulse")</f>
        <v>chainpulse</v>
      </c>
      <c r="B2527" s="4" t="str">
        <f>IFERROR(__xludf.DUMMYFUNCTION("""COMPUTED_VALUE"""),"cp")</f>
        <v>cp</v>
      </c>
      <c r="C2527" s="4" t="str">
        <f>IFERROR(__xludf.DUMMYFUNCTION("""COMPUTED_VALUE"""),"ChainPulse")</f>
        <v>ChainPulse</v>
      </c>
    </row>
    <row r="2528">
      <c r="A2528" s="4" t="str">
        <f>IFERROR(__xludf.DUMMYFUNCTION("""COMPUTED_VALUE"""),"chains-of-war")</f>
        <v>chains-of-war</v>
      </c>
      <c r="B2528" s="4" t="str">
        <f>IFERROR(__xludf.DUMMYFUNCTION("""COMPUTED_VALUE"""),"mira")</f>
        <v>mira</v>
      </c>
      <c r="C2528" s="4" t="str">
        <f>IFERROR(__xludf.DUMMYFUNCTION("""COMPUTED_VALUE"""),"Chains of War")</f>
        <v>Chains of War</v>
      </c>
    </row>
    <row r="2529">
      <c r="A2529" s="4" t="str">
        <f>IFERROR(__xludf.DUMMYFUNCTION("""COMPUTED_VALUE"""),"chainswap-2")</f>
        <v>chainswap-2</v>
      </c>
      <c r="B2529" s="4" t="str">
        <f>IFERROR(__xludf.DUMMYFUNCTION("""COMPUTED_VALUE"""),"chains")</f>
        <v>chains</v>
      </c>
      <c r="C2529" s="4" t="str">
        <f>IFERROR(__xludf.DUMMYFUNCTION("""COMPUTED_VALUE"""),"ChainSwap")</f>
        <v>ChainSwap</v>
      </c>
    </row>
    <row r="2530">
      <c r="A2530" s="4" t="str">
        <f>IFERROR(__xludf.DUMMYFUNCTION("""COMPUTED_VALUE"""),"chainswap-3")</f>
        <v>chainswap-3</v>
      </c>
      <c r="B2530" s="4" t="str">
        <f>IFERROR(__xludf.DUMMYFUNCTION("""COMPUTED_VALUE"""),"cswap")</f>
        <v>cswap</v>
      </c>
      <c r="C2530" s="4" t="str">
        <f>IFERROR(__xludf.DUMMYFUNCTION("""COMPUTED_VALUE"""),"ChainSwap")</f>
        <v>ChainSwap</v>
      </c>
    </row>
    <row r="2531">
      <c r="A2531" s="4" t="str">
        <f>IFERROR(__xludf.DUMMYFUNCTION("""COMPUTED_VALUE"""),"chaintools")</f>
        <v>chaintools</v>
      </c>
      <c r="B2531" s="4" t="str">
        <f>IFERROR(__xludf.DUMMYFUNCTION("""COMPUTED_VALUE"""),"ctls")</f>
        <v>ctls</v>
      </c>
      <c r="C2531" s="4" t="str">
        <f>IFERROR(__xludf.DUMMYFUNCTION("""COMPUTED_VALUE"""),"Chaintools")</f>
        <v>Chaintools</v>
      </c>
    </row>
    <row r="2532">
      <c r="A2532" s="4" t="str">
        <f>IFERROR(__xludf.DUMMYFUNCTION("""COMPUTED_VALUE"""),"chainx")</f>
        <v>chainx</v>
      </c>
      <c r="B2532" s="4" t="str">
        <f>IFERROR(__xludf.DUMMYFUNCTION("""COMPUTED_VALUE"""),"pcx")</f>
        <v>pcx</v>
      </c>
      <c r="C2532" s="4" t="str">
        <f>IFERROR(__xludf.DUMMYFUNCTION("""COMPUTED_VALUE"""),"ChainX")</f>
        <v>ChainX</v>
      </c>
    </row>
    <row r="2533">
      <c r="A2533" s="4" t="str">
        <f>IFERROR(__xludf.DUMMYFUNCTION("""COMPUTED_VALUE"""),"challenge-coin")</f>
        <v>challenge-coin</v>
      </c>
      <c r="B2533" s="4" t="str">
        <f>IFERROR(__xludf.DUMMYFUNCTION("""COMPUTED_VALUE"""),"hero")</f>
        <v>hero</v>
      </c>
      <c r="C2533" s="4" t="str">
        <f>IFERROR(__xludf.DUMMYFUNCTION("""COMPUTED_VALUE"""),"Challenge Coin")</f>
        <v>Challenge Coin</v>
      </c>
    </row>
    <row r="2534">
      <c r="A2534" s="4" t="str">
        <f>IFERROR(__xludf.DUMMYFUNCTION("""COMPUTED_VALUE"""),"champignons-of-arborethia")</f>
        <v>champignons-of-arborethia</v>
      </c>
      <c r="B2534" s="4" t="str">
        <f>IFERROR(__xludf.DUMMYFUNCTION("""COMPUTED_VALUE"""),"champz")</f>
        <v>champz</v>
      </c>
      <c r="C2534" s="4" t="str">
        <f>IFERROR(__xludf.DUMMYFUNCTION("""COMPUTED_VALUE"""),"Champignons of Arborethia")</f>
        <v>Champignons of Arborethia</v>
      </c>
    </row>
    <row r="2535">
      <c r="A2535" s="4" t="str">
        <f>IFERROR(__xludf.DUMMYFUNCTION("""COMPUTED_VALUE"""),"chanalog")</f>
        <v>chanalog</v>
      </c>
      <c r="B2535" s="4" t="str">
        <f>IFERROR(__xludf.DUMMYFUNCTION("""COMPUTED_VALUE"""),"chan")</f>
        <v>chan</v>
      </c>
      <c r="C2535" s="4" t="str">
        <f>IFERROR(__xludf.DUMMYFUNCTION("""COMPUTED_VALUE"""),"Chanalog")</f>
        <v>Chanalog</v>
      </c>
    </row>
    <row r="2536">
      <c r="A2536" s="4" t="str">
        <f>IFERROR(__xludf.DUMMYFUNCTION("""COMPUTED_VALUE"""),"change")</f>
        <v>change</v>
      </c>
      <c r="B2536" s="4" t="str">
        <f>IFERROR(__xludf.DUMMYFUNCTION("""COMPUTED_VALUE"""),"cag")</f>
        <v>cag</v>
      </c>
      <c r="C2536" s="4" t="str">
        <f>IFERROR(__xludf.DUMMYFUNCTION("""COMPUTED_VALUE"""),"Change")</f>
        <v>Change</v>
      </c>
    </row>
    <row r="2537">
      <c r="A2537" s="4" t="str">
        <f>IFERROR(__xludf.DUMMYFUNCTION("""COMPUTED_VALUE"""),"changenow")</f>
        <v>changenow</v>
      </c>
      <c r="B2537" s="4" t="str">
        <f>IFERROR(__xludf.DUMMYFUNCTION("""COMPUTED_VALUE"""),"now")</f>
        <v>now</v>
      </c>
      <c r="C2537" s="4" t="str">
        <f>IFERROR(__xludf.DUMMYFUNCTION("""COMPUTED_VALUE"""),"ChangeNOW")</f>
        <v>ChangeNOW</v>
      </c>
    </row>
    <row r="2538">
      <c r="A2538" s="4" t="str">
        <f>IFERROR(__xludf.DUMMYFUNCTION("""COMPUTED_VALUE"""),"changer")</f>
        <v>changer</v>
      </c>
      <c r="B2538" s="4" t="str">
        <f>IFERROR(__xludf.DUMMYFUNCTION("""COMPUTED_VALUE"""),"cng")</f>
        <v>cng</v>
      </c>
      <c r="C2538" s="4" t="str">
        <f>IFERROR(__xludf.DUMMYFUNCTION("""COMPUTED_VALUE"""),"Changer")</f>
        <v>Changer</v>
      </c>
    </row>
    <row r="2539">
      <c r="A2539" s="4" t="str">
        <f>IFERROR(__xludf.DUMMYFUNCTION("""COMPUTED_VALUE"""),"changex")</f>
        <v>changex</v>
      </c>
      <c r="B2539" s="4" t="str">
        <f>IFERROR(__xludf.DUMMYFUNCTION("""COMPUTED_VALUE"""),"change")</f>
        <v>change</v>
      </c>
      <c r="C2539" s="4" t="str">
        <f>IFERROR(__xludf.DUMMYFUNCTION("""COMPUTED_VALUE"""),"Changex")</f>
        <v>Changex</v>
      </c>
    </row>
    <row r="2540">
      <c r="A2540" s="4" t="str">
        <f>IFERROR(__xludf.DUMMYFUNCTION("""COMPUTED_VALUE"""),"changpeng-zhao")</f>
        <v>changpeng-zhao</v>
      </c>
      <c r="B2540" s="4" t="str">
        <f>IFERROR(__xludf.DUMMYFUNCTION("""COMPUTED_VALUE"""),"cz")</f>
        <v>cz</v>
      </c>
      <c r="C2540" s="4" t="str">
        <f>IFERROR(__xludf.DUMMYFUNCTION("""COMPUTED_VALUE"""),"Changpeng Zhao")</f>
        <v>Changpeng Zhao</v>
      </c>
    </row>
    <row r="2541">
      <c r="A2541" s="4" t="str">
        <f>IFERROR(__xludf.DUMMYFUNCTION("""COMPUTED_VALUE"""),"channels")</f>
        <v>channels</v>
      </c>
      <c r="B2541" s="4" t="str">
        <f>IFERROR(__xludf.DUMMYFUNCTION("""COMPUTED_VALUE"""),"can")</f>
        <v>can</v>
      </c>
      <c r="C2541" s="4" t="str">
        <f>IFERROR(__xludf.DUMMYFUNCTION("""COMPUTED_VALUE"""),"Channels")</f>
        <v>Channels</v>
      </c>
    </row>
    <row r="2542">
      <c r="A2542" s="4" t="str">
        <f>IFERROR(__xludf.DUMMYFUNCTION("""COMPUTED_VALUE"""),"chaotic-finance")</f>
        <v>chaotic-finance</v>
      </c>
      <c r="B2542" s="4" t="str">
        <f>IFERROR(__xludf.DUMMYFUNCTION("""COMPUTED_VALUE"""),"chaos")</f>
        <v>chaos</v>
      </c>
      <c r="C2542" s="4" t="str">
        <f>IFERROR(__xludf.DUMMYFUNCTION("""COMPUTED_VALUE"""),"Chaotic Finance")</f>
        <v>Chaotic Finance</v>
      </c>
    </row>
    <row r="2543">
      <c r="A2543" s="4" t="str">
        <f>IFERROR(__xludf.DUMMYFUNCTION("""COMPUTED_VALUE"""),"chappie")</f>
        <v>chappie</v>
      </c>
      <c r="B2543" s="4" t="str">
        <f>IFERROR(__xludf.DUMMYFUNCTION("""COMPUTED_VALUE"""),"chap")</f>
        <v>chap</v>
      </c>
      <c r="C2543" s="4" t="str">
        <f>IFERROR(__xludf.DUMMYFUNCTION("""COMPUTED_VALUE"""),"Chappie")</f>
        <v>Chappie</v>
      </c>
    </row>
    <row r="2544">
      <c r="A2544" s="4" t="str">
        <f>IFERROR(__xludf.DUMMYFUNCTION("""COMPUTED_VALUE"""),"chappyz")</f>
        <v>chappyz</v>
      </c>
      <c r="B2544" s="4" t="str">
        <f>IFERROR(__xludf.DUMMYFUNCTION("""COMPUTED_VALUE"""),"chapz")</f>
        <v>chapz</v>
      </c>
      <c r="C2544" s="4" t="str">
        <f>IFERROR(__xludf.DUMMYFUNCTION("""COMPUTED_VALUE"""),"Chappyz")</f>
        <v>Chappyz</v>
      </c>
    </row>
    <row r="2545">
      <c r="A2545" s="4" t="str">
        <f>IFERROR(__xludf.DUMMYFUNCTION("""COMPUTED_VALUE"""),"charactbit")</f>
        <v>charactbit</v>
      </c>
      <c r="B2545" s="4" t="str">
        <f>IFERROR(__xludf.DUMMYFUNCTION("""COMPUTED_VALUE"""),"chb")</f>
        <v>chb</v>
      </c>
      <c r="C2545" s="4" t="str">
        <f>IFERROR(__xludf.DUMMYFUNCTION("""COMPUTED_VALUE"""),"Charactbit")</f>
        <v>Charactbit</v>
      </c>
    </row>
    <row r="2546">
      <c r="A2546" s="4" t="str">
        <f>IFERROR(__xludf.DUMMYFUNCTION("""COMPUTED_VALUE"""),"characterai")</f>
        <v>characterai</v>
      </c>
      <c r="B2546" s="4" t="str">
        <f>IFERROR(__xludf.DUMMYFUNCTION("""COMPUTED_VALUE"""),"chai")</f>
        <v>chai</v>
      </c>
      <c r="C2546" s="4" t="str">
        <f>IFERROR(__xludf.DUMMYFUNCTION("""COMPUTED_VALUE"""),"CharacterAI")</f>
        <v>CharacterAI</v>
      </c>
    </row>
    <row r="2547">
      <c r="A2547" s="4" t="str">
        <f>IFERROR(__xludf.DUMMYFUNCTION("""COMPUTED_VALUE"""),"chargedefi-static")</f>
        <v>chargedefi-static</v>
      </c>
      <c r="B2547" s="4" t="str">
        <f>IFERROR(__xludf.DUMMYFUNCTION("""COMPUTED_VALUE"""),"static")</f>
        <v>static</v>
      </c>
      <c r="C2547" s="4" t="str">
        <f>IFERROR(__xludf.DUMMYFUNCTION("""COMPUTED_VALUE"""),"ChargeDeFi Static")</f>
        <v>ChargeDeFi Static</v>
      </c>
    </row>
    <row r="2548">
      <c r="A2548" s="4" t="str">
        <f>IFERROR(__xludf.DUMMYFUNCTION("""COMPUTED_VALUE"""),"charged-particles")</f>
        <v>charged-particles</v>
      </c>
      <c r="B2548" s="4" t="str">
        <f>IFERROR(__xludf.DUMMYFUNCTION("""COMPUTED_VALUE"""),"ionx")</f>
        <v>ionx</v>
      </c>
      <c r="C2548" s="4" t="str">
        <f>IFERROR(__xludf.DUMMYFUNCTION("""COMPUTED_VALUE"""),"Charged Particles")</f>
        <v>Charged Particles</v>
      </c>
    </row>
    <row r="2549">
      <c r="A2549" s="4" t="str">
        <f>IFERROR(__xludf.DUMMYFUNCTION("""COMPUTED_VALUE"""),"charity-alfa")</f>
        <v>charity-alfa</v>
      </c>
      <c r="B2549" s="4" t="str">
        <f>IFERROR(__xludf.DUMMYFUNCTION("""COMPUTED_VALUE"""),"mich")</f>
        <v>mich</v>
      </c>
      <c r="C2549" s="4" t="str">
        <f>IFERROR(__xludf.DUMMYFUNCTION("""COMPUTED_VALUE"""),"Charity Alfa")</f>
        <v>Charity Alfa</v>
      </c>
    </row>
    <row r="2550">
      <c r="A2550" s="4" t="str">
        <f>IFERROR(__xludf.DUMMYFUNCTION("""COMPUTED_VALUE"""),"charity-dao-token")</f>
        <v>charity-dao-token</v>
      </c>
      <c r="B2550" s="4" t="str">
        <f>IFERROR(__xludf.DUMMYFUNCTION("""COMPUTED_VALUE"""),"chdao")</f>
        <v>chdao</v>
      </c>
      <c r="C2550" s="4" t="str">
        <f>IFERROR(__xludf.DUMMYFUNCTION("""COMPUTED_VALUE"""),"Charity DAO Token")</f>
        <v>Charity DAO Token</v>
      </c>
    </row>
    <row r="2551">
      <c r="A2551" s="4" t="str">
        <f>IFERROR(__xludf.DUMMYFUNCTION("""COMPUTED_VALUE"""),"charli3")</f>
        <v>charli3</v>
      </c>
      <c r="B2551" s="4" t="str">
        <f>IFERROR(__xludf.DUMMYFUNCTION("""COMPUTED_VALUE"""),"c3")</f>
        <v>c3</v>
      </c>
      <c r="C2551" s="4" t="str">
        <f>IFERROR(__xludf.DUMMYFUNCTION("""COMPUTED_VALUE"""),"Charli3")</f>
        <v>Charli3</v>
      </c>
    </row>
    <row r="2552">
      <c r="A2552" s="4" t="str">
        <f>IFERROR(__xludf.DUMMYFUNCTION("""COMPUTED_VALUE"""),"charm")</f>
        <v>charm</v>
      </c>
      <c r="B2552" s="4" t="str">
        <f>IFERROR(__xludf.DUMMYFUNCTION("""COMPUTED_VALUE"""),"charm")</f>
        <v>charm</v>
      </c>
      <c r="C2552" s="4" t="str">
        <f>IFERROR(__xludf.DUMMYFUNCTION("""COMPUTED_VALUE"""),"Charm")</f>
        <v>Charm</v>
      </c>
    </row>
    <row r="2553">
      <c r="A2553" s="4" t="str">
        <f>IFERROR(__xludf.DUMMYFUNCTION("""COMPUTED_VALUE"""),"chartai")</f>
        <v>chartai</v>
      </c>
      <c r="B2553" s="4" t="str">
        <f>IFERROR(__xludf.DUMMYFUNCTION("""COMPUTED_VALUE"""),"cx")</f>
        <v>cx</v>
      </c>
      <c r="C2553" s="4" t="str">
        <f>IFERROR(__xludf.DUMMYFUNCTION("""COMPUTED_VALUE"""),"ChartAI")</f>
        <v>ChartAI</v>
      </c>
    </row>
    <row r="2554">
      <c r="A2554" s="4" t="str">
        <f>IFERROR(__xludf.DUMMYFUNCTION("""COMPUTED_VALUE"""),"charthub")</f>
        <v>charthub</v>
      </c>
      <c r="B2554" s="4" t="str">
        <f>IFERROR(__xludf.DUMMYFUNCTION("""COMPUTED_VALUE"""),"cht")</f>
        <v>cht</v>
      </c>
      <c r="C2554" s="4" t="str">
        <f>IFERROR(__xludf.DUMMYFUNCTION("""COMPUTED_VALUE"""),"ChartHub")</f>
        <v>ChartHub</v>
      </c>
    </row>
    <row r="2555">
      <c r="A2555" s="4" t="str">
        <f>IFERROR(__xludf.DUMMYFUNCTION("""COMPUTED_VALUE"""),"chart-roulette")</f>
        <v>chart-roulette</v>
      </c>
      <c r="B2555" s="4" t="str">
        <f>IFERROR(__xludf.DUMMYFUNCTION("""COMPUTED_VALUE"""),"cr")</f>
        <v>cr</v>
      </c>
      <c r="C2555" s="4" t="str">
        <f>IFERROR(__xludf.DUMMYFUNCTION("""COMPUTED_VALUE"""),"Chart Roulette")</f>
        <v>Chart Roulette</v>
      </c>
    </row>
    <row r="2556">
      <c r="A2556" s="4" t="str">
        <f>IFERROR(__xludf.DUMMYFUNCTION("""COMPUTED_VALUE"""),"chat-ai")</f>
        <v>chat-ai</v>
      </c>
      <c r="B2556" s="4" t="str">
        <f>IFERROR(__xludf.DUMMYFUNCTION("""COMPUTED_VALUE"""),"ai")</f>
        <v>ai</v>
      </c>
      <c r="C2556" s="4" t="str">
        <f>IFERROR(__xludf.DUMMYFUNCTION("""COMPUTED_VALUE"""),"Chat AI")</f>
        <v>Chat AI</v>
      </c>
    </row>
    <row r="2557">
      <c r="A2557" s="4" t="str">
        <f>IFERROR(__xludf.DUMMYFUNCTION("""COMPUTED_VALUE"""),"chatni")</f>
        <v>chatni</v>
      </c>
      <c r="B2557" s="4" t="str">
        <f>IFERROR(__xludf.DUMMYFUNCTION("""COMPUTED_VALUE"""),"chatni")</f>
        <v>chatni</v>
      </c>
      <c r="C2557" s="4" t="str">
        <f>IFERROR(__xludf.DUMMYFUNCTION("""COMPUTED_VALUE"""),"Chatni")</f>
        <v>Chatni</v>
      </c>
    </row>
    <row r="2558">
      <c r="A2558" s="4" t="str">
        <f>IFERROR(__xludf.DUMMYFUNCTION("""COMPUTED_VALUE"""),"chatter-shield")</f>
        <v>chatter-shield</v>
      </c>
      <c r="B2558" s="4" t="str">
        <f>IFERROR(__xludf.DUMMYFUNCTION("""COMPUTED_VALUE"""),"shield")</f>
        <v>shield</v>
      </c>
      <c r="C2558" s="4" t="str">
        <f>IFERROR(__xludf.DUMMYFUNCTION("""COMPUTED_VALUE"""),"Chatter Shield")</f>
        <v>Chatter Shield</v>
      </c>
    </row>
    <row r="2559">
      <c r="A2559" s="4" t="str">
        <f>IFERROR(__xludf.DUMMYFUNCTION("""COMPUTED_VALUE"""),"chax")</f>
        <v>chax</v>
      </c>
      <c r="B2559" s="4" t="str">
        <f>IFERROR(__xludf.DUMMYFUNCTION("""COMPUTED_VALUE"""),"chax")</f>
        <v>chax</v>
      </c>
      <c r="C2559" s="4" t="str">
        <f>IFERROR(__xludf.DUMMYFUNCTION("""COMPUTED_VALUE"""),"CHAX")</f>
        <v>CHAX</v>
      </c>
    </row>
    <row r="2560">
      <c r="A2560" s="4" t="str">
        <f>IFERROR(__xludf.DUMMYFUNCTION("""COMPUTED_VALUE"""),"check")</f>
        <v>check</v>
      </c>
      <c r="B2560" s="4" t="str">
        <f>IFERROR(__xludf.DUMMYFUNCTION("""COMPUTED_VALUE"""),"check")</f>
        <v>check</v>
      </c>
      <c r="C2560" s="4" t="str">
        <f>IFERROR(__xludf.DUMMYFUNCTION("""COMPUTED_VALUE"""),"CHECK")</f>
        <v>CHECK</v>
      </c>
    </row>
    <row r="2561">
      <c r="A2561" s="4" t="str">
        <f>IFERROR(__xludf.DUMMYFUNCTION("""COMPUTED_VALUE"""),"checkdot")</f>
        <v>checkdot</v>
      </c>
      <c r="B2561" s="4" t="str">
        <f>IFERROR(__xludf.DUMMYFUNCTION("""COMPUTED_VALUE"""),"cdt")</f>
        <v>cdt</v>
      </c>
      <c r="C2561" s="4" t="str">
        <f>IFERROR(__xludf.DUMMYFUNCTION("""COMPUTED_VALUE"""),"CheckDot")</f>
        <v>CheckDot</v>
      </c>
    </row>
    <row r="2562">
      <c r="A2562" s="4" t="str">
        <f>IFERROR(__xludf.DUMMYFUNCTION("""COMPUTED_VALUE"""),"checkerchain")</f>
        <v>checkerchain</v>
      </c>
      <c r="B2562" s="4" t="str">
        <f>IFERROR(__xludf.DUMMYFUNCTION("""COMPUTED_VALUE"""),"checkr")</f>
        <v>checkr</v>
      </c>
      <c r="C2562" s="4" t="str">
        <f>IFERROR(__xludf.DUMMYFUNCTION("""COMPUTED_VALUE"""),"CheckerChain")</f>
        <v>CheckerChain</v>
      </c>
    </row>
    <row r="2563">
      <c r="A2563" s="4" t="str">
        <f>IFERROR(__xludf.DUMMYFUNCTION("""COMPUTED_VALUE"""),"checkmate")</f>
        <v>checkmate</v>
      </c>
      <c r="B2563" s="4" t="str">
        <f>IFERROR(__xludf.DUMMYFUNCTION("""COMPUTED_VALUE"""),"cmbot")</f>
        <v>cmbot</v>
      </c>
      <c r="C2563" s="4" t="str">
        <f>IFERROR(__xludf.DUMMYFUNCTION("""COMPUTED_VALUE"""),"CHECKMATE")</f>
        <v>CHECKMATE</v>
      </c>
    </row>
    <row r="2564">
      <c r="A2564" s="4" t="str">
        <f>IFERROR(__xludf.DUMMYFUNCTION("""COMPUTED_VALUE"""),"checks-token")</f>
        <v>checks-token</v>
      </c>
      <c r="B2564" s="4" t="str">
        <f>IFERROR(__xludf.DUMMYFUNCTION("""COMPUTED_VALUE"""),"checks")</f>
        <v>checks</v>
      </c>
      <c r="C2564" s="4" t="str">
        <f>IFERROR(__xludf.DUMMYFUNCTION("""COMPUTED_VALUE"""),"Checks Token")</f>
        <v>Checks Token</v>
      </c>
    </row>
    <row r="2565">
      <c r="A2565" s="4" t="str">
        <f>IFERROR(__xludf.DUMMYFUNCTION("""COMPUTED_VALUE"""),"checoin")</f>
        <v>checoin</v>
      </c>
      <c r="B2565" s="4" t="str">
        <f>IFERROR(__xludf.DUMMYFUNCTION("""COMPUTED_VALUE"""),"checoin")</f>
        <v>checoin</v>
      </c>
      <c r="C2565" s="4" t="str">
        <f>IFERROR(__xludf.DUMMYFUNCTION("""COMPUTED_VALUE"""),"CheCoin")</f>
        <v>CheCoin</v>
      </c>
    </row>
    <row r="2566">
      <c r="A2566" s="4" t="str">
        <f>IFERROR(__xludf.DUMMYFUNCTION("""COMPUTED_VALUE"""),"chedda-2")</f>
        <v>chedda-2</v>
      </c>
      <c r="B2566" s="4" t="str">
        <f>IFERROR(__xludf.DUMMYFUNCTION("""COMPUTED_VALUE"""),"chedda")</f>
        <v>chedda</v>
      </c>
      <c r="C2566" s="4" t="str">
        <f>IFERROR(__xludf.DUMMYFUNCTION("""COMPUTED_VALUE"""),"Chedda")</f>
        <v>Chedda</v>
      </c>
    </row>
    <row r="2567">
      <c r="A2567" s="4" t="str">
        <f>IFERROR(__xludf.DUMMYFUNCTION("""COMPUTED_VALUE"""),"cheelee")</f>
        <v>cheelee</v>
      </c>
      <c r="B2567" s="4" t="str">
        <f>IFERROR(__xludf.DUMMYFUNCTION("""COMPUTED_VALUE"""),"cheel")</f>
        <v>cheel</v>
      </c>
      <c r="C2567" s="4" t="str">
        <f>IFERROR(__xludf.DUMMYFUNCTION("""COMPUTED_VALUE"""),"Cheelee")</f>
        <v>Cheelee</v>
      </c>
    </row>
    <row r="2568">
      <c r="A2568" s="4" t="str">
        <f>IFERROR(__xludf.DUMMYFUNCTION("""COMPUTED_VALUE"""),"cheems")</f>
        <v>cheems</v>
      </c>
      <c r="B2568" s="4" t="str">
        <f>IFERROR(__xludf.DUMMYFUNCTION("""COMPUTED_VALUE"""),"cheems")</f>
        <v>cheems</v>
      </c>
      <c r="C2568" s="4" t="str">
        <f>IFERROR(__xludf.DUMMYFUNCTION("""COMPUTED_VALUE"""),"Cheems")</f>
        <v>Cheems</v>
      </c>
    </row>
    <row r="2569">
      <c r="A2569" s="4" t="str">
        <f>IFERROR(__xludf.DUMMYFUNCTION("""COMPUTED_VALUE"""),"cheems-inu-new")</f>
        <v>cheems-inu-new</v>
      </c>
      <c r="B2569" s="4" t="str">
        <f>IFERROR(__xludf.DUMMYFUNCTION("""COMPUTED_VALUE"""),"cinu")</f>
        <v>cinu</v>
      </c>
      <c r="C2569" s="4" t="str">
        <f>IFERROR(__xludf.DUMMYFUNCTION("""COMPUTED_VALUE"""),"Cheems Inu [NEW]")</f>
        <v>Cheems Inu [NEW]</v>
      </c>
    </row>
    <row r="2570">
      <c r="A2570" s="4" t="str">
        <f>IFERROR(__xludf.DUMMYFUNCTION("""COMPUTED_VALUE"""),"cheems-token")</f>
        <v>cheems-token</v>
      </c>
      <c r="B2570" s="4" t="str">
        <f>IFERROR(__xludf.DUMMYFUNCTION("""COMPUTED_VALUE"""),"cheems")</f>
        <v>cheems</v>
      </c>
      <c r="C2570" s="4" t="str">
        <f>IFERROR(__xludf.DUMMYFUNCTION("""COMPUTED_VALUE"""),"Cheems Token")</f>
        <v>Cheems Token</v>
      </c>
    </row>
    <row r="2571">
      <c r="A2571" s="4" t="str">
        <f>IFERROR(__xludf.DUMMYFUNCTION("""COMPUTED_VALUE"""),"cheersland")</f>
        <v>cheersland</v>
      </c>
      <c r="B2571" s="4" t="str">
        <f>IFERROR(__xludf.DUMMYFUNCTION("""COMPUTED_VALUE"""),"cheers")</f>
        <v>cheers</v>
      </c>
      <c r="C2571" s="4" t="str">
        <f>IFERROR(__xludf.DUMMYFUNCTION("""COMPUTED_VALUE"""),"CheersLand")</f>
        <v>CheersLand</v>
      </c>
    </row>
    <row r="2572">
      <c r="A2572" s="4" t="str">
        <f>IFERROR(__xludf.DUMMYFUNCTION("""COMPUTED_VALUE"""),"cheesecakeswap")</f>
        <v>cheesecakeswap</v>
      </c>
      <c r="B2572" s="4" t="str">
        <f>IFERROR(__xludf.DUMMYFUNCTION("""COMPUTED_VALUE"""),"ccake")</f>
        <v>ccake</v>
      </c>
      <c r="C2572" s="4" t="str">
        <f>IFERROR(__xludf.DUMMYFUNCTION("""COMPUTED_VALUE"""),"CheesecakeSwap")</f>
        <v>CheesecakeSwap</v>
      </c>
    </row>
    <row r="2573">
      <c r="A2573" s="4" t="str">
        <f>IFERROR(__xludf.DUMMYFUNCTION("""COMPUTED_VALUE"""),"cheese-swap")</f>
        <v>cheese-swap</v>
      </c>
      <c r="B2573" s="4" t="str">
        <f>IFERROR(__xludf.DUMMYFUNCTION("""COMPUTED_VALUE"""),"cheese")</f>
        <v>cheese</v>
      </c>
      <c r="C2573" s="4" t="str">
        <f>IFERROR(__xludf.DUMMYFUNCTION("""COMPUTED_VALUE"""),"Cheese Swap")</f>
        <v>Cheese Swap</v>
      </c>
    </row>
    <row r="2574">
      <c r="A2574" s="4" t="str">
        <f>IFERROR(__xludf.DUMMYFUNCTION("""COMPUTED_VALUE"""),"cheetahcoin")</f>
        <v>cheetahcoin</v>
      </c>
      <c r="B2574" s="4" t="str">
        <f>IFERROR(__xludf.DUMMYFUNCTION("""COMPUTED_VALUE"""),"chta")</f>
        <v>chta</v>
      </c>
      <c r="C2574" s="4" t="str">
        <f>IFERROR(__xludf.DUMMYFUNCTION("""COMPUTED_VALUE"""),"Cheetahcoin")</f>
        <v>Cheetahcoin</v>
      </c>
    </row>
    <row r="2575">
      <c r="A2575" s="4" t="str">
        <f>IFERROR(__xludf.DUMMYFUNCTION("""COMPUTED_VALUE"""),"cheezburger")</f>
        <v>cheezburger</v>
      </c>
      <c r="B2575" s="4" t="str">
        <f>IFERROR(__xludf.DUMMYFUNCTION("""COMPUTED_VALUE"""),"chzb")</f>
        <v>chzb</v>
      </c>
      <c r="C2575" s="4" t="str">
        <f>IFERROR(__xludf.DUMMYFUNCTION("""COMPUTED_VALUE"""),"Cheezburger")</f>
        <v>Cheezburger</v>
      </c>
    </row>
    <row r="2576">
      <c r="A2576" s="4" t="str">
        <f>IFERROR(__xludf.DUMMYFUNCTION("""COMPUTED_VALUE"""),"cheezburger-2")</f>
        <v>cheezburger-2</v>
      </c>
      <c r="B2576" s="4" t="str">
        <f>IFERROR(__xludf.DUMMYFUNCTION("""COMPUTED_VALUE"""),"cheez")</f>
        <v>cheez</v>
      </c>
      <c r="C2576" s="4" t="str">
        <f>IFERROR(__xludf.DUMMYFUNCTION("""COMPUTED_VALUE"""),"Cheezburger")</f>
        <v>Cheezburger</v>
      </c>
    </row>
    <row r="2577">
      <c r="A2577" s="4" t="str">
        <f>IFERROR(__xludf.DUMMYFUNCTION("""COMPUTED_VALUE"""),"cheezburger-cat")</f>
        <v>cheezburger-cat</v>
      </c>
      <c r="B2577" s="4" t="str">
        <f>IFERROR(__xludf.DUMMYFUNCTION("""COMPUTED_VALUE"""),"cheez")</f>
        <v>cheez</v>
      </c>
      <c r="C2577" s="4" t="str">
        <f>IFERROR(__xludf.DUMMYFUNCTION("""COMPUTED_VALUE"""),"Cheezburger Cat")</f>
        <v>Cheezburger Cat</v>
      </c>
    </row>
    <row r="2578">
      <c r="A2578" s="4" t="str">
        <f>IFERROR(__xludf.DUMMYFUNCTION("""COMPUTED_VALUE"""),"cheqd-network")</f>
        <v>cheqd-network</v>
      </c>
      <c r="B2578" s="4" t="str">
        <f>IFERROR(__xludf.DUMMYFUNCTION("""COMPUTED_VALUE"""),"cheq")</f>
        <v>cheq</v>
      </c>
      <c r="C2578" s="4" t="str">
        <f>IFERROR(__xludf.DUMMYFUNCTION("""COMPUTED_VALUE"""),"CHEQD Network")</f>
        <v>CHEQD Network</v>
      </c>
    </row>
    <row r="2579">
      <c r="A2579" s="4" t="str">
        <f>IFERROR(__xludf.DUMMYFUNCTION("""COMPUTED_VALUE"""),"cherrylend")</f>
        <v>cherrylend</v>
      </c>
      <c r="B2579" s="4" t="str">
        <f>IFERROR(__xludf.DUMMYFUNCTION("""COMPUTED_VALUE"""),"chry")</f>
        <v>chry</v>
      </c>
      <c r="C2579" s="4" t="str">
        <f>IFERROR(__xludf.DUMMYFUNCTION("""COMPUTED_VALUE"""),"CherryLend")</f>
        <v>CherryLend</v>
      </c>
    </row>
    <row r="2580">
      <c r="A2580" s="4" t="str">
        <f>IFERROR(__xludf.DUMMYFUNCTION("""COMPUTED_VALUE"""),"cherry-network")</f>
        <v>cherry-network</v>
      </c>
      <c r="B2580" s="4" t="str">
        <f>IFERROR(__xludf.DUMMYFUNCTION("""COMPUTED_VALUE"""),"cher")</f>
        <v>cher</v>
      </c>
      <c r="C2580" s="4" t="str">
        <f>IFERROR(__xludf.DUMMYFUNCTION("""COMPUTED_VALUE"""),"Cherry Network")</f>
        <v>Cherry Network</v>
      </c>
    </row>
    <row r="2581">
      <c r="A2581" s="4" t="str">
        <f>IFERROR(__xludf.DUMMYFUNCTION("""COMPUTED_VALUE"""),"chesscoin-0-32")</f>
        <v>chesscoin-0-32</v>
      </c>
      <c r="B2581" s="4" t="str">
        <f>IFERROR(__xludf.DUMMYFUNCTION("""COMPUTED_VALUE"""),"chess")</f>
        <v>chess</v>
      </c>
      <c r="C2581" s="4" t="str">
        <f>IFERROR(__xludf.DUMMYFUNCTION("""COMPUTED_VALUE"""),"ChessCoin 0.32%")</f>
        <v>ChessCoin 0.32%</v>
      </c>
    </row>
    <row r="2582">
      <c r="A2582" s="4" t="str">
        <f>IFERROR(__xludf.DUMMYFUNCTION("""COMPUTED_VALUE"""),"chessfish")</f>
        <v>chessfish</v>
      </c>
      <c r="B2582" s="4" t="str">
        <f>IFERROR(__xludf.DUMMYFUNCTION("""COMPUTED_VALUE"""),"cfsh")</f>
        <v>cfsh</v>
      </c>
      <c r="C2582" s="4" t="str">
        <f>IFERROR(__xludf.DUMMYFUNCTION("""COMPUTED_VALUE"""),"ChessFish")</f>
        <v>ChessFish</v>
      </c>
    </row>
    <row r="2583">
      <c r="A2583" s="4" t="str">
        <f>IFERROR(__xludf.DUMMYFUNCTION("""COMPUTED_VALUE"""),"chew")</f>
        <v>chew</v>
      </c>
      <c r="B2583" s="4" t="str">
        <f>IFERROR(__xludf.DUMMYFUNCTION("""COMPUTED_VALUE"""),"chew")</f>
        <v>chew</v>
      </c>
      <c r="C2583" s="4" t="str">
        <f>IFERROR(__xludf.DUMMYFUNCTION("""COMPUTED_VALUE"""),"CHEW")</f>
        <v>CHEW</v>
      </c>
    </row>
    <row r="2584">
      <c r="A2584" s="4" t="str">
        <f>IFERROR(__xludf.DUMMYFUNCTION("""COMPUTED_VALUE"""),"chewyswap")</f>
        <v>chewyswap</v>
      </c>
      <c r="B2584" s="4" t="str">
        <f>IFERROR(__xludf.DUMMYFUNCTION("""COMPUTED_VALUE"""),"chewy")</f>
        <v>chewy</v>
      </c>
      <c r="C2584" s="4" t="str">
        <f>IFERROR(__xludf.DUMMYFUNCTION("""COMPUTED_VALUE"""),"Chewyswap")</f>
        <v>Chewyswap</v>
      </c>
    </row>
    <row r="2585">
      <c r="A2585" s="4" t="str">
        <f>IFERROR(__xludf.DUMMYFUNCTION("""COMPUTED_VALUE"""),"chex-token")</f>
        <v>chex-token</v>
      </c>
      <c r="B2585" s="4" t="str">
        <f>IFERROR(__xludf.DUMMYFUNCTION("""COMPUTED_VALUE"""),"chex")</f>
        <v>chex</v>
      </c>
      <c r="C2585" s="4" t="str">
        <f>IFERROR(__xludf.DUMMYFUNCTION("""COMPUTED_VALUE"""),"CHEX Token")</f>
        <v>CHEX Token</v>
      </c>
    </row>
    <row r="2586">
      <c r="A2586" s="4" t="str">
        <f>IFERROR(__xludf.DUMMYFUNCTION("""COMPUTED_VALUE"""),"chia")</f>
        <v>chia</v>
      </c>
      <c r="B2586" s="4" t="str">
        <f>IFERROR(__xludf.DUMMYFUNCTION("""COMPUTED_VALUE"""),"xch")</f>
        <v>xch</v>
      </c>
      <c r="C2586" s="4" t="str">
        <f>IFERROR(__xludf.DUMMYFUNCTION("""COMPUTED_VALUE"""),"Chia")</f>
        <v>Chia</v>
      </c>
    </row>
    <row r="2587">
      <c r="A2587" s="4" t="str">
        <f>IFERROR(__xludf.DUMMYFUNCTION("""COMPUTED_VALUE"""),"chiba-neko")</f>
        <v>chiba-neko</v>
      </c>
      <c r="B2587" s="4" t="str">
        <f>IFERROR(__xludf.DUMMYFUNCTION("""COMPUTED_VALUE"""),"chiba")</f>
        <v>chiba</v>
      </c>
      <c r="C2587" s="4" t="str">
        <f>IFERROR(__xludf.DUMMYFUNCTION("""COMPUTED_VALUE"""),"Chiba Neko")</f>
        <v>Chiba Neko</v>
      </c>
    </row>
    <row r="2588">
      <c r="A2588" s="4" t="str">
        <f>IFERROR(__xludf.DUMMYFUNCTION("""COMPUTED_VALUE"""),"chica-chain")</f>
        <v>chica-chain</v>
      </c>
      <c r="B2588" s="4" t="str">
        <f>IFERROR(__xludf.DUMMYFUNCTION("""COMPUTED_VALUE"""),"chica")</f>
        <v>chica</v>
      </c>
      <c r="C2588" s="4" t="str">
        <f>IFERROR(__xludf.DUMMYFUNCTION("""COMPUTED_VALUE"""),"Chica Chain")</f>
        <v>Chica Chain</v>
      </c>
    </row>
    <row r="2589">
      <c r="A2589" s="4" t="str">
        <f>IFERROR(__xludf.DUMMYFUNCTION("""COMPUTED_VALUE"""),"chicken")</f>
        <v>chicken</v>
      </c>
      <c r="B2589" s="4" t="str">
        <f>IFERROR(__xludf.DUMMYFUNCTION("""COMPUTED_VALUE"""),"kfc")</f>
        <v>kfc</v>
      </c>
      <c r="C2589" s="4" t="str">
        <f>IFERROR(__xludf.DUMMYFUNCTION("""COMPUTED_VALUE"""),"Chicken")</f>
        <v>Chicken</v>
      </c>
    </row>
    <row r="2590">
      <c r="A2590" s="4" t="str">
        <f>IFERROR(__xludf.DUMMYFUNCTION("""COMPUTED_VALUE"""),"chickencoin")</f>
        <v>chickencoin</v>
      </c>
      <c r="B2590" s="4" t="str">
        <f>IFERROR(__xludf.DUMMYFUNCTION("""COMPUTED_VALUE"""),"chkn")</f>
        <v>chkn</v>
      </c>
      <c r="C2590" s="4" t="str">
        <f>IFERROR(__xludf.DUMMYFUNCTION("""COMPUTED_VALUE"""),"Chickencoin")</f>
        <v>Chickencoin</v>
      </c>
    </row>
    <row r="2591">
      <c r="A2591" s="4" t="str">
        <f>IFERROR(__xludf.DUMMYFUNCTION("""COMPUTED_VALUE"""),"chicken-town")</f>
        <v>chicken-town</v>
      </c>
      <c r="B2591" s="4" t="str">
        <f>IFERROR(__xludf.DUMMYFUNCTION("""COMPUTED_VALUE"""),"chickentown")</f>
        <v>chickentown</v>
      </c>
      <c r="C2591" s="4" t="str">
        <f>IFERROR(__xludf.DUMMYFUNCTION("""COMPUTED_VALUE"""),"Chicken Town")</f>
        <v>Chicken Town</v>
      </c>
    </row>
    <row r="2592">
      <c r="A2592" s="4" t="str">
        <f>IFERROR(__xludf.DUMMYFUNCTION("""COMPUTED_VALUE"""),"chicky")</f>
        <v>chicky</v>
      </c>
      <c r="B2592" s="4" t="str">
        <f>IFERROR(__xludf.DUMMYFUNCTION("""COMPUTED_VALUE"""),"chicky")</f>
        <v>chicky</v>
      </c>
      <c r="C2592" s="4" t="str">
        <f>IFERROR(__xludf.DUMMYFUNCTION("""COMPUTED_VALUE"""),"Chicky")</f>
        <v>Chicky</v>
      </c>
    </row>
    <row r="2593">
      <c r="A2593" s="4" t="str">
        <f>IFERROR(__xludf.DUMMYFUNCTION("""COMPUTED_VALUE"""),"chief-troll-grok")</f>
        <v>chief-troll-grok</v>
      </c>
      <c r="B2593" s="4" t="str">
        <f>IFERROR(__xludf.DUMMYFUNCTION("""COMPUTED_VALUE"""),"ctg")</f>
        <v>ctg</v>
      </c>
      <c r="C2593" s="4" t="str">
        <f>IFERROR(__xludf.DUMMYFUNCTION("""COMPUTED_VALUE"""),"Chief Troll Grok")</f>
        <v>Chief Troll Grok</v>
      </c>
    </row>
    <row r="2594">
      <c r="A2594" s="4" t="str">
        <f>IFERROR(__xludf.DUMMYFUNCTION("""COMPUTED_VALUE"""),"chief-troll-officer")</f>
        <v>chief-troll-officer</v>
      </c>
      <c r="B2594" s="4" t="str">
        <f>IFERROR(__xludf.DUMMYFUNCTION("""COMPUTED_VALUE"""),"cto")</f>
        <v>cto</v>
      </c>
      <c r="C2594" s="4" t="str">
        <f>IFERROR(__xludf.DUMMYFUNCTION("""COMPUTED_VALUE"""),"Chief Troll Officer")</f>
        <v>Chief Troll Officer</v>
      </c>
    </row>
    <row r="2595">
      <c r="A2595" s="4" t="str">
        <f>IFERROR(__xludf.DUMMYFUNCTION("""COMPUTED_VALUE"""),"chief-troll-officer-2")</f>
        <v>chief-troll-officer-2</v>
      </c>
      <c r="B2595" s="4" t="str">
        <f>IFERROR(__xludf.DUMMYFUNCTION("""COMPUTED_VALUE"""),"cto")</f>
        <v>cto</v>
      </c>
      <c r="C2595" s="4" t="str">
        <f>IFERROR(__xludf.DUMMYFUNCTION("""COMPUTED_VALUE"""),"Chief Troll Officer")</f>
        <v>Chief Troll Officer</v>
      </c>
    </row>
    <row r="2596">
      <c r="A2596" s="4" t="str">
        <f>IFERROR(__xludf.DUMMYFUNCTION("""COMPUTED_VALUE"""),"chief-troll-officer-3")</f>
        <v>chief-troll-officer-3</v>
      </c>
      <c r="B2596" s="4" t="str">
        <f>IFERROR(__xludf.DUMMYFUNCTION("""COMPUTED_VALUE"""),"cto")</f>
        <v>cto</v>
      </c>
      <c r="C2596" s="4" t="str">
        <f>IFERROR(__xludf.DUMMYFUNCTION("""COMPUTED_VALUE"""),"Chief Troll Officer")</f>
        <v>Chief Troll Officer</v>
      </c>
    </row>
    <row r="2597">
      <c r="A2597" s="4" t="str">
        <f>IFERROR(__xludf.DUMMYFUNCTION("""COMPUTED_VALUE"""),"chihuahua")</f>
        <v>chihuahua</v>
      </c>
      <c r="B2597" s="4" t="str">
        <f>IFERROR(__xludf.DUMMYFUNCTION("""COMPUTED_VALUE"""),"hua")</f>
        <v>hua</v>
      </c>
      <c r="C2597" s="4" t="str">
        <f>IFERROR(__xludf.DUMMYFUNCTION("""COMPUTED_VALUE"""),"Chihuahua")</f>
        <v>Chihuahua</v>
      </c>
    </row>
    <row r="2598">
      <c r="A2598" s="4" t="str">
        <f>IFERROR(__xludf.DUMMYFUNCTION("""COMPUTED_VALUE"""),"chihuahuasol")</f>
        <v>chihuahuasol</v>
      </c>
      <c r="B2598" s="4" t="str">
        <f>IFERROR(__xludf.DUMMYFUNCTION("""COMPUTED_VALUE"""),"chih")</f>
        <v>chih</v>
      </c>
      <c r="C2598" s="4" t="str">
        <f>IFERROR(__xludf.DUMMYFUNCTION("""COMPUTED_VALUE"""),"ChihuahuaSol")</f>
        <v>ChihuahuaSol</v>
      </c>
    </row>
    <row r="2599">
      <c r="A2599" s="4" t="str">
        <f>IFERROR(__xludf.DUMMYFUNCTION("""COMPUTED_VALUE"""),"chihuahua-token")</f>
        <v>chihuahua-token</v>
      </c>
      <c r="B2599" s="4" t="str">
        <f>IFERROR(__xludf.DUMMYFUNCTION("""COMPUTED_VALUE"""),"huahua")</f>
        <v>huahua</v>
      </c>
      <c r="C2599" s="4" t="str">
        <f>IFERROR(__xludf.DUMMYFUNCTION("""COMPUTED_VALUE"""),"Chihuahua Chain")</f>
        <v>Chihuahua Chain</v>
      </c>
    </row>
    <row r="2600">
      <c r="A2600" s="4" t="str">
        <f>IFERROR(__xludf.DUMMYFUNCTION("""COMPUTED_VALUE"""),"chikincoin")</f>
        <v>chikincoin</v>
      </c>
      <c r="B2600" s="4" t="str">
        <f>IFERROR(__xludf.DUMMYFUNCTION("""COMPUTED_VALUE"""),"ckc")</f>
        <v>ckc</v>
      </c>
      <c r="C2600" s="4" t="str">
        <f>IFERROR(__xludf.DUMMYFUNCTION("""COMPUTED_VALUE"""),"ChikinCoin")</f>
        <v>ChikinCoin</v>
      </c>
    </row>
    <row r="2601">
      <c r="A2601" s="4" t="str">
        <f>IFERROR(__xludf.DUMMYFUNCTION("""COMPUTED_VALUE"""),"chikn-egg")</f>
        <v>chikn-egg</v>
      </c>
      <c r="B2601" s="4" t="str">
        <f>IFERROR(__xludf.DUMMYFUNCTION("""COMPUTED_VALUE"""),"egg")</f>
        <v>egg</v>
      </c>
      <c r="C2601" s="4" t="str">
        <f>IFERROR(__xludf.DUMMYFUNCTION("""COMPUTED_VALUE"""),"Chikn Egg")</f>
        <v>Chikn Egg</v>
      </c>
    </row>
    <row r="2602">
      <c r="A2602" s="4" t="str">
        <f>IFERROR(__xludf.DUMMYFUNCTION("""COMPUTED_VALUE"""),"chikn-feed")</f>
        <v>chikn-feed</v>
      </c>
      <c r="B2602" s="4" t="str">
        <f>IFERROR(__xludf.DUMMYFUNCTION("""COMPUTED_VALUE"""),"feed")</f>
        <v>feed</v>
      </c>
      <c r="C2602" s="4" t="str">
        <f>IFERROR(__xludf.DUMMYFUNCTION("""COMPUTED_VALUE"""),"chikn feed")</f>
        <v>chikn feed</v>
      </c>
    </row>
    <row r="2603">
      <c r="A2603" s="4" t="str">
        <f>IFERROR(__xludf.DUMMYFUNCTION("""COMPUTED_VALUE"""),"chikn-fert")</f>
        <v>chikn-fert</v>
      </c>
      <c r="B2603" s="4" t="str">
        <f>IFERROR(__xludf.DUMMYFUNCTION("""COMPUTED_VALUE"""),"fert")</f>
        <v>fert</v>
      </c>
      <c r="C2603" s="4" t="str">
        <f>IFERROR(__xludf.DUMMYFUNCTION("""COMPUTED_VALUE"""),"Chikn Fert")</f>
        <v>Chikn Fert</v>
      </c>
    </row>
    <row r="2604">
      <c r="A2604" s="4" t="str">
        <f>IFERROR(__xludf.DUMMYFUNCTION("""COMPUTED_VALUE"""),"chikn-worm")</f>
        <v>chikn-worm</v>
      </c>
      <c r="B2604" s="4" t="str">
        <f>IFERROR(__xludf.DUMMYFUNCTION("""COMPUTED_VALUE"""),"worm")</f>
        <v>worm</v>
      </c>
      <c r="C2604" s="4" t="str">
        <f>IFERROR(__xludf.DUMMYFUNCTION("""COMPUTED_VALUE"""),"Chikn Worm")</f>
        <v>Chikn Worm</v>
      </c>
    </row>
    <row r="2605">
      <c r="A2605" s="4" t="str">
        <f>IFERROR(__xludf.DUMMYFUNCTION("""COMPUTED_VALUE"""),"childhoods-end")</f>
        <v>childhoods-end</v>
      </c>
      <c r="B2605" s="4" t="str">
        <f>IFERROR(__xludf.DUMMYFUNCTION("""COMPUTED_VALUE"""),"o")</f>
        <v>o</v>
      </c>
      <c r="C2605" s="4" t="str">
        <f>IFERROR(__xludf.DUMMYFUNCTION("""COMPUTED_VALUE"""),"Childhoods End")</f>
        <v>Childhoods End</v>
      </c>
    </row>
    <row r="2606">
      <c r="A2606" s="4" t="str">
        <f>IFERROR(__xludf.DUMMYFUNCTION("""COMPUTED_VALUE"""),"childrens-aid-foundation")</f>
        <v>childrens-aid-foundation</v>
      </c>
      <c r="B2606" s="4" t="str">
        <f>IFERROR(__xludf.DUMMYFUNCTION("""COMPUTED_VALUE"""),"caf")</f>
        <v>caf</v>
      </c>
      <c r="C2606" s="4" t="str">
        <f>IFERROR(__xludf.DUMMYFUNCTION("""COMPUTED_VALUE"""),"Childrens Aid Foundation")</f>
        <v>Childrens Aid Foundation</v>
      </c>
    </row>
    <row r="2607">
      <c r="A2607" s="4" t="str">
        <f>IFERROR(__xludf.DUMMYFUNCTION("""COMPUTED_VALUE"""),"child-support")</f>
        <v>child-support</v>
      </c>
      <c r="B2607" s="4" t="str">
        <f>IFERROR(__xludf.DUMMYFUNCTION("""COMPUTED_VALUE"""),"$cs")</f>
        <v>$cs</v>
      </c>
      <c r="C2607" s="4" t="str">
        <f>IFERROR(__xludf.DUMMYFUNCTION("""COMPUTED_VALUE"""),"Child Support")</f>
        <v>Child Support</v>
      </c>
    </row>
    <row r="2608">
      <c r="A2608" s="4" t="str">
        <f>IFERROR(__xludf.DUMMYFUNCTION("""COMPUTED_VALUE"""),"chili")</f>
        <v>chili</v>
      </c>
      <c r="B2608" s="4" t="str">
        <f>IFERROR(__xludf.DUMMYFUNCTION("""COMPUTED_VALUE"""),"chili")</f>
        <v>chili</v>
      </c>
      <c r="C2608" s="4" t="str">
        <f>IFERROR(__xludf.DUMMYFUNCTION("""COMPUTED_VALUE"""),"CHILI")</f>
        <v>CHILI</v>
      </c>
    </row>
    <row r="2609">
      <c r="A2609" s="4" t="str">
        <f>IFERROR(__xludf.DUMMYFUNCTION("""COMPUTED_VALUE"""),"chiliz")</f>
        <v>chiliz</v>
      </c>
      <c r="B2609" s="4" t="str">
        <f>IFERROR(__xludf.DUMMYFUNCTION("""COMPUTED_VALUE"""),"chz")</f>
        <v>chz</v>
      </c>
      <c r="C2609" s="4" t="str">
        <f>IFERROR(__xludf.DUMMYFUNCTION("""COMPUTED_VALUE"""),"Chiliz")</f>
        <v>Chiliz</v>
      </c>
    </row>
    <row r="2610">
      <c r="A2610" s="4" t="str">
        <f>IFERROR(__xludf.DUMMYFUNCTION("""COMPUTED_VALUE"""),"chiliz-inu")</f>
        <v>chiliz-inu</v>
      </c>
      <c r="B2610" s="4" t="str">
        <f>IFERROR(__xludf.DUMMYFUNCTION("""COMPUTED_VALUE"""),"chzinu")</f>
        <v>chzinu</v>
      </c>
      <c r="C2610" s="4" t="str">
        <f>IFERROR(__xludf.DUMMYFUNCTION("""COMPUTED_VALUE"""),"Chiliz Inu")</f>
        <v>Chiliz Inu</v>
      </c>
    </row>
    <row r="2611">
      <c r="A2611" s="4" t="str">
        <f>IFERROR(__xludf.DUMMYFUNCTION("""COMPUTED_VALUE"""),"chillpill")</f>
        <v>chillpill</v>
      </c>
      <c r="B2611" s="4" t="str">
        <f>IFERROR(__xludf.DUMMYFUNCTION("""COMPUTED_VALUE"""),"$chill")</f>
        <v>$chill</v>
      </c>
      <c r="C2611" s="4" t="str">
        <f>IFERROR(__xludf.DUMMYFUNCTION("""COMPUTED_VALUE"""),"ChillPill")</f>
        <v>ChillPill</v>
      </c>
    </row>
    <row r="2612">
      <c r="A2612" s="4" t="str">
        <f>IFERROR(__xludf.DUMMYFUNCTION("""COMPUTED_VALUE"""),"chillwhales")</f>
        <v>chillwhales</v>
      </c>
      <c r="B2612" s="4" t="str">
        <f>IFERROR(__xludf.DUMMYFUNCTION("""COMPUTED_VALUE"""),"$chill")</f>
        <v>$chill</v>
      </c>
      <c r="C2612" s="4" t="str">
        <f>IFERROR(__xludf.DUMMYFUNCTION("""COMPUTED_VALUE"""),"chillwhales")</f>
        <v>chillwhales</v>
      </c>
    </row>
    <row r="2613">
      <c r="A2613" s="4" t="str">
        <f>IFERROR(__xludf.DUMMYFUNCTION("""COMPUTED_VALUE"""),"chimaera")</f>
        <v>chimaera</v>
      </c>
      <c r="B2613" s="4" t="str">
        <f>IFERROR(__xludf.DUMMYFUNCTION("""COMPUTED_VALUE"""),"wchi")</f>
        <v>wchi</v>
      </c>
      <c r="C2613" s="4" t="str">
        <f>IFERROR(__xludf.DUMMYFUNCTION("""COMPUTED_VALUE"""),"XAYA")</f>
        <v>XAYA</v>
      </c>
    </row>
    <row r="2614">
      <c r="A2614" s="4" t="str">
        <f>IFERROR(__xludf.DUMMYFUNCTION("""COMPUTED_VALUE"""),"chimera-2")</f>
        <v>chimera-2</v>
      </c>
      <c r="B2614" s="4" t="str">
        <f>IFERROR(__xludf.DUMMYFUNCTION("""COMPUTED_VALUE"""),"cult")</f>
        <v>cult</v>
      </c>
      <c r="C2614" s="4" t="str">
        <f>IFERROR(__xludf.DUMMYFUNCTION("""COMPUTED_VALUE"""),"Chimera")</f>
        <v>Chimera</v>
      </c>
    </row>
    <row r="2615">
      <c r="A2615" s="4" t="str">
        <f>IFERROR(__xludf.DUMMYFUNCTION("""COMPUTED_VALUE"""),"chimp-fight")</f>
        <v>chimp-fight</v>
      </c>
      <c r="B2615" s="4" t="str">
        <f>IFERROR(__xludf.DUMMYFUNCTION("""COMPUTED_VALUE"""),"nana")</f>
        <v>nana</v>
      </c>
      <c r="C2615" s="4" t="str">
        <f>IFERROR(__xludf.DUMMYFUNCTION("""COMPUTED_VALUE"""),"Nana")</f>
        <v>Nana</v>
      </c>
    </row>
    <row r="2616">
      <c r="A2616" s="4" t="str">
        <f>IFERROR(__xludf.DUMMYFUNCTION("""COMPUTED_VALUE"""),"chimpzee-chmpz")</f>
        <v>chimpzee-chmpz</v>
      </c>
      <c r="B2616" s="4" t="str">
        <f>IFERROR(__xludf.DUMMYFUNCTION("""COMPUTED_VALUE"""),"chmpz")</f>
        <v>chmpz</v>
      </c>
      <c r="C2616" s="4" t="str">
        <f>IFERROR(__xludf.DUMMYFUNCTION("""COMPUTED_VALUE"""),"Chimpzee (CHMPZ）")</f>
        <v>Chimpzee (CHMPZ）</v>
      </c>
    </row>
    <row r="2617">
      <c r="A2617" s="4" t="str">
        <f>IFERROR(__xludf.DUMMYFUNCTION("""COMPUTED_VALUE"""),"chinese-ny-dragon")</f>
        <v>chinese-ny-dragon</v>
      </c>
      <c r="B2617" s="4" t="str">
        <f>IFERROR(__xludf.DUMMYFUNCTION("""COMPUTED_VALUE"""),"cnyd")</f>
        <v>cnyd</v>
      </c>
      <c r="C2617" s="4" t="str">
        <f>IFERROR(__xludf.DUMMYFUNCTION("""COMPUTED_VALUE"""),"Chinese NY Dragon")</f>
        <v>Chinese NY Dragon</v>
      </c>
    </row>
    <row r="2618">
      <c r="A2618" s="4" t="str">
        <f>IFERROR(__xludf.DUMMYFUNCTION("""COMPUTED_VALUE"""),"chinu-2")</f>
        <v>chinu-2</v>
      </c>
      <c r="B2618" s="4" t="str">
        <f>IFERROR(__xludf.DUMMYFUNCTION("""COMPUTED_VALUE"""),"chinu")</f>
        <v>chinu</v>
      </c>
      <c r="C2618" s="4" t="str">
        <f>IFERROR(__xludf.DUMMYFUNCTION("""COMPUTED_VALUE"""),"Chinu")</f>
        <v>Chinu</v>
      </c>
    </row>
    <row r="2619">
      <c r="A2619" s="4" t="str">
        <f>IFERROR(__xludf.DUMMYFUNCTION("""COMPUTED_VALUE"""),"chipi")</f>
        <v>chipi</v>
      </c>
      <c r="B2619" s="4" t="str">
        <f>IFERROR(__xludf.DUMMYFUNCTION("""COMPUTED_VALUE"""),"chipi")</f>
        <v>chipi</v>
      </c>
      <c r="C2619" s="4" t="str">
        <f>IFERROR(__xludf.DUMMYFUNCTION("""COMPUTED_VALUE"""),"CHIPI")</f>
        <v>CHIPI</v>
      </c>
    </row>
    <row r="2620">
      <c r="A2620" s="4" t="str">
        <f>IFERROR(__xludf.DUMMYFUNCTION("""COMPUTED_VALUE"""),"chi-protocol")</f>
        <v>chi-protocol</v>
      </c>
      <c r="B2620" s="4" t="str">
        <f>IFERROR(__xludf.DUMMYFUNCTION("""COMPUTED_VALUE"""),"chi")</f>
        <v>chi</v>
      </c>
      <c r="C2620" s="4" t="str">
        <f>IFERROR(__xludf.DUMMYFUNCTION("""COMPUTED_VALUE"""),"Chi Protocol")</f>
        <v>Chi Protocol</v>
      </c>
    </row>
    <row r="2621">
      <c r="A2621" s="4" t="str">
        <f>IFERROR(__xludf.DUMMYFUNCTION("""COMPUTED_VALUE"""),"chirp-finance")</f>
        <v>chirp-finance</v>
      </c>
      <c r="B2621" s="4" t="str">
        <f>IFERROR(__xludf.DUMMYFUNCTION("""COMPUTED_VALUE"""),"chirp")</f>
        <v>chirp</v>
      </c>
      <c r="C2621" s="4" t="str">
        <f>IFERROR(__xludf.DUMMYFUNCTION("""COMPUTED_VALUE"""),"Chirp Finance")</f>
        <v>Chirp Finance</v>
      </c>
    </row>
    <row r="2622">
      <c r="A2622" s="4" t="str">
        <f>IFERROR(__xludf.DUMMYFUNCTION("""COMPUTED_VALUE"""),"chirpley")</f>
        <v>chirpley</v>
      </c>
      <c r="B2622" s="4" t="str">
        <f>IFERROR(__xludf.DUMMYFUNCTION("""COMPUTED_VALUE"""),"chrp")</f>
        <v>chrp</v>
      </c>
      <c r="C2622" s="4" t="str">
        <f>IFERROR(__xludf.DUMMYFUNCTION("""COMPUTED_VALUE"""),"Chirpley")</f>
        <v>Chirpley</v>
      </c>
    </row>
    <row r="2623">
      <c r="A2623" s="4" t="str">
        <f>IFERROR(__xludf.DUMMYFUNCTION("""COMPUTED_VALUE"""),"chitaverse")</f>
        <v>chitaverse</v>
      </c>
      <c r="B2623" s="4" t="str">
        <f>IFERROR(__xludf.DUMMYFUNCTION("""COMPUTED_VALUE"""),"bct")</f>
        <v>bct</v>
      </c>
      <c r="C2623" s="4" t="str">
        <f>IFERROR(__xludf.DUMMYFUNCTION("""COMPUTED_VALUE"""),"BabyChita")</f>
        <v>BabyChita</v>
      </c>
    </row>
    <row r="2624">
      <c r="A2624" s="4" t="str">
        <f>IFERROR(__xludf.DUMMYFUNCTION("""COMPUTED_VALUE"""),"chives-coin")</f>
        <v>chives-coin</v>
      </c>
      <c r="B2624" s="4" t="str">
        <f>IFERROR(__xludf.DUMMYFUNCTION("""COMPUTED_VALUE"""),"xcc")</f>
        <v>xcc</v>
      </c>
      <c r="C2624" s="4" t="str">
        <f>IFERROR(__xludf.DUMMYFUNCTION("""COMPUTED_VALUE"""),"Chives Coin")</f>
        <v>Chives Coin</v>
      </c>
    </row>
    <row r="2625">
      <c r="A2625" s="4" t="str">
        <f>IFERROR(__xludf.DUMMYFUNCTION("""COMPUTED_VALUE"""),"choccyswap")</f>
        <v>choccyswap</v>
      </c>
      <c r="B2625" s="4" t="str">
        <f>IFERROR(__xludf.DUMMYFUNCTION("""COMPUTED_VALUE"""),"ccy")</f>
        <v>ccy</v>
      </c>
      <c r="C2625" s="4" t="str">
        <f>IFERROR(__xludf.DUMMYFUNCTION("""COMPUTED_VALUE"""),"ChoccySwap")</f>
        <v>ChoccySwap</v>
      </c>
    </row>
    <row r="2626">
      <c r="A2626" s="4" t="str">
        <f>IFERROR(__xludf.DUMMYFUNCTION("""COMPUTED_VALUE"""),"chocobase")</f>
        <v>chocobase</v>
      </c>
      <c r="B2626" s="4" t="str">
        <f>IFERROR(__xludf.DUMMYFUNCTION("""COMPUTED_VALUE"""),"choco")</f>
        <v>choco</v>
      </c>
      <c r="C2626" s="4" t="str">
        <f>IFERROR(__xludf.DUMMYFUNCTION("""COMPUTED_VALUE"""),"ChocoBase")</f>
        <v>ChocoBase</v>
      </c>
    </row>
    <row r="2627">
      <c r="A2627" s="4" t="str">
        <f>IFERROR(__xludf.DUMMYFUNCTION("""COMPUTED_VALUE"""),"chocolate-like-butterfly")</f>
        <v>chocolate-like-butterfly</v>
      </c>
      <c r="B2627" s="4" t="str">
        <f>IFERROR(__xludf.DUMMYFUNCTION("""COMPUTED_VALUE"""),"clb")</f>
        <v>clb</v>
      </c>
      <c r="C2627" s="4" t="str">
        <f>IFERROR(__xludf.DUMMYFUNCTION("""COMPUTED_VALUE"""),"Chocolate Like Butterfly")</f>
        <v>Chocolate Like Butterfly</v>
      </c>
    </row>
    <row r="2628">
      <c r="A2628" s="4" t="str">
        <f>IFERROR(__xludf.DUMMYFUNCTION("""COMPUTED_VALUE"""),"choise")</f>
        <v>choise</v>
      </c>
      <c r="B2628" s="4" t="str">
        <f>IFERROR(__xludf.DUMMYFUNCTION("""COMPUTED_VALUE"""),"cho")</f>
        <v>cho</v>
      </c>
      <c r="C2628" s="5" t="str">
        <f>IFERROR(__xludf.DUMMYFUNCTION("""COMPUTED_VALUE"""),"Choise.com")</f>
        <v>Choise.com</v>
      </c>
    </row>
    <row r="2629">
      <c r="A2629" s="4" t="str">
        <f>IFERROR(__xludf.DUMMYFUNCTION("""COMPUTED_VALUE"""),"chonk-on-base")</f>
        <v>chonk-on-base</v>
      </c>
      <c r="B2629" s="4" t="str">
        <f>IFERROR(__xludf.DUMMYFUNCTION("""COMPUTED_VALUE"""),"chonk")</f>
        <v>chonk</v>
      </c>
      <c r="C2629" s="4" t="str">
        <f>IFERROR(__xludf.DUMMYFUNCTION("""COMPUTED_VALUE"""),"Chonk")</f>
        <v>Chonk</v>
      </c>
    </row>
    <row r="2630">
      <c r="A2630" s="4" t="str">
        <f>IFERROR(__xludf.DUMMYFUNCTION("""COMPUTED_VALUE"""),"chonk-the-cat")</f>
        <v>chonk-the-cat</v>
      </c>
      <c r="B2630" s="4" t="str">
        <f>IFERROR(__xludf.DUMMYFUNCTION("""COMPUTED_VALUE"""),"chonk")</f>
        <v>chonk</v>
      </c>
      <c r="C2630" s="4" t="str">
        <f>IFERROR(__xludf.DUMMYFUNCTION("""COMPUTED_VALUE"""),"Chonk The Cat")</f>
        <v>Chonk The Cat</v>
      </c>
    </row>
    <row r="2631">
      <c r="A2631" s="4" t="str">
        <f>IFERROR(__xludf.DUMMYFUNCTION("""COMPUTED_VALUE"""),"chonky")</f>
        <v>chonky</v>
      </c>
      <c r="B2631" s="4" t="str">
        <f>IFERROR(__xludf.DUMMYFUNCTION("""COMPUTED_VALUE"""),"chonky")</f>
        <v>chonky</v>
      </c>
      <c r="C2631" s="4" t="str">
        <f>IFERROR(__xludf.DUMMYFUNCTION("""COMPUTED_VALUE"""),"CHONKY")</f>
        <v>CHONKY</v>
      </c>
    </row>
    <row r="2632">
      <c r="A2632" s="4" t="str">
        <f>IFERROR(__xludf.DUMMYFUNCTION("""COMPUTED_VALUE"""),"chooky")</f>
        <v>chooky</v>
      </c>
      <c r="B2632" s="4" t="str">
        <f>IFERROR(__xludf.DUMMYFUNCTION("""COMPUTED_VALUE"""),"$choo")</f>
        <v>$choo</v>
      </c>
      <c r="C2632" s="4" t="str">
        <f>IFERROR(__xludf.DUMMYFUNCTION("""COMPUTED_VALUE"""),"Chooky")</f>
        <v>Chooky</v>
      </c>
    </row>
    <row r="2633">
      <c r="A2633" s="4" t="str">
        <f>IFERROR(__xludf.DUMMYFUNCTION("""COMPUTED_VALUE"""),"chooserich")</f>
        <v>chooserich</v>
      </c>
      <c r="B2633" s="4" t="str">
        <f>IFERROR(__xludf.DUMMYFUNCTION("""COMPUTED_VALUE"""),"rich")</f>
        <v>rich</v>
      </c>
      <c r="C2633" s="4" t="str">
        <f>IFERROR(__xludf.DUMMYFUNCTION("""COMPUTED_VALUE"""),"ChooseRich")</f>
        <v>ChooseRich</v>
      </c>
    </row>
    <row r="2634">
      <c r="A2634" s="4" t="str">
        <f>IFERROR(__xludf.DUMMYFUNCTION("""COMPUTED_VALUE"""),"choppy")</f>
        <v>choppy</v>
      </c>
      <c r="B2634" s="4" t="str">
        <f>IFERROR(__xludf.DUMMYFUNCTION("""COMPUTED_VALUE"""),"choppy")</f>
        <v>choppy</v>
      </c>
      <c r="C2634" s="4" t="str">
        <f>IFERROR(__xludf.DUMMYFUNCTION("""COMPUTED_VALUE"""),"Choppy")</f>
        <v>Choppy</v>
      </c>
    </row>
    <row r="2635">
      <c r="A2635" s="4" t="str">
        <f>IFERROR(__xludf.DUMMYFUNCTION("""COMPUTED_VALUE"""),"chow-chow")</f>
        <v>chow-chow</v>
      </c>
      <c r="B2635" s="4" t="str">
        <f>IFERROR(__xludf.DUMMYFUNCTION("""COMPUTED_VALUE"""),"chow")</f>
        <v>chow</v>
      </c>
      <c r="C2635" s="4" t="str">
        <f>IFERROR(__xludf.DUMMYFUNCTION("""COMPUTED_VALUE"""),"CHOW CHOW")</f>
        <v>CHOW CHOW</v>
      </c>
    </row>
    <row r="2636">
      <c r="A2636" s="4" t="str">
        <f>IFERROR(__xludf.DUMMYFUNCTION("""COMPUTED_VALUE"""),"chrischan")</f>
        <v>chrischan</v>
      </c>
      <c r="B2636" s="4" t="str">
        <f>IFERROR(__xludf.DUMMYFUNCTION("""COMPUTED_VALUE"""),"chch")</f>
        <v>chch</v>
      </c>
      <c r="C2636" s="4" t="str">
        <f>IFERROR(__xludf.DUMMYFUNCTION("""COMPUTED_VALUE"""),"CHRISCHAN")</f>
        <v>CHRISCHAN</v>
      </c>
    </row>
    <row r="2637">
      <c r="A2637" s="4" t="str">
        <f>IFERROR(__xludf.DUMMYFUNCTION("""COMPUTED_VALUE"""),"christmas-floki")</f>
        <v>christmas-floki</v>
      </c>
      <c r="B2637" s="4" t="str">
        <f>IFERROR(__xludf.DUMMYFUNCTION("""COMPUTED_VALUE"""),"floc")</f>
        <v>floc</v>
      </c>
      <c r="C2637" s="4" t="str">
        <f>IFERROR(__xludf.DUMMYFUNCTION("""COMPUTED_VALUE"""),"Christmas Floki")</f>
        <v>Christmas Floki</v>
      </c>
    </row>
    <row r="2638">
      <c r="A2638" s="4" t="str">
        <f>IFERROR(__xludf.DUMMYFUNCTION("""COMPUTED_VALUE"""),"christmaspump")</f>
        <v>christmaspump</v>
      </c>
      <c r="B2638" s="4" t="str">
        <f>IFERROR(__xludf.DUMMYFUNCTION("""COMPUTED_VALUE"""),"chrispump")</f>
        <v>chrispump</v>
      </c>
      <c r="C2638" s="4" t="str">
        <f>IFERROR(__xludf.DUMMYFUNCTION("""COMPUTED_VALUE"""),"christmaspump")</f>
        <v>christmaspump</v>
      </c>
    </row>
    <row r="2639">
      <c r="A2639" s="4" t="str">
        <f>IFERROR(__xludf.DUMMYFUNCTION("""COMPUTED_VALUE"""),"christmas-shiba")</f>
        <v>christmas-shiba</v>
      </c>
      <c r="B2639" s="4" t="str">
        <f>IFERROR(__xludf.DUMMYFUNCTION("""COMPUTED_VALUE"""),"xshib")</f>
        <v>xshib</v>
      </c>
      <c r="C2639" s="4" t="str">
        <f>IFERROR(__xludf.DUMMYFUNCTION("""COMPUTED_VALUE"""),"Christmas Shiba")</f>
        <v>Christmas Shiba</v>
      </c>
    </row>
    <row r="2640">
      <c r="A2640" s="4" t="str">
        <f>IFERROR(__xludf.DUMMYFUNCTION("""COMPUTED_VALUE"""),"chromaway")</f>
        <v>chromaway</v>
      </c>
      <c r="B2640" s="4" t="str">
        <f>IFERROR(__xludf.DUMMYFUNCTION("""COMPUTED_VALUE"""),"chr")</f>
        <v>chr</v>
      </c>
      <c r="C2640" s="4" t="str">
        <f>IFERROR(__xludf.DUMMYFUNCTION("""COMPUTED_VALUE"""),"Chromia")</f>
        <v>Chromia</v>
      </c>
    </row>
    <row r="2641">
      <c r="A2641" s="4" t="str">
        <f>IFERROR(__xludf.DUMMYFUNCTION("""COMPUTED_VALUE"""),"chromium-dollar")</f>
        <v>chromium-dollar</v>
      </c>
      <c r="B2641" s="4" t="str">
        <f>IFERROR(__xludf.DUMMYFUNCTION("""COMPUTED_VALUE"""),"cr")</f>
        <v>cr</v>
      </c>
      <c r="C2641" s="4" t="str">
        <f>IFERROR(__xludf.DUMMYFUNCTION("""COMPUTED_VALUE"""),"Chromium Dollar")</f>
        <v>Chromium Dollar</v>
      </c>
    </row>
    <row r="2642">
      <c r="A2642" s="4" t="str">
        <f>IFERROR(__xludf.DUMMYFUNCTION("""COMPUTED_VALUE"""),"chronicle")</f>
        <v>chronicle</v>
      </c>
      <c r="B2642" s="4" t="str">
        <f>IFERROR(__xludf.DUMMYFUNCTION("""COMPUTED_VALUE"""),"xnl")</f>
        <v>xnl</v>
      </c>
      <c r="C2642" s="4" t="str">
        <f>IFERROR(__xludf.DUMMYFUNCTION("""COMPUTED_VALUE"""),"Chronicle")</f>
        <v>Chronicle</v>
      </c>
    </row>
    <row r="2643">
      <c r="A2643" s="4" t="str">
        <f>IFERROR(__xludf.DUMMYFUNCTION("""COMPUTED_VALUE"""),"chronicum")</f>
        <v>chronicum</v>
      </c>
      <c r="B2643" s="4" t="str">
        <f>IFERROR(__xludf.DUMMYFUNCTION("""COMPUTED_VALUE"""),"chro")</f>
        <v>chro</v>
      </c>
      <c r="C2643" s="4" t="str">
        <f>IFERROR(__xludf.DUMMYFUNCTION("""COMPUTED_VALUE"""),"Chronicum")</f>
        <v>Chronicum</v>
      </c>
    </row>
    <row r="2644">
      <c r="A2644" s="4" t="str">
        <f>IFERROR(__xludf.DUMMYFUNCTION("""COMPUTED_VALUE"""),"chronobank")</f>
        <v>chronobank</v>
      </c>
      <c r="B2644" s="4" t="str">
        <f>IFERROR(__xludf.DUMMYFUNCTION("""COMPUTED_VALUE"""),"time")</f>
        <v>time</v>
      </c>
      <c r="C2644" s="4" t="str">
        <f>IFERROR(__xludf.DUMMYFUNCTION("""COMPUTED_VALUE"""),"chrono.tech")</f>
        <v>chrono.tech</v>
      </c>
    </row>
    <row r="2645">
      <c r="A2645" s="4" t="str">
        <f>IFERROR(__xludf.DUMMYFUNCTION("""COMPUTED_VALUE"""),"chronos-finance")</f>
        <v>chronos-finance</v>
      </c>
      <c r="B2645" s="4" t="str">
        <f>IFERROR(__xludf.DUMMYFUNCTION("""COMPUTED_VALUE"""),"chr")</f>
        <v>chr</v>
      </c>
      <c r="C2645" s="4" t="str">
        <f>IFERROR(__xludf.DUMMYFUNCTION("""COMPUTED_VALUE"""),"Chronos Finance")</f>
        <v>Chronos Finance</v>
      </c>
    </row>
    <row r="2646">
      <c r="A2646" s="4" t="str">
        <f>IFERROR(__xludf.DUMMYFUNCTION("""COMPUTED_VALUE"""),"chubbyakita")</f>
        <v>chubbyakita</v>
      </c>
      <c r="B2646" s="4" t="str">
        <f>IFERROR(__xludf.DUMMYFUNCTION("""COMPUTED_VALUE"""),"cakita")</f>
        <v>cakita</v>
      </c>
      <c r="C2646" s="4" t="str">
        <f>IFERROR(__xludf.DUMMYFUNCTION("""COMPUTED_VALUE"""),"ChubbyAkita")</f>
        <v>ChubbyAkita</v>
      </c>
    </row>
    <row r="2647">
      <c r="A2647" s="4" t="str">
        <f>IFERROR(__xludf.DUMMYFUNCTION("""COMPUTED_VALUE"""),"chuchu")</f>
        <v>chuchu</v>
      </c>
      <c r="B2647" s="4" t="str">
        <f>IFERROR(__xludf.DUMMYFUNCTION("""COMPUTED_VALUE"""),"chuchu")</f>
        <v>chuchu</v>
      </c>
      <c r="C2647" s="4" t="str">
        <f>IFERROR(__xludf.DUMMYFUNCTION("""COMPUTED_VALUE"""),"Chuchu")</f>
        <v>Chuchu</v>
      </c>
    </row>
    <row r="2648">
      <c r="A2648" s="4" t="str">
        <f>IFERROR(__xludf.DUMMYFUNCTION("""COMPUTED_VALUE"""),"chuck-on-eth")</f>
        <v>chuck-on-eth</v>
      </c>
      <c r="B2648" s="4" t="str">
        <f>IFERROR(__xludf.DUMMYFUNCTION("""COMPUTED_VALUE"""),"chuck")</f>
        <v>chuck</v>
      </c>
      <c r="C2648" s="4" t="str">
        <f>IFERROR(__xludf.DUMMYFUNCTION("""COMPUTED_VALUE"""),"Chuck")</f>
        <v>Chuck</v>
      </c>
    </row>
    <row r="2649">
      <c r="A2649" s="4" t="str">
        <f>IFERROR(__xludf.DUMMYFUNCTION("""COMPUTED_VALUE"""),"chumbai-valley")</f>
        <v>chumbai-valley</v>
      </c>
      <c r="B2649" s="4" t="str">
        <f>IFERROR(__xludf.DUMMYFUNCTION("""COMPUTED_VALUE"""),"chmb")</f>
        <v>chmb</v>
      </c>
      <c r="C2649" s="4" t="str">
        <f>IFERROR(__xludf.DUMMYFUNCTION("""COMPUTED_VALUE"""),"Chumbi Valley")</f>
        <v>Chumbi Valley</v>
      </c>
    </row>
    <row r="2650">
      <c r="A2650" s="4" t="str">
        <f>IFERROR(__xludf.DUMMYFUNCTION("""COMPUTED_VALUE"""),"chunks")</f>
        <v>chunks</v>
      </c>
      <c r="B2650" s="4" t="str">
        <f>IFERROR(__xludf.DUMMYFUNCTION("""COMPUTED_VALUE"""),"chunks")</f>
        <v>chunks</v>
      </c>
      <c r="C2650" s="4" t="str">
        <f>IFERROR(__xludf.DUMMYFUNCTION("""COMPUTED_VALUE"""),"Chunks")</f>
        <v>Chunks</v>
      </c>
    </row>
    <row r="2651">
      <c r="A2651" s="4" t="str">
        <f>IFERROR(__xludf.DUMMYFUNCTION("""COMPUTED_VALUE"""),"church-of-the-machina")</f>
        <v>church-of-the-machina</v>
      </c>
      <c r="B2651" s="4" t="str">
        <f>IFERROR(__xludf.DUMMYFUNCTION("""COMPUTED_VALUE"""),"machina")</f>
        <v>machina</v>
      </c>
      <c r="C2651" s="4" t="str">
        <f>IFERROR(__xludf.DUMMYFUNCTION("""COMPUTED_VALUE"""),"Church of the Machina")</f>
        <v>Church of the Machina</v>
      </c>
    </row>
    <row r="2652">
      <c r="A2652" s="4" t="str">
        <f>IFERROR(__xludf.DUMMYFUNCTION("""COMPUTED_VALUE"""),"churro")</f>
        <v>churro</v>
      </c>
      <c r="B2652" s="4" t="str">
        <f>IFERROR(__xludf.DUMMYFUNCTION("""COMPUTED_VALUE"""),"churro")</f>
        <v>churro</v>
      </c>
      <c r="C2652" s="4" t="str">
        <f>IFERROR(__xludf.DUMMYFUNCTION("""COMPUTED_VALUE"""),"Churro")</f>
        <v>Churro</v>
      </c>
    </row>
    <row r="2653">
      <c r="A2653" s="4" t="str">
        <f>IFERROR(__xludf.DUMMYFUNCTION("""COMPUTED_VALUE"""),"cia")</f>
        <v>cia</v>
      </c>
      <c r="B2653" s="4" t="str">
        <f>IFERROR(__xludf.DUMMYFUNCTION("""COMPUTED_VALUE"""),"cia")</f>
        <v>cia</v>
      </c>
      <c r="C2653" s="4" t="str">
        <f>IFERROR(__xludf.DUMMYFUNCTION("""COMPUTED_VALUE"""),"CIA")</f>
        <v>CIA</v>
      </c>
    </row>
    <row r="2654">
      <c r="A2654" s="4" t="str">
        <f>IFERROR(__xludf.DUMMYFUNCTION("""COMPUTED_VALUE"""),"cias")</f>
        <v>cias</v>
      </c>
      <c r="B2654" s="4" t="str">
        <f>IFERROR(__xludf.DUMMYFUNCTION("""COMPUTED_VALUE"""),"cias")</f>
        <v>cias</v>
      </c>
      <c r="C2654" s="4" t="str">
        <f>IFERROR(__xludf.DUMMYFUNCTION("""COMPUTED_VALUE"""),"CIAS")</f>
        <v>CIAS</v>
      </c>
    </row>
    <row r="2655">
      <c r="A2655" s="4" t="str">
        <f>IFERROR(__xludf.DUMMYFUNCTION("""COMPUTED_VALUE"""),"cicca-network")</f>
        <v>cicca-network</v>
      </c>
      <c r="B2655" s="4" t="str">
        <f>IFERROR(__xludf.DUMMYFUNCTION("""COMPUTED_VALUE"""),"cicca")</f>
        <v>cicca</v>
      </c>
      <c r="C2655" s="4" t="str">
        <f>IFERROR(__xludf.DUMMYFUNCTION("""COMPUTED_VALUE"""),"Cicca Network")</f>
        <v>Cicca Network</v>
      </c>
    </row>
    <row r="2656">
      <c r="A2656" s="4" t="str">
        <f>IFERROR(__xludf.DUMMYFUNCTION("""COMPUTED_VALUE"""),"ciento-exchange")</f>
        <v>ciento-exchange</v>
      </c>
      <c r="B2656" s="4" t="str">
        <f>IFERROR(__xludf.DUMMYFUNCTION("""COMPUTED_VALUE"""),"cnto")</f>
        <v>cnto</v>
      </c>
      <c r="C2656" s="4" t="str">
        <f>IFERROR(__xludf.DUMMYFUNCTION("""COMPUTED_VALUE"""),"Ciento Exchange")</f>
        <v>Ciento Exchange</v>
      </c>
    </row>
    <row r="2657">
      <c r="A2657" s="4" t="str">
        <f>IFERROR(__xludf.DUMMYFUNCTION("""COMPUTED_VALUE"""),"cifdaq")</f>
        <v>cifdaq</v>
      </c>
      <c r="B2657" s="4" t="str">
        <f>IFERROR(__xludf.DUMMYFUNCTION("""COMPUTED_VALUE"""),"cifd")</f>
        <v>cifd</v>
      </c>
      <c r="C2657" s="4" t="str">
        <f>IFERROR(__xludf.DUMMYFUNCTION("""COMPUTED_VALUE"""),"CIFDAQ")</f>
        <v>CIFDAQ</v>
      </c>
    </row>
    <row r="2658">
      <c r="A2658" s="4" t="str">
        <f>IFERROR(__xludf.DUMMYFUNCTION("""COMPUTED_VALUE"""),"cindicator")</f>
        <v>cindicator</v>
      </c>
      <c r="B2658" s="4" t="str">
        <f>IFERROR(__xludf.DUMMYFUNCTION("""COMPUTED_VALUE"""),"cnd")</f>
        <v>cnd</v>
      </c>
      <c r="C2658" s="4" t="str">
        <f>IFERROR(__xludf.DUMMYFUNCTION("""COMPUTED_VALUE"""),"Cindicator")</f>
        <v>Cindicator</v>
      </c>
    </row>
    <row r="2659">
      <c r="A2659" s="4" t="str">
        <f>IFERROR(__xludf.DUMMYFUNCTION("""COMPUTED_VALUE"""),"cindrum")</f>
        <v>cindrum</v>
      </c>
      <c r="B2659" s="4" t="str">
        <f>IFERROR(__xludf.DUMMYFUNCTION("""COMPUTED_VALUE"""),"cind")</f>
        <v>cind</v>
      </c>
      <c r="C2659" s="4" t="str">
        <f>IFERROR(__xludf.DUMMYFUNCTION("""COMPUTED_VALUE"""),"Cindrum")</f>
        <v>Cindrum</v>
      </c>
    </row>
    <row r="2660">
      <c r="A2660" s="4" t="str">
        <f>IFERROR(__xludf.DUMMYFUNCTION("""COMPUTED_VALUE"""),"cipher-2")</f>
        <v>cipher-2</v>
      </c>
      <c r="B2660" s="4" t="str">
        <f>IFERROR(__xludf.DUMMYFUNCTION("""COMPUTED_VALUE"""),"cpr")</f>
        <v>cpr</v>
      </c>
      <c r="C2660" s="4" t="str">
        <f>IFERROR(__xludf.DUMMYFUNCTION("""COMPUTED_VALUE"""),"CIPHER")</f>
        <v>CIPHER</v>
      </c>
    </row>
    <row r="2661">
      <c r="A2661" s="4" t="str">
        <f>IFERROR(__xludf.DUMMYFUNCTION("""COMPUTED_VALUE"""),"circlepacific")</f>
        <v>circlepacific</v>
      </c>
      <c r="B2661" s="4" t="str">
        <f>IFERROR(__xludf.DUMMYFUNCTION("""COMPUTED_VALUE"""),"circle")</f>
        <v>circle</v>
      </c>
      <c r="C2661" s="4" t="str">
        <f>IFERROR(__xludf.DUMMYFUNCTION("""COMPUTED_VALUE"""),"CirclePacific")</f>
        <v>CirclePacific</v>
      </c>
    </row>
    <row r="2662">
      <c r="A2662" s="4" t="str">
        <f>IFERROR(__xludf.DUMMYFUNCTION("""COMPUTED_VALUE"""),"circleswap")</f>
        <v>circleswap</v>
      </c>
      <c r="B2662" s="4" t="str">
        <f>IFERROR(__xludf.DUMMYFUNCTION("""COMPUTED_VALUE"""),"cir")</f>
        <v>cir</v>
      </c>
      <c r="C2662" s="4" t="str">
        <f>IFERROR(__xludf.DUMMYFUNCTION("""COMPUTED_VALUE"""),"CircleSwap")</f>
        <v>CircleSwap</v>
      </c>
    </row>
    <row r="2663">
      <c r="A2663" s="4" t="str">
        <f>IFERROR(__xludf.DUMMYFUNCTION("""COMPUTED_VALUE"""),"circuits-of-value")</f>
        <v>circuits-of-value</v>
      </c>
      <c r="B2663" s="4" t="str">
        <f>IFERROR(__xludf.DUMMYFUNCTION("""COMPUTED_VALUE"""),"coval")</f>
        <v>coval</v>
      </c>
      <c r="C2663" s="4" t="str">
        <f>IFERROR(__xludf.DUMMYFUNCTION("""COMPUTED_VALUE"""),"Circuits of Value")</f>
        <v>Circuits of Value</v>
      </c>
    </row>
    <row r="2664">
      <c r="A2664" s="4" t="str">
        <f>IFERROR(__xludf.DUMMYFUNCTION("""COMPUTED_VALUE"""),"circularity-finance")</f>
        <v>circularity-finance</v>
      </c>
      <c r="B2664" s="4" t="str">
        <f>IFERROR(__xludf.DUMMYFUNCTION("""COMPUTED_VALUE"""),"cifi")</f>
        <v>cifi</v>
      </c>
      <c r="C2664" s="4" t="str">
        <f>IFERROR(__xludf.DUMMYFUNCTION("""COMPUTED_VALUE"""),"Circularity Finance")</f>
        <v>Circularity Finance</v>
      </c>
    </row>
    <row r="2665">
      <c r="A2665" s="4" t="str">
        <f>IFERROR(__xludf.DUMMYFUNCTION("""COMPUTED_VALUE"""),"ciri-coin")</f>
        <v>ciri-coin</v>
      </c>
      <c r="B2665" s="4" t="str">
        <f>IFERROR(__xludf.DUMMYFUNCTION("""COMPUTED_VALUE"""),"ciri")</f>
        <v>ciri</v>
      </c>
      <c r="C2665" s="4" t="str">
        <f>IFERROR(__xludf.DUMMYFUNCTION("""COMPUTED_VALUE"""),"CIRI Coin")</f>
        <v>CIRI Coin</v>
      </c>
    </row>
    <row r="2666">
      <c r="A2666" s="4" t="str">
        <f>IFERROR(__xludf.DUMMYFUNCTION("""COMPUTED_VALUE"""),"cirque-du-sol")</f>
        <v>cirque-du-sol</v>
      </c>
      <c r="B2666" s="4" t="str">
        <f>IFERROR(__xludf.DUMMYFUNCTION("""COMPUTED_VALUE"""),"circ")</f>
        <v>circ</v>
      </c>
      <c r="C2666" s="4" t="str">
        <f>IFERROR(__xludf.DUMMYFUNCTION("""COMPUTED_VALUE"""),"Cirque Du Sol")</f>
        <v>Cirque Du Sol</v>
      </c>
    </row>
    <row r="2667">
      <c r="A2667" s="4" t="str">
        <f>IFERROR(__xludf.DUMMYFUNCTION("""COMPUTED_VALUE"""),"cirquity")</f>
        <v>cirquity</v>
      </c>
      <c r="B2667" s="4" t="str">
        <f>IFERROR(__xludf.DUMMYFUNCTION("""COMPUTED_VALUE"""),"cirq")</f>
        <v>cirq</v>
      </c>
      <c r="C2667" s="4" t="str">
        <f>IFERROR(__xludf.DUMMYFUNCTION("""COMPUTED_VALUE"""),"Cirquity")</f>
        <v>Cirquity</v>
      </c>
    </row>
    <row r="2668">
      <c r="A2668" s="4" t="str">
        <f>IFERROR(__xludf.DUMMYFUNCTION("""COMPUTED_VALUE"""),"cirus")</f>
        <v>cirus</v>
      </c>
      <c r="B2668" s="4" t="str">
        <f>IFERROR(__xludf.DUMMYFUNCTION("""COMPUTED_VALUE"""),"cirus")</f>
        <v>cirus</v>
      </c>
      <c r="C2668" s="4" t="str">
        <f>IFERROR(__xludf.DUMMYFUNCTION("""COMPUTED_VALUE"""),"Cirus")</f>
        <v>Cirus</v>
      </c>
    </row>
    <row r="2669">
      <c r="A2669" s="4" t="str">
        <f>IFERROR(__xludf.DUMMYFUNCTION("""COMPUTED_VALUE"""),"citadao")</f>
        <v>citadao</v>
      </c>
      <c r="B2669" s="4" t="str">
        <f>IFERROR(__xludf.DUMMYFUNCTION("""COMPUTED_VALUE"""),"knight")</f>
        <v>knight</v>
      </c>
      <c r="C2669" s="4" t="str">
        <f>IFERROR(__xludf.DUMMYFUNCTION("""COMPUTED_VALUE"""),"CitaDAO")</f>
        <v>CitaDAO</v>
      </c>
    </row>
    <row r="2670">
      <c r="A2670" s="4" t="str">
        <f>IFERROR(__xludf.DUMMYFUNCTION("""COMPUTED_VALUE"""),"citadel")</f>
        <v>citadel</v>
      </c>
      <c r="B2670" s="4" t="str">
        <f>IFERROR(__xludf.DUMMYFUNCTION("""COMPUTED_VALUE"""),"ctl")</f>
        <v>ctl</v>
      </c>
      <c r="C2670" s="4" t="str">
        <f>IFERROR(__xludf.DUMMYFUNCTION("""COMPUTED_VALUE"""),"Citadel")</f>
        <v>Citadel</v>
      </c>
    </row>
    <row r="2671">
      <c r="A2671" s="4" t="str">
        <f>IFERROR(__xludf.DUMMYFUNCTION("""COMPUTED_VALUE"""),"citadel-one")</f>
        <v>citadel-one</v>
      </c>
      <c r="B2671" s="4" t="str">
        <f>IFERROR(__xludf.DUMMYFUNCTION("""COMPUTED_VALUE"""),"xct")</f>
        <v>xct</v>
      </c>
      <c r="C2671" s="4" t="str">
        <f>IFERROR(__xludf.DUMMYFUNCTION("""COMPUTED_VALUE"""),"Citadel.one")</f>
        <v>Citadel.one</v>
      </c>
    </row>
    <row r="2672">
      <c r="A2672" s="4" t="str">
        <f>IFERROR(__xludf.DUMMYFUNCTION("""COMPUTED_VALUE"""),"citadel-swap")</f>
        <v>citadel-swap</v>
      </c>
      <c r="B2672" s="4" t="str">
        <f>IFERROR(__xludf.DUMMYFUNCTION("""COMPUTED_VALUE"""),"fort")</f>
        <v>fort</v>
      </c>
      <c r="C2672" s="4" t="str">
        <f>IFERROR(__xludf.DUMMYFUNCTION("""COMPUTED_VALUE"""),"Citadel")</f>
        <v>Citadel</v>
      </c>
    </row>
    <row r="2673">
      <c r="A2673" s="4" t="str">
        <f>IFERROR(__xludf.DUMMYFUNCTION("""COMPUTED_VALUE"""),"citty-meme-coin")</f>
        <v>citty-meme-coin</v>
      </c>
      <c r="B2673" s="4" t="str">
        <f>IFERROR(__xludf.DUMMYFUNCTION("""COMPUTED_VALUE"""),"citty")</f>
        <v>citty</v>
      </c>
      <c r="C2673" s="4" t="str">
        <f>IFERROR(__xludf.DUMMYFUNCTION("""COMPUTED_VALUE"""),"Citty Meme Coin")</f>
        <v>Citty Meme Coin</v>
      </c>
    </row>
    <row r="2674">
      <c r="A2674" s="4" t="str">
        <f>IFERROR(__xludf.DUMMYFUNCTION("""COMPUTED_VALUE"""),"city-boys")</f>
        <v>city-boys</v>
      </c>
      <c r="B2674" s="4" t="str">
        <f>IFERROR(__xludf.DUMMYFUNCTION("""COMPUTED_VALUE"""),"toons")</f>
        <v>toons</v>
      </c>
      <c r="C2674" s="4" t="str">
        <f>IFERROR(__xludf.DUMMYFUNCTION("""COMPUTED_VALUE"""),"City Boys")</f>
        <v>City Boys</v>
      </c>
    </row>
    <row r="2675">
      <c r="A2675" s="4" t="str">
        <f>IFERROR(__xludf.DUMMYFUNCTION("""COMPUTED_VALUE"""),"city-tycoon-games")</f>
        <v>city-tycoon-games</v>
      </c>
      <c r="B2675" s="4" t="str">
        <f>IFERROR(__xludf.DUMMYFUNCTION("""COMPUTED_VALUE"""),"ctg")</f>
        <v>ctg</v>
      </c>
      <c r="C2675" s="4" t="str">
        <f>IFERROR(__xludf.DUMMYFUNCTION("""COMPUTED_VALUE"""),"City Tycoon Games")</f>
        <v>City Tycoon Games</v>
      </c>
    </row>
    <row r="2676">
      <c r="A2676" s="4" t="str">
        <f>IFERROR(__xludf.DUMMYFUNCTION("""COMPUTED_VALUE"""),"civfund-stone")</f>
        <v>civfund-stone</v>
      </c>
      <c r="B2676" s="4" t="str">
        <f>IFERROR(__xludf.DUMMYFUNCTION("""COMPUTED_VALUE"""),"0ne")</f>
        <v>0ne</v>
      </c>
      <c r="C2676" s="4" t="str">
        <f>IFERROR(__xludf.DUMMYFUNCTION("""COMPUTED_VALUE"""),"Civfund Stone")</f>
        <v>Civfund Stone</v>
      </c>
    </row>
    <row r="2677">
      <c r="A2677" s="4" t="str">
        <f>IFERROR(__xludf.DUMMYFUNCTION("""COMPUTED_VALUE"""),"civic")</f>
        <v>civic</v>
      </c>
      <c r="B2677" s="4" t="str">
        <f>IFERROR(__xludf.DUMMYFUNCTION("""COMPUTED_VALUE"""),"cvc")</f>
        <v>cvc</v>
      </c>
      <c r="C2677" s="4" t="str">
        <f>IFERROR(__xludf.DUMMYFUNCTION("""COMPUTED_VALUE"""),"Civic")</f>
        <v>Civic</v>
      </c>
    </row>
    <row r="2678">
      <c r="A2678" s="4" t="str">
        <f>IFERROR(__xludf.DUMMYFUNCTION("""COMPUTED_VALUE"""),"civilization")</f>
        <v>civilization</v>
      </c>
      <c r="B2678" s="4" t="str">
        <f>IFERROR(__xludf.DUMMYFUNCTION("""COMPUTED_VALUE"""),"civ")</f>
        <v>civ</v>
      </c>
      <c r="C2678" s="4" t="str">
        <f>IFERROR(__xludf.DUMMYFUNCTION("""COMPUTED_VALUE"""),"Civilization")</f>
        <v>Civilization</v>
      </c>
    </row>
    <row r="2679">
      <c r="A2679" s="4" t="str">
        <f>IFERROR(__xludf.DUMMYFUNCTION("""COMPUTED_VALUE"""),"civilization-network")</f>
        <v>civilization-network</v>
      </c>
      <c r="B2679" s="4" t="str">
        <f>IFERROR(__xludf.DUMMYFUNCTION("""COMPUTED_VALUE"""),"cvl")</f>
        <v>cvl</v>
      </c>
      <c r="C2679" s="4" t="str">
        <f>IFERROR(__xludf.DUMMYFUNCTION("""COMPUTED_VALUE"""),"Civilization Network")</f>
        <v>Civilization Network</v>
      </c>
    </row>
    <row r="2680">
      <c r="A2680" s="4" t="str">
        <f>IFERROR(__xludf.DUMMYFUNCTION("""COMPUTED_VALUE"""),"cjournal")</f>
        <v>cjournal</v>
      </c>
      <c r="B2680" s="4" t="str">
        <f>IFERROR(__xludf.DUMMYFUNCTION("""COMPUTED_VALUE"""),"ucjl")</f>
        <v>ucjl</v>
      </c>
      <c r="C2680" s="4" t="str">
        <f>IFERROR(__xludf.DUMMYFUNCTION("""COMPUTED_VALUE"""),"Utility Cjournal")</f>
        <v>Utility Cjournal</v>
      </c>
    </row>
    <row r="2681">
      <c r="A2681" s="4" t="str">
        <f>IFERROR(__xludf.DUMMYFUNCTION("""COMPUTED_VALUE"""),"claimswap")</f>
        <v>claimswap</v>
      </c>
      <c r="B2681" s="4" t="str">
        <f>IFERROR(__xludf.DUMMYFUNCTION("""COMPUTED_VALUE"""),"cla")</f>
        <v>cla</v>
      </c>
      <c r="C2681" s="4" t="str">
        <f>IFERROR(__xludf.DUMMYFUNCTION("""COMPUTED_VALUE"""),"ClaimSwap")</f>
        <v>ClaimSwap</v>
      </c>
    </row>
    <row r="2682">
      <c r="A2682" s="4" t="str">
        <f>IFERROR(__xludf.DUMMYFUNCTION("""COMPUTED_VALUE"""),"clams")</f>
        <v>clams</v>
      </c>
      <c r="B2682" s="4" t="str">
        <f>IFERROR(__xludf.DUMMYFUNCTION("""COMPUTED_VALUE"""),"clam")</f>
        <v>clam</v>
      </c>
      <c r="C2682" s="4" t="str">
        <f>IFERROR(__xludf.DUMMYFUNCTION("""COMPUTED_VALUE"""),"Clams")</f>
        <v>Clams</v>
      </c>
    </row>
    <row r="2683">
      <c r="A2683" s="4" t="str">
        <f>IFERROR(__xludf.DUMMYFUNCTION("""COMPUTED_VALUE"""),"clashmon-ignition-torch")</f>
        <v>clashmon-ignition-torch</v>
      </c>
      <c r="B2683" s="4" t="str">
        <f>IFERROR(__xludf.DUMMYFUNCTION("""COMPUTED_VALUE"""),"torch")</f>
        <v>torch</v>
      </c>
      <c r="C2683" s="4" t="str">
        <f>IFERROR(__xludf.DUMMYFUNCTION("""COMPUTED_VALUE"""),"Torch")</f>
        <v>Torch</v>
      </c>
    </row>
    <row r="2684">
      <c r="A2684" s="4" t="str">
        <f>IFERROR(__xludf.DUMMYFUNCTION("""COMPUTED_VALUE"""),"clash-of-lilliput")</f>
        <v>clash-of-lilliput</v>
      </c>
      <c r="B2684" s="4" t="str">
        <f>IFERROR(__xludf.DUMMYFUNCTION("""COMPUTED_VALUE"""),"col")</f>
        <v>col</v>
      </c>
      <c r="C2684" s="4" t="str">
        <f>IFERROR(__xludf.DUMMYFUNCTION("""COMPUTED_VALUE"""),"Clash of Lilliput")</f>
        <v>Clash of Lilliput</v>
      </c>
    </row>
    <row r="2685">
      <c r="A2685" s="4" t="str">
        <f>IFERROR(__xludf.DUMMYFUNCTION("""COMPUTED_VALUE"""),"classicbitcoin")</f>
        <v>classicbitcoin</v>
      </c>
      <c r="B2685" s="4" t="str">
        <f>IFERROR(__xludf.DUMMYFUNCTION("""COMPUTED_VALUE"""),"cbtc")</f>
        <v>cbtc</v>
      </c>
      <c r="C2685" s="4" t="str">
        <f>IFERROR(__xludf.DUMMYFUNCTION("""COMPUTED_VALUE"""),"ClassicBitcoin")</f>
        <v>ClassicBitcoin</v>
      </c>
    </row>
    <row r="2686">
      <c r="A2686" s="4" t="str">
        <f>IFERROR(__xludf.DUMMYFUNCTION("""COMPUTED_VALUE"""),"classzz")</f>
        <v>classzz</v>
      </c>
      <c r="B2686" s="4" t="str">
        <f>IFERROR(__xludf.DUMMYFUNCTION("""COMPUTED_VALUE"""),"czz")</f>
        <v>czz</v>
      </c>
      <c r="C2686" s="4" t="str">
        <f>IFERROR(__xludf.DUMMYFUNCTION("""COMPUTED_VALUE"""),"ClassZZ")</f>
        <v>ClassZZ</v>
      </c>
    </row>
    <row r="2687">
      <c r="A2687" s="4" t="str">
        <f>IFERROR(__xludf.DUMMYFUNCTION("""COMPUTED_VALUE"""),"claw-2")</f>
        <v>claw-2</v>
      </c>
      <c r="B2687" s="4" t="str">
        <f>IFERROR(__xludf.DUMMYFUNCTION("""COMPUTED_VALUE"""),"claw")</f>
        <v>claw</v>
      </c>
      <c r="C2687" s="4" t="str">
        <f>IFERROR(__xludf.DUMMYFUNCTION("""COMPUTED_VALUE"""),"Claw")</f>
        <v>Claw</v>
      </c>
    </row>
    <row r="2688">
      <c r="A2688" s="4" t="str">
        <f>IFERROR(__xludf.DUMMYFUNCTION("""COMPUTED_VALUE"""),"clay-nation")</f>
        <v>clay-nation</v>
      </c>
      <c r="B2688" s="4" t="str">
        <f>IFERROR(__xludf.DUMMYFUNCTION("""COMPUTED_VALUE"""),"clay")</f>
        <v>clay</v>
      </c>
      <c r="C2688" s="4" t="str">
        <f>IFERROR(__xludf.DUMMYFUNCTION("""COMPUTED_VALUE"""),"Clay Nation")</f>
        <v>Clay Nation</v>
      </c>
    </row>
    <row r="2689">
      <c r="A2689" s="4" t="str">
        <f>IFERROR(__xludf.DUMMYFUNCTION("""COMPUTED_VALUE"""),"claystack-staked-eth")</f>
        <v>claystack-staked-eth</v>
      </c>
      <c r="B2689" s="4" t="str">
        <f>IFERROR(__xludf.DUMMYFUNCTION("""COMPUTED_VALUE"""),"cseth")</f>
        <v>cseth</v>
      </c>
      <c r="C2689" s="4" t="str">
        <f>IFERROR(__xludf.DUMMYFUNCTION("""COMPUTED_VALUE"""),"ClayStack Staked ETH")</f>
        <v>ClayStack Staked ETH</v>
      </c>
    </row>
    <row r="2690">
      <c r="A2690" s="4" t="str">
        <f>IFERROR(__xludf.DUMMYFUNCTION("""COMPUTED_VALUE"""),"claystack-staked-matic")</f>
        <v>claystack-staked-matic</v>
      </c>
      <c r="B2690" s="4" t="str">
        <f>IFERROR(__xludf.DUMMYFUNCTION("""COMPUTED_VALUE"""),"csmatic")</f>
        <v>csmatic</v>
      </c>
      <c r="C2690" s="4" t="str">
        <f>IFERROR(__xludf.DUMMYFUNCTION("""COMPUTED_VALUE"""),"ClayStack Staked MATIC")</f>
        <v>ClayStack Staked MATIC</v>
      </c>
    </row>
    <row r="2691">
      <c r="A2691" s="4" t="str">
        <f>IFERROR(__xludf.DUMMYFUNCTION("""COMPUTED_VALUE"""),"clearcryptos")</f>
        <v>clearcryptos</v>
      </c>
      <c r="B2691" s="4" t="str">
        <f>IFERROR(__xludf.DUMMYFUNCTION("""COMPUTED_VALUE"""),"ccx")</f>
        <v>ccx</v>
      </c>
      <c r="C2691" s="4" t="str">
        <f>IFERROR(__xludf.DUMMYFUNCTION("""COMPUTED_VALUE"""),"ClearCryptos")</f>
        <v>ClearCryptos</v>
      </c>
    </row>
    <row r="2692">
      <c r="A2692" s="4" t="str">
        <f>IFERROR(__xludf.DUMMYFUNCTION("""COMPUTED_VALUE"""),"cleardao")</f>
        <v>cleardao</v>
      </c>
      <c r="B2692" s="4" t="str">
        <f>IFERROR(__xludf.DUMMYFUNCTION("""COMPUTED_VALUE"""),"clh")</f>
        <v>clh</v>
      </c>
      <c r="C2692" s="4" t="str">
        <f>IFERROR(__xludf.DUMMYFUNCTION("""COMPUTED_VALUE"""),"ClearDAO")</f>
        <v>ClearDAO</v>
      </c>
    </row>
    <row r="2693">
      <c r="A2693" s="4" t="str">
        <f>IFERROR(__xludf.DUMMYFUNCTION("""COMPUTED_VALUE"""),"clearpool")</f>
        <v>clearpool</v>
      </c>
      <c r="B2693" s="4" t="str">
        <f>IFERROR(__xludf.DUMMYFUNCTION("""COMPUTED_VALUE"""),"cpool")</f>
        <v>cpool</v>
      </c>
      <c r="C2693" s="4" t="str">
        <f>IFERROR(__xludf.DUMMYFUNCTION("""COMPUTED_VALUE"""),"Clearpool")</f>
        <v>Clearpool</v>
      </c>
    </row>
    <row r="2694">
      <c r="A2694" s="4" t="str">
        <f>IFERROR(__xludf.DUMMYFUNCTION("""COMPUTED_VALUE"""),"clecoin")</f>
        <v>clecoin</v>
      </c>
      <c r="B2694" s="4" t="str">
        <f>IFERROR(__xludf.DUMMYFUNCTION("""COMPUTED_VALUE"""),"cle")</f>
        <v>cle</v>
      </c>
      <c r="C2694" s="4" t="str">
        <f>IFERROR(__xludf.DUMMYFUNCTION("""COMPUTED_VALUE"""),"CLECOIN")</f>
        <v>CLECOIN</v>
      </c>
    </row>
    <row r="2695">
      <c r="A2695" s="4" t="str">
        <f>IFERROR(__xludf.DUMMYFUNCTION("""COMPUTED_VALUE"""),"cleopatra")</f>
        <v>cleopatra</v>
      </c>
      <c r="B2695" s="4" t="str">
        <f>IFERROR(__xludf.DUMMYFUNCTION("""COMPUTED_VALUE"""),"cleo")</f>
        <v>cleo</v>
      </c>
      <c r="C2695" s="4" t="str">
        <f>IFERROR(__xludf.DUMMYFUNCTION("""COMPUTED_VALUE"""),"Cleopatra")</f>
        <v>Cleopatra</v>
      </c>
    </row>
    <row r="2696">
      <c r="A2696" s="4" t="str">
        <f>IFERROR(__xludf.DUMMYFUNCTION("""COMPUTED_VALUE"""),"cleo-tech")</f>
        <v>cleo-tech</v>
      </c>
      <c r="B2696" s="4" t="str">
        <f>IFERROR(__xludf.DUMMYFUNCTION("""COMPUTED_VALUE"""),"$cleo")</f>
        <v>$cleo</v>
      </c>
      <c r="C2696" s="4" t="str">
        <f>IFERROR(__xludf.DUMMYFUNCTION("""COMPUTED_VALUE"""),"Cleo Tech")</f>
        <v>Cleo Tech</v>
      </c>
    </row>
    <row r="2697">
      <c r="A2697" s="4" t="str">
        <f>IFERROR(__xludf.DUMMYFUNCTION("""COMPUTED_VALUE"""),"clevernode")</f>
        <v>clevernode</v>
      </c>
      <c r="B2697" s="4" t="str">
        <f>IFERROR(__xludf.DUMMYFUNCTION("""COMPUTED_VALUE"""),"clv")</f>
        <v>clv</v>
      </c>
      <c r="C2697" s="4" t="str">
        <f>IFERROR(__xludf.DUMMYFUNCTION("""COMPUTED_VALUE"""),"Clevernode")</f>
        <v>Clevernode</v>
      </c>
    </row>
    <row r="2698">
      <c r="A2698" s="4" t="str">
        <f>IFERROR(__xludf.DUMMYFUNCTION("""COMPUTED_VALUE"""),"clever-token")</f>
        <v>clever-token</v>
      </c>
      <c r="B2698" s="4" t="str">
        <f>IFERROR(__xludf.DUMMYFUNCTION("""COMPUTED_VALUE"""),"clev")</f>
        <v>clev</v>
      </c>
      <c r="C2698" s="4" t="str">
        <f>IFERROR(__xludf.DUMMYFUNCTION("""COMPUTED_VALUE"""),"CLever")</f>
        <v>CLever</v>
      </c>
    </row>
    <row r="2699">
      <c r="A2699" s="4" t="str">
        <f>IFERROR(__xludf.DUMMYFUNCTION("""COMPUTED_VALUE"""),"clexy")</f>
        <v>clexy</v>
      </c>
      <c r="B2699" s="4" t="str">
        <f>IFERROR(__xludf.DUMMYFUNCTION("""COMPUTED_VALUE"""),"clexy")</f>
        <v>clexy</v>
      </c>
      <c r="C2699" s="4" t="str">
        <f>IFERROR(__xludf.DUMMYFUNCTION("""COMPUTED_VALUE"""),"Clexy")</f>
        <v>Clexy</v>
      </c>
    </row>
    <row r="2700">
      <c r="A2700" s="4" t="str">
        <f>IFERROR(__xludf.DUMMYFUNCTION("""COMPUTED_VALUE"""),"clfi")</f>
        <v>clfi</v>
      </c>
      <c r="B2700" s="4" t="str">
        <f>IFERROR(__xludf.DUMMYFUNCTION("""COMPUTED_VALUE"""),"clfi")</f>
        <v>clfi</v>
      </c>
      <c r="C2700" s="4" t="str">
        <f>IFERROR(__xludf.DUMMYFUNCTION("""COMPUTED_VALUE"""),"cLFi")</f>
        <v>cLFi</v>
      </c>
    </row>
    <row r="2701">
      <c r="A2701" s="4" t="str">
        <f>IFERROR(__xludf.DUMMYFUNCTION("""COMPUTED_VALUE"""),"clickart-ai")</f>
        <v>clickart-ai</v>
      </c>
      <c r="B2701" s="4" t="str">
        <f>IFERROR(__xludf.DUMMYFUNCTION("""COMPUTED_VALUE"""),"clickart")</f>
        <v>clickart</v>
      </c>
      <c r="C2701" s="5" t="str">
        <f>IFERROR(__xludf.DUMMYFUNCTION("""COMPUTED_VALUE"""),"Clickart.ai")</f>
        <v>Clickart.ai</v>
      </c>
    </row>
    <row r="2702">
      <c r="A2702" s="4" t="str">
        <f>IFERROR(__xludf.DUMMYFUNCTION("""COMPUTED_VALUE"""),"clintex-cti")</f>
        <v>clintex-cti</v>
      </c>
      <c r="B2702" s="4" t="str">
        <f>IFERROR(__xludf.DUMMYFUNCTION("""COMPUTED_VALUE"""),"cti")</f>
        <v>cti</v>
      </c>
      <c r="C2702" s="4" t="str">
        <f>IFERROR(__xludf.DUMMYFUNCTION("""COMPUTED_VALUE"""),"ClinTex CTi")</f>
        <v>ClinTex CTi</v>
      </c>
    </row>
    <row r="2703">
      <c r="A2703" s="4" t="str">
        <f>IFERROR(__xludf.DUMMYFUNCTION("""COMPUTED_VALUE"""),"clippy")</f>
        <v>clippy</v>
      </c>
      <c r="B2703" s="4" t="str">
        <f>IFERROR(__xludf.DUMMYFUNCTION("""COMPUTED_VALUE"""),"clippy")</f>
        <v>clippy</v>
      </c>
      <c r="C2703" s="4" t="str">
        <f>IFERROR(__xludf.DUMMYFUNCTION("""COMPUTED_VALUE"""),"Clippy")</f>
        <v>Clippy</v>
      </c>
    </row>
    <row r="2704">
      <c r="A2704" s="4" t="str">
        <f>IFERROR(__xludf.DUMMYFUNCTION("""COMPUTED_VALUE"""),"clippy-ai")</f>
        <v>clippy-ai</v>
      </c>
      <c r="B2704" s="4" t="str">
        <f>IFERROR(__xludf.DUMMYFUNCTION("""COMPUTED_VALUE"""),"$clippy")</f>
        <v>$clippy</v>
      </c>
      <c r="C2704" s="4" t="str">
        <f>IFERROR(__xludf.DUMMYFUNCTION("""COMPUTED_VALUE"""),"Clippy AI")</f>
        <v>Clippy AI</v>
      </c>
    </row>
    <row r="2705">
      <c r="A2705" s="4" t="str">
        <f>IFERROR(__xludf.DUMMYFUNCTION("""COMPUTED_VALUE"""),"clips")</f>
        <v>clips</v>
      </c>
      <c r="B2705" s="4" t="str">
        <f>IFERROR(__xludf.DUMMYFUNCTION("""COMPUTED_VALUE"""),"clips")</f>
        <v>clips</v>
      </c>
      <c r="C2705" s="4" t="str">
        <f>IFERROR(__xludf.DUMMYFUNCTION("""COMPUTED_VALUE"""),"Clips")</f>
        <v>Clips</v>
      </c>
    </row>
    <row r="2706">
      <c r="A2706" s="4" t="str">
        <f>IFERROR(__xludf.DUMMYFUNCTION("""COMPUTED_VALUE"""),"cliq")</f>
        <v>cliq</v>
      </c>
      <c r="B2706" s="4" t="str">
        <f>IFERROR(__xludf.DUMMYFUNCTION("""COMPUTED_VALUE"""),"ct")</f>
        <v>ct</v>
      </c>
      <c r="C2706" s="4" t="str">
        <f>IFERROR(__xludf.DUMMYFUNCTION("""COMPUTED_VALUE"""),"CLIQ")</f>
        <v>CLIQ</v>
      </c>
    </row>
    <row r="2707">
      <c r="A2707" s="4" t="str">
        <f>IFERROR(__xludf.DUMMYFUNCTION("""COMPUTED_VALUE"""),"cloak-2")</f>
        <v>cloak-2</v>
      </c>
      <c r="B2707" s="4" t="str">
        <f>IFERROR(__xludf.DUMMYFUNCTION("""COMPUTED_VALUE"""),"cloak")</f>
        <v>cloak</v>
      </c>
      <c r="C2707" s="4" t="str">
        <f>IFERROR(__xludf.DUMMYFUNCTION("""COMPUTED_VALUE"""),"Cloak")</f>
        <v>Cloak</v>
      </c>
    </row>
    <row r="2708">
      <c r="A2708" s="4" t="str">
        <f>IFERROR(__xludf.DUMMYFUNCTION("""COMPUTED_VALUE"""),"cloakcoin")</f>
        <v>cloakcoin</v>
      </c>
      <c r="B2708" s="4" t="str">
        <f>IFERROR(__xludf.DUMMYFUNCTION("""COMPUTED_VALUE"""),"cloak")</f>
        <v>cloak</v>
      </c>
      <c r="C2708" s="4" t="str">
        <f>IFERROR(__xludf.DUMMYFUNCTION("""COMPUTED_VALUE"""),"Cloakcoin")</f>
        <v>Cloakcoin</v>
      </c>
    </row>
    <row r="2709">
      <c r="A2709" s="4" t="str">
        <f>IFERROR(__xludf.DUMMYFUNCTION("""COMPUTED_VALUE"""),"cloned-dogecoin")</f>
        <v>cloned-dogecoin</v>
      </c>
      <c r="B2709" s="4" t="str">
        <f>IFERROR(__xludf.DUMMYFUNCTION("""COMPUTED_VALUE"""),"cldoge")</f>
        <v>cldoge</v>
      </c>
      <c r="C2709" s="4" t="str">
        <f>IFERROR(__xludf.DUMMYFUNCTION("""COMPUTED_VALUE"""),"Cloned Dogecoin")</f>
        <v>Cloned Dogecoin</v>
      </c>
    </row>
    <row r="2710">
      <c r="A2710" s="4" t="str">
        <f>IFERROR(__xludf.DUMMYFUNCTION("""COMPUTED_VALUE"""),"cloned-sui")</f>
        <v>cloned-sui</v>
      </c>
      <c r="B2710" s="4" t="str">
        <f>IFERROR(__xludf.DUMMYFUNCTION("""COMPUTED_VALUE"""),"clsui")</f>
        <v>clsui</v>
      </c>
      <c r="C2710" s="4" t="str">
        <f>IFERROR(__xludf.DUMMYFUNCTION("""COMPUTED_VALUE"""),"Cloned Sui")</f>
        <v>Cloned Sui</v>
      </c>
    </row>
    <row r="2711">
      <c r="A2711" s="4" t="str">
        <f>IFERROR(__xludf.DUMMYFUNCTION("""COMPUTED_VALUE"""),"clone-protocol-clarb")</f>
        <v>clone-protocol-clarb</v>
      </c>
      <c r="B2711" s="4" t="str">
        <f>IFERROR(__xludf.DUMMYFUNCTION("""COMPUTED_VALUE"""),"clarb")</f>
        <v>clarb</v>
      </c>
      <c r="C2711" s="4" t="str">
        <f>IFERROR(__xludf.DUMMYFUNCTION("""COMPUTED_VALUE"""),"Cloned Arbitrum")</f>
        <v>Cloned Arbitrum</v>
      </c>
    </row>
    <row r="2712">
      <c r="A2712" s="4" t="str">
        <f>IFERROR(__xludf.DUMMYFUNCTION("""COMPUTED_VALUE"""),"clone-protocol-clop")</f>
        <v>clone-protocol-clop</v>
      </c>
      <c r="B2712" s="4" t="str">
        <f>IFERROR(__xludf.DUMMYFUNCTION("""COMPUTED_VALUE"""),"clop")</f>
        <v>clop</v>
      </c>
      <c r="C2712" s="4" t="str">
        <f>IFERROR(__xludf.DUMMYFUNCTION("""COMPUTED_VALUE"""),"Cloned Optimism")</f>
        <v>Cloned Optimism</v>
      </c>
    </row>
    <row r="2713">
      <c r="A2713" s="4" t="str">
        <f>IFERROR(__xludf.DUMMYFUNCTION("""COMPUTED_VALUE"""),"clore-ai")</f>
        <v>clore-ai</v>
      </c>
      <c r="B2713" s="4" t="str">
        <f>IFERROR(__xludf.DUMMYFUNCTION("""COMPUTED_VALUE"""),"clore")</f>
        <v>clore</v>
      </c>
      <c r="C2713" s="5" t="str">
        <f>IFERROR(__xludf.DUMMYFUNCTION("""COMPUTED_VALUE"""),"Clore.ai")</f>
        <v>Clore.ai</v>
      </c>
    </row>
    <row r="2714">
      <c r="A2714" s="4" t="str">
        <f>IFERROR(__xludf.DUMMYFUNCTION("""COMPUTED_VALUE"""),"closedai")</f>
        <v>closedai</v>
      </c>
      <c r="B2714" s="4" t="str">
        <f>IFERROR(__xludf.DUMMYFUNCTION("""COMPUTED_VALUE"""),"closedai")</f>
        <v>closedai</v>
      </c>
      <c r="C2714" s="4" t="str">
        <f>IFERROR(__xludf.DUMMYFUNCTION("""COMPUTED_VALUE"""),"ClosedAI")</f>
        <v>ClosedAI</v>
      </c>
    </row>
    <row r="2715">
      <c r="A2715" s="4" t="str">
        <f>IFERROR(__xludf.DUMMYFUNCTION("""COMPUTED_VALUE"""),"cloud-ai")</f>
        <v>cloud-ai</v>
      </c>
      <c r="B2715" s="4" t="str">
        <f>IFERROR(__xludf.DUMMYFUNCTION("""COMPUTED_VALUE"""),"cld")</f>
        <v>cld</v>
      </c>
      <c r="C2715" s="4" t="str">
        <f>IFERROR(__xludf.DUMMYFUNCTION("""COMPUTED_VALUE"""),"Cloud AI")</f>
        <v>Cloud AI</v>
      </c>
    </row>
    <row r="2716">
      <c r="A2716" s="4" t="str">
        <f>IFERROR(__xludf.DUMMYFUNCTION("""COMPUTED_VALUE"""),"cloudbase")</f>
        <v>cloudbase</v>
      </c>
      <c r="B2716" s="4" t="str">
        <f>IFERROR(__xludf.DUMMYFUNCTION("""COMPUTED_VALUE"""),"cloud")</f>
        <v>cloud</v>
      </c>
      <c r="C2716" s="4" t="str">
        <f>IFERROR(__xludf.DUMMYFUNCTION("""COMPUTED_VALUE"""),"CloudBase")</f>
        <v>CloudBase</v>
      </c>
    </row>
    <row r="2717">
      <c r="A2717" s="4" t="str">
        <f>IFERROR(__xludf.DUMMYFUNCTION("""COMPUTED_VALUE"""),"cloud-binary")</f>
        <v>cloud-binary</v>
      </c>
      <c r="B2717" s="4" t="str">
        <f>IFERROR(__xludf.DUMMYFUNCTION("""COMPUTED_VALUE"""),"cby")</f>
        <v>cby</v>
      </c>
      <c r="C2717" s="4" t="str">
        <f>IFERROR(__xludf.DUMMYFUNCTION("""COMPUTED_VALUE"""),"Cloud Binary")</f>
        <v>Cloud Binary</v>
      </c>
    </row>
    <row r="2718">
      <c r="A2718" s="4" t="str">
        <f>IFERROR(__xludf.DUMMYFUNCTION("""COMPUTED_VALUE"""),"cloudbric")</f>
        <v>cloudbric</v>
      </c>
      <c r="B2718" s="4" t="str">
        <f>IFERROR(__xludf.DUMMYFUNCTION("""COMPUTED_VALUE"""),"clbk")</f>
        <v>clbk</v>
      </c>
      <c r="C2718" s="4" t="str">
        <f>IFERROR(__xludf.DUMMYFUNCTION("""COMPUTED_VALUE"""),"Cloudbric")</f>
        <v>Cloudbric</v>
      </c>
    </row>
    <row r="2719">
      <c r="A2719" s="4" t="str">
        <f>IFERROR(__xludf.DUMMYFUNCTION("""COMPUTED_VALUE"""),"cloudcoin-finance")</f>
        <v>cloudcoin-finance</v>
      </c>
      <c r="B2719" s="4" t="str">
        <f>IFERROR(__xludf.DUMMYFUNCTION("""COMPUTED_VALUE"""),"ccfi")</f>
        <v>ccfi</v>
      </c>
      <c r="C2719" s="4" t="str">
        <f>IFERROR(__xludf.DUMMYFUNCTION("""COMPUTED_VALUE"""),"CloudCoin Finance")</f>
        <v>CloudCoin Finance</v>
      </c>
    </row>
    <row r="2720">
      <c r="A2720" s="4" t="str">
        <f>IFERROR(__xludf.DUMMYFUNCTION("""COMPUTED_VALUE"""),"cloud-mining-technologies")</f>
        <v>cloud-mining-technologies</v>
      </c>
      <c r="B2720" s="4" t="str">
        <f>IFERROR(__xludf.DUMMYFUNCTION("""COMPUTED_VALUE"""),"cxm")</f>
        <v>cxm</v>
      </c>
      <c r="C2720" s="4" t="str">
        <f>IFERROR(__xludf.DUMMYFUNCTION("""COMPUTED_VALUE"""),"Cloud Mining Technologies")</f>
        <v>Cloud Mining Technologies</v>
      </c>
    </row>
    <row r="2721">
      <c r="A2721" s="4" t="str">
        <f>IFERROR(__xludf.DUMMYFUNCTION("""COMPUTED_VALUE"""),"cloudname")</f>
        <v>cloudname</v>
      </c>
      <c r="B2721" s="4" t="str">
        <f>IFERROR(__xludf.DUMMYFUNCTION("""COMPUTED_VALUE"""),"cname")</f>
        <v>cname</v>
      </c>
      <c r="C2721" s="4" t="str">
        <f>IFERROR(__xludf.DUMMYFUNCTION("""COMPUTED_VALUE"""),"Cloudname")</f>
        <v>Cloudname</v>
      </c>
    </row>
    <row r="2722">
      <c r="A2722" s="4" t="str">
        <f>IFERROR(__xludf.DUMMYFUNCTION("""COMPUTED_VALUE"""),"cloudnet-ai")</f>
        <v>cloudnet-ai</v>
      </c>
      <c r="B2722" s="4" t="str">
        <f>IFERROR(__xludf.DUMMYFUNCTION("""COMPUTED_VALUE"""),"cnai")</f>
        <v>cnai</v>
      </c>
      <c r="C2722" s="4" t="str">
        <f>IFERROR(__xludf.DUMMYFUNCTION("""COMPUTED_VALUE"""),"Cloudnet Ai")</f>
        <v>Cloudnet Ai</v>
      </c>
    </row>
    <row r="2723">
      <c r="A2723" s="4" t="str">
        <f>IFERROR(__xludf.DUMMYFUNCTION("""COMPUTED_VALUE"""),"cloud-pet")</f>
        <v>cloud-pet</v>
      </c>
      <c r="B2723" s="4" t="str">
        <f>IFERROR(__xludf.DUMMYFUNCTION("""COMPUTED_VALUE"""),"cpet")</f>
        <v>cpet</v>
      </c>
      <c r="C2723" s="4" t="str">
        <f>IFERROR(__xludf.DUMMYFUNCTION("""COMPUTED_VALUE"""),"Cloud Pet")</f>
        <v>Cloud Pet</v>
      </c>
    </row>
    <row r="2724">
      <c r="A2724" s="4" t="str">
        <f>IFERROR(__xludf.DUMMYFUNCTION("""COMPUTED_VALUE"""),"cloudtx")</f>
        <v>cloudtx</v>
      </c>
      <c r="B2724" s="4" t="str">
        <f>IFERROR(__xludf.DUMMYFUNCTION("""COMPUTED_VALUE"""),"cloud")</f>
        <v>cloud</v>
      </c>
      <c r="C2724" s="4" t="str">
        <f>IFERROR(__xludf.DUMMYFUNCTION("""COMPUTED_VALUE"""),"CloudTx")</f>
        <v>CloudTx</v>
      </c>
    </row>
    <row r="2725">
      <c r="A2725" s="4" t="str">
        <f>IFERROR(__xludf.DUMMYFUNCTION("""COMPUTED_VALUE"""),"cloutcontracts")</f>
        <v>cloutcontracts</v>
      </c>
      <c r="B2725" s="4" t="str">
        <f>IFERROR(__xludf.DUMMYFUNCTION("""COMPUTED_VALUE"""),"ccs")</f>
        <v>ccs</v>
      </c>
      <c r="C2725" s="4" t="str">
        <f>IFERROR(__xludf.DUMMYFUNCTION("""COMPUTED_VALUE"""),"CloutContracts")</f>
        <v>CloutContracts</v>
      </c>
    </row>
    <row r="2726">
      <c r="A2726" s="4" t="str">
        <f>IFERROR(__xludf.DUMMYFUNCTION("""COMPUTED_VALUE"""),"clover-finance")</f>
        <v>clover-finance</v>
      </c>
      <c r="B2726" s="4" t="str">
        <f>IFERROR(__xludf.DUMMYFUNCTION("""COMPUTED_VALUE"""),"clv")</f>
        <v>clv</v>
      </c>
      <c r="C2726" s="4" t="str">
        <f>IFERROR(__xludf.DUMMYFUNCTION("""COMPUTED_VALUE"""),"Clover Finance")</f>
        <v>Clover Finance</v>
      </c>
    </row>
    <row r="2727">
      <c r="A2727" s="4" t="str">
        <f>IFERROR(__xludf.DUMMYFUNCTION("""COMPUTED_VALUE"""),"clown-pepe")</f>
        <v>clown-pepe</v>
      </c>
      <c r="B2727" s="4" t="str">
        <f>IFERROR(__xludf.DUMMYFUNCTION("""COMPUTED_VALUE"""),"honk")</f>
        <v>honk</v>
      </c>
      <c r="C2727" s="4" t="str">
        <f>IFERROR(__xludf.DUMMYFUNCTION("""COMPUTED_VALUE"""),"Clown Pepe")</f>
        <v>Clown Pepe</v>
      </c>
    </row>
    <row r="2728">
      <c r="A2728" s="4" t="str">
        <f>IFERROR(__xludf.DUMMYFUNCTION("""COMPUTED_VALUE"""),"club-atletico-independiente")</f>
        <v>club-atletico-independiente</v>
      </c>
      <c r="B2728" s="4" t="str">
        <f>IFERROR(__xludf.DUMMYFUNCTION("""COMPUTED_VALUE"""),"cai")</f>
        <v>cai</v>
      </c>
      <c r="C2728" s="4" t="str">
        <f>IFERROR(__xludf.DUMMYFUNCTION("""COMPUTED_VALUE"""),"Club Atletico Independiente Fan Token")</f>
        <v>Club Atletico Independiente Fan Token</v>
      </c>
    </row>
    <row r="2729">
      <c r="A2729" s="4" t="str">
        <f>IFERROR(__xludf.DUMMYFUNCTION("""COMPUTED_VALUE"""),"club-deportivo-fan-token")</f>
        <v>club-deportivo-fan-token</v>
      </c>
      <c r="B2729" s="4" t="str">
        <f>IFERROR(__xludf.DUMMYFUNCTION("""COMPUTED_VALUE"""),"chvs")</f>
        <v>chvs</v>
      </c>
      <c r="C2729" s="4" t="str">
        <f>IFERROR(__xludf.DUMMYFUNCTION("""COMPUTED_VALUE"""),"Club Deportivo Guadalajara Fan Token")</f>
        <v>Club Deportivo Guadalajara Fan Token</v>
      </c>
    </row>
    <row r="2730">
      <c r="A2730" s="4" t="str">
        <f>IFERROR(__xludf.DUMMYFUNCTION("""COMPUTED_VALUE"""),"clube-atletico-mineiro-fan-token")</f>
        <v>clube-atletico-mineiro-fan-token</v>
      </c>
      <c r="B2730" s="4" t="str">
        <f>IFERROR(__xludf.DUMMYFUNCTION("""COMPUTED_VALUE"""),"galo")</f>
        <v>galo</v>
      </c>
      <c r="C2730" s="4" t="str">
        <f>IFERROR(__xludf.DUMMYFUNCTION("""COMPUTED_VALUE"""),"Clube Atlético Mineiro Fan Token")</f>
        <v>Clube Atlético Mineiro Fan Token</v>
      </c>
    </row>
    <row r="2731">
      <c r="A2731" s="4" t="str">
        <f>IFERROR(__xludf.DUMMYFUNCTION("""COMPUTED_VALUE"""),"clubrare-empower")</f>
        <v>clubrare-empower</v>
      </c>
      <c r="B2731" s="4" t="str">
        <f>IFERROR(__xludf.DUMMYFUNCTION("""COMPUTED_VALUE"""),"mpwr")</f>
        <v>mpwr</v>
      </c>
      <c r="C2731" s="4" t="str">
        <f>IFERROR(__xludf.DUMMYFUNCTION("""COMPUTED_VALUE"""),"Empower")</f>
        <v>Empower</v>
      </c>
    </row>
    <row r="2732">
      <c r="A2732" s="4" t="str">
        <f>IFERROR(__xludf.DUMMYFUNCTION("""COMPUTED_VALUE"""),"club-santos-laguna-fan-token")</f>
        <v>club-santos-laguna-fan-token</v>
      </c>
      <c r="B2732" s="4" t="str">
        <f>IFERROR(__xludf.DUMMYFUNCTION("""COMPUTED_VALUE"""),"san")</f>
        <v>san</v>
      </c>
      <c r="C2732" s="4" t="str">
        <f>IFERROR(__xludf.DUMMYFUNCTION("""COMPUTED_VALUE"""),"Club Santos Laguna Fan Token")</f>
        <v>Club Santos Laguna Fan Token</v>
      </c>
    </row>
    <row r="2733">
      <c r="A2733" s="4" t="str">
        <f>IFERROR(__xludf.DUMMYFUNCTION("""COMPUTED_VALUE"""),"clucoin")</f>
        <v>clucoin</v>
      </c>
      <c r="B2733" s="4" t="str">
        <f>IFERROR(__xludf.DUMMYFUNCTION("""COMPUTED_VALUE"""),"clu")</f>
        <v>clu</v>
      </c>
      <c r="C2733" s="4" t="str">
        <f>IFERROR(__xludf.DUMMYFUNCTION("""COMPUTED_VALUE"""),"CluCoin")</f>
        <v>CluCoin</v>
      </c>
    </row>
    <row r="2734">
      <c r="A2734" s="4" t="str">
        <f>IFERROR(__xludf.DUMMYFUNCTION("""COMPUTED_VALUE"""),"cncl")</f>
        <v>cncl</v>
      </c>
      <c r="B2734" s="4" t="str">
        <f>IFERROR(__xludf.DUMMYFUNCTION("""COMPUTED_VALUE"""),"cncl")</f>
        <v>cncl</v>
      </c>
      <c r="C2734" s="4" t="str">
        <f>IFERROR(__xludf.DUMMYFUNCTION("""COMPUTED_VALUE"""),"The Ordinals Council")</f>
        <v>The Ordinals Council</v>
      </c>
    </row>
    <row r="2735">
      <c r="A2735" s="4" t="str">
        <f>IFERROR(__xludf.DUMMYFUNCTION("""COMPUTED_VALUE"""),"cneta")</f>
        <v>cneta</v>
      </c>
      <c r="B2735" s="4" t="str">
        <f>IFERROR(__xludf.DUMMYFUNCTION("""COMPUTED_VALUE"""),"cneta")</f>
        <v>cneta</v>
      </c>
      <c r="C2735" s="4" t="str">
        <f>IFERROR(__xludf.DUMMYFUNCTION("""COMPUTED_VALUE"""),"cNETA")</f>
        <v>cNETA</v>
      </c>
    </row>
    <row r="2736">
      <c r="A2736" s="4" t="str">
        <f>IFERROR(__xludf.DUMMYFUNCTION("""COMPUTED_VALUE"""),"cnh-tether")</f>
        <v>cnh-tether</v>
      </c>
      <c r="B2736" s="4" t="str">
        <f>IFERROR(__xludf.DUMMYFUNCTION("""COMPUTED_VALUE"""),"cnht")</f>
        <v>cnht</v>
      </c>
      <c r="C2736" s="4" t="str">
        <f>IFERROR(__xludf.DUMMYFUNCTION("""COMPUTED_VALUE"""),"CNH Tether")</f>
        <v>CNH Tether</v>
      </c>
    </row>
    <row r="2737">
      <c r="A2737" s="4" t="str">
        <f>IFERROR(__xludf.DUMMYFUNCTION("""COMPUTED_VALUE"""),"cnns")</f>
        <v>cnns</v>
      </c>
      <c r="B2737" s="4" t="str">
        <f>IFERROR(__xludf.DUMMYFUNCTION("""COMPUTED_VALUE"""),"cnns")</f>
        <v>cnns</v>
      </c>
      <c r="C2737" s="4" t="str">
        <f>IFERROR(__xludf.DUMMYFUNCTION("""COMPUTED_VALUE"""),"CNNS")</f>
        <v>CNNS</v>
      </c>
    </row>
    <row r="2738">
      <c r="A2738" s="4" t="str">
        <f>IFERROR(__xludf.DUMMYFUNCTION("""COMPUTED_VALUE"""),"co2dao")</f>
        <v>co2dao</v>
      </c>
      <c r="B2738" s="4" t="str">
        <f>IFERROR(__xludf.DUMMYFUNCTION("""COMPUTED_VALUE"""),"co2")</f>
        <v>co2</v>
      </c>
      <c r="C2738" s="4" t="str">
        <f>IFERROR(__xludf.DUMMYFUNCTION("""COMPUTED_VALUE"""),"Co2DAO")</f>
        <v>Co2DAO</v>
      </c>
    </row>
    <row r="2739">
      <c r="A2739" s="4" t="str">
        <f>IFERROR(__xludf.DUMMYFUNCTION("""COMPUTED_VALUE"""),"coalculus")</f>
        <v>coalculus</v>
      </c>
      <c r="B2739" s="4" t="str">
        <f>IFERROR(__xludf.DUMMYFUNCTION("""COMPUTED_VALUE"""),"coal")</f>
        <v>coal</v>
      </c>
      <c r="C2739" s="4" t="str">
        <f>IFERROR(__xludf.DUMMYFUNCTION("""COMPUTED_VALUE"""),"Coalculus")</f>
        <v>Coalculus</v>
      </c>
    </row>
    <row r="2740">
      <c r="A2740" s="4" t="str">
        <f>IFERROR(__xludf.DUMMYFUNCTION("""COMPUTED_VALUE"""),"coast-cst")</f>
        <v>coast-cst</v>
      </c>
      <c r="B2740" s="4" t="str">
        <f>IFERROR(__xludf.DUMMYFUNCTION("""COMPUTED_VALUE"""),"cst")</f>
        <v>cst</v>
      </c>
      <c r="C2740" s="4" t="str">
        <f>IFERROR(__xludf.DUMMYFUNCTION("""COMPUTED_VALUE"""),"Coast CST")</f>
        <v>Coast CST</v>
      </c>
    </row>
    <row r="2741">
      <c r="A2741" s="4" t="str">
        <f>IFERROR(__xludf.DUMMYFUNCTION("""COMPUTED_VALUE"""),"cobak-token")</f>
        <v>cobak-token</v>
      </c>
      <c r="B2741" s="4" t="str">
        <f>IFERROR(__xludf.DUMMYFUNCTION("""COMPUTED_VALUE"""),"cbk")</f>
        <v>cbk</v>
      </c>
      <c r="C2741" s="4" t="str">
        <f>IFERROR(__xludf.DUMMYFUNCTION("""COMPUTED_VALUE"""),"Cobak")</f>
        <v>Cobak</v>
      </c>
    </row>
    <row r="2742">
      <c r="A2742" s="4" t="str">
        <f>IFERROR(__xludf.DUMMYFUNCTION("""COMPUTED_VALUE"""),"coban")</f>
        <v>coban</v>
      </c>
      <c r="B2742" s="4" t="str">
        <f>IFERROR(__xludf.DUMMYFUNCTION("""COMPUTED_VALUE"""),"coban")</f>
        <v>coban</v>
      </c>
      <c r="C2742" s="4" t="str">
        <f>IFERROR(__xludf.DUMMYFUNCTION("""COMPUTED_VALUE"""),"COBAN")</f>
        <v>COBAN</v>
      </c>
    </row>
    <row r="2743">
      <c r="A2743" s="4" t="str">
        <f>IFERROR(__xludf.DUMMYFUNCTION("""COMPUTED_VALUE"""),"cobra-king")</f>
        <v>cobra-king</v>
      </c>
      <c r="B2743" s="4" t="str">
        <f>IFERROR(__xludf.DUMMYFUNCTION("""COMPUTED_VALUE"""),"cob")</f>
        <v>cob</v>
      </c>
      <c r="C2743" s="4" t="str">
        <f>IFERROR(__xludf.DUMMYFUNCTION("""COMPUTED_VALUE"""),"Cobra king")</f>
        <v>Cobra king</v>
      </c>
    </row>
    <row r="2744">
      <c r="A2744" s="4" t="str">
        <f>IFERROR(__xludf.DUMMYFUNCTION("""COMPUTED_VALUE"""),"cobra-swap")</f>
        <v>cobra-swap</v>
      </c>
      <c r="B2744" s="4" t="str">
        <f>IFERROR(__xludf.DUMMYFUNCTION("""COMPUTED_VALUE"""),"cobra")</f>
        <v>cobra</v>
      </c>
      <c r="C2744" s="4" t="str">
        <f>IFERROR(__xludf.DUMMYFUNCTION("""COMPUTED_VALUE"""),"Cobra Swap")</f>
        <v>Cobra Swap</v>
      </c>
    </row>
    <row r="2745">
      <c r="A2745" s="4" t="str">
        <f>IFERROR(__xludf.DUMMYFUNCTION("""COMPUTED_VALUE"""),"coc")</f>
        <v>coc</v>
      </c>
      <c r="B2745" s="4" t="str">
        <f>IFERROR(__xludf.DUMMYFUNCTION("""COMPUTED_VALUE"""),"coc")</f>
        <v>coc</v>
      </c>
      <c r="C2745" s="4" t="str">
        <f>IFERROR(__xludf.DUMMYFUNCTION("""COMPUTED_VALUE"""),"COC")</f>
        <v>COC</v>
      </c>
    </row>
    <row r="2746">
      <c r="A2746" s="4" t="str">
        <f>IFERROR(__xludf.DUMMYFUNCTION("""COMPUTED_VALUE"""),"cockapoo")</f>
        <v>cockapoo</v>
      </c>
      <c r="B2746" s="4" t="str">
        <f>IFERROR(__xludf.DUMMYFUNCTION("""COMPUTED_VALUE"""),"cpoo")</f>
        <v>cpoo</v>
      </c>
      <c r="C2746" s="4" t="str">
        <f>IFERROR(__xludf.DUMMYFUNCTION("""COMPUTED_VALUE"""),"Cockapoo")</f>
        <v>Cockapoo</v>
      </c>
    </row>
    <row r="2747">
      <c r="A2747" s="4" t="str">
        <f>IFERROR(__xludf.DUMMYFUNCTION("""COMPUTED_VALUE"""),"cockboxing")</f>
        <v>cockboxing</v>
      </c>
      <c r="B2747" s="4" t="str">
        <f>IFERROR(__xludf.DUMMYFUNCTION("""COMPUTED_VALUE"""),"cocks")</f>
        <v>cocks</v>
      </c>
      <c r="C2747" s="4" t="str">
        <f>IFERROR(__xludf.DUMMYFUNCTION("""COMPUTED_VALUE"""),"CockBoxing")</f>
        <v>CockBoxing</v>
      </c>
    </row>
    <row r="2748">
      <c r="A2748" s="4" t="str">
        <f>IFERROR(__xludf.DUMMYFUNCTION("""COMPUTED_VALUE"""),"cocktailbar")</f>
        <v>cocktailbar</v>
      </c>
      <c r="B2748" s="4" t="str">
        <f>IFERROR(__xludf.DUMMYFUNCTION("""COMPUTED_VALUE"""),"coc")</f>
        <v>coc</v>
      </c>
      <c r="C2748" s="4" t="str">
        <f>IFERROR(__xludf.DUMMYFUNCTION("""COMPUTED_VALUE"""),"The Cocktailbar")</f>
        <v>The Cocktailbar</v>
      </c>
    </row>
    <row r="2749">
      <c r="A2749" s="4" t="str">
        <f>IFERROR(__xludf.DUMMYFUNCTION("""COMPUTED_VALUE"""),"coco")</f>
        <v>coco</v>
      </c>
      <c r="B2749" s="4" t="str">
        <f>IFERROR(__xludf.DUMMYFUNCTION("""COMPUTED_VALUE"""),"coco")</f>
        <v>coco</v>
      </c>
      <c r="C2749" s="4" t="str">
        <f>IFERROR(__xludf.DUMMYFUNCTION("""COMPUTED_VALUE"""),"Coco")</f>
        <v>Coco</v>
      </c>
    </row>
    <row r="2750">
      <c r="A2750" s="4" t="str">
        <f>IFERROR(__xludf.DUMMYFUNCTION("""COMPUTED_VALUE"""),"coconut-chicken")</f>
        <v>coconut-chicken</v>
      </c>
      <c r="B2750" s="4" t="str">
        <f>IFERROR(__xludf.DUMMYFUNCTION("""COMPUTED_VALUE"""),"$ccc")</f>
        <v>$ccc</v>
      </c>
      <c r="C2750" s="4" t="str">
        <f>IFERROR(__xludf.DUMMYFUNCTION("""COMPUTED_VALUE"""),"Coconut Chicken")</f>
        <v>Coconut Chicken</v>
      </c>
    </row>
    <row r="2751">
      <c r="A2751" s="4" t="str">
        <f>IFERROR(__xludf.DUMMYFUNCTION("""COMPUTED_VALUE"""),"cocos-bcx")</f>
        <v>cocos-bcx</v>
      </c>
      <c r="B2751" s="4" t="str">
        <f>IFERROR(__xludf.DUMMYFUNCTION("""COMPUTED_VALUE"""),"combo")</f>
        <v>combo</v>
      </c>
      <c r="C2751" s="4" t="str">
        <f>IFERROR(__xludf.DUMMYFUNCTION("""COMPUTED_VALUE"""),"COMBO")</f>
        <v>COMBO</v>
      </c>
    </row>
    <row r="2752">
      <c r="A2752" s="4" t="str">
        <f>IFERROR(__xludf.DUMMYFUNCTION("""COMPUTED_VALUE"""),"coda")</f>
        <v>coda</v>
      </c>
      <c r="B2752" s="4" t="str">
        <f>IFERROR(__xludf.DUMMYFUNCTION("""COMPUTED_VALUE"""),"coda")</f>
        <v>coda</v>
      </c>
      <c r="C2752" s="4" t="str">
        <f>IFERROR(__xludf.DUMMYFUNCTION("""COMPUTED_VALUE"""),"CODA")</f>
        <v>CODA</v>
      </c>
    </row>
    <row r="2753">
      <c r="A2753" s="4" t="str">
        <f>IFERROR(__xludf.DUMMYFUNCTION("""COMPUTED_VALUE"""),"codai")</f>
        <v>codai</v>
      </c>
      <c r="B2753" s="4" t="str">
        <f>IFERROR(__xludf.DUMMYFUNCTION("""COMPUTED_VALUE"""),"codai")</f>
        <v>codai</v>
      </c>
      <c r="C2753" s="4" t="str">
        <f>IFERROR(__xludf.DUMMYFUNCTION("""COMPUTED_VALUE"""),"CODAI")</f>
        <v>CODAI</v>
      </c>
    </row>
    <row r="2754">
      <c r="A2754" s="4" t="str">
        <f>IFERROR(__xludf.DUMMYFUNCTION("""COMPUTED_VALUE"""),"codex")</f>
        <v>codex</v>
      </c>
      <c r="B2754" s="4" t="str">
        <f>IFERROR(__xludf.DUMMYFUNCTION("""COMPUTED_VALUE"""),"cdex")</f>
        <v>cdex</v>
      </c>
      <c r="C2754" s="4" t="str">
        <f>IFERROR(__xludf.DUMMYFUNCTION("""COMPUTED_VALUE"""),"Codex")</f>
        <v>Codex</v>
      </c>
    </row>
    <row r="2755">
      <c r="A2755" s="4" t="str">
        <f>IFERROR(__xludf.DUMMYFUNCTION("""COMPUTED_VALUE"""),"codexchain")</f>
        <v>codexchain</v>
      </c>
      <c r="B2755" s="4" t="str">
        <f>IFERROR(__xludf.DUMMYFUNCTION("""COMPUTED_VALUE"""),"cdx")</f>
        <v>cdx</v>
      </c>
      <c r="C2755" s="4" t="str">
        <f>IFERROR(__xludf.DUMMYFUNCTION("""COMPUTED_VALUE"""),"CodeXChain")</f>
        <v>CodeXChain</v>
      </c>
    </row>
    <row r="2756">
      <c r="A2756" s="4" t="str">
        <f>IFERROR(__xludf.DUMMYFUNCTION("""COMPUTED_VALUE"""),"codex-multichain")</f>
        <v>codex-multichain</v>
      </c>
      <c r="B2756" s="4" t="str">
        <f>IFERROR(__xludf.DUMMYFUNCTION("""COMPUTED_VALUE"""),"codex")</f>
        <v>codex</v>
      </c>
      <c r="C2756" s="4" t="str">
        <f>IFERROR(__xludf.DUMMYFUNCTION("""COMPUTED_VALUE"""),"Codex Multichain")</f>
        <v>Codex Multichain</v>
      </c>
    </row>
    <row r="2757">
      <c r="A2757" s="4" t="str">
        <f>IFERROR(__xludf.DUMMYFUNCTION("""COMPUTED_VALUE"""),"coding-dino")</f>
        <v>coding-dino</v>
      </c>
      <c r="B2757" s="4" t="str">
        <f>IFERROR(__xludf.DUMMYFUNCTION("""COMPUTED_VALUE"""),"dino")</f>
        <v>dino</v>
      </c>
      <c r="C2757" s="4" t="str">
        <f>IFERROR(__xludf.DUMMYFUNCTION("""COMPUTED_VALUE"""),"Coding Dino")</f>
        <v>Coding Dino</v>
      </c>
    </row>
    <row r="2758">
      <c r="A2758" s="4" t="str">
        <f>IFERROR(__xludf.DUMMYFUNCTION("""COMPUTED_VALUE"""),"coffee-club-token")</f>
        <v>coffee-club-token</v>
      </c>
      <c r="B2758" s="4" t="str">
        <f>IFERROR(__xludf.DUMMYFUNCTION("""COMPUTED_VALUE"""),"coffee")</f>
        <v>coffee</v>
      </c>
      <c r="C2758" s="4" t="str">
        <f>IFERROR(__xludf.DUMMYFUNCTION("""COMPUTED_VALUE"""),"Coffee Club Token")</f>
        <v>Coffee Club Token</v>
      </c>
    </row>
    <row r="2759">
      <c r="A2759" s="4" t="str">
        <f>IFERROR(__xludf.DUMMYFUNCTION("""COMPUTED_VALUE"""),"cofix")</f>
        <v>cofix</v>
      </c>
      <c r="B2759" s="4" t="str">
        <f>IFERROR(__xludf.DUMMYFUNCTION("""COMPUTED_VALUE"""),"cofi")</f>
        <v>cofi</v>
      </c>
      <c r="C2759" s="4" t="str">
        <f>IFERROR(__xludf.DUMMYFUNCTION("""COMPUTED_VALUE"""),"CoFiX")</f>
        <v>CoFiX</v>
      </c>
    </row>
    <row r="2760">
      <c r="A2760" s="4" t="str">
        <f>IFERROR(__xludf.DUMMYFUNCTION("""COMPUTED_VALUE"""),"cogecoin")</f>
        <v>cogecoin</v>
      </c>
      <c r="B2760" s="4" t="str">
        <f>IFERROR(__xludf.DUMMYFUNCTION("""COMPUTED_VALUE"""),"coge")</f>
        <v>coge</v>
      </c>
      <c r="C2760" s="4" t="str">
        <f>IFERROR(__xludf.DUMMYFUNCTION("""COMPUTED_VALUE"""),"Cogecoin")</f>
        <v>Cogecoin</v>
      </c>
    </row>
    <row r="2761">
      <c r="A2761" s="4" t="str">
        <f>IFERROR(__xludf.DUMMYFUNCTION("""COMPUTED_VALUE"""),"cogent-sol")</f>
        <v>cogent-sol</v>
      </c>
      <c r="B2761" s="4" t="str">
        <f>IFERROR(__xludf.DUMMYFUNCTION("""COMPUTED_VALUE"""),"cgntsol")</f>
        <v>cgntsol</v>
      </c>
      <c r="C2761" s="4" t="str">
        <f>IFERROR(__xludf.DUMMYFUNCTION("""COMPUTED_VALUE"""),"Cogent SOL")</f>
        <v>Cogent SOL</v>
      </c>
    </row>
    <row r="2762">
      <c r="A2762" s="4" t="str">
        <f>IFERROR(__xludf.DUMMYFUNCTION("""COMPUTED_VALUE"""),"cogito-protocol")</f>
        <v>cogito-protocol</v>
      </c>
      <c r="B2762" s="4" t="str">
        <f>IFERROR(__xludf.DUMMYFUNCTION("""COMPUTED_VALUE"""),"cgv")</f>
        <v>cgv</v>
      </c>
      <c r="C2762" s="4" t="str">
        <f>IFERROR(__xludf.DUMMYFUNCTION("""COMPUTED_VALUE"""),"Cogito Finance")</f>
        <v>Cogito Finance</v>
      </c>
    </row>
    <row r="2763">
      <c r="A2763" s="4" t="str">
        <f>IFERROR(__xludf.DUMMYFUNCTION("""COMPUTED_VALUE"""),"cognitechai")</f>
        <v>cognitechai</v>
      </c>
      <c r="B2763" s="4" t="str">
        <f>IFERROR(__xludf.DUMMYFUNCTION("""COMPUTED_VALUE"""),"cti")</f>
        <v>cti</v>
      </c>
      <c r="C2763" s="4" t="str">
        <f>IFERROR(__xludf.DUMMYFUNCTION("""COMPUTED_VALUE"""),"CogniTechAI")</f>
        <v>CogniTechAI</v>
      </c>
    </row>
    <row r="2764">
      <c r="A2764" s="4" t="str">
        <f>IFERROR(__xludf.DUMMYFUNCTION("""COMPUTED_VALUE"""),"coin-2")</f>
        <v>coin-2</v>
      </c>
      <c r="B2764" s="4" t="str">
        <f>IFERROR(__xludf.DUMMYFUNCTION("""COMPUTED_VALUE"""),"coin")</f>
        <v>coin</v>
      </c>
      <c r="C2764" s="4" t="str">
        <f>IFERROR(__xludf.DUMMYFUNCTION("""COMPUTED_VALUE"""),"COIN")</f>
        <v>COIN</v>
      </c>
    </row>
    <row r="2765">
      <c r="A2765" s="4" t="str">
        <f>IFERROR(__xludf.DUMMYFUNCTION("""COMPUTED_VALUE"""),"coin98")</f>
        <v>coin98</v>
      </c>
      <c r="B2765" s="4" t="str">
        <f>IFERROR(__xludf.DUMMYFUNCTION("""COMPUTED_VALUE"""),"c98")</f>
        <v>c98</v>
      </c>
      <c r="C2765" s="4" t="str">
        <f>IFERROR(__xludf.DUMMYFUNCTION("""COMPUTED_VALUE"""),"Coin98")</f>
        <v>Coin98</v>
      </c>
    </row>
    <row r="2766">
      <c r="A2766" s="4" t="str">
        <f>IFERROR(__xludf.DUMMYFUNCTION("""COMPUTED_VALUE"""),"coin98-dollar")</f>
        <v>coin98-dollar</v>
      </c>
      <c r="B2766" s="4" t="str">
        <f>IFERROR(__xludf.DUMMYFUNCTION("""COMPUTED_VALUE"""),"cusd")</f>
        <v>cusd</v>
      </c>
      <c r="C2766" s="4" t="str">
        <f>IFERROR(__xludf.DUMMYFUNCTION("""COMPUTED_VALUE"""),"Coin98 Dollar")</f>
        <v>Coin98 Dollar</v>
      </c>
    </row>
    <row r="2767">
      <c r="A2767" s="4" t="str">
        <f>IFERROR(__xludf.DUMMYFUNCTION("""COMPUTED_VALUE"""),"coinary-token")</f>
        <v>coinary-token</v>
      </c>
      <c r="B2767" s="4" t="str">
        <f>IFERROR(__xludf.DUMMYFUNCTION("""COMPUTED_VALUE"""),"cyt")</f>
        <v>cyt</v>
      </c>
      <c r="C2767" s="4" t="str">
        <f>IFERROR(__xludf.DUMMYFUNCTION("""COMPUTED_VALUE"""),"Coinary")</f>
        <v>Coinary</v>
      </c>
    </row>
    <row r="2768">
      <c r="A2768" s="4" t="str">
        <f>IFERROR(__xludf.DUMMYFUNCTION("""COMPUTED_VALUE"""),"coinback")</f>
        <v>coinback</v>
      </c>
      <c r="B2768" s="4" t="str">
        <f>IFERROR(__xludf.DUMMYFUNCTION("""COMPUTED_VALUE"""),"cbk")</f>
        <v>cbk</v>
      </c>
      <c r="C2768" s="4" t="str">
        <f>IFERROR(__xludf.DUMMYFUNCTION("""COMPUTED_VALUE"""),"Coinback")</f>
        <v>Coinback</v>
      </c>
    </row>
    <row r="2769">
      <c r="A2769" s="4" t="str">
        <f>IFERROR(__xludf.DUMMYFUNCTION("""COMPUTED_VALUE"""),"coinbase-tokenized-stock-defichain")</f>
        <v>coinbase-tokenized-stock-defichain</v>
      </c>
      <c r="B2769" s="4" t="str">
        <f>IFERROR(__xludf.DUMMYFUNCTION("""COMPUTED_VALUE"""),"dcoin")</f>
        <v>dcoin</v>
      </c>
      <c r="C2769" s="4" t="str">
        <f>IFERROR(__xludf.DUMMYFUNCTION("""COMPUTED_VALUE"""),"Coinbase Tokenized Stock Defichain")</f>
        <v>Coinbase Tokenized Stock Defichain</v>
      </c>
    </row>
    <row r="2770">
      <c r="A2770" s="4" t="str">
        <f>IFERROR(__xludf.DUMMYFUNCTION("""COMPUTED_VALUE"""),"coinbase-wrapped-staked-eth")</f>
        <v>coinbase-wrapped-staked-eth</v>
      </c>
      <c r="B2770" s="4" t="str">
        <f>IFERROR(__xludf.DUMMYFUNCTION("""COMPUTED_VALUE"""),"cbeth")</f>
        <v>cbeth</v>
      </c>
      <c r="C2770" s="4" t="str">
        <f>IFERROR(__xludf.DUMMYFUNCTION("""COMPUTED_VALUE"""),"Coinbase Wrapped Staked ETH")</f>
        <v>Coinbase Wrapped Staked ETH</v>
      </c>
    </row>
    <row r="2771">
      <c r="A2771" s="4" t="str">
        <f>IFERROR(__xludf.DUMMYFUNCTION("""COMPUTED_VALUE"""),"coinbet-finance")</f>
        <v>coinbet-finance</v>
      </c>
      <c r="B2771" s="4" t="str">
        <f>IFERROR(__xludf.DUMMYFUNCTION("""COMPUTED_VALUE"""),"cfi")</f>
        <v>cfi</v>
      </c>
      <c r="C2771" s="4" t="str">
        <f>IFERROR(__xludf.DUMMYFUNCTION("""COMPUTED_VALUE"""),"Coinbet Finance")</f>
        <v>Coinbet Finance</v>
      </c>
    </row>
    <row r="2772">
      <c r="A2772" s="4" t="str">
        <f>IFERROR(__xludf.DUMMYFUNCTION("""COMPUTED_VALUE"""),"coinbidex")</f>
        <v>coinbidex</v>
      </c>
      <c r="B2772" s="4" t="str">
        <f>IFERROR(__xludf.DUMMYFUNCTION("""COMPUTED_VALUE"""),"cbe")</f>
        <v>cbe</v>
      </c>
      <c r="C2772" s="4" t="str">
        <f>IFERROR(__xludf.DUMMYFUNCTION("""COMPUTED_VALUE"""),"Coinbidex")</f>
        <v>Coinbidex</v>
      </c>
    </row>
    <row r="2773">
      <c r="A2773" s="4" t="str">
        <f>IFERROR(__xludf.DUMMYFUNCTION("""COMPUTED_VALUE"""),"coinbot")</f>
        <v>coinbot</v>
      </c>
      <c r="B2773" s="4" t="str">
        <f>IFERROR(__xludf.DUMMYFUNCTION("""COMPUTED_VALUE"""),"coinbt")</f>
        <v>coinbt</v>
      </c>
      <c r="C2773" s="4" t="str">
        <f>IFERROR(__xludf.DUMMYFUNCTION("""COMPUTED_VALUE"""),"CoinBot")</f>
        <v>CoinBot</v>
      </c>
    </row>
    <row r="2774">
      <c r="A2774" s="4" t="str">
        <f>IFERROR(__xludf.DUMMYFUNCTION("""COMPUTED_VALUE"""),"coinbuck")</f>
        <v>coinbuck</v>
      </c>
      <c r="B2774" s="4" t="str">
        <f>IFERROR(__xludf.DUMMYFUNCTION("""COMPUTED_VALUE"""),"buck")</f>
        <v>buck</v>
      </c>
      <c r="C2774" s="4" t="str">
        <f>IFERROR(__xludf.DUMMYFUNCTION("""COMPUTED_VALUE"""),"CoinBuck")</f>
        <v>CoinBuck</v>
      </c>
    </row>
    <row r="2775">
      <c r="A2775" s="4" t="str">
        <f>IFERROR(__xludf.DUMMYFUNCTION("""COMPUTED_VALUE"""),"coin-capsule")</f>
        <v>coin-capsule</v>
      </c>
      <c r="B2775" s="4" t="str">
        <f>IFERROR(__xludf.DUMMYFUNCTION("""COMPUTED_VALUE"""),"caps")</f>
        <v>caps</v>
      </c>
      <c r="C2775" s="4" t="str">
        <f>IFERROR(__xludf.DUMMYFUNCTION("""COMPUTED_VALUE"""),"Ternoa")</f>
        <v>Ternoa</v>
      </c>
    </row>
    <row r="2776">
      <c r="A2776" s="4" t="str">
        <f>IFERROR(__xludf.DUMMYFUNCTION("""COMPUTED_VALUE"""),"coinclaim")</f>
        <v>coinclaim</v>
      </c>
      <c r="B2776" s="4" t="str">
        <f>IFERROR(__xludf.DUMMYFUNCTION("""COMPUTED_VALUE"""),"clm")</f>
        <v>clm</v>
      </c>
      <c r="C2776" s="4" t="str">
        <f>IFERROR(__xludf.DUMMYFUNCTION("""COMPUTED_VALUE"""),"CoinClaim")</f>
        <v>CoinClaim</v>
      </c>
    </row>
    <row r="2777">
      <c r="A2777" s="4" t="str">
        <f>IFERROR(__xludf.DUMMYFUNCTION("""COMPUTED_VALUE"""),"coincollect")</f>
        <v>coincollect</v>
      </c>
      <c r="B2777" s="4" t="str">
        <f>IFERROR(__xludf.DUMMYFUNCTION("""COMPUTED_VALUE"""),"collect")</f>
        <v>collect</v>
      </c>
      <c r="C2777" s="4" t="str">
        <f>IFERROR(__xludf.DUMMYFUNCTION("""COMPUTED_VALUE"""),"CoinCollect")</f>
        <v>CoinCollect</v>
      </c>
    </row>
    <row r="2778">
      <c r="A2778" s="4" t="str">
        <f>IFERROR(__xludf.DUMMYFUNCTION("""COMPUTED_VALUE"""),"coindom")</f>
        <v>coindom</v>
      </c>
      <c r="B2778" s="4" t="str">
        <f>IFERROR(__xludf.DUMMYFUNCTION("""COMPUTED_VALUE"""),"scc")</f>
        <v>scc</v>
      </c>
      <c r="C2778" s="4" t="str">
        <f>IFERROR(__xludf.DUMMYFUNCTION("""COMPUTED_VALUE"""),"Stem Cell Coin")</f>
        <v>Stem Cell Coin</v>
      </c>
    </row>
    <row r="2779">
      <c r="A2779" s="4" t="str">
        <f>IFERROR(__xludf.DUMMYFUNCTION("""COMPUTED_VALUE"""),"coinecta")</f>
        <v>coinecta</v>
      </c>
      <c r="B2779" s="4" t="str">
        <f>IFERROR(__xludf.DUMMYFUNCTION("""COMPUTED_VALUE"""),"cnct")</f>
        <v>cnct</v>
      </c>
      <c r="C2779" s="4" t="str">
        <f>IFERROR(__xludf.DUMMYFUNCTION("""COMPUTED_VALUE"""),"Coinecta")</f>
        <v>Coinecta</v>
      </c>
    </row>
    <row r="2780">
      <c r="A2780" s="4" t="str">
        <f>IFERROR(__xludf.DUMMYFUNCTION("""COMPUTED_VALUE"""),"coin-edelweis")</f>
        <v>coin-edelweis</v>
      </c>
      <c r="B2780" s="4" t="str">
        <f>IFERROR(__xludf.DUMMYFUNCTION("""COMPUTED_VALUE"""),"edel")</f>
        <v>edel</v>
      </c>
      <c r="C2780" s="4" t="str">
        <f>IFERROR(__xludf.DUMMYFUNCTION("""COMPUTED_VALUE"""),"Coin Edelweis")</f>
        <v>Coin Edelweis</v>
      </c>
    </row>
    <row r="2781">
      <c r="A2781" s="4" t="str">
        <f>IFERROR(__xludf.DUMMYFUNCTION("""COMPUTED_VALUE"""),"coinex-token")</f>
        <v>coinex-token</v>
      </c>
      <c r="B2781" s="4" t="str">
        <f>IFERROR(__xludf.DUMMYFUNCTION("""COMPUTED_VALUE"""),"cet")</f>
        <v>cet</v>
      </c>
      <c r="C2781" s="4" t="str">
        <f>IFERROR(__xludf.DUMMYFUNCTION("""COMPUTED_VALUE"""),"CoinEx")</f>
        <v>CoinEx</v>
      </c>
    </row>
    <row r="2782">
      <c r="A2782" s="4" t="str">
        <f>IFERROR(__xludf.DUMMYFUNCTION("""COMPUTED_VALUE"""),"coinfi")</f>
        <v>coinfi</v>
      </c>
      <c r="B2782" s="4" t="str">
        <f>IFERROR(__xludf.DUMMYFUNCTION("""COMPUTED_VALUE"""),"cofi")</f>
        <v>cofi</v>
      </c>
      <c r="C2782" s="4" t="str">
        <f>IFERROR(__xludf.DUMMYFUNCTION("""COMPUTED_VALUE"""),"CoinFi")</f>
        <v>CoinFi</v>
      </c>
    </row>
    <row r="2783">
      <c r="A2783" s="4" t="str">
        <f>IFERROR(__xludf.DUMMYFUNCTION("""COMPUTED_VALUE"""),"coinfirm-amlt")</f>
        <v>coinfirm-amlt</v>
      </c>
      <c r="B2783" s="4" t="str">
        <f>IFERROR(__xludf.DUMMYFUNCTION("""COMPUTED_VALUE"""),"amlt")</f>
        <v>amlt</v>
      </c>
      <c r="C2783" s="4" t="str">
        <f>IFERROR(__xludf.DUMMYFUNCTION("""COMPUTED_VALUE"""),"AMLT Network")</f>
        <v>AMLT Network</v>
      </c>
    </row>
    <row r="2784">
      <c r="A2784" s="4" t="str">
        <f>IFERROR(__xludf.DUMMYFUNCTION("""COMPUTED_VALUE"""),"coinforge")</f>
        <v>coinforge</v>
      </c>
      <c r="B2784" s="4" t="str">
        <f>IFERROR(__xludf.DUMMYFUNCTION("""COMPUTED_VALUE"""),"cnfrg")</f>
        <v>cnfrg</v>
      </c>
      <c r="C2784" s="4" t="str">
        <f>IFERROR(__xludf.DUMMYFUNCTION("""COMPUTED_VALUE"""),"CoinForge")</f>
        <v>CoinForge</v>
      </c>
    </row>
    <row r="2785">
      <c r="A2785" s="4" t="str">
        <f>IFERROR(__xludf.DUMMYFUNCTION("""COMPUTED_VALUE"""),"coingrab")</f>
        <v>coingrab</v>
      </c>
      <c r="B2785" s="4" t="str">
        <f>IFERROR(__xludf.DUMMYFUNCTION("""COMPUTED_VALUE"""),"grab")</f>
        <v>grab</v>
      </c>
      <c r="C2785" s="4" t="str">
        <f>IFERROR(__xludf.DUMMYFUNCTION("""COMPUTED_VALUE"""),"CoinGrab")</f>
        <v>CoinGrab</v>
      </c>
    </row>
    <row r="2786">
      <c r="A2786" s="4" t="str">
        <f>IFERROR(__xludf.DUMMYFUNCTION("""COMPUTED_VALUE"""),"coinhiba")</f>
        <v>coinhiba</v>
      </c>
      <c r="B2786" s="4" t="str">
        <f>IFERROR(__xludf.DUMMYFUNCTION("""COMPUTED_VALUE"""),"hiba")</f>
        <v>hiba</v>
      </c>
      <c r="C2786" s="4" t="str">
        <f>IFERROR(__xludf.DUMMYFUNCTION("""COMPUTED_VALUE"""),"Coinhiba")</f>
        <v>Coinhiba</v>
      </c>
    </row>
    <row r="2787">
      <c r="A2787" s="4" t="str">
        <f>IFERROR(__xludf.DUMMYFUNCTION("""COMPUTED_VALUE"""),"coinhound")</f>
        <v>coinhound</v>
      </c>
      <c r="B2787" s="4" t="str">
        <f>IFERROR(__xludf.DUMMYFUNCTION("""COMPUTED_VALUE"""),"cnd")</f>
        <v>cnd</v>
      </c>
      <c r="C2787" s="4" t="str">
        <f>IFERROR(__xludf.DUMMYFUNCTION("""COMPUTED_VALUE"""),"Coinhound")</f>
        <v>Coinhound</v>
      </c>
    </row>
    <row r="2788">
      <c r="A2788" s="4" t="str">
        <f>IFERROR(__xludf.DUMMYFUNCTION("""COMPUTED_VALUE"""),"coinhub")</f>
        <v>coinhub</v>
      </c>
      <c r="B2788" s="4" t="str">
        <f>IFERROR(__xludf.DUMMYFUNCTION("""COMPUTED_VALUE"""),"chb")</f>
        <v>chb</v>
      </c>
      <c r="C2788" s="4" t="str">
        <f>IFERROR(__xludf.DUMMYFUNCTION("""COMPUTED_VALUE"""),"COINHUB")</f>
        <v>COINHUB</v>
      </c>
    </row>
    <row r="2789">
      <c r="A2789" s="4" t="str">
        <f>IFERROR(__xludf.DUMMYFUNCTION("""COMPUTED_VALUE"""),"coinloan")</f>
        <v>coinloan</v>
      </c>
      <c r="B2789" s="4" t="str">
        <f>IFERROR(__xludf.DUMMYFUNCTION("""COMPUTED_VALUE"""),"clt")</f>
        <v>clt</v>
      </c>
      <c r="C2789" s="4" t="str">
        <f>IFERROR(__xludf.DUMMYFUNCTION("""COMPUTED_VALUE"""),"CoinLoan")</f>
        <v>CoinLoan</v>
      </c>
    </row>
    <row r="2790">
      <c r="A2790" s="4" t="str">
        <f>IFERROR(__xludf.DUMMYFUNCTION("""COMPUTED_VALUE"""),"coinlocally")</f>
        <v>coinlocally</v>
      </c>
      <c r="B2790" s="4" t="str">
        <f>IFERROR(__xludf.DUMMYFUNCTION("""COMPUTED_VALUE"""),"clyc")</f>
        <v>clyc</v>
      </c>
      <c r="C2790" s="4" t="str">
        <f>IFERROR(__xludf.DUMMYFUNCTION("""COMPUTED_VALUE"""),"Coinlocally")</f>
        <v>Coinlocally</v>
      </c>
    </row>
    <row r="2791">
      <c r="A2791" s="4" t="str">
        <f>IFERROR(__xludf.DUMMYFUNCTION("""COMPUTED_VALUE"""),"coinmarketprime")</f>
        <v>coinmarketprime</v>
      </c>
      <c r="B2791" s="4" t="str">
        <f>IFERROR(__xludf.DUMMYFUNCTION("""COMPUTED_VALUE"""),"cmp")</f>
        <v>cmp</v>
      </c>
      <c r="C2791" s="4" t="str">
        <f>IFERROR(__xludf.DUMMYFUNCTION("""COMPUTED_VALUE"""),"COINMARKETPRIME")</f>
        <v>COINMARKETPRIME</v>
      </c>
    </row>
    <row r="2792">
      <c r="A2792" s="4" t="str">
        <f>IFERROR(__xludf.DUMMYFUNCTION("""COMPUTED_VALUE"""),"coinmart-finance")</f>
        <v>coinmart-finance</v>
      </c>
      <c r="B2792" s="4" t="str">
        <f>IFERROR(__xludf.DUMMYFUNCTION("""COMPUTED_VALUE"""),"cex")</f>
        <v>cex</v>
      </c>
      <c r="C2792" s="4" t="str">
        <f>IFERROR(__xludf.DUMMYFUNCTION("""COMPUTED_VALUE"""),"Coinmart Finance")</f>
        <v>Coinmart Finance</v>
      </c>
    </row>
    <row r="2793">
      <c r="A2793" s="4" t="str">
        <f>IFERROR(__xludf.DUMMYFUNCTION("""COMPUTED_VALUE"""),"coinmatch-ai")</f>
        <v>coinmatch-ai</v>
      </c>
      <c r="B2793" s="4" t="str">
        <f>IFERROR(__xludf.DUMMYFUNCTION("""COMPUTED_VALUE"""),"cmai")</f>
        <v>cmai</v>
      </c>
      <c r="C2793" s="4" t="str">
        <f>IFERROR(__xludf.DUMMYFUNCTION("""COMPUTED_VALUE"""),"CoinMatch AI")</f>
        <v>CoinMatch AI</v>
      </c>
    </row>
    <row r="2794">
      <c r="A2794" s="4" t="str">
        <f>IFERROR(__xludf.DUMMYFUNCTION("""COMPUTED_VALUE"""),"coinmerge-os")</f>
        <v>coinmerge-os</v>
      </c>
      <c r="B2794" s="4" t="str">
        <f>IFERROR(__xludf.DUMMYFUNCTION("""COMPUTED_VALUE"""),"cmos")</f>
        <v>cmos</v>
      </c>
      <c r="C2794" s="4" t="str">
        <f>IFERROR(__xludf.DUMMYFUNCTION("""COMPUTED_VALUE"""),"CoinMerge OS")</f>
        <v>CoinMerge OS</v>
      </c>
    </row>
    <row r="2795">
      <c r="A2795" s="4" t="str">
        <f>IFERROR(__xludf.DUMMYFUNCTION("""COMPUTED_VALUE"""),"coinmetro")</f>
        <v>coinmetro</v>
      </c>
      <c r="B2795" s="4" t="str">
        <f>IFERROR(__xludf.DUMMYFUNCTION("""COMPUTED_VALUE"""),"xcm")</f>
        <v>xcm</v>
      </c>
      <c r="C2795" s="4" t="str">
        <f>IFERROR(__xludf.DUMMYFUNCTION("""COMPUTED_VALUE"""),"Coinmetro")</f>
        <v>Coinmetro</v>
      </c>
    </row>
    <row r="2796">
      <c r="A2796" s="4" t="str">
        <f>IFERROR(__xludf.DUMMYFUNCTION("""COMPUTED_VALUE"""),"coinmix")</f>
        <v>coinmix</v>
      </c>
      <c r="B2796" s="4" t="str">
        <f>IFERROR(__xludf.DUMMYFUNCTION("""COMPUTED_VALUE"""),"cm")</f>
        <v>cm</v>
      </c>
      <c r="C2796" s="4" t="str">
        <f>IFERROR(__xludf.DUMMYFUNCTION("""COMPUTED_VALUE"""),"Coinmix")</f>
        <v>Coinmix</v>
      </c>
    </row>
    <row r="2797">
      <c r="A2797" s="4" t="str">
        <f>IFERROR(__xludf.DUMMYFUNCTION("""COMPUTED_VALUE"""),"coinmooner")</f>
        <v>coinmooner</v>
      </c>
      <c r="B2797" s="4" t="str">
        <f>IFERROR(__xludf.DUMMYFUNCTION("""COMPUTED_VALUE"""),"mooner")</f>
        <v>mooner</v>
      </c>
      <c r="C2797" s="4" t="str">
        <f>IFERROR(__xludf.DUMMYFUNCTION("""COMPUTED_VALUE"""),"CoinMooner")</f>
        <v>CoinMooner</v>
      </c>
    </row>
    <row r="2798">
      <c r="A2798" s="4" t="str">
        <f>IFERROR(__xludf.DUMMYFUNCTION("""COMPUTED_VALUE"""),"coinnavigator")</f>
        <v>coinnavigator</v>
      </c>
      <c r="B2798" s="4" t="str">
        <f>IFERROR(__xludf.DUMMYFUNCTION("""COMPUTED_VALUE"""),"cng")</f>
        <v>cng</v>
      </c>
      <c r="C2798" s="4" t="str">
        <f>IFERROR(__xludf.DUMMYFUNCTION("""COMPUTED_VALUE"""),"CoinNavigator")</f>
        <v>CoinNavigator</v>
      </c>
    </row>
    <row r="2799">
      <c r="A2799" s="4" t="str">
        <f>IFERROR(__xludf.DUMMYFUNCTION("""COMPUTED_VALUE"""),"coin-of-nature")</f>
        <v>coin-of-nature</v>
      </c>
      <c r="B2799" s="4" t="str">
        <f>IFERROR(__xludf.DUMMYFUNCTION("""COMPUTED_VALUE"""),"con")</f>
        <v>con</v>
      </c>
      <c r="C2799" s="4" t="str">
        <f>IFERROR(__xludf.DUMMYFUNCTION("""COMPUTED_VALUE"""),"Coin of Nature")</f>
        <v>Coin of Nature</v>
      </c>
    </row>
    <row r="2800">
      <c r="A2800" s="4" t="str">
        <f>IFERROR(__xludf.DUMMYFUNCTION("""COMPUTED_VALUE"""),"coin-of-the-champions")</f>
        <v>coin-of-the-champions</v>
      </c>
      <c r="B2800" s="4" t="str">
        <f>IFERROR(__xludf.DUMMYFUNCTION("""COMPUTED_VALUE"""),"coc")</f>
        <v>coc</v>
      </c>
      <c r="C2800" s="4" t="str">
        <f>IFERROR(__xludf.DUMMYFUNCTION("""COMPUTED_VALUE"""),"Coin of the champions")</f>
        <v>Coin of the champions</v>
      </c>
    </row>
    <row r="2801">
      <c r="A2801" s="4" t="str">
        <f>IFERROR(__xludf.DUMMYFUNCTION("""COMPUTED_VALUE"""),"coin-on-base")</f>
        <v>coin-on-base</v>
      </c>
      <c r="B2801" s="4" t="str">
        <f>IFERROR(__xludf.DUMMYFUNCTION("""COMPUTED_VALUE"""),"coin")</f>
        <v>coin</v>
      </c>
      <c r="C2801" s="4" t="str">
        <f>IFERROR(__xludf.DUMMYFUNCTION("""COMPUTED_VALUE"""),"Coin on Base")</f>
        <v>Coin on Base</v>
      </c>
    </row>
    <row r="2802">
      <c r="A2802" s="4" t="str">
        <f>IFERROR(__xludf.DUMMYFUNCTION("""COMPUTED_VALUE"""),"coinpoker")</f>
        <v>coinpoker</v>
      </c>
      <c r="B2802" s="4" t="str">
        <f>IFERROR(__xludf.DUMMYFUNCTION("""COMPUTED_VALUE"""),"chp")</f>
        <v>chp</v>
      </c>
      <c r="C2802" s="4" t="str">
        <f>IFERROR(__xludf.DUMMYFUNCTION("""COMPUTED_VALUE"""),"CoinPoker")</f>
        <v>CoinPoker</v>
      </c>
    </row>
    <row r="2803">
      <c r="A2803" s="4" t="str">
        <f>IFERROR(__xludf.DUMMYFUNCTION("""COMPUTED_VALUE"""),"coinracer")</f>
        <v>coinracer</v>
      </c>
      <c r="B2803" s="4" t="str">
        <f>IFERROR(__xludf.DUMMYFUNCTION("""COMPUTED_VALUE"""),"crace")</f>
        <v>crace</v>
      </c>
      <c r="C2803" s="4" t="str">
        <f>IFERROR(__xludf.DUMMYFUNCTION("""COMPUTED_VALUE"""),"Coinracer")</f>
        <v>Coinracer</v>
      </c>
    </row>
    <row r="2804">
      <c r="A2804" s="4" t="str">
        <f>IFERROR(__xludf.DUMMYFUNCTION("""COMPUTED_VALUE"""),"coinracer-reloaded")</f>
        <v>coinracer-reloaded</v>
      </c>
      <c r="B2804" s="4" t="str">
        <f>IFERROR(__xludf.DUMMYFUNCTION("""COMPUTED_VALUE"""),"cracer")</f>
        <v>cracer</v>
      </c>
      <c r="C2804" s="4" t="str">
        <f>IFERROR(__xludf.DUMMYFUNCTION("""COMPUTED_VALUE"""),"Coinracer Reloaded")</f>
        <v>Coinracer Reloaded</v>
      </c>
    </row>
    <row r="2805">
      <c r="A2805" s="4" t="str">
        <f>IFERROR(__xludf.DUMMYFUNCTION("""COMPUTED_VALUE"""),"coinsale-token")</f>
        <v>coinsale-token</v>
      </c>
      <c r="B2805" s="4" t="str">
        <f>IFERROR(__xludf.DUMMYFUNCTION("""COMPUTED_VALUE"""),"coinsale")</f>
        <v>coinsale</v>
      </c>
      <c r="C2805" s="4" t="str">
        <f>IFERROR(__xludf.DUMMYFUNCTION("""COMPUTED_VALUE"""),"CoinSale Token")</f>
        <v>CoinSale Token</v>
      </c>
    </row>
    <row r="2806">
      <c r="A2806" s="4" t="str">
        <f>IFERROR(__xludf.DUMMYFUNCTION("""COMPUTED_VALUE"""),"coinsbit-token")</f>
        <v>coinsbit-token</v>
      </c>
      <c r="B2806" s="4" t="str">
        <f>IFERROR(__xludf.DUMMYFUNCTION("""COMPUTED_VALUE"""),"cnb")</f>
        <v>cnb</v>
      </c>
      <c r="C2806" s="4" t="str">
        <f>IFERROR(__xludf.DUMMYFUNCTION("""COMPUTED_VALUE"""),"Coinsbit Token")</f>
        <v>Coinsbit Token</v>
      </c>
    </row>
    <row r="2807">
      <c r="A2807" s="4" t="str">
        <f>IFERROR(__xludf.DUMMYFUNCTION("""COMPUTED_VALUE"""),"coinscope")</f>
        <v>coinscope</v>
      </c>
      <c r="B2807" s="4" t="str">
        <f>IFERROR(__xludf.DUMMYFUNCTION("""COMPUTED_VALUE"""),"coinscope")</f>
        <v>coinscope</v>
      </c>
      <c r="C2807" s="4" t="str">
        <f>IFERROR(__xludf.DUMMYFUNCTION("""COMPUTED_VALUE"""),"Coinscope")</f>
        <v>Coinscope</v>
      </c>
    </row>
    <row r="2808">
      <c r="A2808" s="4" t="str">
        <f>IFERROR(__xludf.DUMMYFUNCTION("""COMPUTED_VALUE"""),"coinw")</f>
        <v>coinw</v>
      </c>
      <c r="B2808" s="4" t="str">
        <f>IFERROR(__xludf.DUMMYFUNCTION("""COMPUTED_VALUE"""),"cwt")</f>
        <v>cwt</v>
      </c>
      <c r="C2808" s="4" t="str">
        <f>IFERROR(__xludf.DUMMYFUNCTION("""COMPUTED_VALUE"""),"CoinW")</f>
        <v>CoinW</v>
      </c>
    </row>
    <row r="2809">
      <c r="A2809" s="4" t="str">
        <f>IFERROR(__xludf.DUMMYFUNCTION("""COMPUTED_VALUE"""),"coinwealth")</f>
        <v>coinwealth</v>
      </c>
      <c r="B2809" s="4" t="str">
        <f>IFERROR(__xludf.DUMMYFUNCTION("""COMPUTED_VALUE"""),"cnw")</f>
        <v>cnw</v>
      </c>
      <c r="C2809" s="4" t="str">
        <f>IFERROR(__xludf.DUMMYFUNCTION("""COMPUTED_VALUE"""),"CoinWealth")</f>
        <v>CoinWealth</v>
      </c>
    </row>
    <row r="2810">
      <c r="A2810" s="4" t="str">
        <f>IFERROR(__xludf.DUMMYFUNCTION("""COMPUTED_VALUE"""),"coinweb")</f>
        <v>coinweb</v>
      </c>
      <c r="B2810" s="4" t="str">
        <f>IFERROR(__xludf.DUMMYFUNCTION("""COMPUTED_VALUE"""),"cweb")</f>
        <v>cweb</v>
      </c>
      <c r="C2810" s="4" t="str">
        <f>IFERROR(__xludf.DUMMYFUNCTION("""COMPUTED_VALUE"""),"Coinweb")</f>
        <v>Coinweb</v>
      </c>
    </row>
    <row r="2811">
      <c r="A2811" s="4" t="str">
        <f>IFERROR(__xludf.DUMMYFUNCTION("""COMPUTED_VALUE"""),"coinwind")</f>
        <v>coinwind</v>
      </c>
      <c r="B2811" s="4" t="str">
        <f>IFERROR(__xludf.DUMMYFUNCTION("""COMPUTED_VALUE"""),"cow")</f>
        <v>cow</v>
      </c>
      <c r="C2811" s="4" t="str">
        <f>IFERROR(__xludf.DUMMYFUNCTION("""COMPUTED_VALUE"""),"CoinWind")</f>
        <v>CoinWind</v>
      </c>
    </row>
    <row r="2812">
      <c r="A2812" s="4" t="str">
        <f>IFERROR(__xludf.DUMMYFUNCTION("""COMPUTED_VALUE"""),"coinxpad")</f>
        <v>coinxpad</v>
      </c>
      <c r="B2812" s="4" t="str">
        <f>IFERROR(__xludf.DUMMYFUNCTION("""COMPUTED_VALUE"""),"cxpad")</f>
        <v>cxpad</v>
      </c>
      <c r="C2812" s="4" t="str">
        <f>IFERROR(__xludf.DUMMYFUNCTION("""COMPUTED_VALUE"""),"CoinxPad")</f>
        <v>CoinxPad</v>
      </c>
    </row>
    <row r="2813">
      <c r="A2813" s="4" t="str">
        <f>IFERROR(__xludf.DUMMYFUNCTION("""COMPUTED_VALUE"""),"coinye-west")</f>
        <v>coinye-west</v>
      </c>
      <c r="B2813" s="4" t="str">
        <f>IFERROR(__xludf.DUMMYFUNCTION("""COMPUTED_VALUE"""),"coinye")</f>
        <v>coinye</v>
      </c>
      <c r="C2813" s="4" t="str">
        <f>IFERROR(__xludf.DUMMYFUNCTION("""COMPUTED_VALUE"""),"Coinye West")</f>
        <v>Coinye West</v>
      </c>
    </row>
    <row r="2814">
      <c r="A2814" s="4" t="str">
        <f>IFERROR(__xludf.DUMMYFUNCTION("""COMPUTED_VALUE"""),"coinzix-token")</f>
        <v>coinzix-token</v>
      </c>
      <c r="B2814" s="4" t="str">
        <f>IFERROR(__xludf.DUMMYFUNCTION("""COMPUTED_VALUE"""),"zix")</f>
        <v>zix</v>
      </c>
      <c r="C2814" s="4" t="str">
        <f>IFERROR(__xludf.DUMMYFUNCTION("""COMPUTED_VALUE"""),"Coinzix Token")</f>
        <v>Coinzix Token</v>
      </c>
    </row>
    <row r="2815">
      <c r="A2815" s="4" t="str">
        <f>IFERROR(__xludf.DUMMYFUNCTION("""COMPUTED_VALUE"""),"cola-token-2")</f>
        <v>cola-token-2</v>
      </c>
      <c r="B2815" s="4" t="str">
        <f>IFERROR(__xludf.DUMMYFUNCTION("""COMPUTED_VALUE"""),"cola")</f>
        <v>cola</v>
      </c>
      <c r="C2815" s="4" t="str">
        <f>IFERROR(__xludf.DUMMYFUNCTION("""COMPUTED_VALUE"""),"Cola Token")</f>
        <v>Cola Token</v>
      </c>
    </row>
    <row r="2816">
      <c r="A2816" s="4" t="str">
        <f>IFERROR(__xludf.DUMMYFUNCTION("""COMPUTED_VALUE"""),"colb-usd-stablecolb")</f>
        <v>colb-usd-stablecolb</v>
      </c>
      <c r="B2816" s="4" t="str">
        <f>IFERROR(__xludf.DUMMYFUNCTION("""COMPUTED_VALUE"""),"scb")</f>
        <v>scb</v>
      </c>
      <c r="C2816" s="4" t="str">
        <f>IFERROR(__xludf.DUMMYFUNCTION("""COMPUTED_VALUE"""),"USD Stable Colb")</f>
        <v>USD Stable Colb</v>
      </c>
    </row>
    <row r="2817">
      <c r="A2817" s="4" t="str">
        <f>IFERROR(__xludf.DUMMYFUNCTION("""COMPUTED_VALUE"""),"coldstack")</f>
        <v>coldstack</v>
      </c>
      <c r="B2817" s="4" t="str">
        <f>IFERROR(__xludf.DUMMYFUNCTION("""COMPUTED_VALUE"""),"cls")</f>
        <v>cls</v>
      </c>
      <c r="C2817" s="4" t="str">
        <f>IFERROR(__xludf.DUMMYFUNCTION("""COMPUTED_VALUE"""),"Coldstack")</f>
        <v>Coldstack</v>
      </c>
    </row>
    <row r="2818">
      <c r="A2818" s="4" t="str">
        <f>IFERROR(__xludf.DUMMYFUNCTION("""COMPUTED_VALUE"""),"colizeum")</f>
        <v>colizeum</v>
      </c>
      <c r="B2818" s="4" t="str">
        <f>IFERROR(__xludf.DUMMYFUNCTION("""COMPUTED_VALUE"""),"zeum")</f>
        <v>zeum</v>
      </c>
      <c r="C2818" s="4" t="str">
        <f>IFERROR(__xludf.DUMMYFUNCTION("""COMPUTED_VALUE"""),"Colizeum")</f>
        <v>Colizeum</v>
      </c>
    </row>
    <row r="2819">
      <c r="A2819" s="4" t="str">
        <f>IFERROR(__xludf.DUMMYFUNCTION("""COMPUTED_VALUE"""),"collab-land")</f>
        <v>collab-land</v>
      </c>
      <c r="B2819" s="4" t="str">
        <f>IFERROR(__xludf.DUMMYFUNCTION("""COMPUTED_VALUE"""),"collab")</f>
        <v>collab</v>
      </c>
      <c r="C2819" s="4" t="str">
        <f>IFERROR(__xludf.DUMMYFUNCTION("""COMPUTED_VALUE"""),"Collab.Land")</f>
        <v>Collab.Land</v>
      </c>
    </row>
    <row r="2820">
      <c r="A2820" s="4" t="str">
        <f>IFERROR(__xludf.DUMMYFUNCTION("""COMPUTED_VALUE"""),"collateralized-debt-token")</f>
        <v>collateralized-debt-token</v>
      </c>
      <c r="B2820" s="4" t="str">
        <f>IFERROR(__xludf.DUMMYFUNCTION("""COMPUTED_VALUE"""),"cdt")</f>
        <v>cdt</v>
      </c>
      <c r="C2820" s="4" t="str">
        <f>IFERROR(__xludf.DUMMYFUNCTION("""COMPUTED_VALUE"""),"Collateralized Debt Token")</f>
        <v>Collateralized Debt Token</v>
      </c>
    </row>
    <row r="2821">
      <c r="A2821" s="4" t="str">
        <f>IFERROR(__xludf.DUMMYFUNCTION("""COMPUTED_VALUE"""),"collateral-network")</f>
        <v>collateral-network</v>
      </c>
      <c r="B2821" s="4" t="str">
        <f>IFERROR(__xludf.DUMMYFUNCTION("""COMPUTED_VALUE"""),"colt")</f>
        <v>colt</v>
      </c>
      <c r="C2821" s="4" t="str">
        <f>IFERROR(__xludf.DUMMYFUNCTION("""COMPUTED_VALUE"""),"Collateral Network")</f>
        <v>Collateral Network</v>
      </c>
    </row>
    <row r="2822">
      <c r="A2822" s="4" t="str">
        <f>IFERROR(__xludf.DUMMYFUNCTION("""COMPUTED_VALUE"""),"colle-ai")</f>
        <v>colle-ai</v>
      </c>
      <c r="B2822" s="4" t="str">
        <f>IFERROR(__xludf.DUMMYFUNCTION("""COMPUTED_VALUE"""),"col")</f>
        <v>col</v>
      </c>
      <c r="C2822" s="4" t="str">
        <f>IFERROR(__xludf.DUMMYFUNCTION("""COMPUTED_VALUE"""),"Colle AI")</f>
        <v>Colle AI</v>
      </c>
    </row>
    <row r="2823">
      <c r="A2823" s="4" t="str">
        <f>IFERROR(__xludf.DUMMYFUNCTION("""COMPUTED_VALUE"""),"collective-care")</f>
        <v>collective-care</v>
      </c>
      <c r="B2823" s="4" t="str">
        <f>IFERROR(__xludf.DUMMYFUNCTION("""COMPUTED_VALUE"""),"cct")</f>
        <v>cct</v>
      </c>
      <c r="C2823" s="4" t="str">
        <f>IFERROR(__xludf.DUMMYFUNCTION("""COMPUTED_VALUE"""),"Collective Care")</f>
        <v>Collective Care</v>
      </c>
    </row>
    <row r="2824">
      <c r="A2824" s="4" t="str">
        <f>IFERROR(__xludf.DUMMYFUNCTION("""COMPUTED_VALUE"""),"collector-coin")</f>
        <v>collector-coin</v>
      </c>
      <c r="B2824" s="4" t="str">
        <f>IFERROR(__xludf.DUMMYFUNCTION("""COMPUTED_VALUE"""),"ags")</f>
        <v>ags</v>
      </c>
      <c r="C2824" s="4" t="str">
        <f>IFERROR(__xludf.DUMMYFUNCTION("""COMPUTED_VALUE"""),"Collector Coin")</f>
        <v>Collector Coin</v>
      </c>
    </row>
    <row r="2825">
      <c r="A2825" s="4" t="str">
        <f>IFERROR(__xludf.DUMMYFUNCTION("""COMPUTED_VALUE"""),"colonizemars")</f>
        <v>colonizemars</v>
      </c>
      <c r="B2825" s="4" t="str">
        <f>IFERROR(__xludf.DUMMYFUNCTION("""COMPUTED_VALUE"""),"gtm")</f>
        <v>gtm</v>
      </c>
      <c r="C2825" s="4" t="str">
        <f>IFERROR(__xludf.DUMMYFUNCTION("""COMPUTED_VALUE"""),"ColonizeMars")</f>
        <v>ColonizeMars</v>
      </c>
    </row>
    <row r="2826">
      <c r="A2826" s="4" t="str">
        <f>IFERROR(__xludf.DUMMYFUNCTION("""COMPUTED_VALUE"""),"colony")</f>
        <v>colony</v>
      </c>
      <c r="B2826" s="4" t="str">
        <f>IFERROR(__xludf.DUMMYFUNCTION("""COMPUTED_VALUE"""),"cly")</f>
        <v>cly</v>
      </c>
      <c r="C2826" s="4" t="str">
        <f>IFERROR(__xludf.DUMMYFUNCTION("""COMPUTED_VALUE"""),"Colony")</f>
        <v>Colony</v>
      </c>
    </row>
    <row r="2827">
      <c r="A2827" s="4" t="str">
        <f>IFERROR(__xludf.DUMMYFUNCTION("""COMPUTED_VALUE"""),"colony-avalanche-index")</f>
        <v>colony-avalanche-index</v>
      </c>
      <c r="B2827" s="4" t="str">
        <f>IFERROR(__xludf.DUMMYFUNCTION("""COMPUTED_VALUE"""),"cai")</f>
        <v>cai</v>
      </c>
      <c r="C2827" s="4" t="str">
        <f>IFERROR(__xludf.DUMMYFUNCTION("""COMPUTED_VALUE"""),"Colony Avalanche Index")</f>
        <v>Colony Avalanche Index</v>
      </c>
    </row>
    <row r="2828">
      <c r="A2828" s="4" t="str">
        <f>IFERROR(__xludf.DUMMYFUNCTION("""COMPUTED_VALUE"""),"colony-network-token")</f>
        <v>colony-network-token</v>
      </c>
      <c r="B2828" s="4" t="str">
        <f>IFERROR(__xludf.DUMMYFUNCTION("""COMPUTED_VALUE"""),"clny")</f>
        <v>clny</v>
      </c>
      <c r="C2828" s="4" t="str">
        <f>IFERROR(__xludf.DUMMYFUNCTION("""COMPUTED_VALUE"""),"Colony Network")</f>
        <v>Colony Network</v>
      </c>
    </row>
    <row r="2829">
      <c r="A2829" s="4" t="str">
        <f>IFERROR(__xludf.DUMMYFUNCTION("""COMPUTED_VALUE"""),"colossuscoinxt")</f>
        <v>colossuscoinxt</v>
      </c>
      <c r="B2829" s="4" t="str">
        <f>IFERROR(__xludf.DUMMYFUNCTION("""COMPUTED_VALUE"""),"colx")</f>
        <v>colx</v>
      </c>
      <c r="C2829" s="4" t="str">
        <f>IFERROR(__xludf.DUMMYFUNCTION("""COMPUTED_VALUE"""),"ColossusXT")</f>
        <v>ColossusXT</v>
      </c>
    </row>
    <row r="2830">
      <c r="A2830" s="4" t="str">
        <f>IFERROR(__xludf.DUMMYFUNCTION("""COMPUTED_VALUE"""),"colr-coin")</f>
        <v>colr-coin</v>
      </c>
      <c r="B2830" s="4" t="str">
        <f>IFERROR(__xludf.DUMMYFUNCTION("""COMPUTED_VALUE"""),"$colr")</f>
        <v>$colr</v>
      </c>
      <c r="C2830" s="4" t="str">
        <f>IFERROR(__xludf.DUMMYFUNCTION("""COMPUTED_VALUE"""),"colR Coin")</f>
        <v>colR Coin</v>
      </c>
    </row>
    <row r="2831">
      <c r="A2831" s="4" t="str">
        <f>IFERROR(__xludf.DUMMYFUNCTION("""COMPUTED_VALUE"""),"coma-online")</f>
        <v>coma-online</v>
      </c>
      <c r="B2831" s="4" t="str">
        <f>IFERROR(__xludf.DUMMYFUNCTION("""COMPUTED_VALUE"""),"coma")</f>
        <v>coma</v>
      </c>
      <c r="C2831" s="4" t="str">
        <f>IFERROR(__xludf.DUMMYFUNCTION("""COMPUTED_VALUE"""),"Coma Online")</f>
        <v>Coma Online</v>
      </c>
    </row>
    <row r="2832">
      <c r="A2832" s="4" t="str">
        <f>IFERROR(__xludf.DUMMYFUNCTION("""COMPUTED_VALUE"""),"comb-finance")</f>
        <v>comb-finance</v>
      </c>
      <c r="B2832" s="4" t="str">
        <f>IFERROR(__xludf.DUMMYFUNCTION("""COMPUTED_VALUE"""),"comb")</f>
        <v>comb</v>
      </c>
      <c r="C2832" s="4" t="str">
        <f>IFERROR(__xludf.DUMMYFUNCTION("""COMPUTED_VALUE"""),"Comb Finance")</f>
        <v>Comb Finance</v>
      </c>
    </row>
    <row r="2833">
      <c r="A2833" s="4" t="str">
        <f>IFERROR(__xludf.DUMMYFUNCTION("""COMPUTED_VALUE"""),"combustion")</f>
        <v>combustion</v>
      </c>
      <c r="B2833" s="4" t="str">
        <f>IFERROR(__xludf.DUMMYFUNCTION("""COMPUTED_VALUE"""),"fire")</f>
        <v>fire</v>
      </c>
      <c r="C2833" s="4" t="str">
        <f>IFERROR(__xludf.DUMMYFUNCTION("""COMPUTED_VALUE"""),"Combustion")</f>
        <v>Combustion</v>
      </c>
    </row>
    <row r="2834">
      <c r="A2834" s="4" t="str">
        <f>IFERROR(__xludf.DUMMYFUNCTION("""COMPUTED_VALUE"""),"comdex")</f>
        <v>comdex</v>
      </c>
      <c r="B2834" s="4" t="str">
        <f>IFERROR(__xludf.DUMMYFUNCTION("""COMPUTED_VALUE"""),"cmdx")</f>
        <v>cmdx</v>
      </c>
      <c r="C2834" s="4" t="str">
        <f>IFERROR(__xludf.DUMMYFUNCTION("""COMPUTED_VALUE"""),"COMDEX")</f>
        <v>COMDEX</v>
      </c>
    </row>
    <row r="2835">
      <c r="A2835" s="4" t="str">
        <f>IFERROR(__xludf.DUMMYFUNCTION("""COMPUTED_VALUE"""),"comet-token")</f>
        <v>comet-token</v>
      </c>
      <c r="B2835" s="4" t="str">
        <f>IFERROR(__xludf.DUMMYFUNCTION("""COMPUTED_VALUE"""),"comet")</f>
        <v>comet</v>
      </c>
      <c r="C2835" s="4" t="str">
        <f>IFERROR(__xludf.DUMMYFUNCTION("""COMPUTED_VALUE"""),"Comet Token")</f>
        <v>Comet Token</v>
      </c>
    </row>
    <row r="2836">
      <c r="A2836" s="4" t="str">
        <f>IFERROR(__xludf.DUMMYFUNCTION("""COMPUTED_VALUE"""),"common")</f>
        <v>common</v>
      </c>
      <c r="B2836" s="4" t="str">
        <f>IFERROR(__xludf.DUMMYFUNCTION("""COMPUTED_VALUE"""),"cmn")</f>
        <v>cmn</v>
      </c>
      <c r="C2836" s="4" t="str">
        <f>IFERROR(__xludf.DUMMYFUNCTION("""COMPUTED_VALUE"""),"Common")</f>
        <v>Common</v>
      </c>
    </row>
    <row r="2837">
      <c r="A2837" s="4" t="str">
        <f>IFERROR(__xludf.DUMMYFUNCTION("""COMPUTED_VALUE"""),"commune-ai")</f>
        <v>commune-ai</v>
      </c>
      <c r="B2837" s="4" t="str">
        <f>IFERROR(__xludf.DUMMYFUNCTION("""COMPUTED_VALUE"""),"comai")</f>
        <v>comai</v>
      </c>
      <c r="C2837" s="4" t="str">
        <f>IFERROR(__xludf.DUMMYFUNCTION("""COMPUTED_VALUE"""),"Commune AI")</f>
        <v>Commune AI</v>
      </c>
    </row>
    <row r="2838">
      <c r="A2838" s="4" t="str">
        <f>IFERROR(__xludf.DUMMYFUNCTION("""COMPUTED_VALUE"""),"community-business-token")</f>
        <v>community-business-token</v>
      </c>
      <c r="B2838" s="4" t="str">
        <f>IFERROR(__xludf.DUMMYFUNCTION("""COMPUTED_VALUE"""),"cbt")</f>
        <v>cbt</v>
      </c>
      <c r="C2838" s="4" t="str">
        <f>IFERROR(__xludf.DUMMYFUNCTION("""COMPUTED_VALUE"""),"Community Business Token")</f>
        <v>Community Business Token</v>
      </c>
    </row>
    <row r="2839">
      <c r="A2839" s="4" t="str">
        <f>IFERROR(__xludf.DUMMYFUNCTION("""COMPUTED_VALUE"""),"community-inu")</f>
        <v>community-inu</v>
      </c>
      <c r="B2839" s="4" t="str">
        <f>IFERROR(__xludf.DUMMYFUNCTION("""COMPUTED_VALUE"""),"cti")</f>
        <v>cti</v>
      </c>
      <c r="C2839" s="4" t="str">
        <f>IFERROR(__xludf.DUMMYFUNCTION("""COMPUTED_VALUE"""),"Community Inu")</f>
        <v>Community Inu</v>
      </c>
    </row>
    <row r="2840">
      <c r="A2840" s="4" t="str">
        <f>IFERROR(__xludf.DUMMYFUNCTION("""COMPUTED_VALUE"""),"community-of-meme")</f>
        <v>community-of-meme</v>
      </c>
      <c r="B2840" s="4" t="str">
        <f>IFERROR(__xludf.DUMMYFUNCTION("""COMPUTED_VALUE"""),"come")</f>
        <v>come</v>
      </c>
      <c r="C2840" s="4" t="str">
        <f>IFERROR(__xludf.DUMMYFUNCTION("""COMPUTED_VALUE"""),"Community of Meme")</f>
        <v>Community of Meme</v>
      </c>
    </row>
    <row r="2841">
      <c r="A2841" s="4" t="str">
        <f>IFERROR(__xludf.DUMMYFUNCTION("""COMPUTED_VALUE"""),"community-takeover")</f>
        <v>community-takeover</v>
      </c>
      <c r="B2841" s="4" t="str">
        <f>IFERROR(__xludf.DUMMYFUNCTION("""COMPUTED_VALUE"""),"ct")</f>
        <v>ct</v>
      </c>
      <c r="C2841" s="4" t="str">
        <f>IFERROR(__xludf.DUMMYFUNCTION("""COMPUTED_VALUE"""),"Community Takeover")</f>
        <v>Community Takeover</v>
      </c>
    </row>
    <row r="2842">
      <c r="A2842" s="4" t="str">
        <f>IFERROR(__xludf.DUMMYFUNCTION("""COMPUTED_VALUE"""),"com-ordinals")</f>
        <v>com-ordinals</v>
      </c>
      <c r="B2842" s="4" t="str">
        <f>IFERROR(__xludf.DUMMYFUNCTION("""COMPUTED_VALUE"""),".com")</f>
        <v>.com</v>
      </c>
      <c r="C2842" s="4" t="str">
        <f>IFERROR(__xludf.DUMMYFUNCTION("""COMPUTED_VALUE"""),".com (Ordinals)")</f>
        <v>.com (Ordinals)</v>
      </c>
    </row>
    <row r="2843">
      <c r="A2843" s="4" t="str">
        <f>IFERROR(__xludf.DUMMYFUNCTION("""COMPUTED_VALUE"""),"companionbot")</f>
        <v>companionbot</v>
      </c>
      <c r="B2843" s="4" t="str">
        <f>IFERROR(__xludf.DUMMYFUNCTION("""COMPUTED_VALUE"""),"cbot")</f>
        <v>cbot</v>
      </c>
      <c r="C2843" s="4" t="str">
        <f>IFERROR(__xludf.DUMMYFUNCTION("""COMPUTED_VALUE"""),"CompanionBot")</f>
        <v>CompanionBot</v>
      </c>
    </row>
    <row r="2844">
      <c r="A2844" s="4" t="str">
        <f>IFERROR(__xludf.DUMMYFUNCTION("""COMPUTED_VALUE"""),"companion-pet-coin")</f>
        <v>companion-pet-coin</v>
      </c>
      <c r="B2844" s="4" t="str">
        <f>IFERROR(__xludf.DUMMYFUNCTION("""COMPUTED_VALUE"""),"cpc")</f>
        <v>cpc</v>
      </c>
      <c r="C2844" s="4" t="str">
        <f>IFERROR(__xludf.DUMMYFUNCTION("""COMPUTED_VALUE"""),"Companion Pet Coin")</f>
        <v>Companion Pet Coin</v>
      </c>
    </row>
    <row r="2845">
      <c r="A2845" s="4" t="str">
        <f>IFERROR(__xludf.DUMMYFUNCTION("""COMPUTED_VALUE"""),"compendium-fi")</f>
        <v>compendium-fi</v>
      </c>
      <c r="B2845" s="4" t="str">
        <f>IFERROR(__xludf.DUMMYFUNCTION("""COMPUTED_VALUE"""),"cmfi")</f>
        <v>cmfi</v>
      </c>
      <c r="C2845" s="4" t="str">
        <f>IFERROR(__xludf.DUMMYFUNCTION("""COMPUTED_VALUE"""),"Compendium")</f>
        <v>Compendium</v>
      </c>
    </row>
    <row r="2846">
      <c r="A2846" s="4" t="str">
        <f>IFERROR(__xludf.DUMMYFUNCTION("""COMPUTED_VALUE"""),"composite")</f>
        <v>composite</v>
      </c>
      <c r="B2846" s="4" t="str">
        <f>IFERROR(__xludf.DUMMYFUNCTION("""COMPUTED_VALUE"""),"cmst")</f>
        <v>cmst</v>
      </c>
      <c r="C2846" s="4" t="str">
        <f>IFERROR(__xludf.DUMMYFUNCTION("""COMPUTED_VALUE"""),"Composite")</f>
        <v>Composite</v>
      </c>
    </row>
    <row r="2847">
      <c r="A2847" s="4" t="str">
        <f>IFERROR(__xludf.DUMMYFUNCTION("""COMPUTED_VALUE"""),"compound-0x")</f>
        <v>compound-0x</v>
      </c>
      <c r="B2847" s="4" t="str">
        <f>IFERROR(__xludf.DUMMYFUNCTION("""COMPUTED_VALUE"""),"czrx")</f>
        <v>czrx</v>
      </c>
      <c r="C2847" s="4" t="str">
        <f>IFERROR(__xludf.DUMMYFUNCTION("""COMPUTED_VALUE"""),"c0x")</f>
        <v>c0x</v>
      </c>
    </row>
    <row r="2848">
      <c r="A2848" s="4" t="str">
        <f>IFERROR(__xludf.DUMMYFUNCTION("""COMPUTED_VALUE"""),"compound-basic-attention-token")</f>
        <v>compound-basic-attention-token</v>
      </c>
      <c r="B2848" s="4" t="str">
        <f>IFERROR(__xludf.DUMMYFUNCTION("""COMPUTED_VALUE"""),"cbat")</f>
        <v>cbat</v>
      </c>
      <c r="C2848" s="4" t="str">
        <f>IFERROR(__xludf.DUMMYFUNCTION("""COMPUTED_VALUE"""),"cBAT")</f>
        <v>cBAT</v>
      </c>
    </row>
    <row r="2849">
      <c r="A2849" s="4" t="str">
        <f>IFERROR(__xludf.DUMMYFUNCTION("""COMPUTED_VALUE"""),"compound-chainlink-token")</f>
        <v>compound-chainlink-token</v>
      </c>
      <c r="B2849" s="4" t="str">
        <f>IFERROR(__xludf.DUMMYFUNCTION("""COMPUTED_VALUE"""),"clink")</f>
        <v>clink</v>
      </c>
      <c r="C2849" s="4" t="str">
        <f>IFERROR(__xludf.DUMMYFUNCTION("""COMPUTED_VALUE"""),"cLINK")</f>
        <v>cLINK</v>
      </c>
    </row>
    <row r="2850">
      <c r="A2850" s="4" t="str">
        <f>IFERROR(__xludf.DUMMYFUNCTION("""COMPUTED_VALUE"""),"compounded-marinated-umami")</f>
        <v>compounded-marinated-umami</v>
      </c>
      <c r="B2850" s="4" t="str">
        <f>IFERROR(__xludf.DUMMYFUNCTION("""COMPUTED_VALUE"""),"cmumami")</f>
        <v>cmumami</v>
      </c>
      <c r="C2850" s="4" t="str">
        <f>IFERROR(__xludf.DUMMYFUNCTION("""COMPUTED_VALUE"""),"Compounded Marinated UMAMI")</f>
        <v>Compounded Marinated UMAMI</v>
      </c>
    </row>
    <row r="2851">
      <c r="A2851" s="4" t="str">
        <f>IFERROR(__xludf.DUMMYFUNCTION("""COMPUTED_VALUE"""),"compound-ether")</f>
        <v>compound-ether</v>
      </c>
      <c r="B2851" s="4" t="str">
        <f>IFERROR(__xludf.DUMMYFUNCTION("""COMPUTED_VALUE"""),"ceth")</f>
        <v>ceth</v>
      </c>
      <c r="C2851" s="4" t="str">
        <f>IFERROR(__xludf.DUMMYFUNCTION("""COMPUTED_VALUE"""),"cETH")</f>
        <v>cETH</v>
      </c>
    </row>
    <row r="2852">
      <c r="A2852" s="4" t="str">
        <f>IFERROR(__xludf.DUMMYFUNCTION("""COMPUTED_VALUE"""),"compound-governance-token")</f>
        <v>compound-governance-token</v>
      </c>
      <c r="B2852" s="4" t="str">
        <f>IFERROR(__xludf.DUMMYFUNCTION("""COMPUTED_VALUE"""),"comp")</f>
        <v>comp</v>
      </c>
      <c r="C2852" s="4" t="str">
        <f>IFERROR(__xludf.DUMMYFUNCTION("""COMPUTED_VALUE"""),"Compound")</f>
        <v>Compound</v>
      </c>
    </row>
    <row r="2853">
      <c r="A2853" s="4" t="str">
        <f>IFERROR(__xludf.DUMMYFUNCTION("""COMPUTED_VALUE"""),"compound-maker")</f>
        <v>compound-maker</v>
      </c>
      <c r="B2853" s="4" t="str">
        <f>IFERROR(__xludf.DUMMYFUNCTION("""COMPUTED_VALUE"""),"cmkr")</f>
        <v>cmkr</v>
      </c>
      <c r="C2853" s="4" t="str">
        <f>IFERROR(__xludf.DUMMYFUNCTION("""COMPUTED_VALUE"""),"cMKR")</f>
        <v>cMKR</v>
      </c>
    </row>
    <row r="2854">
      <c r="A2854" s="4" t="str">
        <f>IFERROR(__xludf.DUMMYFUNCTION("""COMPUTED_VALUE"""),"compound-meta")</f>
        <v>compound-meta</v>
      </c>
      <c r="B2854" s="4" t="str">
        <f>IFERROR(__xludf.DUMMYFUNCTION("""COMPUTED_VALUE"""),"coma")</f>
        <v>coma</v>
      </c>
      <c r="C2854" s="4" t="str">
        <f>IFERROR(__xludf.DUMMYFUNCTION("""COMPUTED_VALUE"""),"Compound Meta")</f>
        <v>Compound Meta</v>
      </c>
    </row>
    <row r="2855">
      <c r="A2855" s="4" t="str">
        <f>IFERROR(__xludf.DUMMYFUNCTION("""COMPUTED_VALUE"""),"compound-sushi")</f>
        <v>compound-sushi</v>
      </c>
      <c r="B2855" s="4" t="str">
        <f>IFERROR(__xludf.DUMMYFUNCTION("""COMPUTED_VALUE"""),"csushi")</f>
        <v>csushi</v>
      </c>
      <c r="C2855" s="4" t="str">
        <f>IFERROR(__xludf.DUMMYFUNCTION("""COMPUTED_VALUE"""),"cSUSHI")</f>
        <v>cSUSHI</v>
      </c>
    </row>
    <row r="2856">
      <c r="A2856" s="4" t="str">
        <f>IFERROR(__xludf.DUMMYFUNCTION("""COMPUTED_VALUE"""),"compound-uniswap")</f>
        <v>compound-uniswap</v>
      </c>
      <c r="B2856" s="4" t="str">
        <f>IFERROR(__xludf.DUMMYFUNCTION("""COMPUTED_VALUE"""),"cuni")</f>
        <v>cuni</v>
      </c>
      <c r="C2856" s="4" t="str">
        <f>IFERROR(__xludf.DUMMYFUNCTION("""COMPUTED_VALUE"""),"cUNI")</f>
        <v>cUNI</v>
      </c>
    </row>
    <row r="2857">
      <c r="A2857" s="4" t="str">
        <f>IFERROR(__xludf.DUMMYFUNCTION("""COMPUTED_VALUE"""),"compound-usd-coin")</f>
        <v>compound-usd-coin</v>
      </c>
      <c r="B2857" s="4" t="str">
        <f>IFERROR(__xludf.DUMMYFUNCTION("""COMPUTED_VALUE"""),"cusdc")</f>
        <v>cusdc</v>
      </c>
      <c r="C2857" s="4" t="str">
        <f>IFERROR(__xludf.DUMMYFUNCTION("""COMPUTED_VALUE"""),"cUSDC")</f>
        <v>cUSDC</v>
      </c>
    </row>
    <row r="2858">
      <c r="A2858" s="4" t="str">
        <f>IFERROR(__xludf.DUMMYFUNCTION("""COMPUTED_VALUE"""),"compound-wrapped-btc")</f>
        <v>compound-wrapped-btc</v>
      </c>
      <c r="B2858" s="4" t="str">
        <f>IFERROR(__xludf.DUMMYFUNCTION("""COMPUTED_VALUE"""),"cwbtc")</f>
        <v>cwbtc</v>
      </c>
      <c r="C2858" s="4" t="str">
        <f>IFERROR(__xludf.DUMMYFUNCTION("""COMPUTED_VALUE"""),"cWBTC")</f>
        <v>cWBTC</v>
      </c>
    </row>
    <row r="2859">
      <c r="A2859" s="4" t="str">
        <f>IFERROR(__xludf.DUMMYFUNCTION("""COMPUTED_VALUE"""),"compound-yearn-finance")</f>
        <v>compound-yearn-finance</v>
      </c>
      <c r="B2859" s="4" t="str">
        <f>IFERROR(__xludf.DUMMYFUNCTION("""COMPUTED_VALUE"""),"cyfi")</f>
        <v>cyfi</v>
      </c>
      <c r="C2859" s="4" t="str">
        <f>IFERROR(__xludf.DUMMYFUNCTION("""COMPUTED_VALUE"""),"cYFI")</f>
        <v>cYFI</v>
      </c>
    </row>
    <row r="2860">
      <c r="A2860" s="4" t="str">
        <f>IFERROR(__xludf.DUMMYFUNCTION("""COMPUTED_VALUE"""),"computingai")</f>
        <v>computingai</v>
      </c>
      <c r="B2860" s="4" t="str">
        <f>IFERROR(__xludf.DUMMYFUNCTION("""COMPUTED_VALUE"""),"cpu")</f>
        <v>cpu</v>
      </c>
      <c r="C2860" s="4" t="str">
        <f>IFERROR(__xludf.DUMMYFUNCTION("""COMPUTED_VALUE"""),"ComputingAi")</f>
        <v>ComputingAi</v>
      </c>
    </row>
    <row r="2861">
      <c r="A2861" s="4" t="str">
        <f>IFERROR(__xludf.DUMMYFUNCTION("""COMPUTED_VALUE"""),"comp-yvault")</f>
        <v>comp-yvault</v>
      </c>
      <c r="B2861" s="4" t="str">
        <f>IFERROR(__xludf.DUMMYFUNCTION("""COMPUTED_VALUE"""),"yvcomp")</f>
        <v>yvcomp</v>
      </c>
      <c r="C2861" s="4" t="str">
        <f>IFERROR(__xludf.DUMMYFUNCTION("""COMPUTED_VALUE"""),"COMP yVault")</f>
        <v>COMP yVault</v>
      </c>
    </row>
    <row r="2862">
      <c r="A2862" s="4" t="str">
        <f>IFERROR(__xludf.DUMMYFUNCTION("""COMPUTED_VALUE"""),"comsats")</f>
        <v>comsats</v>
      </c>
      <c r="B2862" s="4" t="str">
        <f>IFERROR(__xludf.DUMMYFUNCTION("""COMPUTED_VALUE"""),"csas")</f>
        <v>csas</v>
      </c>
      <c r="C2862" s="4" t="str">
        <f>IFERROR(__xludf.DUMMYFUNCTION("""COMPUTED_VALUE"""),"Comsats")</f>
        <v>Comsats</v>
      </c>
    </row>
    <row r="2863">
      <c r="A2863" s="4" t="str">
        <f>IFERROR(__xludf.DUMMYFUNCTION("""COMPUTED_VALUE"""),"comtech-gold")</f>
        <v>comtech-gold</v>
      </c>
      <c r="B2863" s="4" t="str">
        <f>IFERROR(__xludf.DUMMYFUNCTION("""COMPUTED_VALUE"""),"cgo")</f>
        <v>cgo</v>
      </c>
      <c r="C2863" s="4" t="str">
        <f>IFERROR(__xludf.DUMMYFUNCTION("""COMPUTED_VALUE"""),"Comtech Gold")</f>
        <v>Comtech Gold</v>
      </c>
    </row>
    <row r="2864">
      <c r="A2864" s="4" t="str">
        <f>IFERROR(__xludf.DUMMYFUNCTION("""COMPUTED_VALUE"""),"conan")</f>
        <v>conan</v>
      </c>
      <c r="B2864" s="4" t="str">
        <f>IFERROR(__xludf.DUMMYFUNCTION("""COMPUTED_VALUE"""),"conan")</f>
        <v>conan</v>
      </c>
      <c r="C2864" s="4" t="str">
        <f>IFERROR(__xludf.DUMMYFUNCTION("""COMPUTED_VALUE"""),"CONAN")</f>
        <v>CONAN</v>
      </c>
    </row>
    <row r="2865">
      <c r="A2865" s="4" t="str">
        <f>IFERROR(__xludf.DUMMYFUNCTION("""COMPUTED_VALUE"""),"conan-2")</f>
        <v>conan-2</v>
      </c>
      <c r="B2865" s="4" t="str">
        <f>IFERROR(__xludf.DUMMYFUNCTION("""COMPUTED_VALUE"""),"conan")</f>
        <v>conan</v>
      </c>
      <c r="C2865" s="4" t="str">
        <f>IFERROR(__xludf.DUMMYFUNCTION("""COMPUTED_VALUE"""),"Conan")</f>
        <v>Conan</v>
      </c>
    </row>
    <row r="2866">
      <c r="A2866" s="4" t="str">
        <f>IFERROR(__xludf.DUMMYFUNCTION("""COMPUTED_VALUE"""),"concave")</f>
        <v>concave</v>
      </c>
      <c r="B2866" s="4" t="str">
        <f>IFERROR(__xludf.DUMMYFUNCTION("""COMPUTED_VALUE"""),"cnv")</f>
        <v>cnv</v>
      </c>
      <c r="C2866" s="4" t="str">
        <f>IFERROR(__xludf.DUMMYFUNCTION("""COMPUTED_VALUE"""),"Concave")</f>
        <v>Concave</v>
      </c>
    </row>
    <row r="2867">
      <c r="A2867" s="4" t="str">
        <f>IFERROR(__xludf.DUMMYFUNCTION("""COMPUTED_VALUE"""),"conceal")</f>
        <v>conceal</v>
      </c>
      <c r="B2867" s="4" t="str">
        <f>IFERROR(__xludf.DUMMYFUNCTION("""COMPUTED_VALUE"""),"ccx")</f>
        <v>ccx</v>
      </c>
      <c r="C2867" s="4" t="str">
        <f>IFERROR(__xludf.DUMMYFUNCTION("""COMPUTED_VALUE"""),"Conceal")</f>
        <v>Conceal</v>
      </c>
    </row>
    <row r="2868">
      <c r="A2868" s="4" t="str">
        <f>IFERROR(__xludf.DUMMYFUNCTION("""COMPUTED_VALUE"""),"concentrated-voting-power")</f>
        <v>concentrated-voting-power</v>
      </c>
      <c r="B2868" s="4" t="str">
        <f>IFERROR(__xludf.DUMMYFUNCTION("""COMPUTED_VALUE"""),"cvp")</f>
        <v>cvp</v>
      </c>
      <c r="C2868" s="4" t="str">
        <f>IFERROR(__xludf.DUMMYFUNCTION("""COMPUTED_VALUE"""),"PowerPool Concentrated Voting Power")</f>
        <v>PowerPool Concentrated Voting Power</v>
      </c>
    </row>
    <row r="2869">
      <c r="A2869" s="4" t="str">
        <f>IFERROR(__xludf.DUMMYFUNCTION("""COMPUTED_VALUE"""),"concentrator")</f>
        <v>concentrator</v>
      </c>
      <c r="B2869" s="4" t="str">
        <f>IFERROR(__xludf.DUMMYFUNCTION("""COMPUTED_VALUE"""),"ctr")</f>
        <v>ctr</v>
      </c>
      <c r="C2869" s="4" t="str">
        <f>IFERROR(__xludf.DUMMYFUNCTION("""COMPUTED_VALUE"""),"Concentrator")</f>
        <v>Concentrator</v>
      </c>
    </row>
    <row r="2870">
      <c r="A2870" s="4" t="str">
        <f>IFERROR(__xludf.DUMMYFUNCTION("""COMPUTED_VALUE"""),"concertvr")</f>
        <v>concertvr</v>
      </c>
      <c r="B2870" s="4" t="str">
        <f>IFERROR(__xludf.DUMMYFUNCTION("""COMPUTED_VALUE"""),"cvt")</f>
        <v>cvt</v>
      </c>
      <c r="C2870" s="4" t="str">
        <f>IFERROR(__xludf.DUMMYFUNCTION("""COMPUTED_VALUE"""),"concertVR")</f>
        <v>concertVR</v>
      </c>
    </row>
    <row r="2871">
      <c r="A2871" s="4" t="str">
        <f>IFERROR(__xludf.DUMMYFUNCTION("""COMPUTED_VALUE"""),"concierge-io")</f>
        <v>concierge-io</v>
      </c>
      <c r="B2871" s="4" t="str">
        <f>IFERROR(__xludf.DUMMYFUNCTION("""COMPUTED_VALUE"""),"ava")</f>
        <v>ava</v>
      </c>
      <c r="C2871" s="4" t="str">
        <f>IFERROR(__xludf.DUMMYFUNCTION("""COMPUTED_VALUE"""),"AVA")</f>
        <v>AVA</v>
      </c>
    </row>
    <row r="2872">
      <c r="A2872" s="4" t="str">
        <f>IFERROR(__xludf.DUMMYFUNCTION("""COMPUTED_VALUE"""),"concordium")</f>
        <v>concordium</v>
      </c>
      <c r="B2872" s="4" t="str">
        <f>IFERROR(__xludf.DUMMYFUNCTION("""COMPUTED_VALUE"""),"ccd")</f>
        <v>ccd</v>
      </c>
      <c r="C2872" s="4" t="str">
        <f>IFERROR(__xludf.DUMMYFUNCTION("""COMPUTED_VALUE"""),"Concordium")</f>
        <v>Concordium</v>
      </c>
    </row>
    <row r="2873">
      <c r="A2873" s="4" t="str">
        <f>IFERROR(__xludf.DUMMYFUNCTION("""COMPUTED_VALUE"""),"conflux-token")</f>
        <v>conflux-token</v>
      </c>
      <c r="B2873" s="4" t="str">
        <f>IFERROR(__xludf.DUMMYFUNCTION("""COMPUTED_VALUE"""),"cfx")</f>
        <v>cfx</v>
      </c>
      <c r="C2873" s="4" t="str">
        <f>IFERROR(__xludf.DUMMYFUNCTION("""COMPUTED_VALUE"""),"Conflux")</f>
        <v>Conflux</v>
      </c>
    </row>
    <row r="2874">
      <c r="A2874" s="4" t="str">
        <f>IFERROR(__xludf.DUMMYFUNCTION("""COMPUTED_VALUE"""),"conic-finance")</f>
        <v>conic-finance</v>
      </c>
      <c r="B2874" s="4" t="str">
        <f>IFERROR(__xludf.DUMMYFUNCTION("""COMPUTED_VALUE"""),"cnc")</f>
        <v>cnc</v>
      </c>
      <c r="C2874" s="4" t="str">
        <f>IFERROR(__xludf.DUMMYFUNCTION("""COMPUTED_VALUE"""),"Conic")</f>
        <v>Conic</v>
      </c>
    </row>
    <row r="2875">
      <c r="A2875" s="4" t="str">
        <f>IFERROR(__xludf.DUMMYFUNCTION("""COMPUTED_VALUE"""),"coniun")</f>
        <v>coniun</v>
      </c>
      <c r="B2875" s="4" t="str">
        <f>IFERROR(__xludf.DUMMYFUNCTION("""COMPUTED_VALUE"""),"coni")</f>
        <v>coni</v>
      </c>
      <c r="C2875" s="4" t="str">
        <f>IFERROR(__xludf.DUMMYFUNCTION("""COMPUTED_VALUE"""),"Coniun")</f>
        <v>Coniun</v>
      </c>
    </row>
    <row r="2876">
      <c r="A2876" s="4" t="str">
        <f>IFERROR(__xludf.DUMMYFUNCTION("""COMPUTED_VALUE"""),"connect-financial")</f>
        <v>connect-financial</v>
      </c>
      <c r="B2876" s="4" t="str">
        <f>IFERROR(__xludf.DUMMYFUNCTION("""COMPUTED_VALUE"""),"cnfi")</f>
        <v>cnfi</v>
      </c>
      <c r="C2876" s="4" t="str">
        <f>IFERROR(__xludf.DUMMYFUNCTION("""COMPUTED_VALUE"""),"Connect Financial")</f>
        <v>Connect Financial</v>
      </c>
    </row>
    <row r="2877">
      <c r="A2877" s="4" t="str">
        <f>IFERROR(__xludf.DUMMYFUNCTION("""COMPUTED_VALUE"""),"connectome")</f>
        <v>connectome</v>
      </c>
      <c r="B2877" s="4" t="str">
        <f>IFERROR(__xludf.DUMMYFUNCTION("""COMPUTED_VALUE"""),"cntm")</f>
        <v>cntm</v>
      </c>
      <c r="C2877" s="4" t="str">
        <f>IFERROR(__xludf.DUMMYFUNCTION("""COMPUTED_VALUE"""),"Connectome")</f>
        <v>Connectome</v>
      </c>
    </row>
    <row r="2878">
      <c r="A2878" s="4" t="str">
        <f>IFERROR(__xludf.DUMMYFUNCTION("""COMPUTED_VALUE"""),"connex")</f>
        <v>connex</v>
      </c>
      <c r="B2878" s="4" t="str">
        <f>IFERROR(__xludf.DUMMYFUNCTION("""COMPUTED_VALUE"""),"conx")</f>
        <v>conx</v>
      </c>
      <c r="C2878" s="4" t="str">
        <f>IFERROR(__xludf.DUMMYFUNCTION("""COMPUTED_VALUE"""),"Connex")</f>
        <v>Connex</v>
      </c>
    </row>
    <row r="2879">
      <c r="A2879" s="4" t="str">
        <f>IFERROR(__xludf.DUMMYFUNCTION("""COMPUTED_VALUE"""),"connext")</f>
        <v>connext</v>
      </c>
      <c r="B2879" s="4" t="str">
        <f>IFERROR(__xludf.DUMMYFUNCTION("""COMPUTED_VALUE"""),"next")</f>
        <v>next</v>
      </c>
      <c r="C2879" s="4" t="str">
        <f>IFERROR(__xludf.DUMMYFUNCTION("""COMPUTED_VALUE"""),"Connext")</f>
        <v>Connext</v>
      </c>
    </row>
    <row r="2880">
      <c r="A2880" s="4" t="str">
        <f>IFERROR(__xludf.DUMMYFUNCTION("""COMPUTED_VALUE"""),"consciousdao")</f>
        <v>consciousdao</v>
      </c>
      <c r="B2880" s="4" t="str">
        <f>IFERROR(__xludf.DUMMYFUNCTION("""COMPUTED_VALUE"""),"cvn")</f>
        <v>cvn</v>
      </c>
      <c r="C2880" s="4" t="str">
        <f>IFERROR(__xludf.DUMMYFUNCTION("""COMPUTED_VALUE"""),"ConsciousDao")</f>
        <v>ConsciousDao</v>
      </c>
    </row>
    <row r="2881">
      <c r="A2881" s="4" t="str">
        <f>IFERROR(__xludf.DUMMYFUNCTION("""COMPUTED_VALUE"""),"constellation-labs")</f>
        <v>constellation-labs</v>
      </c>
      <c r="B2881" s="4" t="str">
        <f>IFERROR(__xludf.DUMMYFUNCTION("""COMPUTED_VALUE"""),"dag")</f>
        <v>dag</v>
      </c>
      <c r="C2881" s="4" t="str">
        <f>IFERROR(__xludf.DUMMYFUNCTION("""COMPUTED_VALUE"""),"Constellation")</f>
        <v>Constellation</v>
      </c>
    </row>
    <row r="2882">
      <c r="A2882" s="4" t="str">
        <f>IFERROR(__xludf.DUMMYFUNCTION("""COMPUTED_VALUE"""),"constitutiondao")</f>
        <v>constitutiondao</v>
      </c>
      <c r="B2882" s="4" t="str">
        <f>IFERROR(__xludf.DUMMYFUNCTION("""COMPUTED_VALUE"""),"people")</f>
        <v>people</v>
      </c>
      <c r="C2882" s="4" t="str">
        <f>IFERROR(__xludf.DUMMYFUNCTION("""COMPUTED_VALUE"""),"ConstitutionDAO")</f>
        <v>ConstitutionDAO</v>
      </c>
    </row>
    <row r="2883">
      <c r="A2883" s="4" t="str">
        <f>IFERROR(__xludf.DUMMYFUNCTION("""COMPUTED_VALUE"""),"constitutiondao-wormhole")</f>
        <v>constitutiondao-wormhole</v>
      </c>
      <c r="B2883" s="4" t="str">
        <f>IFERROR(__xludf.DUMMYFUNCTION("""COMPUTED_VALUE"""),"people")</f>
        <v>people</v>
      </c>
      <c r="C2883" s="4" t="str">
        <f>IFERROR(__xludf.DUMMYFUNCTION("""COMPUTED_VALUE"""),"ConstitutionDAO (Wormhole)")</f>
        <v>ConstitutionDAO (Wormhole)</v>
      </c>
    </row>
    <row r="2884">
      <c r="A2884" s="4" t="str">
        <f>IFERROR(__xludf.DUMMYFUNCTION("""COMPUTED_VALUE"""),"contentbox")</f>
        <v>contentbox</v>
      </c>
      <c r="B2884" s="4" t="str">
        <f>IFERROR(__xludf.DUMMYFUNCTION("""COMPUTED_VALUE"""),"box")</f>
        <v>box</v>
      </c>
      <c r="C2884" s="4" t="str">
        <f>IFERROR(__xludf.DUMMYFUNCTION("""COMPUTED_VALUE"""),"ContentBox")</f>
        <v>ContentBox</v>
      </c>
    </row>
    <row r="2885">
      <c r="A2885" s="4" t="str">
        <f>IFERROR(__xludf.DUMMYFUNCTION("""COMPUTED_VALUE"""),"contentos")</f>
        <v>contentos</v>
      </c>
      <c r="B2885" s="4" t="str">
        <f>IFERROR(__xludf.DUMMYFUNCTION("""COMPUTED_VALUE"""),"cos")</f>
        <v>cos</v>
      </c>
      <c r="C2885" s="4" t="str">
        <f>IFERROR(__xludf.DUMMYFUNCTION("""COMPUTED_VALUE"""),"Contentos")</f>
        <v>Contentos</v>
      </c>
    </row>
    <row r="2886">
      <c r="A2886" s="4" t="str">
        <f>IFERROR(__xludf.DUMMYFUNCTION("""COMPUTED_VALUE"""),"continuum-finance")</f>
        <v>continuum-finance</v>
      </c>
      <c r="B2886" s="4" t="str">
        <f>IFERROR(__xludf.DUMMYFUNCTION("""COMPUTED_VALUE"""),"ctn")</f>
        <v>ctn</v>
      </c>
      <c r="C2886" s="4" t="str">
        <f>IFERROR(__xludf.DUMMYFUNCTION("""COMPUTED_VALUE"""),"Continuum Finance")</f>
        <v>Continuum Finance</v>
      </c>
    </row>
    <row r="2887">
      <c r="A2887" s="4" t="str">
        <f>IFERROR(__xludf.DUMMYFUNCTION("""COMPUTED_VALUE"""),"continuum-world")</f>
        <v>continuum-world</v>
      </c>
      <c r="B2887" s="4" t="str">
        <f>IFERROR(__xludf.DUMMYFUNCTION("""COMPUTED_VALUE"""),"um")</f>
        <v>um</v>
      </c>
      <c r="C2887" s="4" t="str">
        <f>IFERROR(__xludf.DUMMYFUNCTION("""COMPUTED_VALUE"""),"Continuum World")</f>
        <v>Continuum World</v>
      </c>
    </row>
    <row r="2888">
      <c r="A2888" s="4" t="str">
        <f>IFERROR(__xludf.DUMMYFUNCTION("""COMPUTED_VALUE"""),"contracoin")</f>
        <v>contracoin</v>
      </c>
      <c r="B2888" s="4" t="str">
        <f>IFERROR(__xludf.DUMMYFUNCTION("""COMPUTED_VALUE"""),"ctcn")</f>
        <v>ctcn</v>
      </c>
      <c r="C2888" s="4" t="str">
        <f>IFERROR(__xludf.DUMMYFUNCTION("""COMPUTED_VALUE"""),"Contracoin")</f>
        <v>Contracoin</v>
      </c>
    </row>
    <row r="2889">
      <c r="A2889" s="4" t="str">
        <f>IFERROR(__xludf.DUMMYFUNCTION("""COMPUTED_VALUE"""),"contract-address-meme")</f>
        <v>contract-address-meme</v>
      </c>
      <c r="B2889" s="4" t="str">
        <f>IFERROR(__xludf.DUMMYFUNCTION("""COMPUTED_VALUE"""),"ca")</f>
        <v>ca</v>
      </c>
      <c r="C2889" s="4" t="str">
        <f>IFERROR(__xludf.DUMMYFUNCTION("""COMPUTED_VALUE"""),"contract address (Meme)")</f>
        <v>contract address (Meme)</v>
      </c>
    </row>
    <row r="2890">
      <c r="A2890" s="4" t="str">
        <f>IFERROR(__xludf.DUMMYFUNCTION("""COMPUTED_VALUE"""),"contract-dev-ai")</f>
        <v>contract-dev-ai</v>
      </c>
      <c r="B2890" s="4" t="str">
        <f>IFERROR(__xludf.DUMMYFUNCTION("""COMPUTED_VALUE"""),"0xdev")</f>
        <v>0xdev</v>
      </c>
      <c r="C2890" s="4" t="str">
        <f>IFERROR(__xludf.DUMMYFUNCTION("""COMPUTED_VALUE"""),"DEVAI")</f>
        <v>DEVAI</v>
      </c>
    </row>
    <row r="2891">
      <c r="A2891" s="4" t="str">
        <f>IFERROR(__xludf.DUMMYFUNCTION("""COMPUTED_VALUE"""),"contractus")</f>
        <v>contractus</v>
      </c>
      <c r="B2891" s="4" t="str">
        <f>IFERROR(__xludf.DUMMYFUNCTION("""COMPUTED_VALUE"""),"ctus")</f>
        <v>ctus</v>
      </c>
      <c r="C2891" s="4" t="str">
        <f>IFERROR(__xludf.DUMMYFUNCTION("""COMPUTED_VALUE"""),"Contractus")</f>
        <v>Contractus</v>
      </c>
    </row>
    <row r="2892">
      <c r="A2892" s="4" t="str">
        <f>IFERROR(__xludf.DUMMYFUNCTION("""COMPUTED_VALUE"""),"conun")</f>
        <v>conun</v>
      </c>
      <c r="B2892" s="4" t="str">
        <f>IFERROR(__xludf.DUMMYFUNCTION("""COMPUTED_VALUE"""),"con")</f>
        <v>con</v>
      </c>
      <c r="C2892" s="4" t="str">
        <f>IFERROR(__xludf.DUMMYFUNCTION("""COMPUTED_VALUE"""),"CONUN")</f>
        <v>CONUN</v>
      </c>
    </row>
    <row r="2893">
      <c r="A2893" s="4" t="str">
        <f>IFERROR(__xludf.DUMMYFUNCTION("""COMPUTED_VALUE"""),"converge-bot")</f>
        <v>converge-bot</v>
      </c>
      <c r="B2893" s="4" t="str">
        <f>IFERROR(__xludf.DUMMYFUNCTION("""COMPUTED_VALUE"""),"converge")</f>
        <v>converge</v>
      </c>
      <c r="C2893" s="4" t="str">
        <f>IFERROR(__xludf.DUMMYFUNCTION("""COMPUTED_VALUE"""),"Converge Bot")</f>
        <v>Converge Bot</v>
      </c>
    </row>
    <row r="2894">
      <c r="A2894" s="4" t="str">
        <f>IFERROR(__xludf.DUMMYFUNCTION("""COMPUTED_VALUE"""),"convergence")</f>
        <v>convergence</v>
      </c>
      <c r="B2894" s="4" t="str">
        <f>IFERROR(__xludf.DUMMYFUNCTION("""COMPUTED_VALUE"""),"conv")</f>
        <v>conv</v>
      </c>
      <c r="C2894" s="4" t="str">
        <f>IFERROR(__xludf.DUMMYFUNCTION("""COMPUTED_VALUE"""),"Convergence")</f>
        <v>Convergence</v>
      </c>
    </row>
    <row r="2895">
      <c r="A2895" s="4" t="str">
        <f>IFERROR(__xludf.DUMMYFUNCTION("""COMPUTED_VALUE"""),"convergence-finance")</f>
        <v>convergence-finance</v>
      </c>
      <c r="B2895" s="4" t="str">
        <f>IFERROR(__xludf.DUMMYFUNCTION("""COMPUTED_VALUE"""),"cvg")</f>
        <v>cvg</v>
      </c>
      <c r="C2895" s="4" t="str">
        <f>IFERROR(__xludf.DUMMYFUNCTION("""COMPUTED_VALUE"""),"Convergence Finance")</f>
        <v>Convergence Finance</v>
      </c>
    </row>
    <row r="2896">
      <c r="A2896" s="4" t="str">
        <f>IFERROR(__xludf.DUMMYFUNCTION("""COMPUTED_VALUE"""),"converter-finance")</f>
        <v>converter-finance</v>
      </c>
      <c r="B2896" s="4" t="str">
        <f>IFERROR(__xludf.DUMMYFUNCTION("""COMPUTED_VALUE"""),"con")</f>
        <v>con</v>
      </c>
      <c r="C2896" s="4" t="str">
        <f>IFERROR(__xludf.DUMMYFUNCTION("""COMPUTED_VALUE"""),"Converter Finance")</f>
        <v>Converter Finance</v>
      </c>
    </row>
    <row r="2897">
      <c r="A2897" s="4" t="str">
        <f>IFERROR(__xludf.DUMMYFUNCTION("""COMPUTED_VALUE"""),"convertible-jpy-token")</f>
        <v>convertible-jpy-token</v>
      </c>
      <c r="B2897" s="4" t="str">
        <f>IFERROR(__xludf.DUMMYFUNCTION("""COMPUTED_VALUE"""),"cjpy")</f>
        <v>cjpy</v>
      </c>
      <c r="C2897" s="4" t="str">
        <f>IFERROR(__xludf.DUMMYFUNCTION("""COMPUTED_VALUE"""),"Convertible JPY Token")</f>
        <v>Convertible JPY Token</v>
      </c>
    </row>
    <row r="2898">
      <c r="A2898" s="4" t="str">
        <f>IFERROR(__xludf.DUMMYFUNCTION("""COMPUTED_VALUE"""),"convex-crv")</f>
        <v>convex-crv</v>
      </c>
      <c r="B2898" s="4" t="str">
        <f>IFERROR(__xludf.DUMMYFUNCTION("""COMPUTED_VALUE"""),"cvxcrv")</f>
        <v>cvxcrv</v>
      </c>
      <c r="C2898" s="4" t="str">
        <f>IFERROR(__xludf.DUMMYFUNCTION("""COMPUTED_VALUE"""),"Convex CRV")</f>
        <v>Convex CRV</v>
      </c>
    </row>
    <row r="2899">
      <c r="A2899" s="4" t="str">
        <f>IFERROR(__xludf.DUMMYFUNCTION("""COMPUTED_VALUE"""),"convex-finance")</f>
        <v>convex-finance</v>
      </c>
      <c r="B2899" s="4" t="str">
        <f>IFERROR(__xludf.DUMMYFUNCTION("""COMPUTED_VALUE"""),"cvx")</f>
        <v>cvx</v>
      </c>
      <c r="C2899" s="4" t="str">
        <f>IFERROR(__xludf.DUMMYFUNCTION("""COMPUTED_VALUE"""),"Convex Finance")</f>
        <v>Convex Finance</v>
      </c>
    </row>
    <row r="2900">
      <c r="A2900" s="4" t="str">
        <f>IFERROR(__xludf.DUMMYFUNCTION("""COMPUTED_VALUE"""),"convex-fpis")</f>
        <v>convex-fpis</v>
      </c>
      <c r="B2900" s="4" t="str">
        <f>IFERROR(__xludf.DUMMYFUNCTION("""COMPUTED_VALUE"""),"cvxfpis")</f>
        <v>cvxfpis</v>
      </c>
      <c r="C2900" s="4" t="str">
        <f>IFERROR(__xludf.DUMMYFUNCTION("""COMPUTED_VALUE"""),"Convex FPIS")</f>
        <v>Convex FPIS</v>
      </c>
    </row>
    <row r="2901">
      <c r="A2901" s="4" t="str">
        <f>IFERROR(__xludf.DUMMYFUNCTION("""COMPUTED_VALUE"""),"convex-fxn")</f>
        <v>convex-fxn</v>
      </c>
      <c r="B2901" s="4" t="str">
        <f>IFERROR(__xludf.DUMMYFUNCTION("""COMPUTED_VALUE"""),"cvxfxn")</f>
        <v>cvxfxn</v>
      </c>
      <c r="C2901" s="4" t="str">
        <f>IFERROR(__xludf.DUMMYFUNCTION("""COMPUTED_VALUE"""),"Convex FXN")</f>
        <v>Convex FXN</v>
      </c>
    </row>
    <row r="2902">
      <c r="A2902" s="4" t="str">
        <f>IFERROR(__xludf.DUMMYFUNCTION("""COMPUTED_VALUE"""),"convex-fxs")</f>
        <v>convex-fxs</v>
      </c>
      <c r="B2902" s="4" t="str">
        <f>IFERROR(__xludf.DUMMYFUNCTION("""COMPUTED_VALUE"""),"cvxfxs")</f>
        <v>cvxfxs</v>
      </c>
      <c r="C2902" s="4" t="str">
        <f>IFERROR(__xludf.DUMMYFUNCTION("""COMPUTED_VALUE"""),"Convex FXS")</f>
        <v>Convex FXS</v>
      </c>
    </row>
    <row r="2903">
      <c r="A2903" s="4" t="str">
        <f>IFERROR(__xludf.DUMMYFUNCTION("""COMPUTED_VALUE"""),"convex-prisma")</f>
        <v>convex-prisma</v>
      </c>
      <c r="B2903" s="4" t="str">
        <f>IFERROR(__xludf.DUMMYFUNCTION("""COMPUTED_VALUE"""),"cvxprisma")</f>
        <v>cvxprisma</v>
      </c>
      <c r="C2903" s="4" t="str">
        <f>IFERROR(__xludf.DUMMYFUNCTION("""COMPUTED_VALUE"""),"Convex Prisma")</f>
        <v>Convex Prisma</v>
      </c>
    </row>
    <row r="2904">
      <c r="A2904" s="4" t="str">
        <f>IFERROR(__xludf.DUMMYFUNCTION("""COMPUTED_VALUE"""),"cook")</f>
        <v>cook</v>
      </c>
      <c r="B2904" s="4" t="str">
        <f>IFERROR(__xludf.DUMMYFUNCTION("""COMPUTED_VALUE"""),"cook")</f>
        <v>cook</v>
      </c>
      <c r="C2904" s="4" t="str">
        <f>IFERROR(__xludf.DUMMYFUNCTION("""COMPUTED_VALUE"""),"Cook")</f>
        <v>Cook</v>
      </c>
    </row>
    <row r="2905">
      <c r="A2905" s="4" t="str">
        <f>IFERROR(__xludf.DUMMYFUNCTION("""COMPUTED_VALUE"""),"cook-2")</f>
        <v>cook-2</v>
      </c>
      <c r="B2905" s="4" t="str">
        <f>IFERROR(__xludf.DUMMYFUNCTION("""COMPUTED_VALUE"""),"cook")</f>
        <v>cook</v>
      </c>
      <c r="C2905" s="4" t="str">
        <f>IFERROR(__xludf.DUMMYFUNCTION("""COMPUTED_VALUE"""),"$COOK")</f>
        <v>$COOK</v>
      </c>
    </row>
    <row r="2906">
      <c r="A2906" s="4" t="str">
        <f>IFERROR(__xludf.DUMMYFUNCTION("""COMPUTED_VALUE"""),"cook-3")</f>
        <v>cook-3</v>
      </c>
      <c r="B2906" s="4" t="str">
        <f>IFERROR(__xludf.DUMMYFUNCTION("""COMPUTED_VALUE"""),"cook")</f>
        <v>cook</v>
      </c>
      <c r="C2906" s="4" t="str">
        <f>IFERROR(__xludf.DUMMYFUNCTION("""COMPUTED_VALUE"""),"Cook")</f>
        <v>Cook</v>
      </c>
    </row>
    <row r="2907">
      <c r="A2907" s="4" t="str">
        <f>IFERROR(__xludf.DUMMYFUNCTION("""COMPUTED_VALUE"""),"cookiebase")</f>
        <v>cookiebase</v>
      </c>
      <c r="B2907" s="4" t="str">
        <f>IFERROR(__xludf.DUMMYFUNCTION("""COMPUTED_VALUE"""),"cookie")</f>
        <v>cookie</v>
      </c>
      <c r="C2907" s="4" t="str">
        <f>IFERROR(__xludf.DUMMYFUNCTION("""COMPUTED_VALUE"""),"CookieBase")</f>
        <v>CookieBase</v>
      </c>
    </row>
    <row r="2908">
      <c r="A2908" s="4" t="str">
        <f>IFERROR(__xludf.DUMMYFUNCTION("""COMPUTED_VALUE"""),"cookies-protocol")</f>
        <v>cookies-protocol</v>
      </c>
      <c r="B2908" s="4" t="str">
        <f>IFERROR(__xludf.DUMMYFUNCTION("""COMPUTED_VALUE"""),"cp")</f>
        <v>cp</v>
      </c>
      <c r="C2908" s="4" t="str">
        <f>IFERROR(__xludf.DUMMYFUNCTION("""COMPUTED_VALUE"""),"Cookies Protocol")</f>
        <v>Cookies Protocol</v>
      </c>
    </row>
    <row r="2909">
      <c r="A2909" s="4" t="str">
        <f>IFERROR(__xludf.DUMMYFUNCTION("""COMPUTED_VALUE"""),"coop-coin")</f>
        <v>coop-coin</v>
      </c>
      <c r="B2909" s="4" t="str">
        <f>IFERROR(__xludf.DUMMYFUNCTION("""COMPUTED_VALUE"""),"coop")</f>
        <v>coop</v>
      </c>
      <c r="C2909" s="4" t="str">
        <f>IFERROR(__xludf.DUMMYFUNCTION("""COMPUTED_VALUE"""),"Coop Coin")</f>
        <v>Coop Coin</v>
      </c>
    </row>
    <row r="2910">
      <c r="A2910" s="4" t="str">
        <f>IFERROR(__xludf.DUMMYFUNCTION("""COMPUTED_VALUE"""),"cooper")</f>
        <v>cooper</v>
      </c>
      <c r="B2910" s="4" t="str">
        <f>IFERROR(__xludf.DUMMYFUNCTION("""COMPUTED_VALUE"""),"cooper")</f>
        <v>cooper</v>
      </c>
      <c r="C2910" s="4" t="str">
        <f>IFERROR(__xludf.DUMMYFUNCTION("""COMPUTED_VALUE"""),"Cooper")</f>
        <v>Cooper</v>
      </c>
    </row>
    <row r="2911">
      <c r="A2911" s="4" t="str">
        <f>IFERROR(__xludf.DUMMYFUNCTION("""COMPUTED_VALUE"""),"cope")</f>
        <v>cope</v>
      </c>
      <c r="B2911" s="4" t="str">
        <f>IFERROR(__xludf.DUMMYFUNCTION("""COMPUTED_VALUE"""),"cope")</f>
        <v>cope</v>
      </c>
      <c r="C2911" s="4" t="str">
        <f>IFERROR(__xludf.DUMMYFUNCTION("""COMPUTED_VALUE"""),"Cope")</f>
        <v>Cope</v>
      </c>
    </row>
    <row r="2912">
      <c r="A2912" s="4" t="str">
        <f>IFERROR(__xludf.DUMMYFUNCTION("""COMPUTED_VALUE"""),"cope-based")</f>
        <v>cope-based</v>
      </c>
      <c r="B2912" s="4" t="str">
        <f>IFERROR(__xludf.DUMMYFUNCTION("""COMPUTED_VALUE"""),"cope")</f>
        <v>cope</v>
      </c>
      <c r="C2912" s="4" t="str">
        <f>IFERROR(__xludf.DUMMYFUNCTION("""COMPUTED_VALUE"""),"Cope")</f>
        <v>Cope</v>
      </c>
    </row>
    <row r="2913">
      <c r="A2913" s="4" t="str">
        <f>IFERROR(__xludf.DUMMYFUNCTION("""COMPUTED_VALUE"""),"cope-coin")</f>
        <v>cope-coin</v>
      </c>
      <c r="B2913" s="4" t="str">
        <f>IFERROR(__xludf.DUMMYFUNCTION("""COMPUTED_VALUE"""),"cope")</f>
        <v>cope</v>
      </c>
      <c r="C2913" s="4" t="str">
        <f>IFERROR(__xludf.DUMMYFUNCTION("""COMPUTED_VALUE"""),"Cope Coin")</f>
        <v>Cope Coin</v>
      </c>
    </row>
    <row r="2914">
      <c r="A2914" s="4" t="str">
        <f>IFERROR(__xludf.DUMMYFUNCTION("""COMPUTED_VALUE"""),"cope-token")</f>
        <v>cope-token</v>
      </c>
      <c r="B2914" s="4" t="str">
        <f>IFERROR(__xludf.DUMMYFUNCTION("""COMPUTED_VALUE"""),"cope")</f>
        <v>cope</v>
      </c>
      <c r="C2914" s="4" t="str">
        <f>IFERROR(__xludf.DUMMYFUNCTION("""COMPUTED_VALUE"""),"Cope Token")</f>
        <v>Cope Token</v>
      </c>
    </row>
    <row r="2915">
      <c r="A2915" s="4" t="str">
        <f>IFERROR(__xludf.DUMMYFUNCTION("""COMPUTED_VALUE"""),"copiosa")</f>
        <v>copiosa</v>
      </c>
      <c r="B2915" s="4" t="str">
        <f>IFERROR(__xludf.DUMMYFUNCTION("""COMPUTED_VALUE"""),"cop")</f>
        <v>cop</v>
      </c>
      <c r="C2915" s="4" t="str">
        <f>IFERROR(__xludf.DUMMYFUNCTION("""COMPUTED_VALUE"""),"Copiosa")</f>
        <v>Copiosa</v>
      </c>
    </row>
    <row r="2916">
      <c r="A2916" s="4" t="str">
        <f>IFERROR(__xludf.DUMMYFUNCTION("""COMPUTED_VALUE"""),"copycat-dao")</f>
        <v>copycat-dao</v>
      </c>
      <c r="B2916" s="4" t="str">
        <f>IFERROR(__xludf.DUMMYFUNCTION("""COMPUTED_VALUE"""),"ccd")</f>
        <v>ccd</v>
      </c>
      <c r="C2916" s="4" t="str">
        <f>IFERROR(__xludf.DUMMYFUNCTION("""COMPUTED_VALUE"""),"Copycat DAO")</f>
        <v>Copycat DAO</v>
      </c>
    </row>
    <row r="2917">
      <c r="A2917" s="4" t="str">
        <f>IFERROR(__xludf.DUMMYFUNCTION("""COMPUTED_VALUE"""),"copycat-finance")</f>
        <v>copycat-finance</v>
      </c>
      <c r="B2917" s="4" t="str">
        <f>IFERROR(__xludf.DUMMYFUNCTION("""COMPUTED_VALUE"""),"copycat")</f>
        <v>copycat</v>
      </c>
      <c r="C2917" s="4" t="str">
        <f>IFERROR(__xludf.DUMMYFUNCTION("""COMPUTED_VALUE"""),"Copycat Finance")</f>
        <v>Copycat Finance</v>
      </c>
    </row>
    <row r="2918">
      <c r="A2918" s="4" t="str">
        <f>IFERROR(__xludf.DUMMYFUNCTION("""COMPUTED_VALUE"""),"coq-inu")</f>
        <v>coq-inu</v>
      </c>
      <c r="B2918" s="4" t="str">
        <f>IFERROR(__xludf.DUMMYFUNCTION("""COMPUTED_VALUE"""),"coq")</f>
        <v>coq</v>
      </c>
      <c r="C2918" s="4" t="str">
        <f>IFERROR(__xludf.DUMMYFUNCTION("""COMPUTED_VALUE"""),"Coq Inu")</f>
        <v>Coq Inu</v>
      </c>
    </row>
    <row r="2919">
      <c r="A2919" s="4" t="str">
        <f>IFERROR(__xludf.DUMMYFUNCTION("""COMPUTED_VALUE"""),"coral-swap")</f>
        <v>coral-swap</v>
      </c>
      <c r="B2919" s="4" t="str">
        <f>IFERROR(__xludf.DUMMYFUNCTION("""COMPUTED_VALUE"""),"coral")</f>
        <v>coral</v>
      </c>
      <c r="C2919" s="4" t="str">
        <f>IFERROR(__xludf.DUMMYFUNCTION("""COMPUTED_VALUE"""),"Coral Swap")</f>
        <v>Coral Swap</v>
      </c>
    </row>
    <row r="2920">
      <c r="A2920" s="4" t="str">
        <f>IFERROR(__xludf.DUMMYFUNCTION("""COMPUTED_VALUE"""),"core")</f>
        <v>core</v>
      </c>
      <c r="B2920" s="4" t="str">
        <f>IFERROR(__xludf.DUMMYFUNCTION("""COMPUTED_VALUE"""),"cmcx")</f>
        <v>cmcx</v>
      </c>
      <c r="C2920" s="4" t="str">
        <f>IFERROR(__xludf.DUMMYFUNCTION("""COMPUTED_VALUE"""),"CORE MultiChain")</f>
        <v>CORE MultiChain</v>
      </c>
    </row>
    <row r="2921">
      <c r="A2921" s="4" t="str">
        <f>IFERROR(__xludf.DUMMYFUNCTION("""COMPUTED_VALUE"""),"coreai")</f>
        <v>coreai</v>
      </c>
      <c r="B2921" s="4" t="str">
        <f>IFERROR(__xludf.DUMMYFUNCTION("""COMPUTED_VALUE"""),"core")</f>
        <v>core</v>
      </c>
      <c r="C2921" s="4" t="str">
        <f>IFERROR(__xludf.DUMMYFUNCTION("""COMPUTED_VALUE"""),"CoreAI")</f>
        <v>CoreAI</v>
      </c>
    </row>
    <row r="2922">
      <c r="A2922" s="4" t="str">
        <f>IFERROR(__xludf.DUMMYFUNCTION("""COMPUTED_VALUE"""),"core-blockchain")</f>
        <v>core-blockchain</v>
      </c>
      <c r="B2922" s="4" t="str">
        <f>IFERROR(__xludf.DUMMYFUNCTION("""COMPUTED_VALUE"""),"xcb")</f>
        <v>xcb</v>
      </c>
      <c r="C2922" s="4" t="str">
        <f>IFERROR(__xludf.DUMMYFUNCTION("""COMPUTED_VALUE"""),"Core Blockchain")</f>
        <v>Core Blockchain</v>
      </c>
    </row>
    <row r="2923">
      <c r="A2923" s="4" t="str">
        <f>IFERROR(__xludf.DUMMYFUNCTION("""COMPUTED_VALUE"""),"coredao")</f>
        <v>coredao</v>
      </c>
      <c r="B2923" s="4" t="str">
        <f>IFERROR(__xludf.DUMMYFUNCTION("""COMPUTED_VALUE"""),"coredao")</f>
        <v>coredao</v>
      </c>
      <c r="C2923" s="4" t="str">
        <f>IFERROR(__xludf.DUMMYFUNCTION("""COMPUTED_VALUE"""),"coreDAO")</f>
        <v>coreDAO</v>
      </c>
    </row>
    <row r="2924">
      <c r="A2924" s="4" t="str">
        <f>IFERROR(__xludf.DUMMYFUNCTION("""COMPUTED_VALUE"""),"coredaoorg")</f>
        <v>coredaoorg</v>
      </c>
      <c r="B2924" s="4" t="str">
        <f>IFERROR(__xludf.DUMMYFUNCTION("""COMPUTED_VALUE"""),"core")</f>
        <v>core</v>
      </c>
      <c r="C2924" s="4" t="str">
        <f>IFERROR(__xludf.DUMMYFUNCTION("""COMPUTED_VALUE"""),"Core")</f>
        <v>Core</v>
      </c>
    </row>
    <row r="2925">
      <c r="A2925" s="4" t="str">
        <f>IFERROR(__xludf.DUMMYFUNCTION("""COMPUTED_VALUE"""),"coredaoswap")</f>
        <v>coredaoswap</v>
      </c>
      <c r="B2925" s="4" t="str">
        <f>IFERROR(__xludf.DUMMYFUNCTION("""COMPUTED_VALUE"""),"cdao")</f>
        <v>cdao</v>
      </c>
      <c r="C2925" s="4" t="str">
        <f>IFERROR(__xludf.DUMMYFUNCTION("""COMPUTED_VALUE"""),"CoreDaoSwap")</f>
        <v>CoreDaoSwap</v>
      </c>
    </row>
    <row r="2926">
      <c r="A2926" s="4" t="str">
        <f>IFERROR(__xludf.DUMMYFUNCTION("""COMPUTED_VALUE"""),"core-id")</f>
        <v>core-id</v>
      </c>
      <c r="B2926" s="4" t="str">
        <f>IFERROR(__xludf.DUMMYFUNCTION("""COMPUTED_VALUE"""),"cid")</f>
        <v>cid</v>
      </c>
      <c r="C2926" s="4" t="str">
        <f>IFERROR(__xludf.DUMMYFUNCTION("""COMPUTED_VALUE"""),"CORE ID")</f>
        <v>CORE ID</v>
      </c>
    </row>
    <row r="2927">
      <c r="A2927" s="4" t="str">
        <f>IFERROR(__xludf.DUMMYFUNCTION("""COMPUTED_VALUE"""),"core-markets")</f>
        <v>core-markets</v>
      </c>
      <c r="B2927" s="4" t="str">
        <f>IFERROR(__xludf.DUMMYFUNCTION("""COMPUTED_VALUE"""),"core")</f>
        <v>core</v>
      </c>
      <c r="C2927" s="4" t="str">
        <f>IFERROR(__xludf.DUMMYFUNCTION("""COMPUTED_VALUE"""),"Core Markets")</f>
        <v>Core Markets</v>
      </c>
    </row>
    <row r="2928">
      <c r="A2928" s="4" t="str">
        <f>IFERROR(__xludf.DUMMYFUNCTION("""COMPUTED_VALUE"""),"core-ordinals")</f>
        <v>core-ordinals</v>
      </c>
      <c r="B2928" s="4" t="str">
        <f>IFERROR(__xludf.DUMMYFUNCTION("""COMPUTED_VALUE"""),"core")</f>
        <v>core</v>
      </c>
      <c r="C2928" s="4" t="str">
        <f>IFERROR(__xludf.DUMMYFUNCTION("""COMPUTED_VALUE"""),"CORE (Ordinals)")</f>
        <v>CORE (Ordinals)</v>
      </c>
    </row>
    <row r="2929">
      <c r="A2929" s="4" t="str">
        <f>IFERROR(__xludf.DUMMYFUNCTION("""COMPUTED_VALUE"""),"corestarter")</f>
        <v>corestarter</v>
      </c>
      <c r="B2929" s="4" t="str">
        <f>IFERROR(__xludf.DUMMYFUNCTION("""COMPUTED_VALUE"""),"cstr")</f>
        <v>cstr</v>
      </c>
      <c r="C2929" s="4" t="str">
        <f>IFERROR(__xludf.DUMMYFUNCTION("""COMPUTED_VALUE"""),"CoreStarter")</f>
        <v>CoreStarter</v>
      </c>
    </row>
    <row r="2930">
      <c r="A2930" s="4" t="str">
        <f>IFERROR(__xludf.DUMMYFUNCTION("""COMPUTED_VALUE"""),"coreto")</f>
        <v>coreto</v>
      </c>
      <c r="B2930" s="4" t="str">
        <f>IFERROR(__xludf.DUMMYFUNCTION("""COMPUTED_VALUE"""),"cor")</f>
        <v>cor</v>
      </c>
      <c r="C2930" s="4" t="str">
        <f>IFERROR(__xludf.DUMMYFUNCTION("""COMPUTED_VALUE"""),"Coreto")</f>
        <v>Coreto</v>
      </c>
    </row>
    <row r="2931">
      <c r="A2931" s="4" t="str">
        <f>IFERROR(__xludf.DUMMYFUNCTION("""COMPUTED_VALUE"""),"core-token-2")</f>
        <v>core-token-2</v>
      </c>
      <c r="B2931" s="4" t="str">
        <f>IFERROR(__xludf.DUMMYFUNCTION("""COMPUTED_VALUE"""),"ctn")</f>
        <v>ctn</v>
      </c>
      <c r="C2931" s="4" t="str">
        <f>IFERROR(__xludf.DUMMYFUNCTION("""COMPUTED_VALUE"""),"Core Token")</f>
        <v>Core Token</v>
      </c>
    </row>
    <row r="2932">
      <c r="A2932" s="4" t="str">
        <f>IFERROR(__xludf.DUMMYFUNCTION("""COMPUTED_VALUE"""),"coreum")</f>
        <v>coreum</v>
      </c>
      <c r="B2932" s="4" t="str">
        <f>IFERROR(__xludf.DUMMYFUNCTION("""COMPUTED_VALUE"""),"coreum")</f>
        <v>coreum</v>
      </c>
      <c r="C2932" s="4" t="str">
        <f>IFERROR(__xludf.DUMMYFUNCTION("""COMPUTED_VALUE"""),"Coreum")</f>
        <v>Coreum</v>
      </c>
    </row>
    <row r="2933">
      <c r="A2933" s="4" t="str">
        <f>IFERROR(__xludf.DUMMYFUNCTION("""COMPUTED_VALUE"""),"corgiai")</f>
        <v>corgiai</v>
      </c>
      <c r="B2933" s="4" t="str">
        <f>IFERROR(__xludf.DUMMYFUNCTION("""COMPUTED_VALUE"""),"corgiai")</f>
        <v>corgiai</v>
      </c>
      <c r="C2933" s="4" t="str">
        <f>IFERROR(__xludf.DUMMYFUNCTION("""COMPUTED_VALUE"""),"CorgiAI")</f>
        <v>CorgiAI</v>
      </c>
    </row>
    <row r="2934">
      <c r="A2934" s="4" t="str">
        <f>IFERROR(__xludf.DUMMYFUNCTION("""COMPUTED_VALUE"""),"corgi-ceo")</f>
        <v>corgi-ceo</v>
      </c>
      <c r="B2934" s="4" t="str">
        <f>IFERROR(__xludf.DUMMYFUNCTION("""COMPUTED_VALUE"""),"corgiceo")</f>
        <v>corgiceo</v>
      </c>
      <c r="C2934" s="4" t="str">
        <f>IFERROR(__xludf.DUMMYFUNCTION("""COMPUTED_VALUE"""),"CORGI CEO")</f>
        <v>CORGI CEO</v>
      </c>
    </row>
    <row r="2935">
      <c r="A2935" s="4" t="str">
        <f>IFERROR(__xludf.DUMMYFUNCTION("""COMPUTED_VALUE"""),"corgicoin")</f>
        <v>corgicoin</v>
      </c>
      <c r="B2935" s="4" t="str">
        <f>IFERROR(__xludf.DUMMYFUNCTION("""COMPUTED_VALUE"""),"corgi")</f>
        <v>corgi</v>
      </c>
      <c r="C2935" s="4" t="str">
        <f>IFERROR(__xludf.DUMMYFUNCTION("""COMPUTED_VALUE"""),"CorgiCoin")</f>
        <v>CorgiCoin</v>
      </c>
    </row>
    <row r="2936">
      <c r="A2936" s="4" t="str">
        <f>IFERROR(__xludf.DUMMYFUNCTION("""COMPUTED_VALUE"""),"corgidoge")</f>
        <v>corgidoge</v>
      </c>
      <c r="B2936" s="4" t="str">
        <f>IFERROR(__xludf.DUMMYFUNCTION("""COMPUTED_VALUE"""),"corgi")</f>
        <v>corgi</v>
      </c>
      <c r="C2936" s="4" t="str">
        <f>IFERROR(__xludf.DUMMYFUNCTION("""COMPUTED_VALUE"""),"Corgidoge")</f>
        <v>Corgidoge</v>
      </c>
    </row>
    <row r="2937">
      <c r="A2937" s="4" t="str">
        <f>IFERROR(__xludf.DUMMYFUNCTION("""COMPUTED_VALUE"""),"corionx")</f>
        <v>corionx</v>
      </c>
      <c r="B2937" s="4" t="str">
        <f>IFERROR(__xludf.DUMMYFUNCTION("""COMPUTED_VALUE"""),"corx")</f>
        <v>corx</v>
      </c>
      <c r="C2937" s="4" t="str">
        <f>IFERROR(__xludf.DUMMYFUNCTION("""COMPUTED_VALUE"""),"CorionX")</f>
        <v>CorionX</v>
      </c>
    </row>
    <row r="2938">
      <c r="A2938" s="4" t="str">
        <f>IFERROR(__xludf.DUMMYFUNCTION("""COMPUTED_VALUE"""),"corite")</f>
        <v>corite</v>
      </c>
      <c r="B2938" s="4" t="str">
        <f>IFERROR(__xludf.DUMMYFUNCTION("""COMPUTED_VALUE"""),"co")</f>
        <v>co</v>
      </c>
      <c r="C2938" s="4" t="str">
        <f>IFERROR(__xludf.DUMMYFUNCTION("""COMPUTED_VALUE"""),"Corite")</f>
        <v>Corite</v>
      </c>
    </row>
    <row r="2939">
      <c r="A2939" s="4" t="str">
        <f>IFERROR(__xludf.DUMMYFUNCTION("""COMPUTED_VALUE"""),"coritiba-f-c-fan-token")</f>
        <v>coritiba-f-c-fan-token</v>
      </c>
      <c r="B2939" s="4" t="str">
        <f>IFERROR(__xludf.DUMMYFUNCTION("""COMPUTED_VALUE"""),"crtb")</f>
        <v>crtb</v>
      </c>
      <c r="C2939" s="4" t="str">
        <f>IFERROR(__xludf.DUMMYFUNCTION("""COMPUTED_VALUE"""),"Coritiba F.C. Fan Token")</f>
        <v>Coritiba F.C. Fan Token</v>
      </c>
    </row>
    <row r="2940">
      <c r="A2940" s="4" t="str">
        <f>IFERROR(__xludf.DUMMYFUNCTION("""COMPUTED_VALUE"""),"corn")</f>
        <v>corn</v>
      </c>
      <c r="B2940" s="4" t="str">
        <f>IFERROR(__xludf.DUMMYFUNCTION("""COMPUTED_VALUE"""),"corn")</f>
        <v>corn</v>
      </c>
      <c r="C2940" s="4" t="str">
        <f>IFERROR(__xludf.DUMMYFUNCTION("""COMPUTED_VALUE"""),"CORN")</f>
        <v>CORN</v>
      </c>
    </row>
    <row r="2941">
      <c r="A2941" s="4" t="str">
        <f>IFERROR(__xludf.DUMMYFUNCTION("""COMPUTED_VALUE"""),"cornatto")</f>
        <v>cornatto</v>
      </c>
      <c r="B2941" s="4" t="str">
        <f>IFERROR(__xludf.DUMMYFUNCTION("""COMPUTED_VALUE"""),"cnc")</f>
        <v>cnc</v>
      </c>
      <c r="C2941" s="4" t="str">
        <f>IFERROR(__xludf.DUMMYFUNCTION("""COMPUTED_VALUE"""),"Cornatto")</f>
        <v>Cornatto</v>
      </c>
    </row>
    <row r="2942">
      <c r="A2942" s="4" t="str">
        <f>IFERROR(__xludf.DUMMYFUNCTION("""COMPUTED_VALUE"""),"corn-dog")</f>
        <v>corn-dog</v>
      </c>
      <c r="B2942" s="4" t="str">
        <f>IFERROR(__xludf.DUMMYFUNCTION("""COMPUTED_VALUE"""),"cdog")</f>
        <v>cdog</v>
      </c>
      <c r="C2942" s="4" t="str">
        <f>IFERROR(__xludf.DUMMYFUNCTION("""COMPUTED_VALUE"""),"CORN DOG")</f>
        <v>CORN DOG</v>
      </c>
    </row>
    <row r="2943">
      <c r="A2943" s="4" t="str">
        <f>IFERROR(__xludf.DUMMYFUNCTION("""COMPUTED_VALUE"""),"cornermarket")</f>
        <v>cornermarket</v>
      </c>
      <c r="B2943" s="4" t="str">
        <f>IFERROR(__xludf.DUMMYFUNCTION("""COMPUTED_VALUE"""),"cmt")</f>
        <v>cmt</v>
      </c>
      <c r="C2943" s="4" t="str">
        <f>IFERROR(__xludf.DUMMYFUNCTION("""COMPUTED_VALUE"""),"CornerMarket")</f>
        <v>CornerMarket</v>
      </c>
    </row>
    <row r="2944">
      <c r="A2944" s="4" t="str">
        <f>IFERROR(__xludf.DUMMYFUNCTION("""COMPUTED_VALUE"""),"cornucopias")</f>
        <v>cornucopias</v>
      </c>
      <c r="B2944" s="4" t="str">
        <f>IFERROR(__xludf.DUMMYFUNCTION("""COMPUTED_VALUE"""),"copi")</f>
        <v>copi</v>
      </c>
      <c r="C2944" s="4" t="str">
        <f>IFERROR(__xludf.DUMMYFUNCTION("""COMPUTED_VALUE"""),"Cornucopias")</f>
        <v>Cornucopias</v>
      </c>
    </row>
    <row r="2945">
      <c r="A2945" s="4" t="str">
        <f>IFERROR(__xludf.DUMMYFUNCTION("""COMPUTED_VALUE"""),"corridor-finance")</f>
        <v>corridor-finance</v>
      </c>
      <c r="B2945" s="4" t="str">
        <f>IFERROR(__xludf.DUMMYFUNCTION("""COMPUTED_VALUE"""),"oooi")</f>
        <v>oooi</v>
      </c>
      <c r="C2945" s="4" t="str">
        <f>IFERROR(__xludf.DUMMYFUNCTION("""COMPUTED_VALUE"""),"Corridor Finance")</f>
        <v>Corridor Finance</v>
      </c>
    </row>
    <row r="2946">
      <c r="A2946" s="4" t="str">
        <f>IFERROR(__xludf.DUMMYFUNCTION("""COMPUTED_VALUE"""),"cortex")</f>
        <v>cortex</v>
      </c>
      <c r="B2946" s="4" t="str">
        <f>IFERROR(__xludf.DUMMYFUNCTION("""COMPUTED_VALUE"""),"ctxc")</f>
        <v>ctxc</v>
      </c>
      <c r="C2946" s="4" t="str">
        <f>IFERROR(__xludf.DUMMYFUNCTION("""COMPUTED_VALUE"""),"Cortex")</f>
        <v>Cortex</v>
      </c>
    </row>
    <row r="2947">
      <c r="A2947" s="4" t="str">
        <f>IFERROR(__xludf.DUMMYFUNCTION("""COMPUTED_VALUE"""),"cortexloop")</f>
        <v>cortexloop</v>
      </c>
      <c r="B2947" s="4" t="str">
        <f>IFERROR(__xludf.DUMMYFUNCTION("""COMPUTED_VALUE"""),"crtx")</f>
        <v>crtx</v>
      </c>
      <c r="C2947" s="4" t="str">
        <f>IFERROR(__xludf.DUMMYFUNCTION("""COMPUTED_VALUE"""),"CortexLoop")</f>
        <v>CortexLoop</v>
      </c>
    </row>
    <row r="2948">
      <c r="A2948" s="4" t="str">
        <f>IFERROR(__xludf.DUMMYFUNCTION("""COMPUTED_VALUE"""),"cosanta")</f>
        <v>cosanta</v>
      </c>
      <c r="B2948" s="4" t="str">
        <f>IFERROR(__xludf.DUMMYFUNCTION("""COMPUTED_VALUE"""),"cosa")</f>
        <v>cosa</v>
      </c>
      <c r="C2948" s="4" t="str">
        <f>IFERROR(__xludf.DUMMYFUNCTION("""COMPUTED_VALUE"""),"Cosanta")</f>
        <v>Cosanta</v>
      </c>
    </row>
    <row r="2949">
      <c r="A2949" s="4" t="str">
        <f>IFERROR(__xludf.DUMMYFUNCTION("""COMPUTED_VALUE"""),"coshi-inu")</f>
        <v>coshi-inu</v>
      </c>
      <c r="B2949" s="4" t="str">
        <f>IFERROR(__xludf.DUMMYFUNCTION("""COMPUTED_VALUE"""),"coshi")</f>
        <v>coshi</v>
      </c>
      <c r="C2949" s="4" t="str">
        <f>IFERROR(__xludf.DUMMYFUNCTION("""COMPUTED_VALUE"""),"CoShi Inu")</f>
        <v>CoShi Inu</v>
      </c>
    </row>
    <row r="2950">
      <c r="A2950" s="4" t="str">
        <f>IFERROR(__xludf.DUMMYFUNCTION("""COMPUTED_VALUE"""),"cosmic")</f>
        <v>cosmic</v>
      </c>
      <c r="B2950" s="4" t="str">
        <f>IFERROR(__xludf.DUMMYFUNCTION("""COMPUTED_VALUE"""),"cosmic")</f>
        <v>cosmic</v>
      </c>
      <c r="C2950" s="4" t="str">
        <f>IFERROR(__xludf.DUMMYFUNCTION("""COMPUTED_VALUE"""),"Cosmic")</f>
        <v>Cosmic</v>
      </c>
    </row>
    <row r="2951">
      <c r="A2951" s="4" t="str">
        <f>IFERROR(__xludf.DUMMYFUNCTION("""COMPUTED_VALUE"""),"cosmic-chain")</f>
        <v>cosmic-chain</v>
      </c>
      <c r="B2951" s="4" t="str">
        <f>IFERROR(__xludf.DUMMYFUNCTION("""COMPUTED_VALUE"""),"cosmic")</f>
        <v>cosmic</v>
      </c>
      <c r="C2951" s="4" t="str">
        <f>IFERROR(__xludf.DUMMYFUNCTION("""COMPUTED_VALUE"""),"Cosmic Chain")</f>
        <v>Cosmic Chain</v>
      </c>
    </row>
    <row r="2952">
      <c r="A2952" s="4" t="str">
        <f>IFERROR(__xludf.DUMMYFUNCTION("""COMPUTED_VALUE"""),"cosmic-champs")</f>
        <v>cosmic-champs</v>
      </c>
      <c r="B2952" s="4" t="str">
        <f>IFERROR(__xludf.DUMMYFUNCTION("""COMPUTED_VALUE"""),"cosg")</f>
        <v>cosg</v>
      </c>
      <c r="C2952" s="4" t="str">
        <f>IFERROR(__xludf.DUMMYFUNCTION("""COMPUTED_VALUE"""),"Cosmic Champs")</f>
        <v>Cosmic Champs</v>
      </c>
    </row>
    <row r="2953">
      <c r="A2953" s="4" t="str">
        <f>IFERROR(__xludf.DUMMYFUNCTION("""COMPUTED_VALUE"""),"cosmic-fomo")</f>
        <v>cosmic-fomo</v>
      </c>
      <c r="B2953" s="4" t="str">
        <f>IFERROR(__xludf.DUMMYFUNCTION("""COMPUTED_VALUE"""),"cosmic")</f>
        <v>cosmic</v>
      </c>
      <c r="C2953" s="4" t="str">
        <f>IFERROR(__xludf.DUMMYFUNCTION("""COMPUTED_VALUE"""),"Cosmic FOMO")</f>
        <v>Cosmic FOMO</v>
      </c>
    </row>
    <row r="2954">
      <c r="A2954" s="4" t="str">
        <f>IFERROR(__xludf.DUMMYFUNCTION("""COMPUTED_VALUE"""),"cosmic-force-token-v2")</f>
        <v>cosmic-force-token-v2</v>
      </c>
      <c r="B2954" s="4" t="str">
        <f>IFERROR(__xludf.DUMMYFUNCTION("""COMPUTED_VALUE"""),"cfx")</f>
        <v>cfx</v>
      </c>
      <c r="C2954" s="4" t="str">
        <f>IFERROR(__xludf.DUMMYFUNCTION("""COMPUTED_VALUE"""),"Cosmic Force Token v2")</f>
        <v>Cosmic Force Token v2</v>
      </c>
    </row>
    <row r="2955">
      <c r="A2955" s="4" t="str">
        <f>IFERROR(__xludf.DUMMYFUNCTION("""COMPUTED_VALUE"""),"cosmicswap")</f>
        <v>cosmicswap</v>
      </c>
      <c r="B2955" s="4" t="str">
        <f>IFERROR(__xludf.DUMMYFUNCTION("""COMPUTED_VALUE"""),"cosmic")</f>
        <v>cosmic</v>
      </c>
      <c r="C2955" s="4" t="str">
        <f>IFERROR(__xludf.DUMMYFUNCTION("""COMPUTED_VALUE"""),"CosmicSwap")</f>
        <v>CosmicSwap</v>
      </c>
    </row>
    <row r="2956">
      <c r="A2956" s="4" t="str">
        <f>IFERROR(__xludf.DUMMYFUNCTION("""COMPUTED_VALUE"""),"cosmic-universe-magic-token")</f>
        <v>cosmic-universe-magic-token</v>
      </c>
      <c r="B2956" s="4" t="str">
        <f>IFERROR(__xludf.DUMMYFUNCTION("""COMPUTED_VALUE"""),"magick")</f>
        <v>magick</v>
      </c>
      <c r="C2956" s="4" t="str">
        <f>IFERROR(__xludf.DUMMYFUNCTION("""COMPUTED_VALUE"""),"Cosmic Universe Magick")</f>
        <v>Cosmic Universe Magick</v>
      </c>
    </row>
    <row r="2957">
      <c r="A2957" s="4" t="str">
        <f>IFERROR(__xludf.DUMMYFUNCTION("""COMPUTED_VALUE"""),"cosmo-baby")</f>
        <v>cosmo-baby</v>
      </c>
      <c r="B2957" s="4" t="str">
        <f>IFERROR(__xludf.DUMMYFUNCTION("""COMPUTED_VALUE"""),"cbaby")</f>
        <v>cbaby</v>
      </c>
      <c r="C2957" s="4" t="str">
        <f>IFERROR(__xludf.DUMMYFUNCTION("""COMPUTED_VALUE"""),"Cosmo Baby")</f>
        <v>Cosmo Baby</v>
      </c>
    </row>
    <row r="2958">
      <c r="A2958" s="4" t="str">
        <f>IFERROR(__xludf.DUMMYFUNCTION("""COMPUTED_VALUE"""),"cosmos")</f>
        <v>cosmos</v>
      </c>
      <c r="B2958" s="4" t="str">
        <f>IFERROR(__xludf.DUMMYFUNCTION("""COMPUTED_VALUE"""),"atom")</f>
        <v>atom</v>
      </c>
      <c r="C2958" s="4" t="str">
        <f>IFERROR(__xludf.DUMMYFUNCTION("""COMPUTED_VALUE"""),"Cosmos Hub")</f>
        <v>Cosmos Hub</v>
      </c>
    </row>
    <row r="2959">
      <c r="A2959" s="4" t="str">
        <f>IFERROR(__xludf.DUMMYFUNCTION("""COMPUTED_VALUE"""),"cosplay-token-2")</f>
        <v>cosplay-token-2</v>
      </c>
      <c r="B2959" s="4" t="str">
        <f>IFERROR(__xludf.DUMMYFUNCTION("""COMPUTED_VALUE"""),"cot")</f>
        <v>cot</v>
      </c>
      <c r="C2959" s="4" t="str">
        <f>IFERROR(__xludf.DUMMYFUNCTION("""COMPUTED_VALUE"""),"Cosplay Token")</f>
        <v>Cosplay Token</v>
      </c>
    </row>
    <row r="2960">
      <c r="A2960" s="4" t="str">
        <f>IFERROR(__xludf.DUMMYFUNCTION("""COMPUTED_VALUE"""),"coss-2")</f>
        <v>coss-2</v>
      </c>
      <c r="B2960" s="4" t="str">
        <f>IFERROR(__xludf.DUMMYFUNCTION("""COMPUTED_VALUE"""),"coss")</f>
        <v>coss</v>
      </c>
      <c r="C2960" s="4" t="str">
        <f>IFERROR(__xludf.DUMMYFUNCTION("""COMPUTED_VALUE"""),"Coss")</f>
        <v>Coss</v>
      </c>
    </row>
    <row r="2961">
      <c r="A2961" s="4" t="str">
        <f>IFERROR(__xludf.DUMMYFUNCTION("""COMPUTED_VALUE"""),"coti")</f>
        <v>coti</v>
      </c>
      <c r="B2961" s="4" t="str">
        <f>IFERROR(__xludf.DUMMYFUNCTION("""COMPUTED_VALUE"""),"coti")</f>
        <v>coti</v>
      </c>
      <c r="C2961" s="4" t="str">
        <f>IFERROR(__xludf.DUMMYFUNCTION("""COMPUTED_VALUE"""),"COTI")</f>
        <v>COTI</v>
      </c>
    </row>
    <row r="2962">
      <c r="A2962" s="4" t="str">
        <f>IFERROR(__xludf.DUMMYFUNCTION("""COMPUTED_VALUE"""),"coti-governance-token")</f>
        <v>coti-governance-token</v>
      </c>
      <c r="B2962" s="4" t="str">
        <f>IFERROR(__xludf.DUMMYFUNCTION("""COMPUTED_VALUE"""),"gcoti")</f>
        <v>gcoti</v>
      </c>
      <c r="C2962" s="4" t="str">
        <f>IFERROR(__xludf.DUMMYFUNCTION("""COMPUTED_VALUE"""),"COTI Governance Token")</f>
        <v>COTI Governance Token</v>
      </c>
    </row>
    <row r="2963">
      <c r="A2963" s="4" t="str">
        <f>IFERROR(__xludf.DUMMYFUNCTION("""COMPUTED_VALUE"""),"cotrader")</f>
        <v>cotrader</v>
      </c>
      <c r="B2963" s="4" t="str">
        <f>IFERROR(__xludf.DUMMYFUNCTION("""COMPUTED_VALUE"""),"cot")</f>
        <v>cot</v>
      </c>
      <c r="C2963" s="4" t="str">
        <f>IFERROR(__xludf.DUMMYFUNCTION("""COMPUTED_VALUE"""),"CoTrader")</f>
        <v>CoTrader</v>
      </c>
    </row>
    <row r="2964">
      <c r="A2964" s="4" t="str">
        <f>IFERROR(__xludf.DUMMYFUNCTION("""COMPUTED_VALUE"""),"cougar-token")</f>
        <v>cougar-token</v>
      </c>
      <c r="B2964" s="4" t="str">
        <f>IFERROR(__xludf.DUMMYFUNCTION("""COMPUTED_VALUE"""),"cgs")</f>
        <v>cgs</v>
      </c>
      <c r="C2964" s="4" t="str">
        <f>IFERROR(__xludf.DUMMYFUNCTION("""COMPUTED_VALUE"""),"CougarSwap")</f>
        <v>CougarSwap</v>
      </c>
    </row>
    <row r="2965">
      <c r="A2965" s="4" t="str">
        <f>IFERROR(__xludf.DUMMYFUNCTION("""COMPUTED_VALUE"""),"coughing-cat")</f>
        <v>coughing-cat</v>
      </c>
      <c r="B2965" s="4" t="str">
        <f>IFERROR(__xludf.DUMMYFUNCTION("""COMPUTED_VALUE"""),"cct")</f>
        <v>cct</v>
      </c>
      <c r="C2965" s="4" t="str">
        <f>IFERROR(__xludf.DUMMYFUNCTION("""COMPUTED_VALUE"""),"Coughing Cat")</f>
        <v>Coughing Cat</v>
      </c>
    </row>
    <row r="2966">
      <c r="A2966" s="4" t="str">
        <f>IFERROR(__xludf.DUMMYFUNCTION("""COMPUTED_VALUE"""),"could-be-the-move")</f>
        <v>could-be-the-move</v>
      </c>
      <c r="B2966" s="4" t="str">
        <f>IFERROR(__xludf.DUMMYFUNCTION("""COMPUTED_VALUE"""),"cbtm")</f>
        <v>cbtm</v>
      </c>
      <c r="C2966" s="4" t="str">
        <f>IFERROR(__xludf.DUMMYFUNCTION("""COMPUTED_VALUE"""),"Could Be The Move")</f>
        <v>Could Be The Move</v>
      </c>
    </row>
    <row r="2967">
      <c r="A2967" s="4" t="str">
        <f>IFERROR(__xludf.DUMMYFUNCTION("""COMPUTED_VALUE"""),"counosx")</f>
        <v>counosx</v>
      </c>
      <c r="B2967" s="4" t="str">
        <f>IFERROR(__xludf.DUMMYFUNCTION("""COMPUTED_VALUE"""),"ccxx")</f>
        <v>ccxx</v>
      </c>
      <c r="C2967" s="4" t="str">
        <f>IFERROR(__xludf.DUMMYFUNCTION("""COMPUTED_VALUE"""),"CounosX")</f>
        <v>CounosX</v>
      </c>
    </row>
    <row r="2968">
      <c r="A2968" s="4" t="str">
        <f>IFERROR(__xludf.DUMMYFUNCTION("""COMPUTED_VALUE"""),"counterparty")</f>
        <v>counterparty</v>
      </c>
      <c r="B2968" s="4" t="str">
        <f>IFERROR(__xludf.DUMMYFUNCTION("""COMPUTED_VALUE"""),"xcp")</f>
        <v>xcp</v>
      </c>
      <c r="C2968" s="4" t="str">
        <f>IFERROR(__xludf.DUMMYFUNCTION("""COMPUTED_VALUE"""),"Counterparty")</f>
        <v>Counterparty</v>
      </c>
    </row>
    <row r="2969">
      <c r="A2969" s="4" t="str">
        <f>IFERROR(__xludf.DUMMYFUNCTION("""COMPUTED_VALUE"""),"couponbay")</f>
        <v>couponbay</v>
      </c>
      <c r="B2969" s="4" t="str">
        <f>IFERROR(__xludf.DUMMYFUNCTION("""COMPUTED_VALUE"""),"cup")</f>
        <v>cup</v>
      </c>
      <c r="C2969" s="4" t="str">
        <f>IFERROR(__xludf.DUMMYFUNCTION("""COMPUTED_VALUE"""),"CouponBay")</f>
        <v>CouponBay</v>
      </c>
    </row>
    <row r="2970">
      <c r="A2970" s="4" t="str">
        <f>IFERROR(__xludf.DUMMYFUNCTION("""COMPUTED_VALUE"""),"covalent")</f>
        <v>covalent</v>
      </c>
      <c r="B2970" s="4" t="str">
        <f>IFERROR(__xludf.DUMMYFUNCTION("""COMPUTED_VALUE"""),"cqt")</f>
        <v>cqt</v>
      </c>
      <c r="C2970" s="4" t="str">
        <f>IFERROR(__xludf.DUMMYFUNCTION("""COMPUTED_VALUE"""),"Covalent")</f>
        <v>Covalent</v>
      </c>
    </row>
    <row r="2971">
      <c r="A2971" s="4" t="str">
        <f>IFERROR(__xludf.DUMMYFUNCTION("""COMPUTED_VALUE"""),"covenant-child")</f>
        <v>covenant-child</v>
      </c>
      <c r="B2971" s="4" t="str">
        <f>IFERROR(__xludf.DUMMYFUNCTION("""COMPUTED_VALUE"""),"covn")</f>
        <v>covn</v>
      </c>
      <c r="C2971" s="4" t="str">
        <f>IFERROR(__xludf.DUMMYFUNCTION("""COMPUTED_VALUE"""),"Covenant")</f>
        <v>Covenant</v>
      </c>
    </row>
    <row r="2972">
      <c r="A2972" s="4" t="str">
        <f>IFERROR(__xludf.DUMMYFUNCTION("""COMPUTED_VALUE"""),"cover-protocol")</f>
        <v>cover-protocol</v>
      </c>
      <c r="B2972" s="4" t="str">
        <f>IFERROR(__xludf.DUMMYFUNCTION("""COMPUTED_VALUE"""),"cover")</f>
        <v>cover</v>
      </c>
      <c r="C2972" s="4" t="str">
        <f>IFERROR(__xludf.DUMMYFUNCTION("""COMPUTED_VALUE"""),"Cover Protocol")</f>
        <v>Cover Protocol</v>
      </c>
    </row>
    <row r="2973">
      <c r="A2973" s="4" t="str">
        <f>IFERROR(__xludf.DUMMYFUNCTION("""COMPUTED_VALUE"""),"covesting")</f>
        <v>covesting</v>
      </c>
      <c r="B2973" s="4" t="str">
        <f>IFERROR(__xludf.DUMMYFUNCTION("""COMPUTED_VALUE"""),"cov")</f>
        <v>cov</v>
      </c>
      <c r="C2973" s="4" t="str">
        <f>IFERROR(__xludf.DUMMYFUNCTION("""COMPUTED_VALUE"""),"Covesting")</f>
        <v>Covesting</v>
      </c>
    </row>
    <row r="2974">
      <c r="A2974" s="4" t="str">
        <f>IFERROR(__xludf.DUMMYFUNCTION("""COMPUTED_VALUE"""),"cow-protocol")</f>
        <v>cow-protocol</v>
      </c>
      <c r="B2974" s="4" t="str">
        <f>IFERROR(__xludf.DUMMYFUNCTION("""COMPUTED_VALUE"""),"cow")</f>
        <v>cow</v>
      </c>
      <c r="C2974" s="4" t="str">
        <f>IFERROR(__xludf.DUMMYFUNCTION("""COMPUTED_VALUE"""),"CoW Protocol")</f>
        <v>CoW Protocol</v>
      </c>
    </row>
    <row r="2975">
      <c r="A2975" s="4" t="str">
        <f>IFERROR(__xludf.DUMMYFUNCTION("""COMPUTED_VALUE"""),"cowrie")</f>
        <v>cowrie</v>
      </c>
      <c r="B2975" s="4" t="str">
        <f>IFERROR(__xludf.DUMMYFUNCTION("""COMPUTED_VALUE"""),"cowrie")</f>
        <v>cowrie</v>
      </c>
      <c r="C2975" s="4" t="str">
        <f>IFERROR(__xludf.DUMMYFUNCTION("""COMPUTED_VALUE"""),"Cowrie")</f>
        <v>Cowrie</v>
      </c>
    </row>
    <row r="2976">
      <c r="A2976" s="4" t="str">
        <f>IFERROR(__xludf.DUMMYFUNCTION("""COMPUTED_VALUE"""),"cpchain")</f>
        <v>cpchain</v>
      </c>
      <c r="B2976" s="4" t="str">
        <f>IFERROR(__xludf.DUMMYFUNCTION("""COMPUTED_VALUE"""),"cpc")</f>
        <v>cpc</v>
      </c>
      <c r="C2976" s="4" t="str">
        <f>IFERROR(__xludf.DUMMYFUNCTION("""COMPUTED_VALUE"""),"CPChain")</f>
        <v>CPChain</v>
      </c>
    </row>
    <row r="2977">
      <c r="A2977" s="4" t="str">
        <f>IFERROR(__xludf.DUMMYFUNCTION("""COMPUTED_VALUE"""),"cpiggy-bank-token")</f>
        <v>cpiggy-bank-token</v>
      </c>
      <c r="B2977" s="4" t="str">
        <f>IFERROR(__xludf.DUMMYFUNCTION("""COMPUTED_VALUE"""),"cpiggy")</f>
        <v>cpiggy</v>
      </c>
      <c r="C2977" s="4" t="str">
        <f>IFERROR(__xludf.DUMMYFUNCTION("""COMPUTED_VALUE"""),"cPIGGY Bank Token")</f>
        <v>cPIGGY Bank Token</v>
      </c>
    </row>
    <row r="2978">
      <c r="A2978" s="4" t="str">
        <f>IFERROR(__xludf.DUMMYFUNCTION("""COMPUTED_VALUE"""),"cpucoin")</f>
        <v>cpucoin</v>
      </c>
      <c r="B2978" s="4" t="str">
        <f>IFERROR(__xludf.DUMMYFUNCTION("""COMPUTED_VALUE"""),"cpu")</f>
        <v>cpu</v>
      </c>
      <c r="C2978" s="4" t="str">
        <f>IFERROR(__xludf.DUMMYFUNCTION("""COMPUTED_VALUE"""),"CPUcoin")</f>
        <v>CPUcoin</v>
      </c>
    </row>
    <row r="2979">
      <c r="A2979" s="4" t="str">
        <f>IFERROR(__xludf.DUMMYFUNCTION("""COMPUTED_VALUE"""),"crabada")</f>
        <v>crabada</v>
      </c>
      <c r="B2979" s="4" t="str">
        <f>IFERROR(__xludf.DUMMYFUNCTION("""COMPUTED_VALUE"""),"cra")</f>
        <v>cra</v>
      </c>
      <c r="C2979" s="4" t="str">
        <f>IFERROR(__xludf.DUMMYFUNCTION("""COMPUTED_VALUE"""),"Crabada")</f>
        <v>Crabada</v>
      </c>
    </row>
    <row r="2980">
      <c r="A2980" s="4" t="str">
        <f>IFERROR(__xludf.DUMMYFUNCTION("""COMPUTED_VALUE"""),"crab-market")</f>
        <v>crab-market</v>
      </c>
      <c r="B2980" s="4" t="str">
        <f>IFERROR(__xludf.DUMMYFUNCTION("""COMPUTED_VALUE"""),"crab")</f>
        <v>crab</v>
      </c>
      <c r="C2980" s="4" t="str">
        <f>IFERROR(__xludf.DUMMYFUNCTION("""COMPUTED_VALUE"""),"Crab Market")</f>
        <v>Crab Market</v>
      </c>
    </row>
    <row r="2981">
      <c r="A2981" s="4" t="str">
        <f>IFERROR(__xludf.DUMMYFUNCTION("""COMPUTED_VALUE"""),"crab-rave-token")</f>
        <v>crab-rave-token</v>
      </c>
      <c r="B2981" s="4" t="str">
        <f>IFERROR(__xludf.DUMMYFUNCTION("""COMPUTED_VALUE"""),"crabs")</f>
        <v>crabs</v>
      </c>
      <c r="C2981" s="4" t="str">
        <f>IFERROR(__xludf.DUMMYFUNCTION("""COMPUTED_VALUE"""),"Crab Rave Token")</f>
        <v>Crab Rave Token</v>
      </c>
    </row>
    <row r="2982">
      <c r="A2982" s="4" t="str">
        <f>IFERROR(__xludf.DUMMYFUNCTION("""COMPUTED_VALUE"""),"cracle")</f>
        <v>cracle</v>
      </c>
      <c r="B2982" s="4" t="str">
        <f>IFERROR(__xludf.DUMMYFUNCTION("""COMPUTED_VALUE"""),"cra")</f>
        <v>cra</v>
      </c>
      <c r="C2982" s="4" t="str">
        <f>IFERROR(__xludf.DUMMYFUNCTION("""COMPUTED_VALUE"""),"Cracle")</f>
        <v>Cracle</v>
      </c>
    </row>
    <row r="2983">
      <c r="A2983" s="4" t="str">
        <f>IFERROR(__xludf.DUMMYFUNCTION("""COMPUTED_VALUE"""),"cradle-of-sins")</f>
        <v>cradle-of-sins</v>
      </c>
      <c r="B2983" s="4" t="str">
        <f>IFERROR(__xludf.DUMMYFUNCTION("""COMPUTED_VALUE"""),"cos")</f>
        <v>cos</v>
      </c>
      <c r="C2983" s="4" t="str">
        <f>IFERROR(__xludf.DUMMYFUNCTION("""COMPUTED_VALUE"""),"Cradle of Sins")</f>
        <v>Cradle of Sins</v>
      </c>
    </row>
    <row r="2984">
      <c r="A2984" s="4" t="str">
        <f>IFERROR(__xludf.DUMMYFUNCTION("""COMPUTED_VALUE"""),"crafting-finance")</f>
        <v>crafting-finance</v>
      </c>
      <c r="B2984" s="4" t="str">
        <f>IFERROR(__xludf.DUMMYFUNCTION("""COMPUTED_VALUE"""),"crf")</f>
        <v>crf</v>
      </c>
      <c r="C2984" s="4" t="str">
        <f>IFERROR(__xludf.DUMMYFUNCTION("""COMPUTED_VALUE"""),"Crafting Finance")</f>
        <v>Crafting Finance</v>
      </c>
    </row>
    <row r="2985">
      <c r="A2985" s="4" t="str">
        <f>IFERROR(__xludf.DUMMYFUNCTION("""COMPUTED_VALUE"""),"craft-network")</f>
        <v>craft-network</v>
      </c>
      <c r="B2985" s="4" t="str">
        <f>IFERROR(__xludf.DUMMYFUNCTION("""COMPUTED_VALUE"""),"cft")</f>
        <v>cft</v>
      </c>
      <c r="C2985" s="4" t="str">
        <f>IFERROR(__xludf.DUMMYFUNCTION("""COMPUTED_VALUE"""),"Craft network")</f>
        <v>Craft network</v>
      </c>
    </row>
    <row r="2986">
      <c r="A2986" s="4" t="str">
        <f>IFERROR(__xludf.DUMMYFUNCTION("""COMPUTED_VALUE"""),"cramer-coin")</f>
        <v>cramer-coin</v>
      </c>
      <c r="B2986" s="4" t="str">
        <f>IFERROR(__xludf.DUMMYFUNCTION("""COMPUTED_VALUE"""),"$cramer")</f>
        <v>$cramer</v>
      </c>
      <c r="C2986" s="4" t="str">
        <f>IFERROR(__xludf.DUMMYFUNCTION("""COMPUTED_VALUE"""),"Cramer Coin")</f>
        <v>Cramer Coin</v>
      </c>
    </row>
    <row r="2987">
      <c r="A2987" s="4" t="str">
        <f>IFERROR(__xludf.DUMMYFUNCTION("""COMPUTED_VALUE"""),"crate")</f>
        <v>crate</v>
      </c>
      <c r="B2987" s="4" t="str">
        <f>IFERROR(__xludf.DUMMYFUNCTION("""COMPUTED_VALUE"""),"crate")</f>
        <v>crate</v>
      </c>
      <c r="C2987" s="4" t="str">
        <f>IFERROR(__xludf.DUMMYFUNCTION("""COMPUTED_VALUE"""),"$CRATE")</f>
        <v>$CRATE</v>
      </c>
    </row>
    <row r="2988">
      <c r="A2988" s="4" t="str">
        <f>IFERROR(__xludf.DUMMYFUNCTION("""COMPUTED_VALUE"""),"cratos")</f>
        <v>cratos</v>
      </c>
      <c r="B2988" s="4" t="str">
        <f>IFERROR(__xludf.DUMMYFUNCTION("""COMPUTED_VALUE"""),"crts")</f>
        <v>crts</v>
      </c>
      <c r="C2988" s="4" t="str">
        <f>IFERROR(__xludf.DUMMYFUNCTION("""COMPUTED_VALUE"""),"Cratos")</f>
        <v>Cratos</v>
      </c>
    </row>
    <row r="2989">
      <c r="A2989" s="4" t="str">
        <f>IFERROR(__xludf.DUMMYFUNCTION("""COMPUTED_VALUE"""),"crazybunny")</f>
        <v>crazybunny</v>
      </c>
      <c r="B2989" s="4" t="str">
        <f>IFERROR(__xludf.DUMMYFUNCTION("""COMPUTED_VALUE"""),"crazybunny")</f>
        <v>crazybunny</v>
      </c>
      <c r="C2989" s="4" t="str">
        <f>IFERROR(__xludf.DUMMYFUNCTION("""COMPUTED_VALUE"""),"CrazyBunny")</f>
        <v>CrazyBunny</v>
      </c>
    </row>
    <row r="2990">
      <c r="A2990" s="4" t="str">
        <f>IFERROR(__xludf.DUMMYFUNCTION("""COMPUTED_VALUE"""),"crazy-bunny")</f>
        <v>crazy-bunny</v>
      </c>
      <c r="B2990" s="4" t="str">
        <f>IFERROR(__xludf.DUMMYFUNCTION("""COMPUTED_VALUE"""),"crazybunny")</f>
        <v>crazybunny</v>
      </c>
      <c r="C2990" s="4" t="str">
        <f>IFERROR(__xludf.DUMMYFUNCTION("""COMPUTED_VALUE"""),"Crazy Bunny")</f>
        <v>Crazy Bunny</v>
      </c>
    </row>
    <row r="2991">
      <c r="A2991" s="4" t="str">
        <f>IFERROR(__xludf.DUMMYFUNCTION("""COMPUTED_VALUE"""),"crazy-bunny-equity-token")</f>
        <v>crazy-bunny-equity-token</v>
      </c>
      <c r="B2991" s="4" t="str">
        <f>IFERROR(__xludf.DUMMYFUNCTION("""COMPUTED_VALUE"""),"cbunny")</f>
        <v>cbunny</v>
      </c>
      <c r="C2991" s="4" t="str">
        <f>IFERROR(__xludf.DUMMYFUNCTION("""COMPUTED_VALUE"""),"Crazy Bunny Equity")</f>
        <v>Crazy Bunny Equity</v>
      </c>
    </row>
    <row r="2992">
      <c r="A2992" s="4" t="str">
        <f>IFERROR(__xludf.DUMMYFUNCTION("""COMPUTED_VALUE"""),"crazy-frog")</f>
        <v>crazy-frog</v>
      </c>
      <c r="B2992" s="4" t="str">
        <f>IFERROR(__xludf.DUMMYFUNCTION("""COMPUTED_VALUE"""),"crazy")</f>
        <v>crazy</v>
      </c>
      <c r="C2992" s="4" t="str">
        <f>IFERROR(__xludf.DUMMYFUNCTION("""COMPUTED_VALUE"""),"Crazy Frog")</f>
        <v>Crazy Frog</v>
      </c>
    </row>
    <row r="2993">
      <c r="A2993" s="4" t="str">
        <f>IFERROR(__xludf.DUMMYFUNCTION("""COMPUTED_VALUE"""),"crazypepe")</f>
        <v>crazypepe</v>
      </c>
      <c r="B2993" s="4" t="str">
        <f>IFERROR(__xludf.DUMMYFUNCTION("""COMPUTED_VALUE"""),"crazypepe")</f>
        <v>crazypepe</v>
      </c>
      <c r="C2993" s="4" t="str">
        <f>IFERROR(__xludf.DUMMYFUNCTION("""COMPUTED_VALUE"""),"CRAZYPEPE")</f>
        <v>CRAZYPEPE</v>
      </c>
    </row>
    <row r="2994">
      <c r="A2994" s="4" t="str">
        <f>IFERROR(__xludf.DUMMYFUNCTION("""COMPUTED_VALUE"""),"crazypepe-2")</f>
        <v>crazypepe-2</v>
      </c>
      <c r="B2994" s="4" t="str">
        <f>IFERROR(__xludf.DUMMYFUNCTION("""COMPUTED_VALUE"""),"crazypepe")</f>
        <v>crazypepe</v>
      </c>
      <c r="C2994" s="4" t="str">
        <f>IFERROR(__xludf.DUMMYFUNCTION("""COMPUTED_VALUE"""),"CrazyPepe")</f>
        <v>CrazyPepe</v>
      </c>
    </row>
    <row r="2995">
      <c r="A2995" s="4" t="str">
        <f>IFERROR(__xludf.DUMMYFUNCTION("""COMPUTED_VALUE"""),"crazyrabbit")</f>
        <v>crazyrabbit</v>
      </c>
      <c r="B2995" s="4" t="str">
        <f>IFERROR(__xludf.DUMMYFUNCTION("""COMPUTED_VALUE"""),"crc")</f>
        <v>crc</v>
      </c>
      <c r="C2995" s="4" t="str">
        <f>IFERROR(__xludf.DUMMYFUNCTION("""COMPUTED_VALUE"""),"CrazyRabbit")</f>
        <v>CrazyRabbit</v>
      </c>
    </row>
    <row r="2996">
      <c r="A2996" s="4" t="str">
        <f>IFERROR(__xludf.DUMMYFUNCTION("""COMPUTED_VALUE"""),"crazy-tiger")</f>
        <v>crazy-tiger</v>
      </c>
      <c r="B2996" s="4" t="str">
        <f>IFERROR(__xludf.DUMMYFUNCTION("""COMPUTED_VALUE"""),"crazytiger")</f>
        <v>crazytiger</v>
      </c>
      <c r="C2996" s="4" t="str">
        <f>IFERROR(__xludf.DUMMYFUNCTION("""COMPUTED_VALUE"""),"Crazy Tiger")</f>
        <v>Crazy Tiger</v>
      </c>
    </row>
    <row r="2997">
      <c r="A2997" s="4" t="str">
        <f>IFERROR(__xludf.DUMMYFUNCTION("""COMPUTED_VALUE"""),"crds")</f>
        <v>crds</v>
      </c>
      <c r="B2997" s="4" t="str">
        <f>IFERROR(__xludf.DUMMYFUNCTION("""COMPUTED_VALUE"""),"crds")</f>
        <v>crds</v>
      </c>
      <c r="C2997" s="4" t="str">
        <f>IFERROR(__xludf.DUMMYFUNCTION("""COMPUTED_VALUE"""),"Cradles")</f>
        <v>Cradles</v>
      </c>
    </row>
    <row r="2998">
      <c r="A2998" s="4" t="str">
        <f>IFERROR(__xludf.DUMMYFUNCTION("""COMPUTED_VALUE"""),"cream")</f>
        <v>cream</v>
      </c>
      <c r="B2998" s="4" t="str">
        <f>IFERROR(__xludf.DUMMYFUNCTION("""COMPUTED_VALUE"""),"crm")</f>
        <v>crm</v>
      </c>
      <c r="C2998" s="4" t="str">
        <f>IFERROR(__xludf.DUMMYFUNCTION("""COMPUTED_VALUE"""),"Creamcoin")</f>
        <v>Creamcoin</v>
      </c>
    </row>
    <row r="2999">
      <c r="A2999" s="4" t="str">
        <f>IFERROR(__xludf.DUMMYFUNCTION("""COMPUTED_VALUE"""),"cream-2")</f>
        <v>cream-2</v>
      </c>
      <c r="B2999" s="4" t="str">
        <f>IFERROR(__xludf.DUMMYFUNCTION("""COMPUTED_VALUE"""),"cream")</f>
        <v>cream</v>
      </c>
      <c r="C2999" s="4" t="str">
        <f>IFERROR(__xludf.DUMMYFUNCTION("""COMPUTED_VALUE"""),"Cream")</f>
        <v>Cream</v>
      </c>
    </row>
    <row r="3000">
      <c r="A3000" s="4" t="str">
        <f>IFERROR(__xludf.DUMMYFUNCTION("""COMPUTED_VALUE"""),"creamlands")</f>
        <v>creamlands</v>
      </c>
      <c r="B3000" s="4" t="str">
        <f>IFERROR(__xludf.DUMMYFUNCTION("""COMPUTED_VALUE"""),"cream")</f>
        <v>cream</v>
      </c>
      <c r="C3000" s="4" t="str">
        <f>IFERROR(__xludf.DUMMYFUNCTION("""COMPUTED_VALUE"""),"Creamlands")</f>
        <v>Creamlands</v>
      </c>
    </row>
    <row r="3001">
      <c r="A3001" s="4" t="str">
        <f>IFERROR(__xludf.DUMMYFUNCTION("""COMPUTED_VALUE"""),"creamy")</f>
        <v>creamy</v>
      </c>
      <c r="B3001" s="4" t="str">
        <f>IFERROR(__xludf.DUMMYFUNCTION("""COMPUTED_VALUE"""),"creamy")</f>
        <v>creamy</v>
      </c>
      <c r="C3001" s="4" t="str">
        <f>IFERROR(__xludf.DUMMYFUNCTION("""COMPUTED_VALUE"""),"Creamy")</f>
        <v>Creamy</v>
      </c>
    </row>
    <row r="3002">
      <c r="A3002" s="4" t="str">
        <f>IFERROR(__xludf.DUMMYFUNCTION("""COMPUTED_VALUE"""),"creaticles")</f>
        <v>creaticles</v>
      </c>
      <c r="B3002" s="4" t="str">
        <f>IFERROR(__xludf.DUMMYFUNCTION("""COMPUTED_VALUE"""),"cre8")</f>
        <v>cre8</v>
      </c>
      <c r="C3002" s="4" t="str">
        <f>IFERROR(__xludf.DUMMYFUNCTION("""COMPUTED_VALUE"""),"Creaticles")</f>
        <v>Creaticles</v>
      </c>
    </row>
    <row r="3003">
      <c r="A3003" s="4" t="str">
        <f>IFERROR(__xludf.DUMMYFUNCTION("""COMPUTED_VALUE"""),"creatopy-builder")</f>
        <v>creatopy-builder</v>
      </c>
      <c r="B3003" s="4" t="str">
        <f>IFERROR(__xludf.DUMMYFUNCTION("""COMPUTED_VALUE"""),"creatopy")</f>
        <v>creatopy</v>
      </c>
      <c r="C3003" s="4" t="str">
        <f>IFERROR(__xludf.DUMMYFUNCTION("""COMPUTED_VALUE"""),"Creatopy Builder")</f>
        <v>Creatopy Builder</v>
      </c>
    </row>
    <row r="3004">
      <c r="A3004" s="4" t="str">
        <f>IFERROR(__xludf.DUMMYFUNCTION("""COMPUTED_VALUE"""),"creat-or")</f>
        <v>creat-or</v>
      </c>
      <c r="B3004" s="4" t="str">
        <f>IFERROR(__xludf.DUMMYFUNCTION("""COMPUTED_VALUE"""),"cret")</f>
        <v>cret</v>
      </c>
      <c r="C3004" s="4" t="str">
        <f>IFERROR(__xludf.DUMMYFUNCTION("""COMPUTED_VALUE"""),"CREAT'OR")</f>
        <v>CREAT'OR</v>
      </c>
    </row>
    <row r="3005">
      <c r="A3005" s="4" t="str">
        <f>IFERROR(__xludf.DUMMYFUNCTION("""COMPUTED_VALUE"""),"creator-platform")</f>
        <v>creator-platform</v>
      </c>
      <c r="B3005" s="4" t="str">
        <f>IFERROR(__xludf.DUMMYFUNCTION("""COMPUTED_VALUE"""),"ctr")</f>
        <v>ctr</v>
      </c>
      <c r="C3005" s="4" t="str">
        <f>IFERROR(__xludf.DUMMYFUNCTION("""COMPUTED_VALUE"""),"Creator Platform")</f>
        <v>Creator Platform</v>
      </c>
    </row>
    <row r="3006">
      <c r="A3006" s="4" t="str">
        <f>IFERROR(__xludf.DUMMYFUNCTION("""COMPUTED_VALUE"""),"creda")</f>
        <v>creda</v>
      </c>
      <c r="B3006" s="4" t="str">
        <f>IFERROR(__xludf.DUMMYFUNCTION("""COMPUTED_VALUE"""),"creda")</f>
        <v>creda</v>
      </c>
      <c r="C3006" s="4" t="str">
        <f>IFERROR(__xludf.DUMMYFUNCTION("""COMPUTED_VALUE"""),"CreDA")</f>
        <v>CreDA</v>
      </c>
    </row>
    <row r="3007">
      <c r="A3007" s="4" t="str">
        <f>IFERROR(__xludf.DUMMYFUNCTION("""COMPUTED_VALUE"""),"credefi")</f>
        <v>credefi</v>
      </c>
      <c r="B3007" s="4" t="str">
        <f>IFERROR(__xludf.DUMMYFUNCTION("""COMPUTED_VALUE"""),"credi")</f>
        <v>credi</v>
      </c>
      <c r="C3007" s="4" t="str">
        <f>IFERROR(__xludf.DUMMYFUNCTION("""COMPUTED_VALUE"""),"Credefi")</f>
        <v>Credefi</v>
      </c>
    </row>
    <row r="3008">
      <c r="A3008" s="4" t="str">
        <f>IFERROR(__xludf.DUMMYFUNCTION("""COMPUTED_VALUE"""),"credit-2")</f>
        <v>credit-2</v>
      </c>
      <c r="B3008" s="4" t="str">
        <f>IFERROR(__xludf.DUMMYFUNCTION("""COMPUTED_VALUE"""),"credit")</f>
        <v>credit</v>
      </c>
      <c r="C3008" s="4" t="str">
        <f>IFERROR(__xludf.DUMMYFUNCTION("""COMPUTED_VALUE"""),"PROXI DeFi")</f>
        <v>PROXI DeFi</v>
      </c>
    </row>
    <row r="3009">
      <c r="A3009" s="4" t="str">
        <f>IFERROR(__xludf.DUMMYFUNCTION("""COMPUTED_VALUE"""),"creditcoin-2")</f>
        <v>creditcoin-2</v>
      </c>
      <c r="B3009" s="4" t="str">
        <f>IFERROR(__xludf.DUMMYFUNCTION("""COMPUTED_VALUE"""),"ctc")</f>
        <v>ctc</v>
      </c>
      <c r="C3009" s="4" t="str">
        <f>IFERROR(__xludf.DUMMYFUNCTION("""COMPUTED_VALUE"""),"Creditcoin")</f>
        <v>Creditcoin</v>
      </c>
    </row>
    <row r="3010">
      <c r="A3010" s="4" t="str">
        <f>IFERROR(__xludf.DUMMYFUNCTION("""COMPUTED_VALUE"""),"credits")</f>
        <v>credits</v>
      </c>
      <c r="B3010" s="4" t="str">
        <f>IFERROR(__xludf.DUMMYFUNCTION("""COMPUTED_VALUE"""),"cs")</f>
        <v>cs</v>
      </c>
      <c r="C3010" s="4" t="str">
        <f>IFERROR(__xludf.DUMMYFUNCTION("""COMPUTED_VALUE"""),"CREDITS")</f>
        <v>CREDITS</v>
      </c>
    </row>
    <row r="3011">
      <c r="A3011" s="4" t="str">
        <f>IFERROR(__xludf.DUMMYFUNCTION("""COMPUTED_VALUE"""),"cremate")</f>
        <v>cremate</v>
      </c>
      <c r="B3011" s="4" t="str">
        <f>IFERROR(__xludf.DUMMYFUNCTION("""COMPUTED_VALUE"""),"crmt")</f>
        <v>crmt</v>
      </c>
      <c r="C3011" s="4" t="str">
        <f>IFERROR(__xludf.DUMMYFUNCTION("""COMPUTED_VALUE"""),"Cremate")</f>
        <v>Cremate</v>
      </c>
    </row>
    <row r="3012">
      <c r="A3012" s="4" t="str">
        <f>IFERROR(__xludf.DUMMYFUNCTION("""COMPUTED_VALUE"""),"cremation-coin")</f>
        <v>cremation-coin</v>
      </c>
      <c r="B3012" s="4" t="str">
        <f>IFERROR(__xludf.DUMMYFUNCTION("""COMPUTED_VALUE"""),"cremat")</f>
        <v>cremat</v>
      </c>
      <c r="C3012" s="4" t="str">
        <f>IFERROR(__xludf.DUMMYFUNCTION("""COMPUTED_VALUE"""),"Cremation Coin")</f>
        <v>Cremation Coin</v>
      </c>
    </row>
    <row r="3013">
      <c r="A3013" s="4" t="str">
        <f>IFERROR(__xludf.DUMMYFUNCTION("""COMPUTED_VALUE"""),"creo-engine")</f>
        <v>creo-engine</v>
      </c>
      <c r="B3013" s="4" t="str">
        <f>IFERROR(__xludf.DUMMYFUNCTION("""COMPUTED_VALUE"""),"creo")</f>
        <v>creo</v>
      </c>
      <c r="C3013" s="4" t="str">
        <f>IFERROR(__xludf.DUMMYFUNCTION("""COMPUTED_VALUE"""),"Creo Engine")</f>
        <v>Creo Engine</v>
      </c>
    </row>
    <row r="3014">
      <c r="A3014" s="4" t="str">
        <f>IFERROR(__xludf.DUMMYFUNCTION("""COMPUTED_VALUE"""),"crescent-network")</f>
        <v>crescent-network</v>
      </c>
      <c r="B3014" s="4" t="str">
        <f>IFERROR(__xludf.DUMMYFUNCTION("""COMPUTED_VALUE"""),"cre")</f>
        <v>cre</v>
      </c>
      <c r="C3014" s="4" t="str">
        <f>IFERROR(__xludf.DUMMYFUNCTION("""COMPUTED_VALUE"""),"Crescent Network")</f>
        <v>Crescent Network</v>
      </c>
    </row>
    <row r="3015">
      <c r="A3015" s="4" t="str">
        <f>IFERROR(__xludf.DUMMYFUNCTION("""COMPUTED_VALUE"""),"crescentswap-moonlight")</f>
        <v>crescentswap-moonlight</v>
      </c>
      <c r="B3015" s="4" t="str">
        <f>IFERROR(__xludf.DUMMYFUNCTION("""COMPUTED_VALUE"""),"mnlt")</f>
        <v>mnlt</v>
      </c>
      <c r="C3015" s="4" t="str">
        <f>IFERROR(__xludf.DUMMYFUNCTION("""COMPUTED_VALUE"""),"Crescentswap Moonlight")</f>
        <v>Crescentswap Moonlight</v>
      </c>
    </row>
    <row r="3016">
      <c r="A3016" s="4" t="str">
        <f>IFERROR(__xludf.DUMMYFUNCTION("""COMPUTED_VALUE"""),"crescite")</f>
        <v>crescite</v>
      </c>
      <c r="B3016" s="4" t="str">
        <f>IFERROR(__xludf.DUMMYFUNCTION("""COMPUTED_VALUE"""),"crescite")</f>
        <v>crescite</v>
      </c>
      <c r="C3016" s="4" t="str">
        <f>IFERROR(__xludf.DUMMYFUNCTION("""COMPUTED_VALUE"""),"Crescite")</f>
        <v>Crescite</v>
      </c>
    </row>
    <row r="3017">
      <c r="A3017" s="4" t="str">
        <f>IFERROR(__xludf.DUMMYFUNCTION("""COMPUTED_VALUE"""),"cresio")</f>
        <v>cresio</v>
      </c>
      <c r="B3017" s="4" t="str">
        <f>IFERROR(__xludf.DUMMYFUNCTION("""COMPUTED_VALUE"""),"xcre")</f>
        <v>xcre</v>
      </c>
      <c r="C3017" s="4" t="str">
        <f>IFERROR(__xludf.DUMMYFUNCTION("""COMPUTED_VALUE"""),"Cresio")</f>
        <v>Cresio</v>
      </c>
    </row>
    <row r="3018">
      <c r="A3018" s="4" t="str">
        <f>IFERROR(__xludf.DUMMYFUNCTION("""COMPUTED_VALUE"""),"creso")</f>
        <v>creso</v>
      </c>
      <c r="B3018" s="4" t="str">
        <f>IFERROR(__xludf.DUMMYFUNCTION("""COMPUTED_VALUE"""),"cre")</f>
        <v>cre</v>
      </c>
      <c r="C3018" s="4" t="str">
        <f>IFERROR(__xludf.DUMMYFUNCTION("""COMPUTED_VALUE"""),"Creso [OLD]")</f>
        <v>Creso [OLD]</v>
      </c>
    </row>
    <row r="3019">
      <c r="A3019" s="4" t="str">
        <f>IFERROR(__xludf.DUMMYFUNCTION("""COMPUTED_VALUE"""),"creso-2")</f>
        <v>creso-2</v>
      </c>
      <c r="B3019" s="4" t="str">
        <f>IFERROR(__xludf.DUMMYFUNCTION("""COMPUTED_VALUE"""),"cre")</f>
        <v>cre</v>
      </c>
      <c r="C3019" s="4" t="str">
        <f>IFERROR(__xludf.DUMMYFUNCTION("""COMPUTED_VALUE"""),"Creso")</f>
        <v>Creso</v>
      </c>
    </row>
    <row r="3020">
      <c r="A3020" s="4" t="str">
        <f>IFERROR(__xludf.DUMMYFUNCTION("""COMPUTED_VALUE"""),"creta-world")</f>
        <v>creta-world</v>
      </c>
      <c r="B3020" s="4" t="str">
        <f>IFERROR(__xludf.DUMMYFUNCTION("""COMPUTED_VALUE"""),"creta")</f>
        <v>creta</v>
      </c>
      <c r="C3020" s="4" t="str">
        <f>IFERROR(__xludf.DUMMYFUNCTION("""COMPUTED_VALUE"""),"Creta World")</f>
        <v>Creta World</v>
      </c>
    </row>
    <row r="3021">
      <c r="A3021" s="4" t="str">
        <f>IFERROR(__xludf.DUMMYFUNCTION("""COMPUTED_VALUE"""),"cri3x")</f>
        <v>cri3x</v>
      </c>
      <c r="B3021" s="4" t="str">
        <f>IFERROR(__xludf.DUMMYFUNCTION("""COMPUTED_VALUE"""),"cri3x")</f>
        <v>cri3x</v>
      </c>
      <c r="C3021" s="4" t="str">
        <f>IFERROR(__xludf.DUMMYFUNCTION("""COMPUTED_VALUE"""),"Cri3x")</f>
        <v>Cri3x</v>
      </c>
    </row>
    <row r="3022">
      <c r="A3022" s="4" t="str">
        <f>IFERROR(__xludf.DUMMYFUNCTION("""COMPUTED_VALUE"""),"cricket-foundation")</f>
        <v>cricket-foundation</v>
      </c>
      <c r="B3022" s="4" t="str">
        <f>IFERROR(__xludf.DUMMYFUNCTION("""COMPUTED_VALUE"""),"cric")</f>
        <v>cric</v>
      </c>
      <c r="C3022" s="4" t="str">
        <f>IFERROR(__xludf.DUMMYFUNCTION("""COMPUTED_VALUE"""),"Cricket Foundation")</f>
        <v>Cricket Foundation</v>
      </c>
    </row>
    <row r="3023">
      <c r="A3023" s="4" t="str">
        <f>IFERROR(__xludf.DUMMYFUNCTION("""COMPUTED_VALUE"""),"cricket-star-manager")</f>
        <v>cricket-star-manager</v>
      </c>
      <c r="B3023" s="4" t="str">
        <f>IFERROR(__xludf.DUMMYFUNCTION("""COMPUTED_VALUE"""),"csm")</f>
        <v>csm</v>
      </c>
      <c r="C3023" s="4" t="str">
        <f>IFERROR(__xludf.DUMMYFUNCTION("""COMPUTED_VALUE"""),"Cricket Star Manager")</f>
        <v>Cricket Star Manager</v>
      </c>
    </row>
    <row r="3024">
      <c r="A3024" s="4" t="str">
        <f>IFERROR(__xludf.DUMMYFUNCTION("""COMPUTED_VALUE"""),"crimson")</f>
        <v>crimson</v>
      </c>
      <c r="B3024" s="4" t="str">
        <f>IFERROR(__xludf.DUMMYFUNCTION("""COMPUTED_VALUE"""),"crm")</f>
        <v>crm</v>
      </c>
      <c r="C3024" s="4" t="str">
        <f>IFERROR(__xludf.DUMMYFUNCTION("""COMPUTED_VALUE"""),"Crimson")</f>
        <v>Crimson</v>
      </c>
    </row>
    <row r="3025">
      <c r="A3025" s="4" t="str">
        <f>IFERROR(__xludf.DUMMYFUNCTION("""COMPUTED_VALUE"""),"crimson-network")</f>
        <v>crimson-network</v>
      </c>
      <c r="B3025" s="4" t="str">
        <f>IFERROR(__xludf.DUMMYFUNCTION("""COMPUTED_VALUE"""),"crimson")</f>
        <v>crimson</v>
      </c>
      <c r="C3025" s="4" t="str">
        <f>IFERROR(__xludf.DUMMYFUNCTION("""COMPUTED_VALUE"""),"Crimson Network")</f>
        <v>Crimson Network</v>
      </c>
    </row>
    <row r="3026">
      <c r="A3026" s="4" t="str">
        <f>IFERROR(__xludf.DUMMYFUNCTION("""COMPUTED_VALUE"""),"criptoville-coins-2")</f>
        <v>criptoville-coins-2</v>
      </c>
      <c r="B3026" s="4" t="str">
        <f>IFERROR(__xludf.DUMMYFUNCTION("""COMPUTED_VALUE"""),"cvlc2")</f>
        <v>cvlc2</v>
      </c>
      <c r="C3026" s="4" t="str">
        <f>IFERROR(__xludf.DUMMYFUNCTION("""COMPUTED_VALUE"""),"CriptoVille Coins 2")</f>
        <v>CriptoVille Coins 2</v>
      </c>
    </row>
    <row r="3027">
      <c r="A3027" s="4" t="str">
        <f>IFERROR(__xludf.DUMMYFUNCTION("""COMPUTED_VALUE"""),"crisp-scored-mangroves")</f>
        <v>crisp-scored-mangroves</v>
      </c>
      <c r="B3027" s="4" t="str">
        <f>IFERROR(__xludf.DUMMYFUNCTION("""COMPUTED_VALUE"""),"crisp-m")</f>
        <v>crisp-m</v>
      </c>
      <c r="C3027" s="4" t="str">
        <f>IFERROR(__xludf.DUMMYFUNCTION("""COMPUTED_VALUE"""),"CRISP Scored Mangroves")</f>
        <v>CRISP Scored Mangroves</v>
      </c>
    </row>
    <row r="3028">
      <c r="A3028" s="4" t="str">
        <f>IFERROR(__xludf.DUMMYFUNCTION("""COMPUTED_VALUE"""),"croatian-ff-fan-token")</f>
        <v>croatian-ff-fan-token</v>
      </c>
      <c r="B3028" s="4" t="str">
        <f>IFERROR(__xludf.DUMMYFUNCTION("""COMPUTED_VALUE"""),"vatreni")</f>
        <v>vatreni</v>
      </c>
      <c r="C3028" s="4" t="str">
        <f>IFERROR(__xludf.DUMMYFUNCTION("""COMPUTED_VALUE"""),"Croatian FF Fan Token")</f>
        <v>Croatian FF Fan Token</v>
      </c>
    </row>
    <row r="3029">
      <c r="A3029" s="4" t="str">
        <f>IFERROR(__xludf.DUMMYFUNCTION("""COMPUTED_VALUE"""),"crocbot")</f>
        <v>crocbot</v>
      </c>
      <c r="B3029" s="4" t="str">
        <f>IFERROR(__xludf.DUMMYFUNCTION("""COMPUTED_VALUE"""),"croc")</f>
        <v>croc</v>
      </c>
      <c r="C3029" s="4" t="str">
        <f>IFERROR(__xludf.DUMMYFUNCTION("""COMPUTED_VALUE"""),"CrocBot")</f>
        <v>CrocBot</v>
      </c>
    </row>
    <row r="3030">
      <c r="A3030" s="4" t="str">
        <f>IFERROR(__xludf.DUMMYFUNCTION("""COMPUTED_VALUE"""),"croc-cat")</f>
        <v>croc-cat</v>
      </c>
      <c r="B3030" s="4" t="str">
        <f>IFERROR(__xludf.DUMMYFUNCTION("""COMPUTED_VALUE"""),"croc")</f>
        <v>croc</v>
      </c>
      <c r="C3030" s="4" t="str">
        <f>IFERROR(__xludf.DUMMYFUNCTION("""COMPUTED_VALUE"""),"Croc CAT")</f>
        <v>Croc CAT</v>
      </c>
    </row>
    <row r="3031">
      <c r="A3031" s="4" t="str">
        <f>IFERROR(__xludf.DUMMYFUNCTION("""COMPUTED_VALUE"""),"crocdog")</f>
        <v>crocdog</v>
      </c>
      <c r="B3031" s="4" t="str">
        <f>IFERROR(__xludf.DUMMYFUNCTION("""COMPUTED_VALUE"""),"crocdog")</f>
        <v>crocdog</v>
      </c>
      <c r="C3031" s="4" t="str">
        <f>IFERROR(__xludf.DUMMYFUNCTION("""COMPUTED_VALUE"""),"Crocdog")</f>
        <v>Crocdog</v>
      </c>
    </row>
    <row r="3032">
      <c r="A3032" s="4" t="str">
        <f>IFERROR(__xludf.DUMMYFUNCTION("""COMPUTED_VALUE"""),"crochet-world")</f>
        <v>crochet-world</v>
      </c>
      <c r="B3032" s="4" t="str">
        <f>IFERROR(__xludf.DUMMYFUNCTION("""COMPUTED_VALUE"""),"crochet")</f>
        <v>crochet</v>
      </c>
      <c r="C3032" s="4" t="str">
        <f>IFERROR(__xludf.DUMMYFUNCTION("""COMPUTED_VALUE"""),"Crochet World")</f>
        <v>Crochet World</v>
      </c>
    </row>
    <row r="3033">
      <c r="A3033" s="4" t="str">
        <f>IFERROR(__xludf.DUMMYFUNCTION("""COMPUTED_VALUE"""),"croco")</f>
        <v>croco</v>
      </c>
      <c r="B3033" s="4" t="str">
        <f>IFERROR(__xludf.DUMMYFUNCTION("""COMPUTED_VALUE"""),"$croco")</f>
        <v>$croco</v>
      </c>
      <c r="C3033" s="4" t="str">
        <f>IFERROR(__xludf.DUMMYFUNCTION("""COMPUTED_VALUE"""),"Croco")</f>
        <v>Croco</v>
      </c>
    </row>
    <row r="3034">
      <c r="A3034" s="4" t="str">
        <f>IFERROR(__xludf.DUMMYFUNCTION("""COMPUTED_VALUE"""),"crodex")</f>
        <v>crodex</v>
      </c>
      <c r="B3034" s="4" t="str">
        <f>IFERROR(__xludf.DUMMYFUNCTION("""COMPUTED_VALUE"""),"crx")</f>
        <v>crx</v>
      </c>
      <c r="C3034" s="4" t="str">
        <f>IFERROR(__xludf.DUMMYFUNCTION("""COMPUTED_VALUE"""),"Crodex")</f>
        <v>Crodex</v>
      </c>
    </row>
    <row r="3035">
      <c r="A3035" s="4" t="str">
        <f>IFERROR(__xludf.DUMMYFUNCTION("""COMPUTED_VALUE"""),"crodie")</f>
        <v>crodie</v>
      </c>
      <c r="B3035" s="4" t="str">
        <f>IFERROR(__xludf.DUMMYFUNCTION("""COMPUTED_VALUE"""),"crodie")</f>
        <v>crodie</v>
      </c>
      <c r="C3035" s="4" t="str">
        <f>IFERROR(__xludf.DUMMYFUNCTION("""COMPUTED_VALUE"""),"Crodie")</f>
        <v>Crodie</v>
      </c>
    </row>
    <row r="3036">
      <c r="A3036" s="4" t="str">
        <f>IFERROR(__xludf.DUMMYFUNCTION("""COMPUTED_VALUE"""),"crogecoin")</f>
        <v>crogecoin</v>
      </c>
      <c r="B3036" s="4" t="str">
        <f>IFERROR(__xludf.DUMMYFUNCTION("""COMPUTED_VALUE"""),"croge")</f>
        <v>croge</v>
      </c>
      <c r="C3036" s="4" t="str">
        <f>IFERROR(__xludf.DUMMYFUNCTION("""COMPUTED_VALUE"""),"Crogecoin")</f>
        <v>Crogecoin</v>
      </c>
    </row>
    <row r="3037">
      <c r="A3037" s="4" t="str">
        <f>IFERROR(__xludf.DUMMYFUNCTION("""COMPUTED_VALUE"""),"croissant-games")</f>
        <v>croissant-games</v>
      </c>
      <c r="B3037" s="4" t="str">
        <f>IFERROR(__xludf.DUMMYFUNCTION("""COMPUTED_VALUE"""),"croissant")</f>
        <v>croissant</v>
      </c>
      <c r="C3037" s="4" t="str">
        <f>IFERROR(__xludf.DUMMYFUNCTION("""COMPUTED_VALUE"""),"Croissant Games")</f>
        <v>Croissant Games</v>
      </c>
    </row>
    <row r="3038">
      <c r="A3038" s="4" t="str">
        <f>IFERROR(__xludf.DUMMYFUNCTION("""COMPUTED_VALUE"""),"croking")</f>
        <v>croking</v>
      </c>
      <c r="B3038" s="4" t="str">
        <f>IFERROR(__xludf.DUMMYFUNCTION("""COMPUTED_VALUE"""),"crk")</f>
        <v>crk</v>
      </c>
      <c r="C3038" s="4" t="str">
        <f>IFERROR(__xludf.DUMMYFUNCTION("""COMPUTED_VALUE"""),"Croking")</f>
        <v>Croking</v>
      </c>
    </row>
    <row r="3039">
      <c r="A3039" s="4" t="str">
        <f>IFERROR(__xludf.DUMMYFUNCTION("""COMPUTED_VALUE"""),"crolon-mars")</f>
        <v>crolon-mars</v>
      </c>
      <c r="B3039" s="4" t="str">
        <f>IFERROR(__xludf.DUMMYFUNCTION("""COMPUTED_VALUE"""),"clmrs")</f>
        <v>clmrs</v>
      </c>
      <c r="C3039" s="4" t="str">
        <f>IFERROR(__xludf.DUMMYFUNCTION("""COMPUTED_VALUE"""),"Crolon Mars")</f>
        <v>Crolon Mars</v>
      </c>
    </row>
    <row r="3040">
      <c r="A3040" s="4" t="str">
        <f>IFERROR(__xludf.DUMMYFUNCTION("""COMPUTED_VALUE"""),"cronaswap")</f>
        <v>cronaswap</v>
      </c>
      <c r="B3040" s="4" t="str">
        <f>IFERROR(__xludf.DUMMYFUNCTION("""COMPUTED_VALUE"""),"crona")</f>
        <v>crona</v>
      </c>
      <c r="C3040" s="4" t="str">
        <f>IFERROR(__xludf.DUMMYFUNCTION("""COMPUTED_VALUE"""),"CronaSwap")</f>
        <v>CronaSwap</v>
      </c>
    </row>
    <row r="3041">
      <c r="A3041" s="4" t="str">
        <f>IFERROR(__xludf.DUMMYFUNCTION("""COMPUTED_VALUE"""),"cronk")</f>
        <v>cronk</v>
      </c>
      <c r="B3041" s="4" t="str">
        <f>IFERROR(__xludf.DUMMYFUNCTION("""COMPUTED_VALUE"""),"cronk")</f>
        <v>cronk</v>
      </c>
      <c r="C3041" s="4" t="str">
        <f>IFERROR(__xludf.DUMMYFUNCTION("""COMPUTED_VALUE"""),"CRONK")</f>
        <v>CRONK</v>
      </c>
    </row>
    <row r="3042">
      <c r="A3042" s="4" t="str">
        <f>IFERROR(__xludf.DUMMYFUNCTION("""COMPUTED_VALUE"""),"cronos-bridged-usdc-cronos")</f>
        <v>cronos-bridged-usdc-cronos</v>
      </c>
      <c r="B3042" s="4" t="str">
        <f>IFERROR(__xludf.DUMMYFUNCTION("""COMPUTED_VALUE"""),"usdc")</f>
        <v>usdc</v>
      </c>
      <c r="C3042" s="4" t="str">
        <f>IFERROR(__xludf.DUMMYFUNCTION("""COMPUTED_VALUE"""),"Cronos Bridged USDC (Cronos)")</f>
        <v>Cronos Bridged USDC (Cronos)</v>
      </c>
    </row>
    <row r="3043">
      <c r="A3043" s="4" t="str">
        <f>IFERROR(__xludf.DUMMYFUNCTION("""COMPUTED_VALUE"""),"cronos-bridged-usdt-cronos")</f>
        <v>cronos-bridged-usdt-cronos</v>
      </c>
      <c r="B3043" s="4" t="str">
        <f>IFERROR(__xludf.DUMMYFUNCTION("""COMPUTED_VALUE"""),"usdt")</f>
        <v>usdt</v>
      </c>
      <c r="C3043" s="4" t="str">
        <f>IFERROR(__xludf.DUMMYFUNCTION("""COMPUTED_VALUE"""),"Cronos Bridged USDT (Cronos)")</f>
        <v>Cronos Bridged USDT (Cronos)</v>
      </c>
    </row>
    <row r="3044">
      <c r="A3044" s="4" t="str">
        <f>IFERROR(__xludf.DUMMYFUNCTION("""COMPUTED_VALUE"""),"cronos-id")</f>
        <v>cronos-id</v>
      </c>
      <c r="B3044" s="4" t="str">
        <f>IFERROR(__xludf.DUMMYFUNCTION("""COMPUTED_VALUE"""),"croid")</f>
        <v>croid</v>
      </c>
      <c r="C3044" s="4" t="str">
        <f>IFERROR(__xludf.DUMMYFUNCTION("""COMPUTED_VALUE"""),"Cronos ID")</f>
        <v>Cronos ID</v>
      </c>
    </row>
    <row r="3045">
      <c r="A3045" s="4" t="str">
        <f>IFERROR(__xludf.DUMMYFUNCTION("""COMPUTED_VALUE"""),"cronosverse")</f>
        <v>cronosverse</v>
      </c>
      <c r="B3045" s="4" t="str">
        <f>IFERROR(__xludf.DUMMYFUNCTION("""COMPUTED_VALUE"""),"vrse")</f>
        <v>vrse</v>
      </c>
      <c r="C3045" s="4" t="str">
        <f>IFERROR(__xludf.DUMMYFUNCTION("""COMPUTED_VALUE"""),"CronosVerse")</f>
        <v>CronosVerse</v>
      </c>
    </row>
    <row r="3046">
      <c r="A3046" s="4" t="str">
        <f>IFERROR(__xludf.DUMMYFUNCTION("""COMPUTED_VALUE"""),"cronus")</f>
        <v>cronus</v>
      </c>
      <c r="B3046" s="4" t="str">
        <f>IFERROR(__xludf.DUMMYFUNCTION("""COMPUTED_VALUE"""),"cronus")</f>
        <v>cronus</v>
      </c>
      <c r="C3046" s="4" t="str">
        <f>IFERROR(__xludf.DUMMYFUNCTION("""COMPUTED_VALUE"""),"CRONUS")</f>
        <v>CRONUS</v>
      </c>
    </row>
    <row r="3047">
      <c r="A3047" s="4" t="str">
        <f>IFERROR(__xludf.DUMMYFUNCTION("""COMPUTED_VALUE"""),"cropbytes")</f>
        <v>cropbytes</v>
      </c>
      <c r="B3047" s="4" t="str">
        <f>IFERROR(__xludf.DUMMYFUNCTION("""COMPUTED_VALUE"""),"cbx")</f>
        <v>cbx</v>
      </c>
      <c r="C3047" s="4" t="str">
        <f>IFERROR(__xludf.DUMMYFUNCTION("""COMPUTED_VALUE"""),"CropBytes")</f>
        <v>CropBytes</v>
      </c>
    </row>
    <row r="3048">
      <c r="A3048" s="4" t="str">
        <f>IFERROR(__xludf.DUMMYFUNCTION("""COMPUTED_VALUE"""),"cropperfinance")</f>
        <v>cropperfinance</v>
      </c>
      <c r="B3048" s="4" t="str">
        <f>IFERROR(__xludf.DUMMYFUNCTION("""COMPUTED_VALUE"""),"crp")</f>
        <v>crp</v>
      </c>
      <c r="C3048" s="4" t="str">
        <f>IFERROR(__xludf.DUMMYFUNCTION("""COMPUTED_VALUE"""),"CropperFinance")</f>
        <v>CropperFinance</v>
      </c>
    </row>
    <row r="3049">
      <c r="A3049" s="4" t="str">
        <f>IFERROR(__xludf.DUMMYFUNCTION("""COMPUTED_VALUE"""),"cropto-barley-token")</f>
        <v>cropto-barley-token</v>
      </c>
      <c r="B3049" s="4" t="str">
        <f>IFERROR(__xludf.DUMMYFUNCTION("""COMPUTED_VALUE"""),"crob")</f>
        <v>crob</v>
      </c>
      <c r="C3049" s="4" t="str">
        <f>IFERROR(__xludf.DUMMYFUNCTION("""COMPUTED_VALUE"""),"Cropto Barley Token")</f>
        <v>Cropto Barley Token</v>
      </c>
    </row>
    <row r="3050">
      <c r="A3050" s="4" t="str">
        <f>IFERROR(__xludf.DUMMYFUNCTION("""COMPUTED_VALUE"""),"cropto-corn-token")</f>
        <v>cropto-corn-token</v>
      </c>
      <c r="B3050" s="4" t="str">
        <f>IFERROR(__xludf.DUMMYFUNCTION("""COMPUTED_VALUE"""),"croc")</f>
        <v>croc</v>
      </c>
      <c r="C3050" s="4" t="str">
        <f>IFERROR(__xludf.DUMMYFUNCTION("""COMPUTED_VALUE"""),"Cropto Corn Token")</f>
        <v>Cropto Corn Token</v>
      </c>
    </row>
    <row r="3051">
      <c r="A3051" s="4" t="str">
        <f>IFERROR(__xludf.DUMMYFUNCTION("""COMPUTED_VALUE"""),"cropto-hazelnut-token")</f>
        <v>cropto-hazelnut-token</v>
      </c>
      <c r="B3051" s="4" t="str">
        <f>IFERROR(__xludf.DUMMYFUNCTION("""COMPUTED_VALUE"""),"crof")</f>
        <v>crof</v>
      </c>
      <c r="C3051" s="4" t="str">
        <f>IFERROR(__xludf.DUMMYFUNCTION("""COMPUTED_VALUE"""),"Cropto Hazelnut Token")</f>
        <v>Cropto Hazelnut Token</v>
      </c>
    </row>
    <row r="3052">
      <c r="A3052" s="4" t="str">
        <f>IFERROR(__xludf.DUMMYFUNCTION("""COMPUTED_VALUE"""),"cropto-wheat-token")</f>
        <v>cropto-wheat-token</v>
      </c>
      <c r="B3052" s="4" t="str">
        <f>IFERROR(__xludf.DUMMYFUNCTION("""COMPUTED_VALUE"""),"crow")</f>
        <v>crow</v>
      </c>
      <c r="C3052" s="4" t="str">
        <f>IFERROR(__xludf.DUMMYFUNCTION("""COMPUTED_VALUE"""),"Cropto Wheat Token")</f>
        <v>Cropto Wheat Token</v>
      </c>
    </row>
    <row r="3053">
      <c r="A3053" s="4" t="str">
        <f>IFERROR(__xludf.DUMMYFUNCTION("""COMPUTED_VALUE"""),"cross-chain-bridge")</f>
        <v>cross-chain-bridge</v>
      </c>
      <c r="B3053" s="4" t="str">
        <f>IFERROR(__xludf.DUMMYFUNCTION("""COMPUTED_VALUE"""),"bridge")</f>
        <v>bridge</v>
      </c>
      <c r="C3053" s="4" t="str">
        <f>IFERROR(__xludf.DUMMYFUNCTION("""COMPUTED_VALUE"""),"Cross-Chain Bridge")</f>
        <v>Cross-Chain Bridge</v>
      </c>
    </row>
    <row r="3054">
      <c r="A3054" s="4" t="str">
        <f>IFERROR(__xludf.DUMMYFUNCTION("""COMPUTED_VALUE"""),"cross-chain-degen-dao")</f>
        <v>cross-chain-degen-dao</v>
      </c>
      <c r="B3054" s="4" t="str">
        <f>IFERROR(__xludf.DUMMYFUNCTION("""COMPUTED_VALUE"""),"degen")</f>
        <v>degen</v>
      </c>
      <c r="C3054" s="4" t="str">
        <f>IFERROR(__xludf.DUMMYFUNCTION("""COMPUTED_VALUE"""),"Cross Chain Degen DAO")</f>
        <v>Cross Chain Degen DAO</v>
      </c>
    </row>
    <row r="3055">
      <c r="A3055" s="4" t="str">
        <f>IFERROR(__xludf.DUMMYFUNCTION("""COMPUTED_VALUE"""),"crosschain-iotx")</f>
        <v>crosschain-iotx</v>
      </c>
      <c r="B3055" s="4" t="str">
        <f>IFERROR(__xludf.DUMMYFUNCTION("""COMPUTED_VALUE"""),"ciotx")</f>
        <v>ciotx</v>
      </c>
      <c r="C3055" s="4" t="str">
        <f>IFERROR(__xludf.DUMMYFUNCTION("""COMPUTED_VALUE"""),"Crosschain IOTX")</f>
        <v>Crosschain IOTX</v>
      </c>
    </row>
    <row r="3056">
      <c r="A3056" s="4" t="str">
        <f>IFERROR(__xludf.DUMMYFUNCTION("""COMPUTED_VALUE"""),"crossdex")</f>
        <v>crossdex</v>
      </c>
      <c r="B3056" s="4" t="str">
        <f>IFERROR(__xludf.DUMMYFUNCTION("""COMPUTED_VALUE"""),"cdx")</f>
        <v>cdx</v>
      </c>
      <c r="C3056" s="4" t="str">
        <f>IFERROR(__xludf.DUMMYFUNCTION("""COMPUTED_VALUE"""),"CrossDEX")</f>
        <v>CrossDEX</v>
      </c>
    </row>
    <row r="3057">
      <c r="A3057" s="4" t="str">
        <f>IFERROR(__xludf.DUMMYFUNCTION("""COMPUTED_VALUE"""),"crossfi")</f>
        <v>crossfi</v>
      </c>
      <c r="B3057" s="4" t="str">
        <f>IFERROR(__xludf.DUMMYFUNCTION("""COMPUTED_VALUE"""),"crfi")</f>
        <v>crfi</v>
      </c>
      <c r="C3057" s="4" t="str">
        <f>IFERROR(__xludf.DUMMYFUNCTION("""COMPUTED_VALUE"""),"CrossFi")</f>
        <v>CrossFi</v>
      </c>
    </row>
    <row r="3058">
      <c r="A3058" s="4" t="str">
        <f>IFERROR(__xludf.DUMMYFUNCTION("""COMPUTED_VALUE"""),"crossfi-2")</f>
        <v>crossfi-2</v>
      </c>
      <c r="B3058" s="4" t="str">
        <f>IFERROR(__xludf.DUMMYFUNCTION("""COMPUTED_VALUE"""),"xfi")</f>
        <v>xfi</v>
      </c>
      <c r="C3058" s="4" t="str">
        <f>IFERROR(__xludf.DUMMYFUNCTION("""COMPUTED_VALUE"""),"CrossFi")</f>
        <v>CrossFi</v>
      </c>
    </row>
    <row r="3059">
      <c r="A3059" s="4" t="str">
        <f>IFERROR(__xludf.DUMMYFUNCTION("""COMPUTED_VALUE"""),"crossswap")</f>
        <v>crossswap</v>
      </c>
      <c r="B3059" s="4" t="str">
        <f>IFERROR(__xludf.DUMMYFUNCTION("""COMPUTED_VALUE"""),"cswap")</f>
        <v>cswap</v>
      </c>
      <c r="C3059" s="4" t="str">
        <f>IFERROR(__xludf.DUMMYFUNCTION("""COMPUTED_VALUE"""),"CrossSwap")</f>
        <v>CrossSwap</v>
      </c>
    </row>
    <row r="3060">
      <c r="A3060" s="4" t="str">
        <f>IFERROR(__xludf.DUMMYFUNCTION("""COMPUTED_VALUE"""),"crosswallet")</f>
        <v>crosswallet</v>
      </c>
      <c r="B3060" s="4" t="str">
        <f>IFERROR(__xludf.DUMMYFUNCTION("""COMPUTED_VALUE"""),"cwt")</f>
        <v>cwt</v>
      </c>
      <c r="C3060" s="4" t="str">
        <f>IFERROR(__xludf.DUMMYFUNCTION("""COMPUTED_VALUE"""),"CrossWallet")</f>
        <v>CrossWallet</v>
      </c>
    </row>
    <row r="3061">
      <c r="A3061" s="4" t="str">
        <f>IFERROR(__xludf.DUMMYFUNCTION("""COMPUTED_VALUE"""),"crowdswap")</f>
        <v>crowdswap</v>
      </c>
      <c r="B3061" s="4" t="str">
        <f>IFERROR(__xludf.DUMMYFUNCTION("""COMPUTED_VALUE"""),"crowd")</f>
        <v>crowd</v>
      </c>
      <c r="C3061" s="4" t="str">
        <f>IFERROR(__xludf.DUMMYFUNCTION("""COMPUTED_VALUE"""),"CrowdSwap")</f>
        <v>CrowdSwap</v>
      </c>
    </row>
    <row r="3062">
      <c r="A3062" s="4" t="str">
        <f>IFERROR(__xludf.DUMMYFUNCTION("""COMPUTED_VALUE"""),"crown")</f>
        <v>crown</v>
      </c>
      <c r="B3062" s="4" t="str">
        <f>IFERROR(__xludf.DUMMYFUNCTION("""COMPUTED_VALUE"""),"crw")</f>
        <v>crw</v>
      </c>
      <c r="C3062" s="4" t="str">
        <f>IFERROR(__xludf.DUMMYFUNCTION("""COMPUTED_VALUE"""),"Crown")</f>
        <v>Crown</v>
      </c>
    </row>
    <row r="3063">
      <c r="A3063" s="4" t="str">
        <f>IFERROR(__xludf.DUMMYFUNCTION("""COMPUTED_VALUE"""),"crown-by-third-time-games")</f>
        <v>crown-by-third-time-games</v>
      </c>
      <c r="B3063" s="4" t="str">
        <f>IFERROR(__xludf.DUMMYFUNCTION("""COMPUTED_VALUE"""),"crown")</f>
        <v>crown</v>
      </c>
      <c r="C3063" s="4" t="str">
        <f>IFERROR(__xludf.DUMMYFUNCTION("""COMPUTED_VALUE"""),"Crown by Third Time Games")</f>
        <v>Crown by Third Time Games</v>
      </c>
    </row>
    <row r="3064">
      <c r="A3064" s="4" t="str">
        <f>IFERROR(__xludf.DUMMYFUNCTION("""COMPUTED_VALUE"""),"crowns")</f>
        <v>crowns</v>
      </c>
      <c r="B3064" s="4" t="str">
        <f>IFERROR(__xludf.DUMMYFUNCTION("""COMPUTED_VALUE"""),"cws")</f>
        <v>cws</v>
      </c>
      <c r="C3064" s="4" t="str">
        <f>IFERROR(__xludf.DUMMYFUNCTION("""COMPUTED_VALUE"""),"Seascape Crowns")</f>
        <v>Seascape Crowns</v>
      </c>
    </row>
    <row r="3065">
      <c r="A3065" s="4" t="str">
        <f>IFERROR(__xludf.DUMMYFUNCTION("""COMPUTED_VALUE"""),"crown-sovereign")</f>
        <v>crown-sovereign</v>
      </c>
      <c r="B3065" s="4" t="str">
        <f>IFERROR(__xludf.DUMMYFUNCTION("""COMPUTED_VALUE"""),"csov")</f>
        <v>csov</v>
      </c>
      <c r="C3065" s="4" t="str">
        <f>IFERROR(__xludf.DUMMYFUNCTION("""COMPUTED_VALUE"""),"Crown Sovereign")</f>
        <v>Crown Sovereign</v>
      </c>
    </row>
    <row r="3066">
      <c r="A3066" s="4" t="str">
        <f>IFERROR(__xludf.DUMMYFUNCTION("""COMPUTED_VALUE"""),"crown-token-77469f91-69f6-44dd-b356-152e2c39c0cc")</f>
        <v>crown-token-77469f91-69f6-44dd-b356-152e2c39c0cc</v>
      </c>
      <c r="B3066" s="4" t="str">
        <f>IFERROR(__xludf.DUMMYFUNCTION("""COMPUTED_VALUE"""),"crown")</f>
        <v>crown</v>
      </c>
      <c r="C3066" s="4" t="str">
        <f>IFERROR(__xludf.DUMMYFUNCTION("""COMPUTED_VALUE"""),"Crown Token")</f>
        <v>Crown Token</v>
      </c>
    </row>
    <row r="3067">
      <c r="A3067" s="4" t="str">
        <f>IFERROR(__xludf.DUMMYFUNCTION("""COMPUTED_VALUE"""),"crowny-token")</f>
        <v>crowny-token</v>
      </c>
      <c r="B3067" s="4" t="str">
        <f>IFERROR(__xludf.DUMMYFUNCTION("""COMPUTED_VALUE"""),"crwny")</f>
        <v>crwny</v>
      </c>
      <c r="C3067" s="4" t="str">
        <f>IFERROR(__xludf.DUMMYFUNCTION("""COMPUTED_VALUE"""),"Crowny")</f>
        <v>Crowny</v>
      </c>
    </row>
    <row r="3068">
      <c r="A3068" s="4" t="str">
        <f>IFERROR(__xludf.DUMMYFUNCTION("""COMPUTED_VALUE"""),"crow-with-knife")</f>
        <v>crow-with-knife</v>
      </c>
      <c r="B3068" s="4" t="str">
        <f>IFERROR(__xludf.DUMMYFUNCTION("""COMPUTED_VALUE"""),"caw")</f>
        <v>caw</v>
      </c>
      <c r="C3068" s="4" t="str">
        <f>IFERROR(__xludf.DUMMYFUNCTION("""COMPUTED_VALUE"""),"crow with knife")</f>
        <v>crow with knife</v>
      </c>
    </row>
    <row r="3069">
      <c r="A3069" s="4" t="str">
        <f>IFERROR(__xludf.DUMMYFUNCTION("""COMPUTED_VALUE"""),"crunchcat")</f>
        <v>crunchcat</v>
      </c>
      <c r="B3069" s="4" t="str">
        <f>IFERROR(__xludf.DUMMYFUNCTION("""COMPUTED_VALUE"""),"crunch")</f>
        <v>crunch</v>
      </c>
      <c r="C3069" s="4" t="str">
        <f>IFERROR(__xludf.DUMMYFUNCTION("""COMPUTED_VALUE"""),"Crunchcat")</f>
        <v>Crunchcat</v>
      </c>
    </row>
    <row r="3070">
      <c r="A3070" s="4" t="str">
        <f>IFERROR(__xludf.DUMMYFUNCTION("""COMPUTED_VALUE"""),"crunchy-dao")</f>
        <v>crunchy-dao</v>
      </c>
      <c r="B3070" s="4" t="str">
        <f>IFERROR(__xludf.DUMMYFUNCTION("""COMPUTED_VALUE"""),"crdao")</f>
        <v>crdao</v>
      </c>
      <c r="C3070" s="4" t="str">
        <f>IFERROR(__xludf.DUMMYFUNCTION("""COMPUTED_VALUE"""),"Crunchy DAO")</f>
        <v>Crunchy DAO</v>
      </c>
    </row>
    <row r="3071">
      <c r="A3071" s="4" t="str">
        <f>IFERROR(__xludf.DUMMYFUNCTION("""COMPUTED_VALUE"""),"crunchy-network")</f>
        <v>crunchy-network</v>
      </c>
      <c r="B3071" s="4" t="str">
        <f>IFERROR(__xludf.DUMMYFUNCTION("""COMPUTED_VALUE"""),"crnchy")</f>
        <v>crnchy</v>
      </c>
      <c r="C3071" s="4" t="str">
        <f>IFERROR(__xludf.DUMMYFUNCTION("""COMPUTED_VALUE"""),"Crunchy Network")</f>
        <v>Crunchy Network</v>
      </c>
    </row>
    <row r="3072">
      <c r="A3072" s="4" t="str">
        <f>IFERROR(__xludf.DUMMYFUNCTION("""COMPUTED_VALUE"""),"crusaders-of-crypto")</f>
        <v>crusaders-of-crypto</v>
      </c>
      <c r="B3072" s="4" t="str">
        <f>IFERROR(__xludf.DUMMYFUNCTION("""COMPUTED_VALUE"""),"crusader")</f>
        <v>crusader</v>
      </c>
      <c r="C3072" s="4" t="str">
        <f>IFERROR(__xludf.DUMMYFUNCTION("""COMPUTED_VALUE"""),"Crusaders of Crypto")</f>
        <v>Crusaders of Crypto</v>
      </c>
    </row>
    <row r="3073">
      <c r="A3073" s="4" t="str">
        <f>IFERROR(__xludf.DUMMYFUNCTION("""COMPUTED_VALUE"""),"crust-exchange")</f>
        <v>crust-exchange</v>
      </c>
      <c r="B3073" s="4" t="str">
        <f>IFERROR(__xludf.DUMMYFUNCTION("""COMPUTED_VALUE"""),"crust")</f>
        <v>crust</v>
      </c>
      <c r="C3073" s="4" t="str">
        <f>IFERROR(__xludf.DUMMYFUNCTION("""COMPUTED_VALUE"""),"Crust Exchange")</f>
        <v>Crust Exchange</v>
      </c>
    </row>
    <row r="3074">
      <c r="A3074" s="4" t="str">
        <f>IFERROR(__xludf.DUMMYFUNCTION("""COMPUTED_VALUE"""),"crust-network")</f>
        <v>crust-network</v>
      </c>
      <c r="B3074" s="4" t="str">
        <f>IFERROR(__xludf.DUMMYFUNCTION("""COMPUTED_VALUE"""),"cru")</f>
        <v>cru</v>
      </c>
      <c r="C3074" s="4" t="str">
        <f>IFERROR(__xludf.DUMMYFUNCTION("""COMPUTED_VALUE"""),"Crust Network")</f>
        <v>Crust Network</v>
      </c>
    </row>
    <row r="3075">
      <c r="A3075" s="4" t="str">
        <f>IFERROR(__xludf.DUMMYFUNCTION("""COMPUTED_VALUE"""),"crust-storage-market")</f>
        <v>crust-storage-market</v>
      </c>
      <c r="B3075" s="4" t="str">
        <f>IFERROR(__xludf.DUMMYFUNCTION("""COMPUTED_VALUE"""),"csm")</f>
        <v>csm</v>
      </c>
      <c r="C3075" s="4" t="str">
        <f>IFERROR(__xludf.DUMMYFUNCTION("""COMPUTED_VALUE"""),"Crust Shadow")</f>
        <v>Crust Shadow</v>
      </c>
    </row>
    <row r="3076">
      <c r="A3076" s="4" t="str">
        <f>IFERROR(__xludf.DUMMYFUNCTION("""COMPUTED_VALUE"""),"crvusd")</f>
        <v>crvusd</v>
      </c>
      <c r="B3076" s="4" t="str">
        <f>IFERROR(__xludf.DUMMYFUNCTION("""COMPUTED_VALUE"""),"crvusd")</f>
        <v>crvusd</v>
      </c>
      <c r="C3076" s="4" t="str">
        <f>IFERROR(__xludf.DUMMYFUNCTION("""COMPUTED_VALUE"""),"crvUSD")</f>
        <v>crvUSD</v>
      </c>
    </row>
    <row r="3077">
      <c r="A3077" s="4" t="str">
        <f>IFERROR(__xludf.DUMMYFUNCTION("""COMPUTED_VALUE"""),"cryn")</f>
        <v>cryn</v>
      </c>
      <c r="B3077" s="4" t="str">
        <f>IFERROR(__xludf.DUMMYFUNCTION("""COMPUTED_VALUE"""),"cryn")</f>
        <v>cryn</v>
      </c>
      <c r="C3077" s="4" t="str">
        <f>IFERROR(__xludf.DUMMYFUNCTION("""COMPUTED_VALUE"""),"CRYN")</f>
        <v>CRYN</v>
      </c>
    </row>
    <row r="3078">
      <c r="A3078" s="4" t="str">
        <f>IFERROR(__xludf.DUMMYFUNCTION("""COMPUTED_VALUE"""),"cryodao")</f>
        <v>cryodao</v>
      </c>
      <c r="B3078" s="4" t="str">
        <f>IFERROR(__xludf.DUMMYFUNCTION("""COMPUTED_VALUE"""),"cryo")</f>
        <v>cryo</v>
      </c>
      <c r="C3078" s="4" t="str">
        <f>IFERROR(__xludf.DUMMYFUNCTION("""COMPUTED_VALUE"""),"CryoDAO")</f>
        <v>CryoDAO</v>
      </c>
    </row>
    <row r="3079">
      <c r="A3079" s="4" t="str">
        <f>IFERROR(__xludf.DUMMYFUNCTION("""COMPUTED_VALUE"""),"cryowar-token")</f>
        <v>cryowar-token</v>
      </c>
      <c r="B3079" s="4" t="str">
        <f>IFERROR(__xludf.DUMMYFUNCTION("""COMPUTED_VALUE"""),"cwar")</f>
        <v>cwar</v>
      </c>
      <c r="C3079" s="4" t="str">
        <f>IFERROR(__xludf.DUMMYFUNCTION("""COMPUTED_VALUE"""),"Cryowar")</f>
        <v>Cryowar</v>
      </c>
    </row>
    <row r="3080">
      <c r="A3080" s="4" t="str">
        <f>IFERROR(__xludf.DUMMYFUNCTION("""COMPUTED_VALUE"""),"cryptaur")</f>
        <v>cryptaur</v>
      </c>
      <c r="B3080" s="4" t="str">
        <f>IFERROR(__xludf.DUMMYFUNCTION("""COMPUTED_VALUE"""),"cpt")</f>
        <v>cpt</v>
      </c>
      <c r="C3080" s="4" t="str">
        <f>IFERROR(__xludf.DUMMYFUNCTION("""COMPUTED_VALUE"""),"Cryptaur")</f>
        <v>Cryptaur</v>
      </c>
    </row>
    <row r="3081">
      <c r="A3081" s="4" t="str">
        <f>IFERROR(__xludf.DUMMYFUNCTION("""COMPUTED_VALUE"""),"cryptegrity-dao")</f>
        <v>cryptegrity-dao</v>
      </c>
      <c r="B3081" s="4" t="str">
        <f>IFERROR(__xludf.DUMMYFUNCTION("""COMPUTED_VALUE"""),"escrow")</f>
        <v>escrow</v>
      </c>
      <c r="C3081" s="4" t="str">
        <f>IFERROR(__xludf.DUMMYFUNCTION("""COMPUTED_VALUE"""),"Cryptegrity Dao")</f>
        <v>Cryptegrity Dao</v>
      </c>
    </row>
    <row r="3082">
      <c r="A3082" s="4" t="str">
        <f>IFERROR(__xludf.DUMMYFUNCTION("""COMPUTED_VALUE"""),"crypterium")</f>
        <v>crypterium</v>
      </c>
      <c r="B3082" s="4" t="str">
        <f>IFERROR(__xludf.DUMMYFUNCTION("""COMPUTED_VALUE"""),"crpt")</f>
        <v>crpt</v>
      </c>
      <c r="C3082" s="4" t="str">
        <f>IFERROR(__xludf.DUMMYFUNCTION("""COMPUTED_VALUE"""),"Crypterium")</f>
        <v>Crypterium</v>
      </c>
    </row>
    <row r="3083">
      <c r="A3083" s="4" t="str">
        <f>IFERROR(__xludf.DUMMYFUNCTION("""COMPUTED_VALUE"""),"cryptex-finance")</f>
        <v>cryptex-finance</v>
      </c>
      <c r="B3083" s="4" t="str">
        <f>IFERROR(__xludf.DUMMYFUNCTION("""COMPUTED_VALUE"""),"ctx")</f>
        <v>ctx</v>
      </c>
      <c r="C3083" s="4" t="str">
        <f>IFERROR(__xludf.DUMMYFUNCTION("""COMPUTED_VALUE"""),"Cryptex Finance")</f>
        <v>Cryptex Finance</v>
      </c>
    </row>
    <row r="3084">
      <c r="A3084" s="4" t="str">
        <f>IFERROR(__xludf.DUMMYFUNCTION("""COMPUTED_VALUE"""),"cryptiq-web3")</f>
        <v>cryptiq-web3</v>
      </c>
      <c r="B3084" s="4" t="str">
        <f>IFERROR(__xludf.DUMMYFUNCTION("""COMPUTED_VALUE"""),"cryptiq")</f>
        <v>cryptiq</v>
      </c>
      <c r="C3084" s="4" t="str">
        <f>IFERROR(__xludf.DUMMYFUNCTION("""COMPUTED_VALUE"""),"Cryptiq WEB3")</f>
        <v>Cryptiq WEB3</v>
      </c>
    </row>
    <row r="3085">
      <c r="A3085" s="4" t="str">
        <f>IFERROR(__xludf.DUMMYFUNCTION("""COMPUTED_VALUE"""),"cryptoai")</f>
        <v>cryptoai</v>
      </c>
      <c r="B3085" s="4" t="str">
        <f>IFERROR(__xludf.DUMMYFUNCTION("""COMPUTED_VALUE"""),"cai")</f>
        <v>cai</v>
      </c>
      <c r="C3085" s="4" t="str">
        <f>IFERROR(__xludf.DUMMYFUNCTION("""COMPUTED_VALUE"""),"CryptoAI")</f>
        <v>CryptoAI</v>
      </c>
    </row>
    <row r="3086">
      <c r="A3086" s="4" t="str">
        <f>IFERROR(__xludf.DUMMYFUNCTION("""COMPUTED_VALUE"""),"crypto-ai")</f>
        <v>crypto-ai</v>
      </c>
      <c r="B3086" s="4" t="str">
        <f>IFERROR(__xludf.DUMMYFUNCTION("""COMPUTED_VALUE"""),"cai")</f>
        <v>cai</v>
      </c>
      <c r="C3086" s="4" t="str">
        <f>IFERROR(__xludf.DUMMYFUNCTION("""COMPUTED_VALUE"""),"Crypto AI")</f>
        <v>Crypto AI</v>
      </c>
    </row>
    <row r="3087">
      <c r="A3087" s="4" t="str">
        <f>IFERROR(__xludf.DUMMYFUNCTION("""COMPUTED_VALUE"""),"cryptoai-2")</f>
        <v>cryptoai-2</v>
      </c>
      <c r="B3087" s="4" t="str">
        <f>IFERROR(__xludf.DUMMYFUNCTION("""COMPUTED_VALUE"""),"cryptoai")</f>
        <v>cryptoai</v>
      </c>
      <c r="C3087" s="4" t="str">
        <f>IFERROR(__xludf.DUMMYFUNCTION("""COMPUTED_VALUE"""),"CryptoAI")</f>
        <v>CryptoAI</v>
      </c>
    </row>
    <row r="3088">
      <c r="A3088" s="4" t="str">
        <f>IFERROR(__xludf.DUMMYFUNCTION("""COMPUTED_VALUE"""),"crypto-ai-robo")</f>
        <v>crypto-ai-robo</v>
      </c>
      <c r="B3088" s="4" t="str">
        <f>IFERROR(__xludf.DUMMYFUNCTION("""COMPUTED_VALUE"""),"cair")</f>
        <v>cair</v>
      </c>
      <c r="C3088" s="4" t="str">
        <f>IFERROR(__xludf.DUMMYFUNCTION("""COMPUTED_VALUE"""),"Crypto-AI-Robo")</f>
        <v>Crypto-AI-Robo</v>
      </c>
    </row>
    <row r="3089">
      <c r="A3089" s="4" t="str">
        <f>IFERROR(__xludf.DUMMYFUNCTION("""COMPUTED_VALUE"""),"cryptoart-ai")</f>
        <v>cryptoart-ai</v>
      </c>
      <c r="B3089" s="4" t="str">
        <f>IFERROR(__xludf.DUMMYFUNCTION("""COMPUTED_VALUE"""),"cart")</f>
        <v>cart</v>
      </c>
      <c r="C3089" s="5" t="str">
        <f>IFERROR(__xludf.DUMMYFUNCTION("""COMPUTED_VALUE"""),"CryptoArt.Ai")</f>
        <v>CryptoArt.Ai</v>
      </c>
    </row>
    <row r="3090">
      <c r="A3090" s="4" t="str">
        <f>IFERROR(__xludf.DUMMYFUNCTION("""COMPUTED_VALUE"""),"crypto-asset-governance-alliance")</f>
        <v>crypto-asset-governance-alliance</v>
      </c>
      <c r="B3090" s="4" t="str">
        <f>IFERROR(__xludf.DUMMYFUNCTION("""COMPUTED_VALUE"""),"caga")</f>
        <v>caga</v>
      </c>
      <c r="C3090" s="4" t="str">
        <f>IFERROR(__xludf.DUMMYFUNCTION("""COMPUTED_VALUE"""),"Crypto Asset Governance Alliance")</f>
        <v>Crypto Asset Governance Alliance</v>
      </c>
    </row>
    <row r="3091">
      <c r="A3091" s="4" t="str">
        <f>IFERROR(__xludf.DUMMYFUNCTION("""COMPUTED_VALUE"""),"cryptobank")</f>
        <v>cryptobank</v>
      </c>
      <c r="B3091" s="4" t="str">
        <f>IFERROR(__xludf.DUMMYFUNCTION("""COMPUTED_VALUE"""),"cbex")</f>
        <v>cbex</v>
      </c>
      <c r="C3091" s="4" t="str">
        <f>IFERROR(__xludf.DUMMYFUNCTION("""COMPUTED_VALUE"""),"CryptoBank")</f>
        <v>CryptoBank</v>
      </c>
    </row>
    <row r="3092">
      <c r="A3092" s="4" t="str">
        <f>IFERROR(__xludf.DUMMYFUNCTION("""COMPUTED_VALUE"""),"crypto-bet")</f>
        <v>crypto-bet</v>
      </c>
      <c r="B3092" s="4" t="str">
        <f>IFERROR(__xludf.DUMMYFUNCTION("""COMPUTED_VALUE"""),"$cbet")</f>
        <v>$cbet</v>
      </c>
      <c r="C3092" s="4" t="str">
        <f>IFERROR(__xludf.DUMMYFUNCTION("""COMPUTED_VALUE"""),"CosaBet")</f>
        <v>CosaBet</v>
      </c>
    </row>
    <row r="3093">
      <c r="A3093" s="4" t="str">
        <f>IFERROR(__xludf.DUMMYFUNCTION("""COMPUTED_VALUE"""),"crypto-birds")</f>
        <v>crypto-birds</v>
      </c>
      <c r="B3093" s="4" t="str">
        <f>IFERROR(__xludf.DUMMYFUNCTION("""COMPUTED_VALUE"""),"xcb")</f>
        <v>xcb</v>
      </c>
      <c r="C3093" s="4" t="str">
        <f>IFERROR(__xludf.DUMMYFUNCTION("""COMPUTED_VALUE"""),"Crypto Birds")</f>
        <v>Crypto Birds</v>
      </c>
    </row>
    <row r="3094">
      <c r="A3094" s="4" t="str">
        <f>IFERROR(__xludf.DUMMYFUNCTION("""COMPUTED_VALUE"""),"cryptoblades")</f>
        <v>cryptoblades</v>
      </c>
      <c r="B3094" s="4" t="str">
        <f>IFERROR(__xludf.DUMMYFUNCTION("""COMPUTED_VALUE"""),"skill")</f>
        <v>skill</v>
      </c>
      <c r="C3094" s="4" t="str">
        <f>IFERROR(__xludf.DUMMYFUNCTION("""COMPUTED_VALUE"""),"CryptoBlades")</f>
        <v>CryptoBlades</v>
      </c>
    </row>
    <row r="3095">
      <c r="A3095" s="4" t="str">
        <f>IFERROR(__xludf.DUMMYFUNCTION("""COMPUTED_VALUE"""),"cryptoblades-kingdoms")</f>
        <v>cryptoblades-kingdoms</v>
      </c>
      <c r="B3095" s="4" t="str">
        <f>IFERROR(__xludf.DUMMYFUNCTION("""COMPUTED_VALUE"""),"king")</f>
        <v>king</v>
      </c>
      <c r="C3095" s="4" t="str">
        <f>IFERROR(__xludf.DUMMYFUNCTION("""COMPUTED_VALUE"""),"CryptoBlades Kingdoms")</f>
        <v>CryptoBlades Kingdoms</v>
      </c>
    </row>
    <row r="3096">
      <c r="A3096" s="4" t="str">
        <f>IFERROR(__xludf.DUMMYFUNCTION("""COMPUTED_VALUE"""),"crypto-bros")</f>
        <v>crypto-bros</v>
      </c>
      <c r="B3096" s="4" t="str">
        <f>IFERROR(__xludf.DUMMYFUNCTION("""COMPUTED_VALUE"""),"bros")</f>
        <v>bros</v>
      </c>
      <c r="C3096" s="4" t="str">
        <f>IFERROR(__xludf.DUMMYFUNCTION("""COMPUTED_VALUE"""),"Crypto Bros")</f>
        <v>Crypto Bros</v>
      </c>
    </row>
    <row r="3097">
      <c r="A3097" s="4" t="str">
        <f>IFERROR(__xludf.DUMMYFUNCTION("""COMPUTED_VALUE"""),"crypto-carbon-energy-2")</f>
        <v>crypto-carbon-energy-2</v>
      </c>
      <c r="B3097" s="4" t="str">
        <f>IFERROR(__xludf.DUMMYFUNCTION("""COMPUTED_VALUE"""),"cyce")</f>
        <v>cyce</v>
      </c>
      <c r="C3097" s="4" t="str">
        <f>IFERROR(__xludf.DUMMYFUNCTION("""COMPUTED_VALUE"""),"Crypto Carbon Energy")</f>
        <v>Crypto Carbon Energy</v>
      </c>
    </row>
    <row r="3098">
      <c r="A3098" s="4" t="str">
        <f>IFERROR(__xludf.DUMMYFUNCTION("""COMPUTED_VALUE"""),"cryptocarsreborn")</f>
        <v>cryptocarsreborn</v>
      </c>
      <c r="B3098" s="4" t="str">
        <f>IFERROR(__xludf.DUMMYFUNCTION("""COMPUTED_VALUE"""),"ccr")</f>
        <v>ccr</v>
      </c>
      <c r="C3098" s="4" t="str">
        <f>IFERROR(__xludf.DUMMYFUNCTION("""COMPUTED_VALUE"""),"CryptoCarsReborn")</f>
        <v>CryptoCarsReborn</v>
      </c>
    </row>
    <row r="3099">
      <c r="A3099" s="4" t="str">
        <f>IFERROR(__xludf.DUMMYFUNCTION("""COMPUTED_VALUE"""),"cryptocart")</f>
        <v>cryptocart</v>
      </c>
      <c r="B3099" s="4" t="str">
        <f>IFERROR(__xludf.DUMMYFUNCTION("""COMPUTED_VALUE"""),"ccv2")</f>
        <v>ccv2</v>
      </c>
      <c r="C3099" s="4" t="str">
        <f>IFERROR(__xludf.DUMMYFUNCTION("""COMPUTED_VALUE"""),"CryptoCart V2")</f>
        <v>CryptoCart V2</v>
      </c>
    </row>
    <row r="3100">
      <c r="A3100" s="4" t="str">
        <f>IFERROR(__xludf.DUMMYFUNCTION("""COMPUTED_VALUE"""),"crypto-chests")</f>
        <v>crypto-chests</v>
      </c>
      <c r="B3100" s="4" t="str">
        <f>IFERROR(__xludf.DUMMYFUNCTION("""COMPUTED_VALUE"""),"cht")</f>
        <v>cht</v>
      </c>
      <c r="C3100" s="4" t="str">
        <f>IFERROR(__xludf.DUMMYFUNCTION("""COMPUTED_VALUE"""),"Crypto Chests")</f>
        <v>Crypto Chests</v>
      </c>
    </row>
    <row r="3101">
      <c r="A3101" s="4" t="str">
        <f>IFERROR(__xludf.DUMMYFUNCTION("""COMPUTED_VALUE"""),"crypto-chicks")</f>
        <v>crypto-chicks</v>
      </c>
      <c r="B3101" s="4" t="str">
        <f>IFERROR(__xludf.DUMMYFUNCTION("""COMPUTED_VALUE"""),"chicks")</f>
        <v>chicks</v>
      </c>
      <c r="C3101" s="4" t="str">
        <f>IFERROR(__xludf.DUMMYFUNCTION("""COMPUTED_VALUE"""),"CRYPTO CHICKS")</f>
        <v>CRYPTO CHICKS</v>
      </c>
    </row>
    <row r="3102">
      <c r="A3102" s="4" t="str">
        <f>IFERROR(__xludf.DUMMYFUNCTION("""COMPUTED_VALUE"""),"cryptoclicker-game-token")</f>
        <v>cryptoclicker-game-token</v>
      </c>
      <c r="B3102" s="4" t="str">
        <f>IFERROR(__xludf.DUMMYFUNCTION("""COMPUTED_VALUE"""),"clicker")</f>
        <v>clicker</v>
      </c>
      <c r="C3102" s="4" t="str">
        <f>IFERROR(__xludf.DUMMYFUNCTION("""COMPUTED_VALUE"""),"CryptoClicker Game Token")</f>
        <v>CryptoClicker Game Token</v>
      </c>
    </row>
    <row r="3103">
      <c r="A3103" s="4" t="str">
        <f>IFERROR(__xludf.DUMMYFUNCTION("""COMPUTED_VALUE"""),"cryptoclicker-supper-token")</f>
        <v>cryptoclicker-supper-token</v>
      </c>
      <c r="B3103" s="4" t="str">
        <f>IFERROR(__xludf.DUMMYFUNCTION("""COMPUTED_VALUE"""),"supper")</f>
        <v>supper</v>
      </c>
      <c r="C3103" s="4" t="str">
        <f>IFERROR(__xludf.DUMMYFUNCTION("""COMPUTED_VALUE"""),"CryptoClicker SUPPER Token")</f>
        <v>CryptoClicker SUPPER Token</v>
      </c>
    </row>
    <row r="3104">
      <c r="A3104" s="4" t="str">
        <f>IFERROR(__xludf.DUMMYFUNCTION("""COMPUTED_VALUE"""),"crypto-clouds")</f>
        <v>crypto-clouds</v>
      </c>
      <c r="B3104" s="4" t="str">
        <f>IFERROR(__xludf.DUMMYFUNCTION("""COMPUTED_VALUE"""),"cloud")</f>
        <v>cloud</v>
      </c>
      <c r="C3104" s="4" t="str">
        <f>IFERROR(__xludf.DUMMYFUNCTION("""COMPUTED_VALUE"""),"CRYPTO CLOUDS")</f>
        <v>CRYPTO CLOUDS</v>
      </c>
    </row>
    <row r="3105">
      <c r="A3105" s="4" t="str">
        <f>IFERROR(__xludf.DUMMYFUNCTION("""COMPUTED_VALUE"""),"crypto-clubs-app")</f>
        <v>crypto-clubs-app</v>
      </c>
      <c r="B3105" s="4" t="str">
        <f>IFERROR(__xludf.DUMMYFUNCTION("""COMPUTED_VALUE"""),"cc")</f>
        <v>cc</v>
      </c>
      <c r="C3105" s="4" t="str">
        <f>IFERROR(__xludf.DUMMYFUNCTION("""COMPUTED_VALUE"""),"Crypto Clubs App")</f>
        <v>Crypto Clubs App</v>
      </c>
    </row>
    <row r="3106">
      <c r="A3106" s="4" t="str">
        <f>IFERROR(__xludf.DUMMYFUNCTION("""COMPUTED_VALUE"""),"cryptocoinhash")</f>
        <v>cryptocoinhash</v>
      </c>
      <c r="B3106" s="4" t="str">
        <f>IFERROR(__xludf.DUMMYFUNCTION("""COMPUTED_VALUE"""),"cch")</f>
        <v>cch</v>
      </c>
      <c r="C3106" s="4" t="str">
        <f>IFERROR(__xludf.DUMMYFUNCTION("""COMPUTED_VALUE"""),"CryptoCoinHash")</f>
        <v>CryptoCoinHash</v>
      </c>
    </row>
    <row r="3107">
      <c r="A3107" s="4" t="str">
        <f>IFERROR(__xludf.DUMMYFUNCTION("""COMPUTED_VALUE"""),"crypto-com-chain")</f>
        <v>crypto-com-chain</v>
      </c>
      <c r="B3107" s="4" t="str">
        <f>IFERROR(__xludf.DUMMYFUNCTION("""COMPUTED_VALUE"""),"cro")</f>
        <v>cro</v>
      </c>
      <c r="C3107" s="4" t="str">
        <f>IFERROR(__xludf.DUMMYFUNCTION("""COMPUTED_VALUE"""),"Cronos")</f>
        <v>Cronos</v>
      </c>
    </row>
    <row r="3108">
      <c r="A3108" s="4" t="str">
        <f>IFERROR(__xludf.DUMMYFUNCTION("""COMPUTED_VALUE"""),"crypto-com-staked-eth")</f>
        <v>crypto-com-staked-eth</v>
      </c>
      <c r="B3108" s="4" t="str">
        <f>IFERROR(__xludf.DUMMYFUNCTION("""COMPUTED_VALUE"""),"cdceth")</f>
        <v>cdceth</v>
      </c>
      <c r="C3108" s="4" t="str">
        <f>IFERROR(__xludf.DUMMYFUNCTION("""COMPUTED_VALUE"""),"Crypto.com Staked ETH")</f>
        <v>Crypto.com Staked ETH</v>
      </c>
    </row>
    <row r="3109">
      <c r="A3109" s="4" t="str">
        <f>IFERROR(__xludf.DUMMYFUNCTION("""COMPUTED_VALUE"""),"cryptodeliverycoin")</f>
        <v>cryptodeliverycoin</v>
      </c>
      <c r="B3109" s="4" t="str">
        <f>IFERROR(__xludf.DUMMYFUNCTION("""COMPUTED_VALUE"""),"dcoin")</f>
        <v>dcoin</v>
      </c>
      <c r="C3109" s="4" t="str">
        <f>IFERROR(__xludf.DUMMYFUNCTION("""COMPUTED_VALUE"""),"CryptoDeliveryCoin")</f>
        <v>CryptoDeliveryCoin</v>
      </c>
    </row>
    <row r="3110">
      <c r="A3110" s="4" t="str">
        <f>IFERROR(__xludf.DUMMYFUNCTION("""COMPUTED_VALUE"""),"crypto-development-services")</f>
        <v>crypto-development-services</v>
      </c>
      <c r="B3110" s="4" t="str">
        <f>IFERROR(__xludf.DUMMYFUNCTION("""COMPUTED_VALUE"""),"cds")</f>
        <v>cds</v>
      </c>
      <c r="C3110" s="4" t="str">
        <f>IFERROR(__xludf.DUMMYFUNCTION("""COMPUTED_VALUE"""),"Crypto Development Services")</f>
        <v>Crypto Development Services</v>
      </c>
    </row>
    <row r="3111">
      <c r="A3111" s="4" t="str">
        <f>IFERROR(__xludf.DUMMYFUNCTION("""COMPUTED_VALUE"""),"crypto-emergency")</f>
        <v>crypto-emergency</v>
      </c>
      <c r="B3111" s="4" t="str">
        <f>IFERROR(__xludf.DUMMYFUNCTION("""COMPUTED_VALUE"""),"cem")</f>
        <v>cem</v>
      </c>
      <c r="C3111" s="4" t="str">
        <f>IFERROR(__xludf.DUMMYFUNCTION("""COMPUTED_VALUE"""),"Crypto Emergency")</f>
        <v>Crypto Emergency</v>
      </c>
    </row>
    <row r="3112">
      <c r="A3112" s="4" t="str">
        <f>IFERROR(__xludf.DUMMYFUNCTION("""COMPUTED_VALUE"""),"cryptoexpress")</f>
        <v>cryptoexpress</v>
      </c>
      <c r="B3112" s="4" t="str">
        <f>IFERROR(__xludf.DUMMYFUNCTION("""COMPUTED_VALUE"""),"xpress")</f>
        <v>xpress</v>
      </c>
      <c r="C3112" s="4" t="str">
        <f>IFERROR(__xludf.DUMMYFUNCTION("""COMPUTED_VALUE"""),"CryptoXpress")</f>
        <v>CryptoXpress</v>
      </c>
    </row>
    <row r="3113">
      <c r="A3113" s="4" t="str">
        <f>IFERROR(__xludf.DUMMYFUNCTION("""COMPUTED_VALUE"""),"cryptoflow")</f>
        <v>cryptoflow</v>
      </c>
      <c r="B3113" s="4" t="str">
        <f>IFERROR(__xludf.DUMMYFUNCTION("""COMPUTED_VALUE"""),"cfl")</f>
        <v>cfl</v>
      </c>
      <c r="C3113" s="4" t="str">
        <f>IFERROR(__xludf.DUMMYFUNCTION("""COMPUTED_VALUE"""),"Cryptoflow")</f>
        <v>Cryptoflow</v>
      </c>
    </row>
    <row r="3114">
      <c r="A3114" s="4" t="str">
        <f>IFERROR(__xludf.DUMMYFUNCTION("""COMPUTED_VALUE"""),"cryptoforce")</f>
        <v>cryptoforce</v>
      </c>
      <c r="B3114" s="4" t="str">
        <f>IFERROR(__xludf.DUMMYFUNCTION("""COMPUTED_VALUE"""),"cof")</f>
        <v>cof</v>
      </c>
      <c r="C3114" s="4" t="str">
        <f>IFERROR(__xludf.DUMMYFUNCTION("""COMPUTED_VALUE"""),"Cryptoforce")</f>
        <v>Cryptoforce</v>
      </c>
    </row>
    <row r="3115">
      <c r="A3115" s="4" t="str">
        <f>IFERROR(__xludf.DUMMYFUNCTION("""COMPUTED_VALUE"""),"cryptofranc")</f>
        <v>cryptofranc</v>
      </c>
      <c r="B3115" s="4" t="str">
        <f>IFERROR(__xludf.DUMMYFUNCTION("""COMPUTED_VALUE"""),"xchf")</f>
        <v>xchf</v>
      </c>
      <c r="C3115" s="4" t="str">
        <f>IFERROR(__xludf.DUMMYFUNCTION("""COMPUTED_VALUE"""),"CryptoFranc")</f>
        <v>CryptoFranc</v>
      </c>
    </row>
    <row r="3116">
      <c r="A3116" s="4" t="str">
        <f>IFERROR(__xludf.DUMMYFUNCTION("""COMPUTED_VALUE"""),"cryptogcoin")</f>
        <v>cryptogcoin</v>
      </c>
      <c r="B3116" s="4" t="str">
        <f>IFERROR(__xludf.DUMMYFUNCTION("""COMPUTED_VALUE"""),"crg")</f>
        <v>crg</v>
      </c>
      <c r="C3116" s="4" t="str">
        <f>IFERROR(__xludf.DUMMYFUNCTION("""COMPUTED_VALUE"""),"Cryptogcoin")</f>
        <v>Cryptogcoin</v>
      </c>
    </row>
    <row r="3117">
      <c r="A3117" s="4" t="str">
        <f>IFERROR(__xludf.DUMMYFUNCTION("""COMPUTED_VALUE"""),"crypto-gladiator-shards")</f>
        <v>crypto-gladiator-shards</v>
      </c>
      <c r="B3117" s="4" t="str">
        <f>IFERROR(__xludf.DUMMYFUNCTION("""COMPUTED_VALUE"""),"cgl")</f>
        <v>cgl</v>
      </c>
      <c r="C3117" s="4" t="str">
        <f>IFERROR(__xludf.DUMMYFUNCTION("""COMPUTED_VALUE"""),"Crypto Gladiator League")</f>
        <v>Crypto Gladiator League</v>
      </c>
    </row>
    <row r="3118">
      <c r="A3118" s="4" t="str">
        <f>IFERROR(__xludf.DUMMYFUNCTION("""COMPUTED_VALUE"""),"crypto-global-united")</f>
        <v>crypto-global-united</v>
      </c>
      <c r="B3118" s="4" t="str">
        <f>IFERROR(__xludf.DUMMYFUNCTION("""COMPUTED_VALUE"""),"cgu")</f>
        <v>cgu</v>
      </c>
      <c r="C3118" s="4" t="str">
        <f>IFERROR(__xludf.DUMMYFUNCTION("""COMPUTED_VALUE"""),"Crypto Global United")</f>
        <v>Crypto Global United</v>
      </c>
    </row>
    <row r="3119">
      <c r="A3119" s="4" t="str">
        <f>IFERROR(__xludf.DUMMYFUNCTION("""COMPUTED_VALUE"""),"cryptogpt")</f>
        <v>cryptogpt</v>
      </c>
      <c r="B3119" s="4" t="str">
        <f>IFERROR(__xludf.DUMMYFUNCTION("""COMPUTED_VALUE"""),"crgpt")</f>
        <v>crgpt</v>
      </c>
      <c r="C3119" s="4" t="str">
        <f>IFERROR(__xludf.DUMMYFUNCTION("""COMPUTED_VALUE"""),"CryptoGPT")</f>
        <v>CryptoGPT</v>
      </c>
    </row>
    <row r="3120">
      <c r="A3120" s="4" t="str">
        <f>IFERROR(__xludf.DUMMYFUNCTION("""COMPUTED_VALUE"""),"cryptogpt-token")</f>
        <v>cryptogpt-token</v>
      </c>
      <c r="B3120" s="4" t="str">
        <f>IFERROR(__xludf.DUMMYFUNCTION("""COMPUTED_VALUE"""),"lai")</f>
        <v>lai</v>
      </c>
      <c r="C3120" s="4" t="str">
        <f>IFERROR(__xludf.DUMMYFUNCTION("""COMPUTED_VALUE"""),"LayerAI")</f>
        <v>LayerAI</v>
      </c>
    </row>
    <row r="3121">
      <c r="A3121" s="4" t="str">
        <f>IFERROR(__xludf.DUMMYFUNCTION("""COMPUTED_VALUE"""),"crypto-holding-frank-token")</f>
        <v>crypto-holding-frank-token</v>
      </c>
      <c r="B3121" s="4" t="str">
        <f>IFERROR(__xludf.DUMMYFUNCTION("""COMPUTED_VALUE"""),"chft")</f>
        <v>chft</v>
      </c>
      <c r="C3121" s="4" t="str">
        <f>IFERROR(__xludf.DUMMYFUNCTION("""COMPUTED_VALUE"""),"Crypto Holding Frank")</f>
        <v>Crypto Holding Frank</v>
      </c>
    </row>
    <row r="3122">
      <c r="A3122" s="4" t="str">
        <f>IFERROR(__xludf.DUMMYFUNCTION("""COMPUTED_VALUE"""),"crypto-hub")</f>
        <v>crypto-hub</v>
      </c>
      <c r="B3122" s="4" t="str">
        <f>IFERROR(__xludf.DUMMYFUNCTION("""COMPUTED_VALUE"""),"hub")</f>
        <v>hub</v>
      </c>
      <c r="C3122" s="4" t="str">
        <f>IFERROR(__xludf.DUMMYFUNCTION("""COMPUTED_VALUE"""),"Crypto Hub")</f>
        <v>Crypto Hub</v>
      </c>
    </row>
    <row r="3123">
      <c r="A3123" s="4" t="str">
        <f>IFERROR(__xludf.DUMMYFUNCTION("""COMPUTED_VALUE"""),"crypto-hunters-coin")</f>
        <v>crypto-hunters-coin</v>
      </c>
      <c r="B3123" s="4" t="str">
        <f>IFERROR(__xludf.DUMMYFUNCTION("""COMPUTED_VALUE"""),"crh")</f>
        <v>crh</v>
      </c>
      <c r="C3123" s="4" t="str">
        <f>IFERROR(__xludf.DUMMYFUNCTION("""COMPUTED_VALUE"""),"Crypto Hunters Coin")</f>
        <v>Crypto Hunters Coin</v>
      </c>
    </row>
    <row r="3124">
      <c r="A3124" s="4" t="str">
        <f>IFERROR(__xludf.DUMMYFUNCTION("""COMPUTED_VALUE"""),"crypto-index-pool")</f>
        <v>crypto-index-pool</v>
      </c>
      <c r="B3124" s="4" t="str">
        <f>IFERROR(__xludf.DUMMYFUNCTION("""COMPUTED_VALUE"""),"cip")</f>
        <v>cip</v>
      </c>
      <c r="C3124" s="4" t="str">
        <f>IFERROR(__xludf.DUMMYFUNCTION("""COMPUTED_VALUE"""),"Crypto Index Pool")</f>
        <v>Crypto Index Pool</v>
      </c>
    </row>
    <row r="3125">
      <c r="A3125" s="4" t="str">
        <f>IFERROR(__xludf.DUMMYFUNCTION("""COMPUTED_VALUE"""),"crypto-island")</f>
        <v>crypto-island</v>
      </c>
      <c r="B3125" s="4" t="str">
        <f>IFERROR(__xludf.DUMMYFUNCTION("""COMPUTED_VALUE"""),"cisla")</f>
        <v>cisla</v>
      </c>
      <c r="C3125" s="4" t="str">
        <f>IFERROR(__xludf.DUMMYFUNCTION("""COMPUTED_VALUE"""),"Crypto Island")</f>
        <v>Crypto Island</v>
      </c>
    </row>
    <row r="3126">
      <c r="A3126" s="4" t="str">
        <f>IFERROR(__xludf.DUMMYFUNCTION("""COMPUTED_VALUE"""),"crypto-kart-racing")</f>
        <v>crypto-kart-racing</v>
      </c>
      <c r="B3126" s="4" t="str">
        <f>IFERROR(__xludf.DUMMYFUNCTION("""COMPUTED_VALUE"""),"ckracing")</f>
        <v>ckracing</v>
      </c>
      <c r="C3126" s="4" t="str">
        <f>IFERROR(__xludf.DUMMYFUNCTION("""COMPUTED_VALUE"""),"Crypto Kart Racing")</f>
        <v>Crypto Kart Racing</v>
      </c>
    </row>
    <row r="3127">
      <c r="A3127" s="4" t="str">
        <f>IFERROR(__xludf.DUMMYFUNCTION("""COMPUTED_VALUE"""),"cryptokki")</f>
        <v>cryptokki</v>
      </c>
      <c r="B3127" s="4" t="str">
        <f>IFERROR(__xludf.DUMMYFUNCTION("""COMPUTED_VALUE"""),"tokki")</f>
        <v>tokki</v>
      </c>
      <c r="C3127" s="4" t="str">
        <f>IFERROR(__xludf.DUMMYFUNCTION("""COMPUTED_VALUE"""),"CRYPTOKKI")</f>
        <v>CRYPTOKKI</v>
      </c>
    </row>
    <row r="3128">
      <c r="A3128" s="4" t="str">
        <f>IFERROR(__xludf.DUMMYFUNCTION("""COMPUTED_VALUE"""),"cryptoku")</f>
        <v>cryptoku</v>
      </c>
      <c r="B3128" s="4" t="str">
        <f>IFERROR(__xludf.DUMMYFUNCTION("""COMPUTED_VALUE"""),"cku")</f>
        <v>cku</v>
      </c>
      <c r="C3128" s="4" t="str">
        <f>IFERROR(__xludf.DUMMYFUNCTION("""COMPUTED_VALUE"""),"Cryptoku")</f>
        <v>Cryptoku</v>
      </c>
    </row>
    <row r="3129">
      <c r="A3129" s="4" t="str">
        <f>IFERROR(__xludf.DUMMYFUNCTION("""COMPUTED_VALUE"""),"cryptomeda")</f>
        <v>cryptomeda</v>
      </c>
      <c r="B3129" s="4" t="str">
        <f>IFERROR(__xludf.DUMMYFUNCTION("""COMPUTED_VALUE"""),"tech")</f>
        <v>tech</v>
      </c>
      <c r="C3129" s="4" t="str">
        <f>IFERROR(__xludf.DUMMYFUNCTION("""COMPUTED_VALUE"""),"Cryptomeda")</f>
        <v>Cryptomeda</v>
      </c>
    </row>
    <row r="3130">
      <c r="A3130" s="4" t="str">
        <f>IFERROR(__xludf.DUMMYFUNCTION("""COMPUTED_VALUE"""),"cryptomines-eternal")</f>
        <v>cryptomines-eternal</v>
      </c>
      <c r="B3130" s="4" t="str">
        <f>IFERROR(__xludf.DUMMYFUNCTION("""COMPUTED_VALUE"""),"eternal")</f>
        <v>eternal</v>
      </c>
      <c r="C3130" s="4" t="str">
        <f>IFERROR(__xludf.DUMMYFUNCTION("""COMPUTED_VALUE"""),"CryptoMines Eternal")</f>
        <v>CryptoMines Eternal</v>
      </c>
    </row>
    <row r="3131">
      <c r="A3131" s="4" t="str">
        <f>IFERROR(__xludf.DUMMYFUNCTION("""COMPUTED_VALUE"""),"cryptomines-reborn")</f>
        <v>cryptomines-reborn</v>
      </c>
      <c r="B3131" s="4" t="str">
        <f>IFERROR(__xludf.DUMMYFUNCTION("""COMPUTED_VALUE"""),"crux")</f>
        <v>crux</v>
      </c>
      <c r="C3131" s="4" t="str">
        <f>IFERROR(__xludf.DUMMYFUNCTION("""COMPUTED_VALUE"""),"CryptoMines Reborn")</f>
        <v>CryptoMines Reborn</v>
      </c>
    </row>
    <row r="3132">
      <c r="A3132" s="4" t="str">
        <f>IFERROR(__xludf.DUMMYFUNCTION("""COMPUTED_VALUE"""),"crypton-ai")</f>
        <v>crypton-ai</v>
      </c>
      <c r="B3132" s="4" t="str">
        <f>IFERROR(__xludf.DUMMYFUNCTION("""COMPUTED_VALUE"""),"$crypton")</f>
        <v>$crypton</v>
      </c>
      <c r="C3132" s="4" t="str">
        <f>IFERROR(__xludf.DUMMYFUNCTION("""COMPUTED_VALUE"""),"Crypton Ai")</f>
        <v>Crypton Ai</v>
      </c>
    </row>
    <row r="3133">
      <c r="A3133" s="4" t="str">
        <f>IFERROR(__xludf.DUMMYFUNCTION("""COMPUTED_VALUE"""),"cryptoneur-network-foundation")</f>
        <v>cryptoneur-network-foundation</v>
      </c>
      <c r="B3133" s="4" t="str">
        <f>IFERROR(__xludf.DUMMYFUNCTION("""COMPUTED_VALUE"""),"cnf")</f>
        <v>cnf</v>
      </c>
      <c r="C3133" s="4" t="str">
        <f>IFERROR(__xludf.DUMMYFUNCTION("""COMPUTED_VALUE"""),"CryptoNeur Network foundation")</f>
        <v>CryptoNeur Network foundation</v>
      </c>
    </row>
    <row r="3134">
      <c r="A3134" s="4" t="str">
        <f>IFERROR(__xludf.DUMMYFUNCTION("""COMPUTED_VALUE"""),"crypto-news-flash-ai")</f>
        <v>crypto-news-flash-ai</v>
      </c>
      <c r="B3134" s="4" t="str">
        <f>IFERROR(__xludf.DUMMYFUNCTION("""COMPUTED_VALUE"""),"cnf")</f>
        <v>cnf</v>
      </c>
      <c r="C3134" s="4" t="str">
        <f>IFERROR(__xludf.DUMMYFUNCTION("""COMPUTED_VALUE"""),"Crypto News Flash AI")</f>
        <v>Crypto News Flash AI</v>
      </c>
    </row>
    <row r="3135">
      <c r="A3135" s="4" t="str">
        <f>IFERROR(__xludf.DUMMYFUNCTION("""COMPUTED_VALUE"""),"cryptonovae")</f>
        <v>cryptonovae</v>
      </c>
      <c r="B3135" s="4" t="str">
        <f>IFERROR(__xludf.DUMMYFUNCTION("""COMPUTED_VALUE"""),"yae")</f>
        <v>yae</v>
      </c>
      <c r="C3135" s="4" t="str">
        <f>IFERROR(__xludf.DUMMYFUNCTION("""COMPUTED_VALUE"""),"Cryptonovae")</f>
        <v>Cryptonovae</v>
      </c>
    </row>
    <row r="3136">
      <c r="A3136" s="4" t="str">
        <f>IFERROR(__xludf.DUMMYFUNCTION("""COMPUTED_VALUE"""),"cryptopawcoin")</f>
        <v>cryptopawcoin</v>
      </c>
      <c r="B3136" s="4" t="str">
        <f>IFERROR(__xludf.DUMMYFUNCTION("""COMPUTED_VALUE"""),"cprc")</f>
        <v>cprc</v>
      </c>
      <c r="C3136" s="4" t="str">
        <f>IFERROR(__xludf.DUMMYFUNCTION("""COMPUTED_VALUE"""),"CryptoPawCoin")</f>
        <v>CryptoPawCoin</v>
      </c>
    </row>
    <row r="3137">
      <c r="A3137" s="4" t="str">
        <f>IFERROR(__xludf.DUMMYFUNCTION("""COMPUTED_VALUE"""),"cryptopay")</f>
        <v>cryptopay</v>
      </c>
      <c r="B3137" s="4" t="str">
        <f>IFERROR(__xludf.DUMMYFUNCTION("""COMPUTED_VALUE"""),"cpay")</f>
        <v>cpay</v>
      </c>
      <c r="C3137" s="4" t="str">
        <f>IFERROR(__xludf.DUMMYFUNCTION("""COMPUTED_VALUE"""),"Cryptopay")</f>
        <v>Cryptopay</v>
      </c>
    </row>
    <row r="3138">
      <c r="A3138" s="4" t="str">
        <f>IFERROR(__xludf.DUMMYFUNCTION("""COMPUTED_VALUE"""),"cryptoperformance-coin")</f>
        <v>cryptoperformance-coin</v>
      </c>
      <c r="B3138" s="4" t="str">
        <f>IFERROR(__xludf.DUMMYFUNCTION("""COMPUTED_VALUE"""),"cpc")</f>
        <v>cpc</v>
      </c>
      <c r="C3138" s="4" t="str">
        <f>IFERROR(__xludf.DUMMYFUNCTION("""COMPUTED_VALUE"""),"CryptoPerformance Coin")</f>
        <v>CryptoPerformance Coin</v>
      </c>
    </row>
    <row r="3139">
      <c r="A3139" s="4" t="str">
        <f>IFERROR(__xludf.DUMMYFUNCTION("""COMPUTED_VALUE"""),"crypto-perx")</f>
        <v>crypto-perx</v>
      </c>
      <c r="B3139" s="4" t="str">
        <f>IFERROR(__xludf.DUMMYFUNCTION("""COMPUTED_VALUE"""),"cprx")</f>
        <v>cprx</v>
      </c>
      <c r="C3139" s="4" t="str">
        <f>IFERROR(__xludf.DUMMYFUNCTION("""COMPUTED_VALUE"""),"Crypto Perx")</f>
        <v>Crypto Perx</v>
      </c>
    </row>
    <row r="3140">
      <c r="A3140" s="4" t="str">
        <f>IFERROR(__xludf.DUMMYFUNCTION("""COMPUTED_VALUE"""),"cryptopirates")</f>
        <v>cryptopirates</v>
      </c>
      <c r="B3140" s="4" t="str">
        <f>IFERROR(__xludf.DUMMYFUNCTION("""COMPUTED_VALUE"""),"ogmf")</f>
        <v>ogmf</v>
      </c>
      <c r="C3140" s="4" t="str">
        <f>IFERROR(__xludf.DUMMYFUNCTION("""COMPUTED_VALUE"""),"CryptoPirates")</f>
        <v>CryptoPirates</v>
      </c>
    </row>
    <row r="3141">
      <c r="A3141" s="4" t="str">
        <f>IFERROR(__xludf.DUMMYFUNCTION("""COMPUTED_VALUE"""),"cryptopolis")</f>
        <v>cryptopolis</v>
      </c>
      <c r="B3141" s="4" t="str">
        <f>IFERROR(__xludf.DUMMYFUNCTION("""COMPUTED_VALUE"""),"cpo")</f>
        <v>cpo</v>
      </c>
      <c r="C3141" s="4" t="str">
        <f>IFERROR(__xludf.DUMMYFUNCTION("""COMPUTED_VALUE"""),"Cryptopolis")</f>
        <v>Cryptopolis</v>
      </c>
    </row>
    <row r="3142">
      <c r="A3142" s="4" t="str">
        <f>IFERROR(__xludf.DUMMYFUNCTION("""COMPUTED_VALUE"""),"crypto-puffs")</f>
        <v>crypto-puffs</v>
      </c>
      <c r="B3142" s="4" t="str">
        <f>IFERROR(__xludf.DUMMYFUNCTION("""COMPUTED_VALUE"""),"puffs")</f>
        <v>puffs</v>
      </c>
      <c r="C3142" s="4" t="str">
        <f>IFERROR(__xludf.DUMMYFUNCTION("""COMPUTED_VALUE"""),"Crypto Puffs")</f>
        <v>Crypto Puffs</v>
      </c>
    </row>
    <row r="3143">
      <c r="A3143" s="4" t="str">
        <f>IFERROR(__xludf.DUMMYFUNCTION("""COMPUTED_VALUE"""),"cryptopunk-7171-hoodie")</f>
        <v>cryptopunk-7171-hoodie</v>
      </c>
      <c r="B3143" s="4" t="str">
        <f>IFERROR(__xludf.DUMMYFUNCTION("""COMPUTED_VALUE"""),"hoodie")</f>
        <v>hoodie</v>
      </c>
      <c r="C3143" s="4" t="str">
        <f>IFERROR(__xludf.DUMMYFUNCTION("""COMPUTED_VALUE"""),"CryptoPunk #7171")</f>
        <v>CryptoPunk #7171</v>
      </c>
    </row>
    <row r="3144">
      <c r="A3144" s="4" t="str">
        <f>IFERROR(__xludf.DUMMYFUNCTION("""COMPUTED_VALUE"""),"cryptopunks-721")</f>
        <v>cryptopunks-721</v>
      </c>
      <c r="B3144" s="4" t="str">
        <f>IFERROR(__xludf.DUMMYFUNCTION("""COMPUTED_VALUE"""),"μͼ721")</f>
        <v>μͼ721</v>
      </c>
      <c r="C3144" s="4" t="str">
        <f>IFERROR(__xludf.DUMMYFUNCTION("""COMPUTED_VALUE"""),"μCryptoPunks 721")</f>
        <v>μCryptoPunks 721</v>
      </c>
    </row>
    <row r="3145">
      <c r="A3145" s="4" t="str">
        <f>IFERROR(__xludf.DUMMYFUNCTION("""COMPUTED_VALUE"""),"cryptopunks-fraction-toke")</f>
        <v>cryptopunks-fraction-toke</v>
      </c>
      <c r="B3145" s="4" t="str">
        <f>IFERROR(__xludf.DUMMYFUNCTION("""COMPUTED_VALUE"""),"ipunks")</f>
        <v>ipunks</v>
      </c>
      <c r="C3145" s="4" t="str">
        <f>IFERROR(__xludf.DUMMYFUNCTION("""COMPUTED_VALUE"""),"CryptoPunks Fraction Token")</f>
        <v>CryptoPunks Fraction Token</v>
      </c>
    </row>
    <row r="3146">
      <c r="A3146" s="4" t="str">
        <f>IFERROR(__xludf.DUMMYFUNCTION("""COMPUTED_VALUE"""),"crypto-raiders")</f>
        <v>crypto-raiders</v>
      </c>
      <c r="B3146" s="4" t="str">
        <f>IFERROR(__xludf.DUMMYFUNCTION("""COMPUTED_VALUE"""),"raider")</f>
        <v>raider</v>
      </c>
      <c r="C3146" s="4" t="str">
        <f>IFERROR(__xludf.DUMMYFUNCTION("""COMPUTED_VALUE"""),"Crypto Raiders")</f>
        <v>Crypto Raiders</v>
      </c>
    </row>
    <row r="3147">
      <c r="A3147" s="4" t="str">
        <f>IFERROR(__xludf.DUMMYFUNCTION("""COMPUTED_VALUE"""),"crypto-real-estate")</f>
        <v>crypto-real-estate</v>
      </c>
      <c r="B3147" s="4" t="str">
        <f>IFERROR(__xludf.DUMMYFUNCTION("""COMPUTED_VALUE"""),"cre")</f>
        <v>cre</v>
      </c>
      <c r="C3147" s="4" t="str">
        <f>IFERROR(__xludf.DUMMYFUNCTION("""COMPUTED_VALUE"""),"Crypto Real Estate")</f>
        <v>Crypto Real Estate</v>
      </c>
    </row>
    <row r="3148">
      <c r="A3148" s="4" t="str">
        <f>IFERROR(__xludf.DUMMYFUNCTION("""COMPUTED_VALUE"""),"cryptorg-token")</f>
        <v>cryptorg-token</v>
      </c>
      <c r="B3148" s="4" t="str">
        <f>IFERROR(__xludf.DUMMYFUNCTION("""COMPUTED_VALUE"""),"ctg")</f>
        <v>ctg</v>
      </c>
      <c r="C3148" s="4" t="str">
        <f>IFERROR(__xludf.DUMMYFUNCTION("""COMPUTED_VALUE"""),"Cryptorg")</f>
        <v>Cryptorg</v>
      </c>
    </row>
    <row r="3149">
      <c r="A3149" s="4" t="str">
        <f>IFERROR(__xludf.DUMMYFUNCTION("""COMPUTED_VALUE"""),"crypto-royale")</f>
        <v>crypto-royale</v>
      </c>
      <c r="B3149" s="4" t="str">
        <f>IFERROR(__xludf.DUMMYFUNCTION("""COMPUTED_VALUE"""),"roy")</f>
        <v>roy</v>
      </c>
      <c r="C3149" s="4" t="str">
        <f>IFERROR(__xludf.DUMMYFUNCTION("""COMPUTED_VALUE"""),"Crypto Royale")</f>
        <v>Crypto Royale</v>
      </c>
    </row>
    <row r="3150">
      <c r="A3150" s="4" t="str">
        <f>IFERROR(__xludf.DUMMYFUNCTION("""COMPUTED_VALUE"""),"cryptosaga")</f>
        <v>cryptosaga</v>
      </c>
      <c r="B3150" s="4" t="str">
        <f>IFERROR(__xludf.DUMMYFUNCTION("""COMPUTED_VALUE"""),"saga")</f>
        <v>saga</v>
      </c>
      <c r="C3150" s="4" t="str">
        <f>IFERROR(__xludf.DUMMYFUNCTION("""COMPUTED_VALUE"""),"CryptoSaga")</f>
        <v>CryptoSaga</v>
      </c>
    </row>
    <row r="3151">
      <c r="A3151" s="4" t="str">
        <f>IFERROR(__xludf.DUMMYFUNCTION("""COMPUTED_VALUE"""),"crypto-sdg")</f>
        <v>crypto-sdg</v>
      </c>
      <c r="B3151" s="4" t="str">
        <f>IFERROR(__xludf.DUMMYFUNCTION("""COMPUTED_VALUE"""),"sdg")</f>
        <v>sdg</v>
      </c>
      <c r="C3151" s="4" t="str">
        <f>IFERROR(__xludf.DUMMYFUNCTION("""COMPUTED_VALUE"""),"Crypto SDG")</f>
        <v>Crypto SDG</v>
      </c>
    </row>
    <row r="3152">
      <c r="A3152" s="4" t="str">
        <f>IFERROR(__xludf.DUMMYFUNCTION("""COMPUTED_VALUE"""),"cryptoshares")</f>
        <v>cryptoshares</v>
      </c>
      <c r="B3152" s="4" t="str">
        <f>IFERROR(__xludf.DUMMYFUNCTION("""COMPUTED_VALUE"""),"shares")</f>
        <v>shares</v>
      </c>
      <c r="C3152" s="4" t="str">
        <f>IFERROR(__xludf.DUMMYFUNCTION("""COMPUTED_VALUE"""),"Cryptoshares")</f>
        <v>Cryptoshares</v>
      </c>
    </row>
    <row r="3153">
      <c r="A3153" s="4" t="str">
        <f>IFERROR(__xludf.DUMMYFUNCTION("""COMPUTED_VALUE"""),"crypto-street-v2")</f>
        <v>crypto-street-v2</v>
      </c>
      <c r="B3153" s="4" t="str">
        <f>IFERROR(__xludf.DUMMYFUNCTION("""COMPUTED_VALUE"""),"cstv2")</f>
        <v>cstv2</v>
      </c>
      <c r="C3153" s="4" t="str">
        <f>IFERROR(__xludf.DUMMYFUNCTION("""COMPUTED_VALUE"""),"CRYPTO STREET V2")</f>
        <v>CRYPTO STREET V2</v>
      </c>
    </row>
    <row r="3154">
      <c r="A3154" s="4" t="str">
        <f>IFERROR(__xludf.DUMMYFUNCTION("""COMPUTED_VALUE"""),"cryptotanks")</f>
        <v>cryptotanks</v>
      </c>
      <c r="B3154" s="4" t="str">
        <f>IFERROR(__xludf.DUMMYFUNCTION("""COMPUTED_VALUE"""),"tank")</f>
        <v>tank</v>
      </c>
      <c r="C3154" s="4" t="str">
        <f>IFERROR(__xludf.DUMMYFUNCTION("""COMPUTED_VALUE"""),"CryptoTanks")</f>
        <v>CryptoTanks</v>
      </c>
    </row>
    <row r="3155">
      <c r="A3155" s="4" t="str">
        <f>IFERROR(__xludf.DUMMYFUNCTION("""COMPUTED_VALUE"""),"cryptotask-2")</f>
        <v>cryptotask-2</v>
      </c>
      <c r="B3155" s="4" t="str">
        <f>IFERROR(__xludf.DUMMYFUNCTION("""COMPUTED_VALUE"""),"ctask")</f>
        <v>ctask</v>
      </c>
      <c r="C3155" s="4" t="str">
        <f>IFERROR(__xludf.DUMMYFUNCTION("""COMPUTED_VALUE"""),"CryptoTask")</f>
        <v>CryptoTask</v>
      </c>
    </row>
    <row r="3156">
      <c r="A3156" s="4" t="str">
        <f>IFERROR(__xludf.DUMMYFUNCTION("""COMPUTED_VALUE"""),"cryptotem")</f>
        <v>cryptotem</v>
      </c>
      <c r="B3156" s="4" t="str">
        <f>IFERROR(__xludf.DUMMYFUNCTION("""COMPUTED_VALUE"""),"totem")</f>
        <v>totem</v>
      </c>
      <c r="C3156" s="4" t="str">
        <f>IFERROR(__xludf.DUMMYFUNCTION("""COMPUTED_VALUE"""),"Cryptotem")</f>
        <v>Cryptotem</v>
      </c>
    </row>
    <row r="3157">
      <c r="A3157" s="4" t="str">
        <f>IFERROR(__xludf.DUMMYFUNCTION("""COMPUTED_VALUE"""),"crypto-tex")</f>
        <v>crypto-tex</v>
      </c>
      <c r="B3157" s="4" t="str">
        <f>IFERROR(__xludf.DUMMYFUNCTION("""COMPUTED_VALUE"""),"ctex")</f>
        <v>ctex</v>
      </c>
      <c r="C3157" s="4" t="str">
        <f>IFERROR(__xludf.DUMMYFUNCTION("""COMPUTED_VALUE"""),"CRYPTO TEX")</f>
        <v>CRYPTO TEX</v>
      </c>
    </row>
    <row r="3158">
      <c r="A3158" s="4" t="str">
        <f>IFERROR(__xludf.DUMMYFUNCTION("""COMPUTED_VALUE"""),"cryptotwitter")</f>
        <v>cryptotwitter</v>
      </c>
      <c r="B3158" s="4" t="str">
        <f>IFERROR(__xludf.DUMMYFUNCTION("""COMPUTED_VALUE"""),"ct")</f>
        <v>ct</v>
      </c>
      <c r="C3158" s="4" t="str">
        <f>IFERROR(__xludf.DUMMYFUNCTION("""COMPUTED_VALUE"""),"CryptoTwitter")</f>
        <v>CryptoTwitter</v>
      </c>
    </row>
    <row r="3159">
      <c r="A3159" s="4" t="str">
        <f>IFERROR(__xludf.DUMMYFUNCTION("""COMPUTED_VALUE"""),"cryptotycoon")</f>
        <v>cryptotycoon</v>
      </c>
      <c r="B3159" s="4" t="str">
        <f>IFERROR(__xludf.DUMMYFUNCTION("""COMPUTED_VALUE"""),"ctt")</f>
        <v>ctt</v>
      </c>
      <c r="C3159" s="4" t="str">
        <f>IFERROR(__xludf.DUMMYFUNCTION("""COMPUTED_VALUE"""),"CryptoTycoon")</f>
        <v>CryptoTycoon</v>
      </c>
    </row>
    <row r="3160">
      <c r="A3160" s="4" t="str">
        <f>IFERROR(__xludf.DUMMYFUNCTION("""COMPUTED_VALUE"""),"cryptounity")</f>
        <v>cryptounity</v>
      </c>
      <c r="B3160" s="4" t="str">
        <f>IFERROR(__xludf.DUMMYFUNCTION("""COMPUTED_VALUE"""),"cut")</f>
        <v>cut</v>
      </c>
      <c r="C3160" s="4" t="str">
        <f>IFERROR(__xludf.DUMMYFUNCTION("""COMPUTED_VALUE"""),"CryptoUnity")</f>
        <v>CryptoUnity</v>
      </c>
    </row>
    <row r="3161">
      <c r="A3161" s="4" t="str">
        <f>IFERROR(__xludf.DUMMYFUNCTION("""COMPUTED_VALUE"""),"crypto-valleys-yield-token")</f>
        <v>crypto-valleys-yield-token</v>
      </c>
      <c r="B3161" s="4" t="str">
        <f>IFERROR(__xludf.DUMMYFUNCTION("""COMPUTED_VALUE"""),"yield")</f>
        <v>yield</v>
      </c>
      <c r="C3161" s="4" t="str">
        <f>IFERROR(__xludf.DUMMYFUNCTION("""COMPUTED_VALUE"""),"Crypto Valleys YIELD Token")</f>
        <v>Crypto Valleys YIELD Token</v>
      </c>
    </row>
    <row r="3162">
      <c r="A3162" s="4" t="str">
        <f>IFERROR(__xludf.DUMMYFUNCTION("""COMPUTED_VALUE"""),"crypto-village-accelerator-cvag")</f>
        <v>crypto-village-accelerator-cvag</v>
      </c>
      <c r="B3162" s="4" t="str">
        <f>IFERROR(__xludf.DUMMYFUNCTION("""COMPUTED_VALUE"""),"cvag")</f>
        <v>cvag</v>
      </c>
      <c r="C3162" s="4" t="str">
        <f>IFERROR(__xludf.DUMMYFUNCTION("""COMPUTED_VALUE"""),"Crypto Village Accelerator CVAG")</f>
        <v>Crypto Village Accelerator CVAG</v>
      </c>
    </row>
    <row r="3163">
      <c r="A3163" s="4" t="str">
        <f>IFERROR(__xludf.DUMMYFUNCTION("""COMPUTED_VALUE"""),"crypto-x")</f>
        <v>crypto-x</v>
      </c>
      <c r="B3163" s="4" t="str">
        <f>IFERROR(__xludf.DUMMYFUNCTION("""COMPUTED_VALUE"""),"cx")</f>
        <v>cx</v>
      </c>
      <c r="C3163" s="4" t="str">
        <f>IFERROR(__xludf.DUMMYFUNCTION("""COMPUTED_VALUE"""),"Crypto X")</f>
        <v>Crypto X</v>
      </c>
    </row>
    <row r="3164">
      <c r="A3164" s="4" t="str">
        <f>IFERROR(__xludf.DUMMYFUNCTION("""COMPUTED_VALUE"""),"cryptozoo")</f>
        <v>cryptozoo</v>
      </c>
      <c r="B3164" s="4" t="str">
        <f>IFERROR(__xludf.DUMMYFUNCTION("""COMPUTED_VALUE"""),"zoo")</f>
        <v>zoo</v>
      </c>
      <c r="C3164" s="4" t="str">
        <f>IFERROR(__xludf.DUMMYFUNCTION("""COMPUTED_VALUE"""),"CryptoZoo")</f>
        <v>CryptoZoo</v>
      </c>
    </row>
    <row r="3165">
      <c r="A3165" s="4" t="str">
        <f>IFERROR(__xludf.DUMMYFUNCTION("""COMPUTED_VALUE"""),"cryptozoon")</f>
        <v>cryptozoon</v>
      </c>
      <c r="B3165" s="4" t="str">
        <f>IFERROR(__xludf.DUMMYFUNCTION("""COMPUTED_VALUE"""),"zoon")</f>
        <v>zoon</v>
      </c>
      <c r="C3165" s="4" t="str">
        <f>IFERROR(__xludf.DUMMYFUNCTION("""COMPUTED_VALUE"""),"CryptoZoon")</f>
        <v>CryptoZoon</v>
      </c>
    </row>
    <row r="3166">
      <c r="A3166" s="4" t="str">
        <f>IFERROR(__xludf.DUMMYFUNCTION("""COMPUTED_VALUE"""),"cryptyk")</f>
        <v>cryptyk</v>
      </c>
      <c r="B3166" s="4" t="str">
        <f>IFERROR(__xludf.DUMMYFUNCTION("""COMPUTED_VALUE"""),"ctk")</f>
        <v>ctk</v>
      </c>
      <c r="C3166" s="4" t="str">
        <f>IFERROR(__xludf.DUMMYFUNCTION("""COMPUTED_VALUE"""),"Cryptyk")</f>
        <v>Cryptyk</v>
      </c>
    </row>
    <row r="3167">
      <c r="A3167" s="4" t="str">
        <f>IFERROR(__xludf.DUMMYFUNCTION("""COMPUTED_VALUE"""),"crystal-diamond")</f>
        <v>crystal-diamond</v>
      </c>
      <c r="B3167" s="4" t="str">
        <f>IFERROR(__xludf.DUMMYFUNCTION("""COMPUTED_VALUE"""),"cld")</f>
        <v>cld</v>
      </c>
      <c r="C3167" s="4" t="str">
        <f>IFERROR(__xludf.DUMMYFUNCTION("""COMPUTED_VALUE"""),"Crystal Diamond")</f>
        <v>Crystal Diamond</v>
      </c>
    </row>
    <row r="3168">
      <c r="A3168" s="4" t="str">
        <f>IFERROR(__xludf.DUMMYFUNCTION("""COMPUTED_VALUE"""),"crystal-erc404")</f>
        <v>crystal-erc404</v>
      </c>
      <c r="B3168" s="4" t="str">
        <f>IFERROR(__xludf.DUMMYFUNCTION("""COMPUTED_VALUE"""),"crystal")</f>
        <v>crystal</v>
      </c>
      <c r="C3168" s="4" t="str">
        <f>IFERROR(__xludf.DUMMYFUNCTION("""COMPUTED_VALUE"""),"Crystal")</f>
        <v>Crystal</v>
      </c>
    </row>
    <row r="3169">
      <c r="A3169" s="4" t="str">
        <f>IFERROR(__xludf.DUMMYFUNCTION("""COMPUTED_VALUE"""),"crystal-palace-fan-token")</f>
        <v>crystal-palace-fan-token</v>
      </c>
      <c r="B3169" s="4" t="str">
        <f>IFERROR(__xludf.DUMMYFUNCTION("""COMPUTED_VALUE"""),"cpfc")</f>
        <v>cpfc</v>
      </c>
      <c r="C3169" s="4" t="str">
        <f>IFERROR(__xludf.DUMMYFUNCTION("""COMPUTED_VALUE"""),"Crystal Palace FC Fan Token")</f>
        <v>Crystal Palace FC Fan Token</v>
      </c>
    </row>
    <row r="3170">
      <c r="A3170" s="4" t="str">
        <f>IFERROR(__xludf.DUMMYFUNCTION("""COMPUTED_VALUE"""),"crystl-finance")</f>
        <v>crystl-finance</v>
      </c>
      <c r="B3170" s="4" t="str">
        <f>IFERROR(__xludf.DUMMYFUNCTION("""COMPUTED_VALUE"""),"crystl")</f>
        <v>crystl</v>
      </c>
      <c r="C3170" s="4" t="str">
        <f>IFERROR(__xludf.DUMMYFUNCTION("""COMPUTED_VALUE"""),"Crystl Finance")</f>
        <v>Crystl Finance</v>
      </c>
    </row>
    <row r="3171">
      <c r="A3171" s="4" t="str">
        <f>IFERROR(__xludf.DUMMYFUNCTION("""COMPUTED_VALUE"""),"csp-dao-network")</f>
        <v>csp-dao-network</v>
      </c>
      <c r="B3171" s="4" t="str">
        <f>IFERROR(__xludf.DUMMYFUNCTION("""COMPUTED_VALUE"""),"nebo")</f>
        <v>nebo</v>
      </c>
      <c r="C3171" s="4" t="str">
        <f>IFERROR(__xludf.DUMMYFUNCTION("""COMPUTED_VALUE"""),"CSP DAO Network")</f>
        <v>CSP DAO Network</v>
      </c>
    </row>
    <row r="3172">
      <c r="A3172" s="4" t="str">
        <f>IFERROR(__xludf.DUMMYFUNCTION("""COMPUTED_VALUE"""),"csr")</f>
        <v>csr</v>
      </c>
      <c r="B3172" s="4" t="str">
        <f>IFERROR(__xludf.DUMMYFUNCTION("""COMPUTED_VALUE"""),"csr")</f>
        <v>csr</v>
      </c>
      <c r="C3172" s="4" t="str">
        <f>IFERROR(__xludf.DUMMYFUNCTION("""COMPUTED_VALUE"""),"CSR")</f>
        <v>CSR</v>
      </c>
    </row>
    <row r="3173">
      <c r="A3173" s="4" t="str">
        <f>IFERROR(__xludf.DUMMYFUNCTION("""COMPUTED_VALUE"""),"cswap")</f>
        <v>cswap</v>
      </c>
      <c r="B3173" s="4" t="str">
        <f>IFERROR(__xludf.DUMMYFUNCTION("""COMPUTED_VALUE"""),"cswap")</f>
        <v>cswap</v>
      </c>
      <c r="C3173" s="4" t="str">
        <f>IFERROR(__xludf.DUMMYFUNCTION("""COMPUTED_VALUE"""),"CSWAP")</f>
        <v>CSWAP</v>
      </c>
    </row>
    <row r="3174">
      <c r="A3174" s="4" t="str">
        <f>IFERROR(__xludf.DUMMYFUNCTION("""COMPUTED_VALUE"""),"ctez")</f>
        <v>ctez</v>
      </c>
      <c r="B3174" s="4" t="str">
        <f>IFERROR(__xludf.DUMMYFUNCTION("""COMPUTED_VALUE"""),"ctez")</f>
        <v>ctez</v>
      </c>
      <c r="C3174" s="4" t="str">
        <f>IFERROR(__xludf.DUMMYFUNCTION("""COMPUTED_VALUE"""),"Ctez")</f>
        <v>Ctez</v>
      </c>
    </row>
    <row r="3175">
      <c r="A3175" s="4" t="str">
        <f>IFERROR(__xludf.DUMMYFUNCTION("""COMPUTED_VALUE"""),"cthulhu-finance")</f>
        <v>cthulhu-finance</v>
      </c>
      <c r="B3175" s="4" t="str">
        <f>IFERROR(__xludf.DUMMYFUNCTION("""COMPUTED_VALUE"""),"cth")</f>
        <v>cth</v>
      </c>
      <c r="C3175" s="4" t="str">
        <f>IFERROR(__xludf.DUMMYFUNCTION("""COMPUTED_VALUE"""),"Cthulhu Finance")</f>
        <v>Cthulhu Finance</v>
      </c>
    </row>
    <row r="3176">
      <c r="A3176" s="4" t="str">
        <f>IFERROR(__xludf.DUMMYFUNCTION("""COMPUTED_VALUE"""),"ctomorrow-platform")</f>
        <v>ctomorrow-platform</v>
      </c>
      <c r="B3176" s="4" t="str">
        <f>IFERROR(__xludf.DUMMYFUNCTION("""COMPUTED_VALUE"""),"ctp")</f>
        <v>ctp</v>
      </c>
      <c r="C3176" s="4" t="str">
        <f>IFERROR(__xludf.DUMMYFUNCTION("""COMPUTED_VALUE"""),"Ctomorrow Platform")</f>
        <v>Ctomorrow Platform</v>
      </c>
    </row>
    <row r="3177">
      <c r="A3177" s="4" t="str">
        <f>IFERROR(__xludf.DUMMYFUNCTION("""COMPUTED_VALUE"""),"ctrl")</f>
        <v>ctrl</v>
      </c>
      <c r="B3177" s="4" t="str">
        <f>IFERROR(__xludf.DUMMYFUNCTION("""COMPUTED_VALUE"""),"ctrl")</f>
        <v>ctrl</v>
      </c>
      <c r="C3177" s="4" t="str">
        <f>IFERROR(__xludf.DUMMYFUNCTION("""COMPUTED_VALUE"""),"Ctrl")</f>
        <v>Ctrl</v>
      </c>
    </row>
    <row r="3178">
      <c r="A3178" s="4" t="str">
        <f>IFERROR(__xludf.DUMMYFUNCTION("""COMPUTED_VALUE"""),"cubechain")</f>
        <v>cubechain</v>
      </c>
      <c r="B3178" s="4" t="str">
        <f>IFERROR(__xludf.DUMMYFUNCTION("""COMPUTED_VALUE"""),"qub")</f>
        <v>qub</v>
      </c>
      <c r="C3178" s="4" t="str">
        <f>IFERROR(__xludf.DUMMYFUNCTION("""COMPUTED_VALUE"""),"Cubechain")</f>
        <v>Cubechain</v>
      </c>
    </row>
    <row r="3179">
      <c r="A3179" s="4" t="str">
        <f>IFERROR(__xludf.DUMMYFUNCTION("""COMPUTED_VALUE"""),"cuberium")</f>
        <v>cuberium</v>
      </c>
      <c r="B3179" s="4" t="str">
        <f>IFERROR(__xludf.DUMMYFUNCTION("""COMPUTED_VALUE"""),"iland")</f>
        <v>iland</v>
      </c>
      <c r="C3179" s="4" t="str">
        <f>IFERROR(__xludf.DUMMYFUNCTION("""COMPUTED_VALUE"""),"Cuberium")</f>
        <v>Cuberium</v>
      </c>
    </row>
    <row r="3180">
      <c r="A3180" s="4" t="str">
        <f>IFERROR(__xludf.DUMMYFUNCTION("""COMPUTED_VALUE"""),"cub-finance")</f>
        <v>cub-finance</v>
      </c>
      <c r="B3180" s="4" t="str">
        <f>IFERROR(__xludf.DUMMYFUNCTION("""COMPUTED_VALUE"""),"cub")</f>
        <v>cub</v>
      </c>
      <c r="C3180" s="4" t="str">
        <f>IFERROR(__xludf.DUMMYFUNCTION("""COMPUTED_VALUE"""),"Cub Finance")</f>
        <v>Cub Finance</v>
      </c>
    </row>
    <row r="3181">
      <c r="A3181" s="4" t="str">
        <f>IFERROR(__xludf.DUMMYFUNCTION("""COMPUTED_VALUE"""),"cubiex-power")</f>
        <v>cubiex-power</v>
      </c>
      <c r="B3181" s="4" t="str">
        <f>IFERROR(__xludf.DUMMYFUNCTION("""COMPUTED_VALUE"""),"cbix-p")</f>
        <v>cbix-p</v>
      </c>
      <c r="C3181" s="4" t="str">
        <f>IFERROR(__xludf.DUMMYFUNCTION("""COMPUTED_VALUE"""),"Cubiex Power")</f>
        <v>Cubiex Power</v>
      </c>
    </row>
    <row r="3182">
      <c r="A3182" s="4" t="str">
        <f>IFERROR(__xludf.DUMMYFUNCTION("""COMPUTED_VALUE"""),"cubiswap")</f>
        <v>cubiswap</v>
      </c>
      <c r="B3182" s="4" t="str">
        <f>IFERROR(__xludf.DUMMYFUNCTION("""COMPUTED_VALUE"""),"cubi")</f>
        <v>cubi</v>
      </c>
      <c r="C3182" s="4" t="str">
        <f>IFERROR(__xludf.DUMMYFUNCTION("""COMPUTED_VALUE"""),"CUBISWAP")</f>
        <v>CUBISWAP</v>
      </c>
    </row>
    <row r="3183">
      <c r="A3183" s="4" t="str">
        <f>IFERROR(__xludf.DUMMYFUNCTION("""COMPUTED_VALUE"""),"cubtoken")</f>
        <v>cubtoken</v>
      </c>
      <c r="B3183" s="4" t="str">
        <f>IFERROR(__xludf.DUMMYFUNCTION("""COMPUTED_VALUE"""),"cubt")</f>
        <v>cubt</v>
      </c>
      <c r="C3183" s="4" t="str">
        <f>IFERROR(__xludf.DUMMYFUNCTION("""COMPUTED_VALUE"""),"CubToken")</f>
        <v>CubToken</v>
      </c>
    </row>
    <row r="3184">
      <c r="A3184" s="4" t="str">
        <f>IFERROR(__xludf.DUMMYFUNCTION("""COMPUTED_VALUE"""),"cuckadoodledoo")</f>
        <v>cuckadoodledoo</v>
      </c>
      <c r="B3184" s="4" t="str">
        <f>IFERROR(__xludf.DUMMYFUNCTION("""COMPUTED_VALUE"""),"cuck")</f>
        <v>cuck</v>
      </c>
      <c r="C3184" s="4" t="str">
        <f>IFERROR(__xludf.DUMMYFUNCTION("""COMPUTED_VALUE"""),"Cuckadoodledoo")</f>
        <v>Cuckadoodledoo</v>
      </c>
    </row>
    <row r="3185">
      <c r="A3185" s="4" t="str">
        <f>IFERROR(__xludf.DUMMYFUNCTION("""COMPUTED_VALUE"""),"cudos")</f>
        <v>cudos</v>
      </c>
      <c r="B3185" s="4" t="str">
        <f>IFERROR(__xludf.DUMMYFUNCTION("""COMPUTED_VALUE"""),"cudos")</f>
        <v>cudos</v>
      </c>
      <c r="C3185" s="4" t="str">
        <f>IFERROR(__xludf.DUMMYFUNCTION("""COMPUTED_VALUE"""),"Cudos")</f>
        <v>Cudos</v>
      </c>
    </row>
    <row r="3186">
      <c r="A3186" s="4" t="str">
        <f>IFERROR(__xludf.DUMMYFUNCTION("""COMPUTED_VALUE"""),"culo")</f>
        <v>culo</v>
      </c>
      <c r="B3186" s="4" t="str">
        <f>IFERROR(__xludf.DUMMYFUNCTION("""COMPUTED_VALUE"""),"culo")</f>
        <v>culo</v>
      </c>
      <c r="C3186" s="4" t="str">
        <f>IFERROR(__xludf.DUMMYFUNCTION("""COMPUTED_VALUE"""),"CULO")</f>
        <v>CULO</v>
      </c>
    </row>
    <row r="3187">
      <c r="A3187" s="4" t="str">
        <f>IFERROR(__xludf.DUMMYFUNCTION("""COMPUTED_VALUE"""),"cult-dao")</f>
        <v>cult-dao</v>
      </c>
      <c r="B3187" s="4" t="str">
        <f>IFERROR(__xludf.DUMMYFUNCTION("""COMPUTED_VALUE"""),"cult")</f>
        <v>cult</v>
      </c>
      <c r="C3187" s="4" t="str">
        <f>IFERROR(__xludf.DUMMYFUNCTION("""COMPUTED_VALUE"""),"Cult DAO")</f>
        <v>Cult DAO</v>
      </c>
    </row>
    <row r="3188">
      <c r="A3188" s="4" t="str">
        <f>IFERROR(__xludf.DUMMYFUNCTION("""COMPUTED_VALUE"""),"cuminu")</f>
        <v>cuminu</v>
      </c>
      <c r="B3188" s="4" t="str">
        <f>IFERROR(__xludf.DUMMYFUNCTION("""COMPUTED_VALUE"""),"cuminu")</f>
        <v>cuminu</v>
      </c>
      <c r="C3188" s="4" t="str">
        <f>IFERROR(__xludf.DUMMYFUNCTION("""COMPUTED_VALUE"""),"Cuminu")</f>
        <v>Cuminu</v>
      </c>
    </row>
    <row r="3189">
      <c r="A3189" s="4" t="str">
        <f>IFERROR(__xludf.DUMMYFUNCTION("""COMPUTED_VALUE"""),"cumrocket")</f>
        <v>cumrocket</v>
      </c>
      <c r="B3189" s="4" t="str">
        <f>IFERROR(__xludf.DUMMYFUNCTION("""COMPUTED_VALUE"""),"cummies")</f>
        <v>cummies</v>
      </c>
      <c r="C3189" s="4" t="str">
        <f>IFERROR(__xludf.DUMMYFUNCTION("""COMPUTED_VALUE"""),"CumRocket")</f>
        <v>CumRocket</v>
      </c>
    </row>
    <row r="3190">
      <c r="A3190" s="4" t="str">
        <f>IFERROR(__xludf.DUMMYFUNCTION("""COMPUTED_VALUE"""),"cumulus-encrypted-storage-system")</f>
        <v>cumulus-encrypted-storage-system</v>
      </c>
      <c r="B3190" s="4" t="str">
        <f>IFERROR(__xludf.DUMMYFUNCTION("""COMPUTED_VALUE"""),"cess")</f>
        <v>cess</v>
      </c>
      <c r="C3190" s="4" t="str">
        <f>IFERROR(__xludf.DUMMYFUNCTION("""COMPUTED_VALUE"""),"Cumulus Encrypted Storage System")</f>
        <v>Cumulus Encrypted Storage System</v>
      </c>
    </row>
    <row r="3191">
      <c r="A3191" s="4" t="str">
        <f>IFERROR(__xludf.DUMMYFUNCTION("""COMPUTED_VALUE"""),"curate")</f>
        <v>curate</v>
      </c>
      <c r="B3191" s="4" t="str">
        <f>IFERROR(__xludf.DUMMYFUNCTION("""COMPUTED_VALUE"""),"xcur")</f>
        <v>xcur</v>
      </c>
      <c r="C3191" s="4" t="str">
        <f>IFERROR(__xludf.DUMMYFUNCTION("""COMPUTED_VALUE"""),"Curate")</f>
        <v>Curate</v>
      </c>
    </row>
    <row r="3192">
      <c r="A3192" s="4" t="str">
        <f>IFERROR(__xludf.DUMMYFUNCTION("""COMPUTED_VALUE"""),"curecoin")</f>
        <v>curecoin</v>
      </c>
      <c r="B3192" s="4" t="str">
        <f>IFERROR(__xludf.DUMMYFUNCTION("""COMPUTED_VALUE"""),"cure")</f>
        <v>cure</v>
      </c>
      <c r="C3192" s="4" t="str">
        <f>IFERROR(__xludf.DUMMYFUNCTION("""COMPUTED_VALUE"""),"Curecoin")</f>
        <v>Curecoin</v>
      </c>
    </row>
    <row r="3193">
      <c r="A3193" s="4" t="str">
        <f>IFERROR(__xludf.DUMMYFUNCTION("""COMPUTED_VALUE"""),"cure-token-v2")</f>
        <v>cure-token-v2</v>
      </c>
      <c r="B3193" s="4" t="str">
        <f>IFERROR(__xludf.DUMMYFUNCTION("""COMPUTED_VALUE"""),"cure")</f>
        <v>cure</v>
      </c>
      <c r="C3193" s="4" t="str">
        <f>IFERROR(__xludf.DUMMYFUNCTION("""COMPUTED_VALUE"""),"CURE V2")</f>
        <v>CURE V2</v>
      </c>
    </row>
    <row r="3194">
      <c r="A3194" s="4" t="str">
        <f>IFERROR(__xludf.DUMMYFUNCTION("""COMPUTED_VALUE"""),"curio-governance")</f>
        <v>curio-governance</v>
      </c>
      <c r="B3194" s="4" t="str">
        <f>IFERROR(__xludf.DUMMYFUNCTION("""COMPUTED_VALUE"""),"cgt")</f>
        <v>cgt</v>
      </c>
      <c r="C3194" s="4" t="str">
        <f>IFERROR(__xludf.DUMMYFUNCTION("""COMPUTED_VALUE"""),"Curio Governance Token")</f>
        <v>Curio Governance Token</v>
      </c>
    </row>
    <row r="3195">
      <c r="A3195" s="4" t="str">
        <f>IFERROR(__xludf.DUMMYFUNCTION("""COMPUTED_VALUE"""),"curiosityanon")</f>
        <v>curiosityanon</v>
      </c>
      <c r="B3195" s="4" t="str">
        <f>IFERROR(__xludf.DUMMYFUNCTION("""COMPUTED_VALUE"""),"ca")</f>
        <v>ca</v>
      </c>
      <c r="C3195" s="4" t="str">
        <f>IFERROR(__xludf.DUMMYFUNCTION("""COMPUTED_VALUE"""),"CuriosityAnon")</f>
        <v>CuriosityAnon</v>
      </c>
    </row>
    <row r="3196">
      <c r="A3196" s="4" t="str">
        <f>IFERROR(__xludf.DUMMYFUNCTION("""COMPUTED_VALUE"""),"curvance")</f>
        <v>curvance</v>
      </c>
      <c r="B3196" s="4" t="str">
        <f>IFERROR(__xludf.DUMMYFUNCTION("""COMPUTED_VALUE"""),"cve")</f>
        <v>cve</v>
      </c>
      <c r="C3196" s="4" t="str">
        <f>IFERROR(__xludf.DUMMYFUNCTION("""COMPUTED_VALUE"""),"Curvance")</f>
        <v>Curvance</v>
      </c>
    </row>
    <row r="3197">
      <c r="A3197" s="4" t="str">
        <f>IFERROR(__xludf.DUMMYFUNCTION("""COMPUTED_VALUE"""),"curve-dao-token")</f>
        <v>curve-dao-token</v>
      </c>
      <c r="B3197" s="4" t="str">
        <f>IFERROR(__xludf.DUMMYFUNCTION("""COMPUTED_VALUE"""),"crv")</f>
        <v>crv</v>
      </c>
      <c r="C3197" s="4" t="str">
        <f>IFERROR(__xludf.DUMMYFUNCTION("""COMPUTED_VALUE"""),"Curve DAO")</f>
        <v>Curve DAO</v>
      </c>
    </row>
    <row r="3198">
      <c r="A3198" s="4" t="str">
        <f>IFERROR(__xludf.DUMMYFUNCTION("""COMPUTED_VALUE"""),"curve-fi-amdai-amusdc-amusdt")</f>
        <v>curve-fi-amdai-amusdc-amusdt</v>
      </c>
      <c r="B3198" s="4" t="str">
        <f>IFERROR(__xludf.DUMMYFUNCTION("""COMPUTED_VALUE"""),"am3crv")</f>
        <v>am3crv</v>
      </c>
      <c r="C3198" s="4" t="str">
        <f>IFERROR(__xludf.DUMMYFUNCTION("""COMPUTED_VALUE"""),"Curve.fi amDAI/amUSDC/amUSDT")</f>
        <v>Curve.fi amDAI/amUSDC/amUSDT</v>
      </c>
    </row>
    <row r="3199">
      <c r="A3199" s="4" t="str">
        <f>IFERROR(__xludf.DUMMYFUNCTION("""COMPUTED_VALUE"""),"curve-fi-frax-usdc")</f>
        <v>curve-fi-frax-usdc</v>
      </c>
      <c r="B3199" s="4" t="str">
        <f>IFERROR(__xludf.DUMMYFUNCTION("""COMPUTED_VALUE"""),"crvfrax")</f>
        <v>crvfrax</v>
      </c>
      <c r="C3199" s="4" t="str">
        <f>IFERROR(__xludf.DUMMYFUNCTION("""COMPUTED_VALUE"""),"Curve.fi FRAX/USDC")</f>
        <v>Curve.fi FRAX/USDC</v>
      </c>
    </row>
    <row r="3200">
      <c r="A3200" s="4" t="str">
        <f>IFERROR(__xludf.DUMMYFUNCTION("""COMPUTED_VALUE"""),"curve-fi-renbtc-wbtc-sbtc")</f>
        <v>curve-fi-renbtc-wbtc-sbtc</v>
      </c>
      <c r="B3200" s="4" t="str">
        <f>IFERROR(__xludf.DUMMYFUNCTION("""COMPUTED_VALUE"""),"crvrenwsbtc")</f>
        <v>crvrenwsbtc</v>
      </c>
      <c r="C3200" s="4" t="str">
        <f>IFERROR(__xludf.DUMMYFUNCTION("""COMPUTED_VALUE"""),"Curve.fi renBTC/wBTC/sBTC")</f>
        <v>Curve.fi renBTC/wBTC/sBTC</v>
      </c>
    </row>
    <row r="3201">
      <c r="A3201" s="4" t="str">
        <f>IFERROR(__xludf.DUMMYFUNCTION("""COMPUTED_VALUE"""),"curve-fi-usdc-usdt")</f>
        <v>curve-fi-usdc-usdt</v>
      </c>
      <c r="B3201" s="4" t="str">
        <f>IFERROR(__xludf.DUMMYFUNCTION("""COMPUTED_VALUE"""),"2crv")</f>
        <v>2crv</v>
      </c>
      <c r="C3201" s="4" t="str">
        <f>IFERROR(__xludf.DUMMYFUNCTION("""COMPUTED_VALUE"""),"Curve.fi USDC/USDT")</f>
        <v>Curve.fi USDC/USDT</v>
      </c>
    </row>
    <row r="3202">
      <c r="A3202" s="4" t="str">
        <f>IFERROR(__xludf.DUMMYFUNCTION("""COMPUTED_VALUE"""),"curve-fi-usd-stablecoin-stargate")</f>
        <v>curve-fi-usd-stablecoin-stargate</v>
      </c>
      <c r="B3202" s="4" t="str">
        <f>IFERROR(__xludf.DUMMYFUNCTION("""COMPUTED_VALUE"""),"crvusd")</f>
        <v>crvusd</v>
      </c>
      <c r="C3202" s="4" t="str">
        <f>IFERROR(__xludf.DUMMYFUNCTION("""COMPUTED_VALUE"""),"Bridged Curve.Fi USD Stablecoin (Stargate)")</f>
        <v>Bridged Curve.Fi USD Stablecoin (Stargate)</v>
      </c>
    </row>
    <row r="3203">
      <c r="A3203" s="4" t="str">
        <f>IFERROR(__xludf.DUMMYFUNCTION("""COMPUTED_VALUE"""),"curve-inu")</f>
        <v>curve-inu</v>
      </c>
      <c r="B3203" s="4" t="str">
        <f>IFERROR(__xludf.DUMMYFUNCTION("""COMPUTED_VALUE"""),"crvy")</f>
        <v>crvy</v>
      </c>
      <c r="C3203" s="4" t="str">
        <f>IFERROR(__xludf.DUMMYFUNCTION("""COMPUTED_VALUE"""),"Curve Inu")</f>
        <v>Curve Inu</v>
      </c>
    </row>
    <row r="3204">
      <c r="A3204" s="4" t="str">
        <f>IFERROR(__xludf.DUMMYFUNCTION("""COMPUTED_VALUE"""),"curveswap")</f>
        <v>curveswap</v>
      </c>
      <c r="B3204" s="4" t="str">
        <f>IFERROR(__xludf.DUMMYFUNCTION("""COMPUTED_VALUE"""),"cvs")</f>
        <v>cvs</v>
      </c>
      <c r="C3204" s="4" t="str">
        <f>IFERROR(__xludf.DUMMYFUNCTION("""COMPUTED_VALUE"""),"Curveswap")</f>
        <v>Curveswap</v>
      </c>
    </row>
    <row r="3205">
      <c r="A3205" s="4" t="str">
        <f>IFERROR(__xludf.DUMMYFUNCTION("""COMPUTED_VALUE"""),"custodiy")</f>
        <v>custodiy</v>
      </c>
      <c r="B3205" s="4" t="str">
        <f>IFERROR(__xludf.DUMMYFUNCTION("""COMPUTED_VALUE"""),"cty")</f>
        <v>cty</v>
      </c>
      <c r="C3205" s="4" t="str">
        <f>IFERROR(__xludf.DUMMYFUNCTION("""COMPUTED_VALUE"""),"CUSTODIY")</f>
        <v>CUSTODIY</v>
      </c>
    </row>
    <row r="3206">
      <c r="A3206" s="4" t="str">
        <f>IFERROR(__xludf.DUMMYFUNCTION("""COMPUTED_VALUE"""),"cvault-finance")</f>
        <v>cvault-finance</v>
      </c>
      <c r="B3206" s="4" t="str">
        <f>IFERROR(__xludf.DUMMYFUNCTION("""COMPUTED_VALUE"""),"core")</f>
        <v>core</v>
      </c>
      <c r="C3206" s="4" t="str">
        <f>IFERROR(__xludf.DUMMYFUNCTION("""COMPUTED_VALUE"""),"cVault.finance")</f>
        <v>cVault.finance</v>
      </c>
    </row>
    <row r="3207">
      <c r="A3207" s="4" t="str">
        <f>IFERROR(__xludf.DUMMYFUNCTION("""COMPUTED_VALUE"""),"cvip")</f>
        <v>cvip</v>
      </c>
      <c r="B3207" s="4" t="str">
        <f>IFERROR(__xludf.DUMMYFUNCTION("""COMPUTED_VALUE"""),"cvip")</f>
        <v>cvip</v>
      </c>
      <c r="C3207" s="4" t="str">
        <f>IFERROR(__xludf.DUMMYFUNCTION("""COMPUTED_VALUE"""),"CVIP")</f>
        <v>CVIP</v>
      </c>
    </row>
    <row r="3208">
      <c r="A3208" s="4" t="str">
        <f>IFERROR(__xludf.DUMMYFUNCTION("""COMPUTED_VALUE"""),"cvnx")</f>
        <v>cvnx</v>
      </c>
      <c r="B3208" s="4" t="str">
        <f>IFERROR(__xludf.DUMMYFUNCTION("""COMPUTED_VALUE"""),"cvnx")</f>
        <v>cvnx</v>
      </c>
      <c r="C3208" s="4" t="str">
        <f>IFERROR(__xludf.DUMMYFUNCTION("""COMPUTED_VALUE"""),"CVNX")</f>
        <v>CVNX</v>
      </c>
    </row>
    <row r="3209">
      <c r="A3209" s="4" t="str">
        <f>IFERROR(__xludf.DUMMYFUNCTION("""COMPUTED_VALUE"""),"cvshots")</f>
        <v>cvshots</v>
      </c>
      <c r="B3209" s="4" t="str">
        <f>IFERROR(__xludf.DUMMYFUNCTION("""COMPUTED_VALUE"""),"cvshot")</f>
        <v>cvshot</v>
      </c>
      <c r="C3209" s="4" t="str">
        <f>IFERROR(__xludf.DUMMYFUNCTION("""COMPUTED_VALUE"""),"CVSHOTS")</f>
        <v>CVSHOTS</v>
      </c>
    </row>
    <row r="3210">
      <c r="A3210" s="4" t="str">
        <f>IFERROR(__xludf.DUMMYFUNCTION("""COMPUTED_VALUE"""),"cyb3rgam3r420")</f>
        <v>cyb3rgam3r420</v>
      </c>
      <c r="B3210" s="4" t="str">
        <f>IFERROR(__xludf.DUMMYFUNCTION("""COMPUTED_VALUE"""),"gamer")</f>
        <v>gamer</v>
      </c>
      <c r="C3210" s="4" t="str">
        <f>IFERROR(__xludf.DUMMYFUNCTION("""COMPUTED_VALUE"""),"cyb3rgam3r420")</f>
        <v>cyb3rgam3r420</v>
      </c>
    </row>
    <row r="3211">
      <c r="A3211" s="4" t="str">
        <f>IFERROR(__xludf.DUMMYFUNCTION("""COMPUTED_VALUE"""),"cyber-arena")</f>
        <v>cyber-arena</v>
      </c>
      <c r="B3211" s="4" t="str">
        <f>IFERROR(__xludf.DUMMYFUNCTION("""COMPUTED_VALUE"""),"cat")</f>
        <v>cat</v>
      </c>
      <c r="C3211" s="4" t="str">
        <f>IFERROR(__xludf.DUMMYFUNCTION("""COMPUTED_VALUE"""),"Cyber Arena")</f>
        <v>Cyber Arena</v>
      </c>
    </row>
    <row r="3212">
      <c r="A3212" s="4" t="str">
        <f>IFERROR(__xludf.DUMMYFUNCTION("""COMPUTED_VALUE"""),"cyberblast-token")</f>
        <v>cyberblast-token</v>
      </c>
      <c r="B3212" s="4" t="str">
        <f>IFERROR(__xludf.DUMMYFUNCTION("""COMPUTED_VALUE"""),"cbr")</f>
        <v>cbr</v>
      </c>
      <c r="C3212" s="4" t="str">
        <f>IFERROR(__xludf.DUMMYFUNCTION("""COMPUTED_VALUE"""),"Cyberblast Token")</f>
        <v>Cyberblast Token</v>
      </c>
    </row>
    <row r="3213">
      <c r="A3213" s="4" t="str">
        <f>IFERROR(__xludf.DUMMYFUNCTION("""COMPUTED_VALUE"""),"cyberconnect")</f>
        <v>cyberconnect</v>
      </c>
      <c r="B3213" s="4" t="str">
        <f>IFERROR(__xludf.DUMMYFUNCTION("""COMPUTED_VALUE"""),"cyber")</f>
        <v>cyber</v>
      </c>
      <c r="C3213" s="4" t="str">
        <f>IFERROR(__xludf.DUMMYFUNCTION("""COMPUTED_VALUE"""),"CyberConnect")</f>
        <v>CyberConnect</v>
      </c>
    </row>
    <row r="3214">
      <c r="A3214" s="4" t="str">
        <f>IFERROR(__xludf.DUMMYFUNCTION("""COMPUTED_VALUE"""),"cyber-dao")</f>
        <v>cyber-dao</v>
      </c>
      <c r="B3214" s="4" t="str">
        <f>IFERROR(__xludf.DUMMYFUNCTION("""COMPUTED_VALUE"""),"c-dao")</f>
        <v>c-dao</v>
      </c>
      <c r="C3214" s="4" t="str">
        <f>IFERROR(__xludf.DUMMYFUNCTION("""COMPUTED_VALUE"""),"Cyber-DAO")</f>
        <v>Cyber-DAO</v>
      </c>
    </row>
    <row r="3215">
      <c r="A3215" s="4" t="str">
        <f>IFERROR(__xludf.DUMMYFUNCTION("""COMPUTED_VALUE"""),"cyber-doge-2")</f>
        <v>cyber-doge-2</v>
      </c>
      <c r="B3215" s="4" t="str">
        <f>IFERROR(__xludf.DUMMYFUNCTION("""COMPUTED_VALUE"""),"cdoge")</f>
        <v>cdoge</v>
      </c>
      <c r="C3215" s="4" t="str">
        <f>IFERROR(__xludf.DUMMYFUNCTION("""COMPUTED_VALUE"""),"Cyber Doge")</f>
        <v>Cyber Doge</v>
      </c>
    </row>
    <row r="3216">
      <c r="A3216" s="4" t="str">
        <f>IFERROR(__xludf.DUMMYFUNCTION("""COMPUTED_VALUE"""),"cyberdoge-2")</f>
        <v>cyberdoge-2</v>
      </c>
      <c r="B3216" s="4" t="str">
        <f>IFERROR(__xludf.DUMMYFUNCTION("""COMPUTED_VALUE"""),"cydoge")</f>
        <v>cydoge</v>
      </c>
      <c r="C3216" s="4" t="str">
        <f>IFERROR(__xludf.DUMMYFUNCTION("""COMPUTED_VALUE"""),"Cyberdoge")</f>
        <v>Cyberdoge</v>
      </c>
    </row>
    <row r="3217">
      <c r="A3217" s="4" t="str">
        <f>IFERROR(__xludf.DUMMYFUNCTION("""COMPUTED_VALUE"""),"cyberdragon-gold")</f>
        <v>cyberdragon-gold</v>
      </c>
      <c r="B3217" s="4" t="str">
        <f>IFERROR(__xludf.DUMMYFUNCTION("""COMPUTED_VALUE"""),"gold")</f>
        <v>gold</v>
      </c>
      <c r="C3217" s="4" t="str">
        <f>IFERROR(__xludf.DUMMYFUNCTION("""COMPUTED_VALUE"""),"CyberDragon Gold")</f>
        <v>CyberDragon Gold</v>
      </c>
    </row>
    <row r="3218">
      <c r="A3218" s="4" t="str">
        <f>IFERROR(__xludf.DUMMYFUNCTION("""COMPUTED_VALUE"""),"cyberfi")</f>
        <v>cyberfi</v>
      </c>
      <c r="B3218" s="4" t="str">
        <f>IFERROR(__xludf.DUMMYFUNCTION("""COMPUTED_VALUE"""),"cfi")</f>
        <v>cfi</v>
      </c>
      <c r="C3218" s="4" t="str">
        <f>IFERROR(__xludf.DUMMYFUNCTION("""COMPUTED_VALUE"""),"CyberFi")</f>
        <v>CyberFi</v>
      </c>
    </row>
    <row r="3219">
      <c r="A3219" s="4" t="str">
        <f>IFERROR(__xludf.DUMMYFUNCTION("""COMPUTED_VALUE"""),"cyberfm")</f>
        <v>cyberfm</v>
      </c>
      <c r="B3219" s="4" t="str">
        <f>IFERROR(__xludf.DUMMYFUNCTION("""COMPUTED_VALUE"""),"cyfm")</f>
        <v>cyfm</v>
      </c>
      <c r="C3219" s="4" t="str">
        <f>IFERROR(__xludf.DUMMYFUNCTION("""COMPUTED_VALUE"""),"CyberFM")</f>
        <v>CyberFM</v>
      </c>
    </row>
    <row r="3220">
      <c r="A3220" s="4" t="str">
        <f>IFERROR(__xludf.DUMMYFUNCTION("""COMPUTED_VALUE"""),"cyberharbor")</f>
        <v>cyberharbor</v>
      </c>
      <c r="B3220" s="4" t="str">
        <f>IFERROR(__xludf.DUMMYFUNCTION("""COMPUTED_VALUE"""),"cht")</f>
        <v>cht</v>
      </c>
      <c r="C3220" s="4" t="str">
        <f>IFERROR(__xludf.DUMMYFUNCTION("""COMPUTED_VALUE"""),"CyberHarbor")</f>
        <v>CyberHarbor</v>
      </c>
    </row>
    <row r="3221">
      <c r="A3221" s="4" t="str">
        <f>IFERROR(__xludf.DUMMYFUNCTION("""COMPUTED_VALUE"""),"cyberpixels")</f>
        <v>cyberpixels</v>
      </c>
      <c r="B3221" s="4" t="str">
        <f>IFERROR(__xludf.DUMMYFUNCTION("""COMPUTED_VALUE"""),"cypx")</f>
        <v>cypx</v>
      </c>
      <c r="C3221" s="4" t="str">
        <f>IFERROR(__xludf.DUMMYFUNCTION("""COMPUTED_VALUE"""),"CyberPixels")</f>
        <v>CyberPixels</v>
      </c>
    </row>
    <row r="3222">
      <c r="A3222" s="4" t="str">
        <f>IFERROR(__xludf.DUMMYFUNCTION("""COMPUTED_VALUE"""),"cyberpunk-city")</f>
        <v>cyberpunk-city</v>
      </c>
      <c r="B3222" s="4" t="str">
        <f>IFERROR(__xludf.DUMMYFUNCTION("""COMPUTED_VALUE"""),"cyber")</f>
        <v>cyber</v>
      </c>
      <c r="C3222" s="4" t="str">
        <f>IFERROR(__xludf.DUMMYFUNCTION("""COMPUTED_VALUE"""),"Cyberpunk City")</f>
        <v>Cyberpunk City</v>
      </c>
    </row>
    <row r="3223">
      <c r="A3223" s="4" t="str">
        <f>IFERROR(__xludf.DUMMYFUNCTION("""COMPUTED_VALUE"""),"cyber-tesla-ai")</f>
        <v>cyber-tesla-ai</v>
      </c>
      <c r="B3223" s="4" t="str">
        <f>IFERROR(__xludf.DUMMYFUNCTION("""COMPUTED_VALUE"""),"cta")</f>
        <v>cta</v>
      </c>
      <c r="C3223" s="4" t="str">
        <f>IFERROR(__xludf.DUMMYFUNCTION("""COMPUTED_VALUE"""),"Cyber Tesla AI")</f>
        <v>Cyber Tesla AI</v>
      </c>
    </row>
    <row r="3224">
      <c r="A3224" s="4" t="str">
        <f>IFERROR(__xludf.DUMMYFUNCTION("""COMPUTED_VALUE"""),"cybertruck")</f>
        <v>cybertruck</v>
      </c>
      <c r="B3224" s="4" t="str">
        <f>IFERROR(__xludf.DUMMYFUNCTION("""COMPUTED_VALUE"""),"truck")</f>
        <v>truck</v>
      </c>
      <c r="C3224" s="4" t="str">
        <f>IFERROR(__xludf.DUMMYFUNCTION("""COMPUTED_VALUE"""),"Cybertruck")</f>
        <v>Cybertruck</v>
      </c>
    </row>
    <row r="3225">
      <c r="A3225" s="4" t="str">
        <f>IFERROR(__xludf.DUMMYFUNCTION("""COMPUTED_VALUE"""),"cybertruck-2")</f>
        <v>cybertruck-2</v>
      </c>
      <c r="B3225" s="4" t="str">
        <f>IFERROR(__xludf.DUMMYFUNCTION("""COMPUTED_VALUE"""),"cybertruck")</f>
        <v>cybertruck</v>
      </c>
      <c r="C3225" s="4" t="str">
        <f>IFERROR(__xludf.DUMMYFUNCTION("""COMPUTED_VALUE"""),"CYBERTRUCK")</f>
        <v>CYBERTRUCK</v>
      </c>
    </row>
    <row r="3226">
      <c r="A3226" s="4" t="str">
        <f>IFERROR(__xludf.DUMMYFUNCTION("""COMPUTED_VALUE"""),"cybervein")</f>
        <v>cybervein</v>
      </c>
      <c r="B3226" s="4" t="str">
        <f>IFERROR(__xludf.DUMMYFUNCTION("""COMPUTED_VALUE"""),"cvt")</f>
        <v>cvt</v>
      </c>
      <c r="C3226" s="4" t="str">
        <f>IFERROR(__xludf.DUMMYFUNCTION("""COMPUTED_VALUE"""),"CyberVein")</f>
        <v>CyberVein</v>
      </c>
    </row>
    <row r="3227">
      <c r="A3227" s="4" t="str">
        <f>IFERROR(__xludf.DUMMYFUNCTION("""COMPUTED_VALUE"""),"cyberyen")</f>
        <v>cyberyen</v>
      </c>
      <c r="B3227" s="4" t="str">
        <f>IFERROR(__xludf.DUMMYFUNCTION("""COMPUTED_VALUE"""),"cy")</f>
        <v>cy</v>
      </c>
      <c r="C3227" s="4" t="str">
        <f>IFERROR(__xludf.DUMMYFUNCTION("""COMPUTED_VALUE"""),"Cyberyen")</f>
        <v>Cyberyen</v>
      </c>
    </row>
    <row r="3228">
      <c r="A3228" s="4" t="str">
        <f>IFERROR(__xludf.DUMMYFUNCTION("""COMPUTED_VALUE"""),"cybonk")</f>
        <v>cybonk</v>
      </c>
      <c r="B3228" s="4" t="str">
        <f>IFERROR(__xludf.DUMMYFUNCTION("""COMPUTED_VALUE"""),"cybonk")</f>
        <v>cybonk</v>
      </c>
      <c r="C3228" s="4" t="str">
        <f>IFERROR(__xludf.DUMMYFUNCTION("""COMPUTED_VALUE"""),"CYBONK")</f>
        <v>CYBONK</v>
      </c>
    </row>
    <row r="3229">
      <c r="A3229" s="4" t="str">
        <f>IFERROR(__xludf.DUMMYFUNCTION("""COMPUTED_VALUE"""),"cy-bord-cbrc-20")</f>
        <v>cy-bord-cbrc-20</v>
      </c>
      <c r="B3229" s="4" t="str">
        <f>IFERROR(__xludf.DUMMYFUNCTION("""COMPUTED_VALUE"""),"bord")</f>
        <v>bord</v>
      </c>
      <c r="C3229" s="4" t="str">
        <f>IFERROR(__xludf.DUMMYFUNCTION("""COMPUTED_VALUE"""),"Cy[bord] (CBRC-20)")</f>
        <v>Cy[bord] (CBRC-20)</v>
      </c>
    </row>
    <row r="3230">
      <c r="A3230" s="4" t="str">
        <f>IFERROR(__xludf.DUMMYFUNCTION("""COMPUTED_VALUE"""),"cyborg-apes")</f>
        <v>cyborg-apes</v>
      </c>
      <c r="B3230" s="4" t="str">
        <f>IFERROR(__xludf.DUMMYFUNCTION("""COMPUTED_VALUE"""),"borg")</f>
        <v>borg</v>
      </c>
      <c r="C3230" s="4" t="str">
        <f>IFERROR(__xludf.DUMMYFUNCTION("""COMPUTED_VALUE"""),"Cyborg Apes")</f>
        <v>Cyborg Apes</v>
      </c>
    </row>
    <row r="3231">
      <c r="A3231" s="4" t="str">
        <f>IFERROR(__xludf.DUMMYFUNCTION("""COMPUTED_VALUE"""),"cybria")</f>
        <v>cybria</v>
      </c>
      <c r="B3231" s="4" t="str">
        <f>IFERROR(__xludf.DUMMYFUNCTION("""COMPUTED_VALUE"""),"cyba")</f>
        <v>cyba</v>
      </c>
      <c r="C3231" s="4" t="str">
        <f>IFERROR(__xludf.DUMMYFUNCTION("""COMPUTED_VALUE"""),"Cybria")</f>
        <v>Cybria</v>
      </c>
    </row>
    <row r="3232">
      <c r="A3232" s="4" t="str">
        <f>IFERROR(__xludf.DUMMYFUNCTION("""COMPUTED_VALUE"""),"cyclone-protocol")</f>
        <v>cyclone-protocol</v>
      </c>
      <c r="B3232" s="4" t="str">
        <f>IFERROR(__xludf.DUMMYFUNCTION("""COMPUTED_VALUE"""),"cyc")</f>
        <v>cyc</v>
      </c>
      <c r="C3232" s="4" t="str">
        <f>IFERROR(__xludf.DUMMYFUNCTION("""COMPUTED_VALUE"""),"Cyclone Protocol")</f>
        <v>Cyclone Protocol</v>
      </c>
    </row>
    <row r="3233">
      <c r="A3233" s="4" t="str">
        <f>IFERROR(__xludf.DUMMYFUNCTION("""COMPUTED_VALUE"""),"cyclos")</f>
        <v>cyclos</v>
      </c>
      <c r="B3233" s="4" t="str">
        <f>IFERROR(__xludf.DUMMYFUNCTION("""COMPUTED_VALUE"""),"cys")</f>
        <v>cys</v>
      </c>
      <c r="C3233" s="4" t="str">
        <f>IFERROR(__xludf.DUMMYFUNCTION("""COMPUTED_VALUE"""),"Cykura")</f>
        <v>Cykura</v>
      </c>
    </row>
    <row r="3234">
      <c r="A3234" s="4" t="str">
        <f>IFERROR(__xludf.DUMMYFUNCTION("""COMPUTED_VALUE"""),"cygnusdao")</f>
        <v>cygnusdao</v>
      </c>
      <c r="B3234" s="4" t="str">
        <f>IFERROR(__xludf.DUMMYFUNCTION("""COMPUTED_VALUE"""),"cyg")</f>
        <v>cyg</v>
      </c>
      <c r="C3234" s="4" t="str">
        <f>IFERROR(__xludf.DUMMYFUNCTION("""COMPUTED_VALUE"""),"CygnusDAO")</f>
        <v>CygnusDAO</v>
      </c>
    </row>
    <row r="3235">
      <c r="A3235" s="4" t="str">
        <f>IFERROR(__xludf.DUMMYFUNCTION("""COMPUTED_VALUE"""),"cygnus-finance-global-usd")</f>
        <v>cygnus-finance-global-usd</v>
      </c>
      <c r="B3235" s="4" t="str">
        <f>IFERROR(__xludf.DUMMYFUNCTION("""COMPUTED_VALUE"""),"cgusd")</f>
        <v>cgusd</v>
      </c>
      <c r="C3235" s="4" t="str">
        <f>IFERROR(__xludf.DUMMYFUNCTION("""COMPUTED_VALUE"""),"Cygnus Finance Global USD")</f>
        <v>Cygnus Finance Global USD</v>
      </c>
    </row>
    <row r="3236">
      <c r="A3236" s="4" t="str">
        <f>IFERROR(__xludf.DUMMYFUNCTION("""COMPUTED_VALUE"""),"cyop-2")</f>
        <v>cyop-2</v>
      </c>
      <c r="B3236" s="4" t="str">
        <f>IFERROR(__xludf.DUMMYFUNCTION("""COMPUTED_VALUE"""),"cyop")</f>
        <v>cyop</v>
      </c>
      <c r="C3236" s="4" t="str">
        <f>IFERROR(__xludf.DUMMYFUNCTION("""COMPUTED_VALUE"""),"CyOp")</f>
        <v>CyOp</v>
      </c>
    </row>
    <row r="3237">
      <c r="A3237" s="4" t="str">
        <f>IFERROR(__xludf.DUMMYFUNCTION("""COMPUTED_VALUE"""),"cypher-ai")</f>
        <v>cypher-ai</v>
      </c>
      <c r="B3237" s="4" t="str">
        <f>IFERROR(__xludf.DUMMYFUNCTION("""COMPUTED_VALUE"""),"cypher")</f>
        <v>cypher</v>
      </c>
      <c r="C3237" s="4" t="str">
        <f>IFERROR(__xludf.DUMMYFUNCTION("""COMPUTED_VALUE"""),"Cypher AI")</f>
        <v>Cypher AI</v>
      </c>
    </row>
    <row r="3238">
      <c r="A3238" s="4" t="str">
        <f>IFERROR(__xludf.DUMMYFUNCTION("""COMPUTED_VALUE"""),"cypherium")</f>
        <v>cypherium</v>
      </c>
      <c r="B3238" s="4" t="str">
        <f>IFERROR(__xludf.DUMMYFUNCTION("""COMPUTED_VALUE"""),"cph")</f>
        <v>cph</v>
      </c>
      <c r="C3238" s="4" t="str">
        <f>IFERROR(__xludf.DUMMYFUNCTION("""COMPUTED_VALUE"""),"Cypherium")</f>
        <v>Cypherium</v>
      </c>
    </row>
    <row r="3239">
      <c r="A3239" s="4" t="str">
        <f>IFERROR(__xludf.DUMMYFUNCTION("""COMPUTED_VALUE"""),"cypress")</f>
        <v>cypress</v>
      </c>
      <c r="B3239" s="4" t="str">
        <f>IFERROR(__xludf.DUMMYFUNCTION("""COMPUTED_VALUE"""),"cp")</f>
        <v>cp</v>
      </c>
      <c r="C3239" s="4" t="str">
        <f>IFERROR(__xludf.DUMMYFUNCTION("""COMPUTED_VALUE"""),"Cypress")</f>
        <v>Cypress</v>
      </c>
    </row>
    <row r="3240">
      <c r="A3240" s="4" t="str">
        <f>IFERROR(__xludf.DUMMYFUNCTION("""COMPUTED_VALUE"""),"czolana")</f>
        <v>czolana</v>
      </c>
      <c r="B3240" s="4" t="str">
        <f>IFERROR(__xludf.DUMMYFUNCTION("""COMPUTED_VALUE"""),"czol")</f>
        <v>czol</v>
      </c>
      <c r="C3240" s="4" t="str">
        <f>IFERROR(__xludf.DUMMYFUNCTION("""COMPUTED_VALUE"""),"CZOLANA")</f>
        <v>CZOLANA</v>
      </c>
    </row>
    <row r="3241">
      <c r="A3241" s="4" t="str">
        <f>IFERROR(__xludf.DUMMYFUNCTION("""COMPUTED_VALUE"""),"czpow")</f>
        <v>czpow</v>
      </c>
      <c r="B3241" s="4" t="str">
        <f>IFERROR(__xludf.DUMMYFUNCTION("""COMPUTED_VALUE"""),"czpw")</f>
        <v>czpw</v>
      </c>
      <c r="C3241" s="4" t="str">
        <f>IFERROR(__xludf.DUMMYFUNCTION("""COMPUTED_VALUE"""),"CZPOW")</f>
        <v>CZPOW</v>
      </c>
    </row>
    <row r="3242">
      <c r="A3242" s="4" t="str">
        <f>IFERROR(__xludf.DUMMYFUNCTION("""COMPUTED_VALUE"""),"d2")</f>
        <v>d2</v>
      </c>
      <c r="B3242" s="4" t="str">
        <f>IFERROR(__xludf.DUMMYFUNCTION("""COMPUTED_VALUE"""),"d2x")</f>
        <v>d2x</v>
      </c>
      <c r="C3242" s="4" t="str">
        <f>IFERROR(__xludf.DUMMYFUNCTION("""COMPUTED_VALUE"""),"D2")</f>
        <v>D2</v>
      </c>
    </row>
    <row r="3243">
      <c r="A3243" s="4" t="str">
        <f>IFERROR(__xludf.DUMMYFUNCTION("""COMPUTED_VALUE"""),"d2-token")</f>
        <v>d2-token</v>
      </c>
      <c r="B3243" s="4" t="str">
        <f>IFERROR(__xludf.DUMMYFUNCTION("""COMPUTED_VALUE"""),"d2")</f>
        <v>d2</v>
      </c>
      <c r="C3243" s="4" t="str">
        <f>IFERROR(__xludf.DUMMYFUNCTION("""COMPUTED_VALUE"""),"D2 Finance")</f>
        <v>D2 Finance</v>
      </c>
    </row>
    <row r="3244">
      <c r="A3244" s="4" t="str">
        <f>IFERROR(__xludf.DUMMYFUNCTION("""COMPUTED_VALUE"""),"d3d-social")</f>
        <v>d3d-social</v>
      </c>
      <c r="B3244" s="4" t="str">
        <f>IFERROR(__xludf.DUMMYFUNCTION("""COMPUTED_VALUE"""),"d3d")</f>
        <v>d3d</v>
      </c>
      <c r="C3244" s="4" t="str">
        <f>IFERROR(__xludf.DUMMYFUNCTION("""COMPUTED_VALUE"""),"D3D Social")</f>
        <v>D3D Social</v>
      </c>
    </row>
    <row r="3245">
      <c r="A3245" s="4" t="str">
        <f>IFERROR(__xludf.DUMMYFUNCTION("""COMPUTED_VALUE"""),"dacat")</f>
        <v>dacat</v>
      </c>
      <c r="B3245" s="4" t="str">
        <f>IFERROR(__xludf.DUMMYFUNCTION("""COMPUTED_VALUE"""),"dacat")</f>
        <v>dacat</v>
      </c>
      <c r="C3245" s="4" t="str">
        <f>IFERROR(__xludf.DUMMYFUNCTION("""COMPUTED_VALUE"""),"daCat")</f>
        <v>daCat</v>
      </c>
    </row>
    <row r="3246">
      <c r="A3246" s="4" t="str">
        <f>IFERROR(__xludf.DUMMYFUNCTION("""COMPUTED_VALUE"""),"d-acc")</f>
        <v>d-acc</v>
      </c>
      <c r="B3246" s="4" t="str">
        <f>IFERROR(__xludf.DUMMYFUNCTION("""COMPUTED_VALUE"""),"d/acc")</f>
        <v>d/acc</v>
      </c>
      <c r="C3246" s="4" t="str">
        <f>IFERROR(__xludf.DUMMYFUNCTION("""COMPUTED_VALUE"""),"d/acc")</f>
        <v>d/acc</v>
      </c>
    </row>
    <row r="3247">
      <c r="A3247" s="4" t="str">
        <f>IFERROR(__xludf.DUMMYFUNCTION("""COMPUTED_VALUE"""),"dackieswap")</f>
        <v>dackieswap</v>
      </c>
      <c r="B3247" s="4" t="str">
        <f>IFERROR(__xludf.DUMMYFUNCTION("""COMPUTED_VALUE"""),"dackie")</f>
        <v>dackie</v>
      </c>
      <c r="C3247" s="4" t="str">
        <f>IFERROR(__xludf.DUMMYFUNCTION("""COMPUTED_VALUE"""),"DackieSwap")</f>
        <v>DackieSwap</v>
      </c>
    </row>
    <row r="3248">
      <c r="A3248" s="4" t="str">
        <f>IFERROR(__xludf.DUMMYFUNCTION("""COMPUTED_VALUE"""),"dacxi")</f>
        <v>dacxi</v>
      </c>
      <c r="B3248" s="4" t="str">
        <f>IFERROR(__xludf.DUMMYFUNCTION("""COMPUTED_VALUE"""),"dacxi")</f>
        <v>dacxi</v>
      </c>
      <c r="C3248" s="4" t="str">
        <f>IFERROR(__xludf.DUMMYFUNCTION("""COMPUTED_VALUE"""),"Dacxi")</f>
        <v>Dacxi</v>
      </c>
    </row>
    <row r="3249">
      <c r="A3249" s="4" t="str">
        <f>IFERROR(__xludf.DUMMYFUNCTION("""COMPUTED_VALUE"""),"dada")</f>
        <v>dada</v>
      </c>
      <c r="B3249" s="4" t="str">
        <f>IFERROR(__xludf.DUMMYFUNCTION("""COMPUTED_VALUE"""),"dada")</f>
        <v>dada</v>
      </c>
      <c r="C3249" s="4" t="str">
        <f>IFERROR(__xludf.DUMMYFUNCTION("""COMPUTED_VALUE"""),"DADA")</f>
        <v>DADA</v>
      </c>
    </row>
    <row r="3250">
      <c r="A3250" s="4" t="str">
        <f>IFERROR(__xludf.DUMMYFUNCTION("""COMPUTED_VALUE"""),"dada-2")</f>
        <v>dada-2</v>
      </c>
      <c r="B3250" s="4" t="str">
        <f>IFERROR(__xludf.DUMMYFUNCTION("""COMPUTED_VALUE"""),"dada")</f>
        <v>dada</v>
      </c>
      <c r="C3250" s="4" t="str">
        <f>IFERROR(__xludf.DUMMYFUNCTION("""COMPUTED_VALUE"""),"龘龘 DáDá")</f>
        <v>龘龘 DáDá</v>
      </c>
    </row>
    <row r="3251">
      <c r="A3251" s="4" t="str">
        <f>IFERROR(__xludf.DUMMYFUNCTION("""COMPUTED_VALUE"""),"dada-3")</f>
        <v>dada-3</v>
      </c>
      <c r="B3251" s="4" t="str">
        <f>IFERROR(__xludf.DUMMYFUNCTION("""COMPUTED_VALUE"""),"dada")</f>
        <v>dada</v>
      </c>
      <c r="C3251" s="4" t="str">
        <f>IFERROR(__xludf.DUMMYFUNCTION("""COMPUTED_VALUE"""),"DADA")</f>
        <v>DADA</v>
      </c>
    </row>
    <row r="3252">
      <c r="A3252" s="4" t="str">
        <f>IFERROR(__xludf.DUMMYFUNCTION("""COMPUTED_VALUE"""),"daddy-doge")</f>
        <v>daddy-doge</v>
      </c>
      <c r="B3252" s="4" t="str">
        <f>IFERROR(__xludf.DUMMYFUNCTION("""COMPUTED_VALUE"""),"daddydoge")</f>
        <v>daddydoge</v>
      </c>
      <c r="C3252" s="4" t="str">
        <f>IFERROR(__xludf.DUMMYFUNCTION("""COMPUTED_VALUE"""),"Daddy Doge")</f>
        <v>Daddy Doge</v>
      </c>
    </row>
    <row r="3253">
      <c r="A3253" s="4" t="str">
        <f>IFERROR(__xludf.DUMMYFUNCTION("""COMPUTED_VALUE"""),"daex")</f>
        <v>daex</v>
      </c>
      <c r="B3253" s="4" t="str">
        <f>IFERROR(__xludf.DUMMYFUNCTION("""COMPUTED_VALUE"""),"dax")</f>
        <v>dax</v>
      </c>
      <c r="C3253" s="4" t="str">
        <f>IFERROR(__xludf.DUMMYFUNCTION("""COMPUTED_VALUE"""),"DAEX")</f>
        <v>DAEX</v>
      </c>
    </row>
    <row r="3254">
      <c r="A3254" s="4" t="str">
        <f>IFERROR(__xludf.DUMMYFUNCTION("""COMPUTED_VALUE"""),"dafi-protocol")</f>
        <v>dafi-protocol</v>
      </c>
      <c r="B3254" s="4" t="str">
        <f>IFERROR(__xludf.DUMMYFUNCTION("""COMPUTED_VALUE"""),"dafi")</f>
        <v>dafi</v>
      </c>
      <c r="C3254" s="4" t="str">
        <f>IFERROR(__xludf.DUMMYFUNCTION("""COMPUTED_VALUE"""),"Dafi Protocol")</f>
        <v>Dafi Protocol</v>
      </c>
    </row>
    <row r="3255">
      <c r="A3255" s="4" t="str">
        <f>IFERROR(__xludf.DUMMYFUNCTION("""COMPUTED_VALUE"""),"dagcoin")</f>
        <v>dagcoin</v>
      </c>
      <c r="B3255" s="4" t="str">
        <f>IFERROR(__xludf.DUMMYFUNCTION("""COMPUTED_VALUE"""),"dags")</f>
        <v>dags</v>
      </c>
      <c r="C3255" s="4" t="str">
        <f>IFERROR(__xludf.DUMMYFUNCTION("""COMPUTED_VALUE"""),"DAGCOIN")</f>
        <v>DAGCOIN</v>
      </c>
    </row>
    <row r="3256">
      <c r="A3256" s="4" t="str">
        <f>IFERROR(__xludf.DUMMYFUNCTION("""COMPUTED_VALUE"""),"dagger")</f>
        <v>dagger</v>
      </c>
      <c r="B3256" s="4" t="str">
        <f>IFERROR(__xludf.DUMMYFUNCTION("""COMPUTED_VALUE"""),"xdag")</f>
        <v>xdag</v>
      </c>
      <c r="C3256" s="4" t="str">
        <f>IFERROR(__xludf.DUMMYFUNCTION("""COMPUTED_VALUE"""),"Dagger")</f>
        <v>Dagger</v>
      </c>
    </row>
    <row r="3257">
      <c r="A3257" s="4" t="str">
        <f>IFERROR(__xludf.DUMMYFUNCTION("""COMPUTED_VALUE"""),"dai")</f>
        <v>dai</v>
      </c>
      <c r="B3257" s="4" t="str">
        <f>IFERROR(__xludf.DUMMYFUNCTION("""COMPUTED_VALUE"""),"dai")</f>
        <v>dai</v>
      </c>
      <c r="C3257" s="4" t="str">
        <f>IFERROR(__xludf.DUMMYFUNCTION("""COMPUTED_VALUE"""),"Dai")</f>
        <v>Dai</v>
      </c>
    </row>
    <row r="3258">
      <c r="A3258" s="4" t="str">
        <f>IFERROR(__xludf.DUMMYFUNCTION("""COMPUTED_VALUE"""),"daii")</f>
        <v>daii</v>
      </c>
      <c r="B3258" s="4" t="str">
        <f>IFERROR(__xludf.DUMMYFUNCTION("""COMPUTED_VALUE"""),"daii")</f>
        <v>daii</v>
      </c>
      <c r="C3258" s="4" t="str">
        <f>IFERROR(__xludf.DUMMYFUNCTION("""COMPUTED_VALUE"""),"DAII")</f>
        <v>DAII</v>
      </c>
    </row>
    <row r="3259">
      <c r="A3259" s="4" t="str">
        <f>IFERROR(__xludf.DUMMYFUNCTION("""COMPUTED_VALUE"""),"daikicoin")</f>
        <v>daikicoin</v>
      </c>
      <c r="B3259" s="4" t="str">
        <f>IFERROR(__xludf.DUMMYFUNCTION("""COMPUTED_VALUE"""),"dic")</f>
        <v>dic</v>
      </c>
      <c r="C3259" s="4" t="str">
        <f>IFERROR(__xludf.DUMMYFUNCTION("""COMPUTED_VALUE"""),"DAIKICOIN")</f>
        <v>DAIKICOIN</v>
      </c>
    </row>
    <row r="3260">
      <c r="A3260" s="4" t="str">
        <f>IFERROR(__xludf.DUMMYFUNCTION("""COMPUTED_VALUE"""),"daily-finance")</f>
        <v>daily-finance</v>
      </c>
      <c r="B3260" s="4" t="str">
        <f>IFERROR(__xludf.DUMMYFUNCTION("""COMPUTED_VALUE"""),"dly")</f>
        <v>dly</v>
      </c>
      <c r="C3260" s="4" t="str">
        <f>IFERROR(__xludf.DUMMYFUNCTION("""COMPUTED_VALUE"""),"Daily Finance")</f>
        <v>Daily Finance</v>
      </c>
    </row>
    <row r="3261">
      <c r="A3261" s="4" t="str">
        <f>IFERROR(__xludf.DUMMYFUNCTION("""COMPUTED_VALUE"""),"dailyfish")</f>
        <v>dailyfish</v>
      </c>
      <c r="B3261" s="4" t="str">
        <f>IFERROR(__xludf.DUMMYFUNCTION("""COMPUTED_VALUE"""),"dfish")</f>
        <v>dfish</v>
      </c>
      <c r="C3261" s="4" t="str">
        <f>IFERROR(__xludf.DUMMYFUNCTION("""COMPUTED_VALUE"""),"DailyFish")</f>
        <v>DailyFish</v>
      </c>
    </row>
    <row r="3262">
      <c r="A3262" s="4" t="str">
        <f>IFERROR(__xludf.DUMMYFUNCTION("""COMPUTED_VALUE"""),"dai-on-pulsechain")</f>
        <v>dai-on-pulsechain</v>
      </c>
      <c r="B3262" s="4" t="str">
        <f>IFERROR(__xludf.DUMMYFUNCTION("""COMPUTED_VALUE"""),"dai")</f>
        <v>dai</v>
      </c>
      <c r="C3262" s="4" t="str">
        <f>IFERROR(__xludf.DUMMYFUNCTION("""COMPUTED_VALUE"""),"DAI on PulseChain")</f>
        <v>DAI on PulseChain</v>
      </c>
    </row>
    <row r="3263">
      <c r="A3263" s="4" t="str">
        <f>IFERROR(__xludf.DUMMYFUNCTION("""COMPUTED_VALUE"""),"dai-pulsechain")</f>
        <v>dai-pulsechain</v>
      </c>
      <c r="B3263" s="4" t="str">
        <f>IFERROR(__xludf.DUMMYFUNCTION("""COMPUTED_VALUE"""),"dai")</f>
        <v>dai</v>
      </c>
      <c r="C3263" s="4" t="str">
        <f>IFERROR(__xludf.DUMMYFUNCTION("""COMPUTED_VALUE"""),"DAI (PulseChain)")</f>
        <v>DAI (PulseChain)</v>
      </c>
    </row>
    <row r="3264">
      <c r="A3264" s="4" t="str">
        <f>IFERROR(__xludf.DUMMYFUNCTION("""COMPUTED_VALUE"""),"dai-reflections")</f>
        <v>dai-reflections</v>
      </c>
      <c r="B3264" s="4" t="str">
        <f>IFERROR(__xludf.DUMMYFUNCTION("""COMPUTED_VALUE"""),"drs")</f>
        <v>drs</v>
      </c>
      <c r="C3264" s="4" t="str">
        <f>IFERROR(__xludf.DUMMYFUNCTION("""COMPUTED_VALUE"""),"DAI Reflections")</f>
        <v>DAI Reflections</v>
      </c>
    </row>
    <row r="3265">
      <c r="A3265" s="4" t="str">
        <f>IFERROR(__xludf.DUMMYFUNCTION("""COMPUTED_VALUE"""),"daisy")</f>
        <v>daisy</v>
      </c>
      <c r="B3265" s="4" t="str">
        <f>IFERROR(__xludf.DUMMYFUNCTION("""COMPUTED_VALUE"""),"daisy")</f>
        <v>daisy</v>
      </c>
      <c r="C3265" s="4" t="str">
        <f>IFERROR(__xludf.DUMMYFUNCTION("""COMPUTED_VALUE"""),"Daisy Protocol")</f>
        <v>Daisy Protocol</v>
      </c>
    </row>
    <row r="3266">
      <c r="A3266" s="4" t="str">
        <f>IFERROR(__xludf.DUMMYFUNCTION("""COMPUTED_VALUE"""),"dall-doginals")</f>
        <v>dall-doginals</v>
      </c>
      <c r="B3266" s="4" t="str">
        <f>IFERROR(__xludf.DUMMYFUNCTION("""COMPUTED_VALUE"""),"dall")</f>
        <v>dall</v>
      </c>
      <c r="C3266" s="4" t="str">
        <f>IFERROR(__xludf.DUMMYFUNCTION("""COMPUTED_VALUE"""),"Dall (DRC-20)")</f>
        <v>Dall (DRC-20)</v>
      </c>
    </row>
    <row r="3267">
      <c r="A3267" s="4" t="str">
        <f>IFERROR(__xludf.DUMMYFUNCTION("""COMPUTED_VALUE"""),"dalma-inu")</f>
        <v>dalma-inu</v>
      </c>
      <c r="B3267" s="4" t="str">
        <f>IFERROR(__xludf.DUMMYFUNCTION("""COMPUTED_VALUE"""),"dalma")</f>
        <v>dalma</v>
      </c>
      <c r="C3267" s="4" t="str">
        <f>IFERROR(__xludf.DUMMYFUNCTION("""COMPUTED_VALUE"""),"Dalma Inu")</f>
        <v>Dalma Inu</v>
      </c>
    </row>
    <row r="3268">
      <c r="A3268" s="4" t="str">
        <f>IFERROR(__xludf.DUMMYFUNCTION("""COMPUTED_VALUE"""),"damex-token")</f>
        <v>damex-token</v>
      </c>
      <c r="B3268" s="4" t="str">
        <f>IFERROR(__xludf.DUMMYFUNCTION("""COMPUTED_VALUE"""),"damex")</f>
        <v>damex</v>
      </c>
      <c r="C3268" s="4" t="str">
        <f>IFERROR(__xludf.DUMMYFUNCTION("""COMPUTED_VALUE"""),"Damex Token")</f>
        <v>Damex Token</v>
      </c>
    </row>
    <row r="3269">
      <c r="A3269" s="4" t="str">
        <f>IFERROR(__xludf.DUMMYFUNCTION("""COMPUTED_VALUE"""),"dam-finance")</f>
        <v>dam-finance</v>
      </c>
      <c r="B3269" s="4" t="str">
        <f>IFERROR(__xludf.DUMMYFUNCTION("""COMPUTED_VALUE"""),"d2o")</f>
        <v>d2o</v>
      </c>
      <c r="C3269" s="4" t="str">
        <f>IFERROR(__xludf.DUMMYFUNCTION("""COMPUTED_VALUE"""),"Deuterium")</f>
        <v>Deuterium</v>
      </c>
    </row>
    <row r="3270">
      <c r="A3270" s="4" t="str">
        <f>IFERROR(__xludf.DUMMYFUNCTION("""COMPUTED_VALUE"""),"damm")</f>
        <v>damm</v>
      </c>
      <c r="B3270" s="4" t="str">
        <f>IFERROR(__xludf.DUMMYFUNCTION("""COMPUTED_VALUE"""),"damm")</f>
        <v>damm</v>
      </c>
      <c r="C3270" s="4" t="str">
        <f>IFERROR(__xludf.DUMMYFUNCTION("""COMPUTED_VALUE"""),"dAMM")</f>
        <v>dAMM</v>
      </c>
    </row>
    <row r="3271">
      <c r="A3271" s="4" t="str">
        <f>IFERROR(__xludf.DUMMYFUNCTION("""COMPUTED_VALUE"""),"dancing-baby")</f>
        <v>dancing-baby</v>
      </c>
      <c r="B3271" s="4" t="str">
        <f>IFERROR(__xludf.DUMMYFUNCTION("""COMPUTED_VALUE"""),"baby")</f>
        <v>baby</v>
      </c>
      <c r="C3271" s="4" t="str">
        <f>IFERROR(__xludf.DUMMYFUNCTION("""COMPUTED_VALUE"""),"Dancing Baby")</f>
        <v>Dancing Baby</v>
      </c>
    </row>
    <row r="3272">
      <c r="A3272" s="4" t="str">
        <f>IFERROR(__xludf.DUMMYFUNCTION("""COMPUTED_VALUE"""),"dancing-toothless")</f>
        <v>dancing-toothless</v>
      </c>
      <c r="B3272" s="4" t="str">
        <f>IFERROR(__xludf.DUMMYFUNCTION("""COMPUTED_VALUE"""),"toothless")</f>
        <v>toothless</v>
      </c>
      <c r="C3272" s="4" t="str">
        <f>IFERROR(__xludf.DUMMYFUNCTION("""COMPUTED_VALUE"""),"Dancing Toothless")</f>
        <v>Dancing Toothless</v>
      </c>
    </row>
    <row r="3273">
      <c r="A3273" s="4" t="str">
        <f>IFERROR(__xludf.DUMMYFUNCTION("""COMPUTED_VALUE"""),"dancing-triangle")</f>
        <v>dancing-triangle</v>
      </c>
      <c r="B3273" s="4" t="str">
        <f>IFERROR(__xludf.DUMMYFUNCTION("""COMPUTED_VALUE"""),"triangle")</f>
        <v>triangle</v>
      </c>
      <c r="C3273" s="4" t="str">
        <f>IFERROR(__xludf.DUMMYFUNCTION("""COMPUTED_VALUE"""),"dancing triangle")</f>
        <v>dancing triangle</v>
      </c>
    </row>
    <row r="3274">
      <c r="A3274" s="4" t="str">
        <f>IFERROR(__xludf.DUMMYFUNCTION("""COMPUTED_VALUE"""),"danjuan-scroll-cat")</f>
        <v>danjuan-scroll-cat</v>
      </c>
      <c r="B3274" s="4" t="str">
        <f>IFERROR(__xludf.DUMMYFUNCTION("""COMPUTED_VALUE"""),"cat")</f>
        <v>cat</v>
      </c>
      <c r="C3274" s="4" t="str">
        <f>IFERROR(__xludf.DUMMYFUNCTION("""COMPUTED_VALUE"""),"Danjuan Scroll Cat")</f>
        <v>Danjuan Scroll Cat</v>
      </c>
    </row>
    <row r="3275">
      <c r="A3275" s="4" t="str">
        <f>IFERROR(__xludf.DUMMYFUNCTION("""COMPUTED_VALUE"""),"danketsu")</f>
        <v>danketsu</v>
      </c>
      <c r="B3275" s="4" t="str">
        <f>IFERROR(__xludf.DUMMYFUNCTION("""COMPUTED_VALUE"""),"ninjaz")</f>
        <v>ninjaz</v>
      </c>
      <c r="C3275" s="4" t="str">
        <f>IFERROR(__xludf.DUMMYFUNCTION("""COMPUTED_VALUE"""),"Danketsu")</f>
        <v>Danketsu</v>
      </c>
    </row>
    <row r="3276">
      <c r="A3276" s="4" t="str">
        <f>IFERROR(__xludf.DUMMYFUNCTION("""COMPUTED_VALUE"""),"dao-glas")</f>
        <v>dao-glas</v>
      </c>
      <c r="B3276" s="4" t="str">
        <f>IFERROR(__xludf.DUMMYFUNCTION("""COMPUTED_VALUE"""),"dgs")</f>
        <v>dgs</v>
      </c>
      <c r="C3276" s="4" t="str">
        <f>IFERROR(__xludf.DUMMYFUNCTION("""COMPUTED_VALUE"""),"Dao Glas")</f>
        <v>Dao Glas</v>
      </c>
    </row>
    <row r="3277">
      <c r="A3277" s="4" t="str">
        <f>IFERROR(__xludf.DUMMYFUNCTION("""COMPUTED_VALUE"""),"daohaus")</f>
        <v>daohaus</v>
      </c>
      <c r="B3277" s="4" t="str">
        <f>IFERROR(__xludf.DUMMYFUNCTION("""COMPUTED_VALUE"""),"haus")</f>
        <v>haus</v>
      </c>
      <c r="C3277" s="4" t="str">
        <f>IFERROR(__xludf.DUMMYFUNCTION("""COMPUTED_VALUE"""),"DAOhaus")</f>
        <v>DAOhaus</v>
      </c>
    </row>
    <row r="3278">
      <c r="A3278" s="4" t="str">
        <f>IFERROR(__xludf.DUMMYFUNCTION("""COMPUTED_VALUE"""),"dao-invest")</f>
        <v>dao-invest</v>
      </c>
      <c r="B3278" s="4" t="str">
        <f>IFERROR(__xludf.DUMMYFUNCTION("""COMPUTED_VALUE"""),"vest")</f>
        <v>vest</v>
      </c>
      <c r="C3278" s="4" t="str">
        <f>IFERROR(__xludf.DUMMYFUNCTION("""COMPUTED_VALUE"""),"DAO Invest")</f>
        <v>DAO Invest</v>
      </c>
    </row>
    <row r="3279">
      <c r="A3279" s="4" t="str">
        <f>IFERROR(__xludf.DUMMYFUNCTION("""COMPUTED_VALUE"""),"daolaunch")</f>
        <v>daolaunch</v>
      </c>
      <c r="B3279" s="4" t="str">
        <f>IFERROR(__xludf.DUMMYFUNCTION("""COMPUTED_VALUE"""),"dal")</f>
        <v>dal</v>
      </c>
      <c r="C3279" s="4" t="str">
        <f>IFERROR(__xludf.DUMMYFUNCTION("""COMPUTED_VALUE"""),"DAOLaunch")</f>
        <v>DAOLaunch</v>
      </c>
    </row>
    <row r="3280">
      <c r="A3280" s="4" t="str">
        <f>IFERROR(__xludf.DUMMYFUNCTION("""COMPUTED_VALUE"""),"dao-maker")</f>
        <v>dao-maker</v>
      </c>
      <c r="B3280" s="4" t="str">
        <f>IFERROR(__xludf.DUMMYFUNCTION("""COMPUTED_VALUE"""),"dao")</f>
        <v>dao</v>
      </c>
      <c r="C3280" s="4" t="str">
        <f>IFERROR(__xludf.DUMMYFUNCTION("""COMPUTED_VALUE"""),"DAO Maker")</f>
        <v>DAO Maker</v>
      </c>
    </row>
    <row r="3281">
      <c r="A3281" s="4" t="str">
        <f>IFERROR(__xludf.DUMMYFUNCTION("""COMPUTED_VALUE"""),"daomatian")</f>
        <v>daomatian</v>
      </c>
      <c r="B3281" s="4" t="str">
        <f>IFERROR(__xludf.DUMMYFUNCTION("""COMPUTED_VALUE"""),"dao")</f>
        <v>dao</v>
      </c>
      <c r="C3281" s="4" t="str">
        <f>IFERROR(__xludf.DUMMYFUNCTION("""COMPUTED_VALUE"""),"Daomatian")</f>
        <v>Daomatian</v>
      </c>
    </row>
    <row r="3282">
      <c r="A3282" s="4" t="str">
        <f>IFERROR(__xludf.DUMMYFUNCTION("""COMPUTED_VALUE"""),"daosol")</f>
        <v>daosol</v>
      </c>
      <c r="B3282" s="4" t="str">
        <f>IFERROR(__xludf.DUMMYFUNCTION("""COMPUTED_VALUE"""),"daosol")</f>
        <v>daosol</v>
      </c>
      <c r="C3282" s="4" t="str">
        <f>IFERROR(__xludf.DUMMYFUNCTION("""COMPUTED_VALUE"""),"daoSOL")</f>
        <v>daoSOL</v>
      </c>
    </row>
    <row r="3283">
      <c r="A3283" s="4" t="str">
        <f>IFERROR(__xludf.DUMMYFUNCTION("""COMPUTED_VALUE"""),"dao-space")</f>
        <v>dao-space</v>
      </c>
      <c r="B3283" s="4" t="str">
        <f>IFERROR(__xludf.DUMMYFUNCTION("""COMPUTED_VALUE"""),"daop")</f>
        <v>daop</v>
      </c>
      <c r="C3283" s="4" t="str">
        <f>IFERROR(__xludf.DUMMYFUNCTION("""COMPUTED_VALUE"""),"Dao Space")</f>
        <v>Dao Space</v>
      </c>
    </row>
    <row r="3284">
      <c r="A3284" s="4" t="str">
        <f>IFERROR(__xludf.DUMMYFUNCTION("""COMPUTED_VALUE"""),"daosquare")</f>
        <v>daosquare</v>
      </c>
      <c r="B3284" s="4" t="str">
        <f>IFERROR(__xludf.DUMMYFUNCTION("""COMPUTED_VALUE"""),"rice")</f>
        <v>rice</v>
      </c>
      <c r="C3284" s="4" t="str">
        <f>IFERROR(__xludf.DUMMYFUNCTION("""COMPUTED_VALUE"""),"DAOSquare")</f>
        <v>DAOSquare</v>
      </c>
    </row>
    <row r="3285">
      <c r="A3285" s="4" t="str">
        <f>IFERROR(__xludf.DUMMYFUNCTION("""COMPUTED_VALUE"""),"daostack")</f>
        <v>daostack</v>
      </c>
      <c r="B3285" s="4" t="str">
        <f>IFERROR(__xludf.DUMMYFUNCTION("""COMPUTED_VALUE"""),"gen")</f>
        <v>gen</v>
      </c>
      <c r="C3285" s="4" t="str">
        <f>IFERROR(__xludf.DUMMYFUNCTION("""COMPUTED_VALUE"""),"DAOstack")</f>
        <v>DAOstack</v>
      </c>
    </row>
    <row r="3286">
      <c r="A3286" s="4" t="str">
        <f>IFERROR(__xludf.DUMMYFUNCTION("""COMPUTED_VALUE"""),"da-pinchi")</f>
        <v>da-pinchi</v>
      </c>
      <c r="B3286" s="4" t="str">
        <f>IFERROR(__xludf.DUMMYFUNCTION("""COMPUTED_VALUE"""),"$pinchi")</f>
        <v>$pinchi</v>
      </c>
      <c r="C3286" s="4" t="str">
        <f>IFERROR(__xludf.DUMMYFUNCTION("""COMPUTED_VALUE"""),"Da Pinchi")</f>
        <v>Da Pinchi</v>
      </c>
    </row>
    <row r="3287">
      <c r="A3287" s="4" t="str">
        <f>IFERROR(__xludf.DUMMYFUNCTION("""COMPUTED_VALUE"""),"dapp")</f>
        <v>dapp</v>
      </c>
      <c r="B3287" s="4" t="str">
        <f>IFERROR(__xludf.DUMMYFUNCTION("""COMPUTED_VALUE"""),"dapp")</f>
        <v>dapp</v>
      </c>
      <c r="C3287" s="4" t="str">
        <f>IFERROR(__xludf.DUMMYFUNCTION("""COMPUTED_VALUE"""),"LiquidApps")</f>
        <v>LiquidApps</v>
      </c>
    </row>
    <row r="3288">
      <c r="A3288" s="4" t="str">
        <f>IFERROR(__xludf.DUMMYFUNCTION("""COMPUTED_VALUE"""),"dapp-ai")</f>
        <v>dapp-ai</v>
      </c>
      <c r="B3288" s="4" t="str">
        <f>IFERROR(__xludf.DUMMYFUNCTION("""COMPUTED_VALUE"""),"dap")</f>
        <v>dap</v>
      </c>
      <c r="C3288" s="4" t="str">
        <f>IFERROR(__xludf.DUMMYFUNCTION("""COMPUTED_VALUE"""),"DApp AI")</f>
        <v>DApp AI</v>
      </c>
    </row>
    <row r="3289">
      <c r="A3289" s="4" t="str">
        <f>IFERROR(__xludf.DUMMYFUNCTION("""COMPUTED_VALUE"""),"dappradar")</f>
        <v>dappradar</v>
      </c>
      <c r="B3289" s="4" t="str">
        <f>IFERROR(__xludf.DUMMYFUNCTION("""COMPUTED_VALUE"""),"radar")</f>
        <v>radar</v>
      </c>
      <c r="C3289" s="4" t="str">
        <f>IFERROR(__xludf.DUMMYFUNCTION("""COMPUTED_VALUE"""),"DappRadar")</f>
        <v>DappRadar</v>
      </c>
    </row>
    <row r="3290">
      <c r="A3290" s="4" t="str">
        <f>IFERROR(__xludf.DUMMYFUNCTION("""COMPUTED_VALUE"""),"dappstore")</f>
        <v>dappstore</v>
      </c>
      <c r="B3290" s="4" t="str">
        <f>IFERROR(__xludf.DUMMYFUNCTION("""COMPUTED_VALUE"""),"dappx")</f>
        <v>dappx</v>
      </c>
      <c r="C3290" s="4" t="str">
        <f>IFERROR(__xludf.DUMMYFUNCTION("""COMPUTED_VALUE"""),"dAppstore")</f>
        <v>dAppstore</v>
      </c>
    </row>
    <row r="3291">
      <c r="A3291" s="4" t="str">
        <f>IFERROR(__xludf.DUMMYFUNCTION("""COMPUTED_VALUE"""),"dap-the-dapper-dog")</f>
        <v>dap-the-dapper-dog</v>
      </c>
      <c r="B3291" s="4" t="str">
        <f>IFERROR(__xludf.DUMMYFUNCTION("""COMPUTED_VALUE"""),"dap")</f>
        <v>dap</v>
      </c>
      <c r="C3291" s="4" t="str">
        <f>IFERROR(__xludf.DUMMYFUNCTION("""COMPUTED_VALUE"""),"Dap, the Dapper Dog!")</f>
        <v>Dap, the Dapper Dog!</v>
      </c>
    </row>
    <row r="3292">
      <c r="A3292" s="4" t="str">
        <f>IFERROR(__xludf.DUMMYFUNCTION("""COMPUTED_VALUE"""),"darcmatter-coin")</f>
        <v>darcmatter-coin</v>
      </c>
      <c r="B3292" s="4" t="str">
        <f>IFERROR(__xludf.DUMMYFUNCTION("""COMPUTED_VALUE"""),"darc")</f>
        <v>darc</v>
      </c>
      <c r="C3292" s="4" t="str">
        <f>IFERROR(__xludf.DUMMYFUNCTION("""COMPUTED_VALUE"""),"Konstellation")</f>
        <v>Konstellation</v>
      </c>
    </row>
    <row r="3293">
      <c r="A3293" s="4" t="str">
        <f>IFERROR(__xludf.DUMMYFUNCTION("""COMPUTED_VALUE"""),"darkcrypto")</f>
        <v>darkcrypto</v>
      </c>
      <c r="B3293" s="4" t="str">
        <f>IFERROR(__xludf.DUMMYFUNCTION("""COMPUTED_VALUE"""),"dark")</f>
        <v>dark</v>
      </c>
      <c r="C3293" s="4" t="str">
        <f>IFERROR(__xludf.DUMMYFUNCTION("""COMPUTED_VALUE"""),"DarkCrypto")</f>
        <v>DarkCrypto</v>
      </c>
    </row>
    <row r="3294">
      <c r="A3294" s="4" t="str">
        <f>IFERROR(__xludf.DUMMYFUNCTION("""COMPUTED_VALUE"""),"darkcrypto-share")</f>
        <v>darkcrypto-share</v>
      </c>
      <c r="B3294" s="4" t="str">
        <f>IFERROR(__xludf.DUMMYFUNCTION("""COMPUTED_VALUE"""),"sky")</f>
        <v>sky</v>
      </c>
      <c r="C3294" s="4" t="str">
        <f>IFERROR(__xludf.DUMMYFUNCTION("""COMPUTED_VALUE"""),"DarkCrypto Share")</f>
        <v>DarkCrypto Share</v>
      </c>
    </row>
    <row r="3295">
      <c r="A3295" s="4" t="str">
        <f>IFERROR(__xludf.DUMMYFUNCTION("""COMPUTED_VALUE"""),"dark-energy-crystals")</f>
        <v>dark-energy-crystals</v>
      </c>
      <c r="B3295" s="4" t="str">
        <f>IFERROR(__xludf.DUMMYFUNCTION("""COMPUTED_VALUE"""),"dec")</f>
        <v>dec</v>
      </c>
      <c r="C3295" s="4" t="str">
        <f>IFERROR(__xludf.DUMMYFUNCTION("""COMPUTED_VALUE"""),"Dark Energy Crystals")</f>
        <v>Dark Energy Crystals</v>
      </c>
    </row>
    <row r="3296">
      <c r="A3296" s="4" t="str">
        <f>IFERROR(__xludf.DUMMYFUNCTION("""COMPUTED_VALUE"""),"dark-forest")</f>
        <v>dark-forest</v>
      </c>
      <c r="B3296" s="4" t="str">
        <f>IFERROR(__xludf.DUMMYFUNCTION("""COMPUTED_VALUE"""),"dark")</f>
        <v>dark</v>
      </c>
      <c r="C3296" s="4" t="str">
        <f>IFERROR(__xludf.DUMMYFUNCTION("""COMPUTED_VALUE"""),"Dark Forest")</f>
        <v>Dark Forest</v>
      </c>
    </row>
    <row r="3297">
      <c r="A3297" s="4" t="str">
        <f>IFERROR(__xludf.DUMMYFUNCTION("""COMPUTED_VALUE"""),"dark-frontiers")</f>
        <v>dark-frontiers</v>
      </c>
      <c r="B3297" s="4" t="str">
        <f>IFERROR(__xludf.DUMMYFUNCTION("""COMPUTED_VALUE"""),"dark")</f>
        <v>dark</v>
      </c>
      <c r="C3297" s="4" t="str">
        <f>IFERROR(__xludf.DUMMYFUNCTION("""COMPUTED_VALUE"""),"Dark Frontiers")</f>
        <v>Dark Frontiers</v>
      </c>
    </row>
    <row r="3298">
      <c r="A3298" s="4" t="str">
        <f>IFERROR(__xludf.DUMMYFUNCTION("""COMPUTED_VALUE"""),"darkknight")</f>
        <v>darkknight</v>
      </c>
      <c r="B3298" s="4" t="str">
        <f>IFERROR(__xludf.DUMMYFUNCTION("""COMPUTED_VALUE"""),"dknight")</f>
        <v>dknight</v>
      </c>
      <c r="C3298" s="4" t="str">
        <f>IFERROR(__xludf.DUMMYFUNCTION("""COMPUTED_VALUE"""),"Dark Knight")</f>
        <v>Dark Knight</v>
      </c>
    </row>
    <row r="3299">
      <c r="A3299" s="4" t="str">
        <f>IFERROR(__xludf.DUMMYFUNCTION("""COMPUTED_VALUE"""),"dark-magic")</f>
        <v>dark-magic</v>
      </c>
      <c r="B3299" s="4" t="str">
        <f>IFERROR(__xludf.DUMMYFUNCTION("""COMPUTED_VALUE"""),"dmagic")</f>
        <v>dmagic</v>
      </c>
      <c r="C3299" s="4" t="str">
        <f>IFERROR(__xludf.DUMMYFUNCTION("""COMPUTED_VALUE"""),"Dark Magic")</f>
        <v>Dark Magic</v>
      </c>
    </row>
    <row r="3300">
      <c r="A3300" s="4" t="str">
        <f>IFERROR(__xludf.DUMMYFUNCTION("""COMPUTED_VALUE"""),"darkmatter")</f>
        <v>darkmatter</v>
      </c>
      <c r="B3300" s="4" t="str">
        <f>IFERROR(__xludf.DUMMYFUNCTION("""COMPUTED_VALUE"""),"dmt")</f>
        <v>dmt</v>
      </c>
      <c r="C3300" s="4" t="str">
        <f>IFERROR(__xludf.DUMMYFUNCTION("""COMPUTED_VALUE"""),"DarkMatter")</f>
        <v>DarkMatter</v>
      </c>
    </row>
    <row r="3301">
      <c r="A3301" s="4" t="str">
        <f>IFERROR(__xludf.DUMMYFUNCTION("""COMPUTED_VALUE"""),"dark-matter")</f>
        <v>dark-matter</v>
      </c>
      <c r="B3301" s="4" t="str">
        <f>IFERROR(__xludf.DUMMYFUNCTION("""COMPUTED_VALUE"""),"dmt")</f>
        <v>dmt</v>
      </c>
      <c r="C3301" s="4" t="str">
        <f>IFERROR(__xludf.DUMMYFUNCTION("""COMPUTED_VALUE"""),"Dark Matter")</f>
        <v>Dark Matter</v>
      </c>
    </row>
    <row r="3302">
      <c r="A3302" s="4" t="str">
        <f>IFERROR(__xludf.DUMMYFUNCTION("""COMPUTED_VALUE"""),"dark-matter-defi")</f>
        <v>dark-matter-defi</v>
      </c>
      <c r="B3302" s="4" t="str">
        <f>IFERROR(__xludf.DUMMYFUNCTION("""COMPUTED_VALUE"""),"dmd")</f>
        <v>dmd</v>
      </c>
      <c r="C3302" s="4" t="str">
        <f>IFERROR(__xludf.DUMMYFUNCTION("""COMPUTED_VALUE"""),"Dark Matter Defi")</f>
        <v>Dark Matter Defi</v>
      </c>
    </row>
    <row r="3303">
      <c r="A3303" s="4" t="str">
        <f>IFERROR(__xludf.DUMMYFUNCTION("""COMPUTED_VALUE"""),"dark-protocol")</f>
        <v>dark-protocol</v>
      </c>
      <c r="B3303" s="4" t="str">
        <f>IFERROR(__xludf.DUMMYFUNCTION("""COMPUTED_VALUE"""),"dark")</f>
        <v>dark</v>
      </c>
      <c r="C3303" s="4" t="str">
        <f>IFERROR(__xludf.DUMMYFUNCTION("""COMPUTED_VALUE"""),"Dark Protocol")</f>
        <v>Dark Protocol</v>
      </c>
    </row>
    <row r="3304">
      <c r="A3304" s="4" t="str">
        <f>IFERROR(__xludf.DUMMYFUNCTION("""COMPUTED_VALUE"""),"dark-queen-duck")</f>
        <v>dark-queen-duck</v>
      </c>
      <c r="B3304" s="4" t="str">
        <f>IFERROR(__xludf.DUMMYFUNCTION("""COMPUTED_VALUE"""),"dqd")</f>
        <v>dqd</v>
      </c>
      <c r="C3304" s="4" t="str">
        <f>IFERROR(__xludf.DUMMYFUNCTION("""COMPUTED_VALUE"""),"Dark Queen Duck")</f>
        <v>Dark Queen Duck</v>
      </c>
    </row>
    <row r="3305">
      <c r="A3305" s="4" t="str">
        <f>IFERROR(__xludf.DUMMYFUNCTION("""COMPUTED_VALUE"""),"darkshield")</f>
        <v>darkshield</v>
      </c>
      <c r="B3305" s="4" t="str">
        <f>IFERROR(__xludf.DUMMYFUNCTION("""COMPUTED_VALUE"""),"dks")</f>
        <v>dks</v>
      </c>
      <c r="C3305" s="4" t="str">
        <f>IFERROR(__xludf.DUMMYFUNCTION("""COMPUTED_VALUE"""),"DarkShield")</f>
        <v>DarkShield</v>
      </c>
    </row>
    <row r="3306">
      <c r="A3306" s="4" t="str">
        <f>IFERROR(__xludf.DUMMYFUNCTION("""COMPUTED_VALUE"""),"daruma")</f>
        <v>daruma</v>
      </c>
      <c r="B3306" s="4" t="str">
        <f>IFERROR(__xludf.DUMMYFUNCTION("""COMPUTED_VALUE"""),"daruma")</f>
        <v>daruma</v>
      </c>
      <c r="C3306" s="4" t="str">
        <f>IFERROR(__xludf.DUMMYFUNCTION("""COMPUTED_VALUE"""),"Daruma")</f>
        <v>Daruma</v>
      </c>
    </row>
    <row r="3307">
      <c r="A3307" s="4" t="str">
        <f>IFERROR(__xludf.DUMMYFUNCTION("""COMPUTED_VALUE"""),"darwinia-commitment-token")</f>
        <v>darwinia-commitment-token</v>
      </c>
      <c r="B3307" s="4" t="str">
        <f>IFERROR(__xludf.DUMMYFUNCTION("""COMPUTED_VALUE"""),"kton")</f>
        <v>kton</v>
      </c>
      <c r="C3307" s="4" t="str">
        <f>IFERROR(__xludf.DUMMYFUNCTION("""COMPUTED_VALUE"""),"Darwinia Commitment")</f>
        <v>Darwinia Commitment</v>
      </c>
    </row>
    <row r="3308">
      <c r="A3308" s="4" t="str">
        <f>IFERROR(__xludf.DUMMYFUNCTION("""COMPUTED_VALUE"""),"darwinia-network-native-token")</f>
        <v>darwinia-network-native-token</v>
      </c>
      <c r="B3308" s="4" t="str">
        <f>IFERROR(__xludf.DUMMYFUNCTION("""COMPUTED_VALUE"""),"ring")</f>
        <v>ring</v>
      </c>
      <c r="C3308" s="4" t="str">
        <f>IFERROR(__xludf.DUMMYFUNCTION("""COMPUTED_VALUE"""),"Darwinia Network")</f>
        <v>Darwinia Network</v>
      </c>
    </row>
    <row r="3309">
      <c r="A3309" s="4" t="str">
        <f>IFERROR(__xludf.DUMMYFUNCTION("""COMPUTED_VALUE"""),"dash")</f>
        <v>dash</v>
      </c>
      <c r="B3309" s="4" t="str">
        <f>IFERROR(__xludf.DUMMYFUNCTION("""COMPUTED_VALUE"""),"dash")</f>
        <v>dash</v>
      </c>
      <c r="C3309" s="4" t="str">
        <f>IFERROR(__xludf.DUMMYFUNCTION("""COMPUTED_VALUE"""),"Dash")</f>
        <v>Dash</v>
      </c>
    </row>
    <row r="3310">
      <c r="A3310" s="4" t="str">
        <f>IFERROR(__xludf.DUMMYFUNCTION("""COMPUTED_VALUE"""),"dash-2-trade")</f>
        <v>dash-2-trade</v>
      </c>
      <c r="B3310" s="4" t="str">
        <f>IFERROR(__xludf.DUMMYFUNCTION("""COMPUTED_VALUE"""),"d2t")</f>
        <v>d2t</v>
      </c>
      <c r="C3310" s="4" t="str">
        <f>IFERROR(__xludf.DUMMYFUNCTION("""COMPUTED_VALUE"""),"Dash 2 Trade")</f>
        <v>Dash 2 Trade</v>
      </c>
    </row>
    <row r="3311">
      <c r="A3311" s="4" t="str">
        <f>IFERROR(__xludf.DUMMYFUNCTION("""COMPUTED_VALUE"""),"dash-diamond")</f>
        <v>dash-diamond</v>
      </c>
      <c r="B3311" s="4" t="str">
        <f>IFERROR(__xludf.DUMMYFUNCTION("""COMPUTED_VALUE"""),"dashd")</f>
        <v>dashd</v>
      </c>
      <c r="C3311" s="4" t="str">
        <f>IFERROR(__xludf.DUMMYFUNCTION("""COMPUTED_VALUE"""),"Dash Diamond")</f>
        <v>Dash Diamond</v>
      </c>
    </row>
    <row r="3312">
      <c r="A3312" s="4" t="str">
        <f>IFERROR(__xludf.DUMMYFUNCTION("""COMPUTED_VALUE"""),"dastra-network")</f>
        <v>dastra-network</v>
      </c>
      <c r="B3312" s="4" t="str">
        <f>IFERROR(__xludf.DUMMYFUNCTION("""COMPUTED_VALUE"""),"dan")</f>
        <v>dan</v>
      </c>
      <c r="C3312" s="4" t="str">
        <f>IFERROR(__xludf.DUMMYFUNCTION("""COMPUTED_VALUE"""),"Dastra Network")</f>
        <v>Dastra Network</v>
      </c>
    </row>
    <row r="3313">
      <c r="A3313" s="4" t="str">
        <f>IFERROR(__xludf.DUMMYFUNCTION("""COMPUTED_VALUE"""),"data-bot")</f>
        <v>data-bot</v>
      </c>
      <c r="B3313" s="4" t="str">
        <f>IFERROR(__xludf.DUMMYFUNCTION("""COMPUTED_VALUE"""),"data")</f>
        <v>data</v>
      </c>
      <c r="C3313" s="4" t="str">
        <f>IFERROR(__xludf.DUMMYFUNCTION("""COMPUTED_VALUE"""),"DataBot")</f>
        <v>DataBot</v>
      </c>
    </row>
    <row r="3314">
      <c r="A3314" s="4" t="str">
        <f>IFERROR(__xludf.DUMMYFUNCTION("""COMPUTED_VALUE"""),"databroker-dao")</f>
        <v>databroker-dao</v>
      </c>
      <c r="B3314" s="4" t="str">
        <f>IFERROR(__xludf.DUMMYFUNCTION("""COMPUTED_VALUE"""),"dtx")</f>
        <v>dtx</v>
      </c>
      <c r="C3314" s="4" t="str">
        <f>IFERROR(__xludf.DUMMYFUNCTION("""COMPUTED_VALUE"""),"DaTa eXchange DTX")</f>
        <v>DaTa eXchange DTX</v>
      </c>
    </row>
    <row r="3315">
      <c r="A3315" s="4" t="str">
        <f>IFERROR(__xludf.DUMMYFUNCTION("""COMPUTED_VALUE"""),"datahighway")</f>
        <v>datahighway</v>
      </c>
      <c r="B3315" s="4" t="str">
        <f>IFERROR(__xludf.DUMMYFUNCTION("""COMPUTED_VALUE"""),"dhx")</f>
        <v>dhx</v>
      </c>
      <c r="C3315" s="4" t="str">
        <f>IFERROR(__xludf.DUMMYFUNCTION("""COMPUTED_VALUE"""),"DataHighway")</f>
        <v>DataHighway</v>
      </c>
    </row>
    <row r="3316">
      <c r="A3316" s="4" t="str">
        <f>IFERROR(__xludf.DUMMYFUNCTION("""COMPUTED_VALUE"""),"data-lake")</f>
        <v>data-lake</v>
      </c>
      <c r="B3316" s="4" t="str">
        <f>IFERROR(__xludf.DUMMYFUNCTION("""COMPUTED_VALUE"""),"lake")</f>
        <v>lake</v>
      </c>
      <c r="C3316" s="4" t="str">
        <f>IFERROR(__xludf.DUMMYFUNCTION("""COMPUTED_VALUE"""),"Data Lake")</f>
        <v>Data Lake</v>
      </c>
    </row>
    <row r="3317">
      <c r="A3317" s="4" t="str">
        <f>IFERROR(__xludf.DUMMYFUNCTION("""COMPUTED_VALUE"""),"datamall-coin")</f>
        <v>datamall-coin</v>
      </c>
      <c r="B3317" s="4" t="str">
        <f>IFERROR(__xludf.DUMMYFUNCTION("""COMPUTED_VALUE"""),"dmc")</f>
        <v>dmc</v>
      </c>
      <c r="C3317" s="4" t="str">
        <f>IFERROR(__xludf.DUMMYFUNCTION("""COMPUTED_VALUE"""),"Datamall Coin")</f>
        <v>Datamall Coin</v>
      </c>
    </row>
    <row r="3318">
      <c r="A3318" s="4" t="str">
        <f>IFERROR(__xludf.DUMMYFUNCTION("""COMPUTED_VALUE"""),"datamine")</f>
        <v>datamine</v>
      </c>
      <c r="B3318" s="4" t="str">
        <f>IFERROR(__xludf.DUMMYFUNCTION("""COMPUTED_VALUE"""),"dam")</f>
        <v>dam</v>
      </c>
      <c r="C3318" s="4" t="str">
        <f>IFERROR(__xludf.DUMMYFUNCTION("""COMPUTED_VALUE"""),"Datamine")</f>
        <v>Datamine</v>
      </c>
    </row>
    <row r="3319">
      <c r="A3319" s="4" t="str">
        <f>IFERROR(__xludf.DUMMYFUNCTION("""COMPUTED_VALUE"""),"data-ownership-protocol")</f>
        <v>data-ownership-protocol</v>
      </c>
      <c r="B3319" s="4" t="str">
        <f>IFERROR(__xludf.DUMMYFUNCTION("""COMPUTED_VALUE"""),"dop")</f>
        <v>dop</v>
      </c>
      <c r="C3319" s="4" t="str">
        <f>IFERROR(__xludf.DUMMYFUNCTION("""COMPUTED_VALUE"""),"Data Ownership Protocol")</f>
        <v>Data Ownership Protocol</v>
      </c>
    </row>
    <row r="3320">
      <c r="A3320" s="4" t="str">
        <f>IFERROR(__xludf.DUMMYFUNCTION("""COMPUTED_VALUE"""),"data-vital")</f>
        <v>data-vital</v>
      </c>
      <c r="B3320" s="4" t="str">
        <f>IFERROR(__xludf.DUMMYFUNCTION("""COMPUTED_VALUE"""),"dav")</f>
        <v>dav</v>
      </c>
      <c r="C3320" s="4" t="str">
        <f>IFERROR(__xludf.DUMMYFUNCTION("""COMPUTED_VALUE"""),"Data Vital")</f>
        <v>Data Vital</v>
      </c>
    </row>
    <row r="3321">
      <c r="A3321" s="4" t="str">
        <f>IFERROR(__xludf.DUMMYFUNCTION("""COMPUTED_VALUE"""),"dat-boi")</f>
        <v>dat-boi</v>
      </c>
      <c r="B3321" s="4" t="str">
        <f>IFERROR(__xludf.DUMMYFUNCTION("""COMPUTED_VALUE"""),"waddup")</f>
        <v>waddup</v>
      </c>
      <c r="C3321" s="4" t="str">
        <f>IFERROR(__xludf.DUMMYFUNCTION("""COMPUTED_VALUE"""),"Dat Boi")</f>
        <v>Dat Boi</v>
      </c>
    </row>
    <row r="3322">
      <c r="A3322" s="4" t="str">
        <f>IFERROR(__xludf.DUMMYFUNCTION("""COMPUTED_VALUE"""),"datsbotai")</f>
        <v>datsbotai</v>
      </c>
      <c r="B3322" s="4" t="str">
        <f>IFERROR(__xludf.DUMMYFUNCTION("""COMPUTED_VALUE"""),"dba")</f>
        <v>dba</v>
      </c>
      <c r="C3322" s="4" t="str">
        <f>IFERROR(__xludf.DUMMYFUNCTION("""COMPUTED_VALUE"""),"Datsbotai")</f>
        <v>Datsbotai</v>
      </c>
    </row>
    <row r="3323">
      <c r="A3323" s="4" t="str">
        <f>IFERROR(__xludf.DUMMYFUNCTION("""COMPUTED_VALUE"""),"daumenfrosch")</f>
        <v>daumenfrosch</v>
      </c>
      <c r="B3323" s="4" t="str">
        <f>IFERROR(__xludf.DUMMYFUNCTION("""COMPUTED_VALUE"""),"daumen")</f>
        <v>daumen</v>
      </c>
      <c r="C3323" s="4" t="str">
        <f>IFERROR(__xludf.DUMMYFUNCTION("""COMPUTED_VALUE"""),"Daumenfrosch")</f>
        <v>Daumenfrosch</v>
      </c>
    </row>
    <row r="3324">
      <c r="A3324" s="4" t="str">
        <f>IFERROR(__xludf.DUMMYFUNCTION("""COMPUTED_VALUE"""),"dave-coin")</f>
        <v>dave-coin</v>
      </c>
      <c r="B3324" s="4" t="str">
        <f>IFERROR(__xludf.DUMMYFUNCTION("""COMPUTED_VALUE"""),"$dave")</f>
        <v>$dave</v>
      </c>
      <c r="C3324" s="4" t="str">
        <f>IFERROR(__xludf.DUMMYFUNCTION("""COMPUTED_VALUE"""),"Dave Coin")</f>
        <v>Dave Coin</v>
      </c>
    </row>
    <row r="3325">
      <c r="A3325" s="4" t="str">
        <f>IFERROR(__xludf.DUMMYFUNCTION("""COMPUTED_VALUE"""),"davidcoin")</f>
        <v>davidcoin</v>
      </c>
      <c r="B3325" s="4" t="str">
        <f>IFERROR(__xludf.DUMMYFUNCTION("""COMPUTED_VALUE"""),"dc")</f>
        <v>dc</v>
      </c>
      <c r="C3325" s="4" t="str">
        <f>IFERROR(__xludf.DUMMYFUNCTION("""COMPUTED_VALUE"""),"DavidCoin")</f>
        <v>DavidCoin</v>
      </c>
    </row>
    <row r="3326">
      <c r="A3326" s="4" t="str">
        <f>IFERROR(__xludf.DUMMYFUNCTION("""COMPUTED_VALUE"""),"davinci")</f>
        <v>davinci</v>
      </c>
      <c r="B3326" s="4" t="str">
        <f>IFERROR(__xludf.DUMMYFUNCTION("""COMPUTED_VALUE"""),"wtf")</f>
        <v>wtf</v>
      </c>
      <c r="C3326" s="4" t="str">
        <f>IFERROR(__xludf.DUMMYFUNCTION("""COMPUTED_VALUE"""),"DaVinci")</f>
        <v>DaVinci</v>
      </c>
    </row>
    <row r="3327">
      <c r="A3327" s="4" t="str">
        <f>IFERROR(__xludf.DUMMYFUNCTION("""COMPUTED_VALUE"""),"davincigraph")</f>
        <v>davincigraph</v>
      </c>
      <c r="B3327" s="4" t="str">
        <f>IFERROR(__xludf.DUMMYFUNCTION("""COMPUTED_VALUE"""),"davinci")</f>
        <v>davinci</v>
      </c>
      <c r="C3327" s="4" t="str">
        <f>IFERROR(__xludf.DUMMYFUNCTION("""COMPUTED_VALUE"""),"Davincigraph")</f>
        <v>Davincigraph</v>
      </c>
    </row>
    <row r="3328">
      <c r="A3328" s="4" t="str">
        <f>IFERROR(__xludf.DUMMYFUNCTION("""COMPUTED_VALUE"""),"davis-cup-fan-token")</f>
        <v>davis-cup-fan-token</v>
      </c>
      <c r="B3328" s="4" t="str">
        <f>IFERROR(__xludf.DUMMYFUNCTION("""COMPUTED_VALUE"""),"davis")</f>
        <v>davis</v>
      </c>
      <c r="C3328" s="4" t="str">
        <f>IFERROR(__xludf.DUMMYFUNCTION("""COMPUTED_VALUE"""),"Davis Cup Fan Token")</f>
        <v>Davis Cup Fan Token</v>
      </c>
    </row>
    <row r="3329">
      <c r="A3329" s="4" t="str">
        <f>IFERROR(__xludf.DUMMYFUNCTION("""COMPUTED_VALUE"""),"davos-protocol")</f>
        <v>davos-protocol</v>
      </c>
      <c r="B3329" s="4" t="str">
        <f>IFERROR(__xludf.DUMMYFUNCTION("""COMPUTED_VALUE"""),"dusd")</f>
        <v>dusd</v>
      </c>
      <c r="C3329" s="4" t="str">
        <f>IFERROR(__xludf.DUMMYFUNCTION("""COMPUTED_VALUE"""),"Davos Protocol")</f>
        <v>Davos Protocol</v>
      </c>
    </row>
    <row r="3330">
      <c r="A3330" s="4" t="str">
        <f>IFERROR(__xludf.DUMMYFUNCTION("""COMPUTED_VALUE"""),"daw-currency")</f>
        <v>daw-currency</v>
      </c>
      <c r="B3330" s="4" t="str">
        <f>IFERROR(__xludf.DUMMYFUNCTION("""COMPUTED_VALUE"""),"daw")</f>
        <v>daw</v>
      </c>
      <c r="C3330" s="4" t="str">
        <f>IFERROR(__xludf.DUMMYFUNCTION("""COMPUTED_VALUE"""),"Daw Currency")</f>
        <v>Daw Currency</v>
      </c>
    </row>
    <row r="3331">
      <c r="A3331" s="4" t="str">
        <f>IFERROR(__xludf.DUMMYFUNCTION("""COMPUTED_VALUE"""),"dawg")</f>
        <v>dawg</v>
      </c>
      <c r="B3331" s="4" t="str">
        <f>IFERROR(__xludf.DUMMYFUNCTION("""COMPUTED_VALUE"""),"dawg")</f>
        <v>dawg</v>
      </c>
      <c r="C3331" s="4" t="str">
        <f>IFERROR(__xludf.DUMMYFUNCTION("""COMPUTED_VALUE"""),"DAWG")</f>
        <v>DAWG</v>
      </c>
    </row>
    <row r="3332">
      <c r="A3332" s="4" t="str">
        <f>IFERROR(__xludf.DUMMYFUNCTION("""COMPUTED_VALUE"""),"dawg-coin")</f>
        <v>dawg-coin</v>
      </c>
      <c r="B3332" s="4" t="str">
        <f>IFERROR(__xludf.DUMMYFUNCTION("""COMPUTED_VALUE"""),"dawg")</f>
        <v>dawg</v>
      </c>
      <c r="C3332" s="4" t="str">
        <f>IFERROR(__xludf.DUMMYFUNCTION("""COMPUTED_VALUE"""),"Dawg Coin")</f>
        <v>Dawg Coin</v>
      </c>
    </row>
    <row r="3333">
      <c r="A3333" s="4" t="str">
        <f>IFERROR(__xludf.DUMMYFUNCTION("""COMPUTED_VALUE"""),"dawkoin")</f>
        <v>dawkoin</v>
      </c>
      <c r="B3333" s="4" t="str">
        <f>IFERROR(__xludf.DUMMYFUNCTION("""COMPUTED_VALUE"""),"daw")</f>
        <v>daw</v>
      </c>
      <c r="C3333" s="4" t="str">
        <f>IFERROR(__xludf.DUMMYFUNCTION("""COMPUTED_VALUE"""),"Dawkoins")</f>
        <v>Dawkoins</v>
      </c>
    </row>
    <row r="3334">
      <c r="A3334" s="4" t="str">
        <f>IFERROR(__xludf.DUMMYFUNCTION("""COMPUTED_VALUE"""),"dawn-protocol")</f>
        <v>dawn-protocol</v>
      </c>
      <c r="B3334" s="4" t="str">
        <f>IFERROR(__xludf.DUMMYFUNCTION("""COMPUTED_VALUE"""),"dawn")</f>
        <v>dawn</v>
      </c>
      <c r="C3334" s="4" t="str">
        <f>IFERROR(__xludf.DUMMYFUNCTION("""COMPUTED_VALUE"""),"Dawn Protocol")</f>
        <v>Dawn Protocol</v>
      </c>
    </row>
    <row r="3335">
      <c r="A3335" s="4" t="str">
        <f>IFERROR(__xludf.DUMMYFUNCTION("""COMPUTED_VALUE"""),"day-by-day")</f>
        <v>day-by-day</v>
      </c>
      <c r="B3335" s="4" t="str">
        <f>IFERROR(__xludf.DUMMYFUNCTION("""COMPUTED_VALUE"""),"dbd")</f>
        <v>dbd</v>
      </c>
      <c r="C3335" s="4" t="str">
        <f>IFERROR(__xludf.DUMMYFUNCTION("""COMPUTED_VALUE"""),"Day By Day")</f>
        <v>Day By Day</v>
      </c>
    </row>
    <row r="3336">
      <c r="A3336" s="4" t="str">
        <f>IFERROR(__xludf.DUMMYFUNCTION("""COMPUTED_VALUE"""),"daylight-protocol")</f>
        <v>daylight-protocol</v>
      </c>
      <c r="B3336" s="4" t="str">
        <f>IFERROR(__xludf.DUMMYFUNCTION("""COMPUTED_VALUE"""),"dayl")</f>
        <v>dayl</v>
      </c>
      <c r="C3336" s="4" t="str">
        <f>IFERROR(__xludf.DUMMYFUNCTION("""COMPUTED_VALUE"""),"Daylight Protocol")</f>
        <v>Daylight Protocol</v>
      </c>
    </row>
    <row r="3337">
      <c r="A3337" s="4" t="str">
        <f>IFERROR(__xludf.DUMMYFUNCTION("""COMPUTED_VALUE"""),"day-of-defeat")</f>
        <v>day-of-defeat</v>
      </c>
      <c r="B3337" s="4" t="str">
        <f>IFERROR(__xludf.DUMMYFUNCTION("""COMPUTED_VALUE"""),"dod")</f>
        <v>dod</v>
      </c>
      <c r="C3337" s="4" t="str">
        <f>IFERROR(__xludf.DUMMYFUNCTION("""COMPUTED_VALUE"""),"Day of Defeat 2.0")</f>
        <v>Day of Defeat 2.0</v>
      </c>
    </row>
    <row r="3338">
      <c r="A3338" s="4" t="str">
        <f>IFERROR(__xludf.DUMMYFUNCTION("""COMPUTED_VALUE"""),"day-of-defeat-mini-100x")</f>
        <v>day-of-defeat-mini-100x</v>
      </c>
      <c r="B3338" s="4" t="str">
        <f>IFERROR(__xludf.DUMMYFUNCTION("""COMPUTED_VALUE"""),"dod100")</f>
        <v>dod100</v>
      </c>
      <c r="C3338" s="4" t="str">
        <f>IFERROR(__xludf.DUMMYFUNCTION("""COMPUTED_VALUE"""),"Day of Defeat Mini 100x")</f>
        <v>Day of Defeat Mini 100x</v>
      </c>
    </row>
    <row r="3339">
      <c r="A3339" s="4" t="str">
        <f>IFERROR(__xludf.DUMMYFUNCTION("""COMPUTED_VALUE"""),"daystarter")</f>
        <v>daystarter</v>
      </c>
      <c r="B3339" s="4" t="str">
        <f>IFERROR(__xludf.DUMMYFUNCTION("""COMPUTED_VALUE"""),"dst")</f>
        <v>dst</v>
      </c>
      <c r="C3339" s="4" t="str">
        <f>IFERROR(__xludf.DUMMYFUNCTION("""COMPUTED_VALUE"""),"DAYSTARTER")</f>
        <v>DAYSTARTER</v>
      </c>
    </row>
    <row r="3340">
      <c r="A3340" s="4" t="str">
        <f>IFERROR(__xludf.DUMMYFUNCTION("""COMPUTED_VALUE"""),"daytona-finance")</f>
        <v>daytona-finance</v>
      </c>
      <c r="B3340" s="4" t="str">
        <f>IFERROR(__xludf.DUMMYFUNCTION("""COMPUTED_VALUE"""),"toni")</f>
        <v>toni</v>
      </c>
      <c r="C3340" s="4" t="str">
        <f>IFERROR(__xludf.DUMMYFUNCTION("""COMPUTED_VALUE"""),"Daytona Finance")</f>
        <v>Daytona Finance</v>
      </c>
    </row>
    <row r="3341">
      <c r="A3341" s="4" t="str">
        <f>IFERROR(__xludf.DUMMYFUNCTION("""COMPUTED_VALUE"""),"dbk")</f>
        <v>dbk</v>
      </c>
      <c r="B3341" s="4" t="str">
        <f>IFERROR(__xludf.DUMMYFUNCTION("""COMPUTED_VALUE"""),"dbk")</f>
        <v>dbk</v>
      </c>
      <c r="C3341" s="4" t="str">
        <f>IFERROR(__xludf.DUMMYFUNCTION("""COMPUTED_VALUE"""),"DBK")</f>
        <v>DBK</v>
      </c>
    </row>
    <row r="3342">
      <c r="A3342" s="4" t="str">
        <f>IFERROR(__xludf.DUMMYFUNCTION("""COMPUTED_VALUE"""),"d-buybot")</f>
        <v>d-buybot</v>
      </c>
      <c r="B3342" s="4" t="str">
        <f>IFERROR(__xludf.DUMMYFUNCTION("""COMPUTED_VALUE"""),"dbuy")</f>
        <v>dbuy</v>
      </c>
      <c r="C3342" s="4" t="str">
        <f>IFERROR(__xludf.DUMMYFUNCTION("""COMPUTED_VALUE"""),"D.BuyBot")</f>
        <v>D.BuyBot</v>
      </c>
    </row>
    <row r="3343">
      <c r="A3343" s="4" t="str">
        <f>IFERROR(__xludf.DUMMYFUNCTION("""COMPUTED_VALUE"""),"dbx-2")</f>
        <v>dbx-2</v>
      </c>
      <c r="B3343" s="4" t="str">
        <f>IFERROR(__xludf.DUMMYFUNCTION("""COMPUTED_VALUE"""),"dbx")</f>
        <v>dbx</v>
      </c>
      <c r="C3343" s="4" t="str">
        <f>IFERROR(__xludf.DUMMYFUNCTION("""COMPUTED_VALUE"""),"DBX")</f>
        <v>DBX</v>
      </c>
    </row>
    <row r="3344">
      <c r="A3344" s="4" t="str">
        <f>IFERROR(__xludf.DUMMYFUNCTION("""COMPUTED_VALUE"""),"dbxen")</f>
        <v>dbxen</v>
      </c>
      <c r="B3344" s="4" t="str">
        <f>IFERROR(__xludf.DUMMYFUNCTION("""COMPUTED_VALUE"""),"dxn")</f>
        <v>dxn</v>
      </c>
      <c r="C3344" s="4" t="str">
        <f>IFERROR(__xludf.DUMMYFUNCTION("""COMPUTED_VALUE"""),"DBXen")</f>
        <v>DBXen</v>
      </c>
    </row>
    <row r="3345">
      <c r="A3345" s="4" t="str">
        <f>IFERROR(__xludf.DUMMYFUNCTION("""COMPUTED_VALUE"""),"dcntrl-network")</f>
        <v>dcntrl-network</v>
      </c>
      <c r="B3345" s="4" t="str">
        <f>IFERROR(__xludf.DUMMYFUNCTION("""COMPUTED_VALUE"""),"dcnx")</f>
        <v>dcnx</v>
      </c>
      <c r="C3345" s="4" t="str">
        <f>IFERROR(__xludf.DUMMYFUNCTION("""COMPUTED_VALUE"""),"DCNTRL Network")</f>
        <v>DCNTRL Network</v>
      </c>
    </row>
    <row r="3346">
      <c r="A3346" s="4" t="str">
        <f>IFERROR(__xludf.DUMMYFUNCTION("""COMPUTED_VALUE"""),"dcomm")</f>
        <v>dcomm</v>
      </c>
      <c r="B3346" s="4" t="str">
        <f>IFERROR(__xludf.DUMMYFUNCTION("""COMPUTED_VALUE"""),"dcm")</f>
        <v>dcm</v>
      </c>
      <c r="C3346" s="4" t="str">
        <f>IFERROR(__xludf.DUMMYFUNCTION("""COMPUTED_VALUE"""),"DComm")</f>
        <v>DComm</v>
      </c>
    </row>
    <row r="3347">
      <c r="A3347" s="4" t="str">
        <f>IFERROR(__xludf.DUMMYFUNCTION("""COMPUTED_VALUE"""),"d-community")</f>
        <v>d-community</v>
      </c>
      <c r="B3347" s="4" t="str">
        <f>IFERROR(__xludf.DUMMYFUNCTION("""COMPUTED_VALUE"""),"dili")</f>
        <v>dili</v>
      </c>
      <c r="C3347" s="4" t="str">
        <f>IFERROR(__xludf.DUMMYFUNCTION("""COMPUTED_VALUE"""),"D Community")</f>
        <v>D Community</v>
      </c>
    </row>
    <row r="3348">
      <c r="A3348" s="4" t="str">
        <f>IFERROR(__xludf.DUMMYFUNCTION("""COMPUTED_VALUE"""),"dcomy")</f>
        <v>dcomy</v>
      </c>
      <c r="B3348" s="4" t="str">
        <f>IFERROR(__xludf.DUMMYFUNCTION("""COMPUTED_VALUE"""),"dco")</f>
        <v>dco</v>
      </c>
      <c r="C3348" s="4" t="str">
        <f>IFERROR(__xludf.DUMMYFUNCTION("""COMPUTED_VALUE"""),"DCOMY")</f>
        <v>DCOMY</v>
      </c>
    </row>
    <row r="3349">
      <c r="A3349" s="4" t="str">
        <f>IFERROR(__xludf.DUMMYFUNCTION("""COMPUTED_VALUE"""),"dcoreum")</f>
        <v>dcoreum</v>
      </c>
      <c r="B3349" s="4" t="str">
        <f>IFERROR(__xludf.DUMMYFUNCTION("""COMPUTED_VALUE"""),"dco")</f>
        <v>dco</v>
      </c>
      <c r="C3349" s="4" t="str">
        <f>IFERROR(__xludf.DUMMYFUNCTION("""COMPUTED_VALUE"""),"DCOREUM")</f>
        <v>DCOREUM</v>
      </c>
    </row>
    <row r="3350">
      <c r="A3350" s="4" t="str">
        <f>IFERROR(__xludf.DUMMYFUNCTION("""COMPUTED_VALUE"""),"dcxen")</f>
        <v>dcxen</v>
      </c>
      <c r="B3350" s="4" t="str">
        <f>IFERROR(__xludf.DUMMYFUNCTION("""COMPUTED_VALUE"""),"dcxen")</f>
        <v>dcxen</v>
      </c>
      <c r="C3350" s="4" t="str">
        <f>IFERROR(__xludf.DUMMYFUNCTION("""COMPUTED_VALUE"""),"dcXEN")</f>
        <v>dcXEN</v>
      </c>
    </row>
    <row r="3351">
      <c r="A3351" s="4" t="str">
        <f>IFERROR(__xludf.DUMMYFUNCTION("""COMPUTED_VALUE"""),"d-drops")</f>
        <v>d-drops</v>
      </c>
      <c r="B3351" s="4" t="str">
        <f>IFERROR(__xludf.DUMMYFUNCTION("""COMPUTED_VALUE"""),"dop")</f>
        <v>dop</v>
      </c>
      <c r="C3351" s="4" t="str">
        <f>IFERROR(__xludf.DUMMYFUNCTION("""COMPUTED_VALUE"""),"D-Drops")</f>
        <v>D-Drops</v>
      </c>
    </row>
    <row r="3352">
      <c r="A3352" s="4" t="str">
        <f>IFERROR(__xludf.DUMMYFUNCTION("""COMPUTED_VALUE"""),"deadpxlz")</f>
        <v>deadpxlz</v>
      </c>
      <c r="B3352" s="4" t="str">
        <f>IFERROR(__xludf.DUMMYFUNCTION("""COMPUTED_VALUE"""),"ding")</f>
        <v>ding</v>
      </c>
      <c r="C3352" s="4" t="str">
        <f>IFERROR(__xludf.DUMMYFUNCTION("""COMPUTED_VALUE"""),"DEADPXLZ")</f>
        <v>DEADPXLZ</v>
      </c>
    </row>
    <row r="3353">
      <c r="A3353" s="4" t="str">
        <f>IFERROR(__xludf.DUMMYFUNCTION("""COMPUTED_VALUE"""),"dean-s-list")</f>
        <v>dean-s-list</v>
      </c>
      <c r="B3353" s="4" t="str">
        <f>IFERROR(__xludf.DUMMYFUNCTION("""COMPUTED_VALUE"""),"dean")</f>
        <v>dean</v>
      </c>
      <c r="C3353" s="4" t="str">
        <f>IFERROR(__xludf.DUMMYFUNCTION("""COMPUTED_VALUE"""),"Dean's List")</f>
        <v>Dean's List</v>
      </c>
    </row>
    <row r="3354">
      <c r="A3354" s="4" t="str">
        <f>IFERROR(__xludf.DUMMYFUNCTION("""COMPUTED_VALUE"""),"deapcoin")</f>
        <v>deapcoin</v>
      </c>
      <c r="B3354" s="4" t="str">
        <f>IFERROR(__xludf.DUMMYFUNCTION("""COMPUTED_VALUE"""),"dep")</f>
        <v>dep</v>
      </c>
      <c r="C3354" s="4" t="str">
        <f>IFERROR(__xludf.DUMMYFUNCTION("""COMPUTED_VALUE"""),"DEAPCOIN")</f>
        <v>DEAPCOIN</v>
      </c>
    </row>
    <row r="3355">
      <c r="A3355" s="4" t="str">
        <f>IFERROR(__xludf.DUMMYFUNCTION("""COMPUTED_VALUE"""),"deathroad")</f>
        <v>deathroad</v>
      </c>
      <c r="B3355" s="4" t="str">
        <f>IFERROR(__xludf.DUMMYFUNCTION("""COMPUTED_VALUE"""),"drace")</f>
        <v>drace</v>
      </c>
      <c r="C3355" s="4" t="str">
        <f>IFERROR(__xludf.DUMMYFUNCTION("""COMPUTED_VALUE"""),"DeathRoad")</f>
        <v>DeathRoad</v>
      </c>
    </row>
    <row r="3356">
      <c r="A3356" s="4" t="str">
        <f>IFERROR(__xludf.DUMMYFUNCTION("""COMPUTED_VALUE"""),"death-token")</f>
        <v>death-token</v>
      </c>
      <c r="B3356" s="4" t="str">
        <f>IFERROR(__xludf.DUMMYFUNCTION("""COMPUTED_VALUE"""),"death")</f>
        <v>death</v>
      </c>
      <c r="C3356" s="4" t="str">
        <f>IFERROR(__xludf.DUMMYFUNCTION("""COMPUTED_VALUE"""),"Death")</f>
        <v>Death</v>
      </c>
    </row>
    <row r="3357">
      <c r="A3357" s="4" t="str">
        <f>IFERROR(__xludf.DUMMYFUNCTION("""COMPUTED_VALUE"""),"debio-network")</f>
        <v>debio-network</v>
      </c>
      <c r="B3357" s="4" t="str">
        <f>IFERROR(__xludf.DUMMYFUNCTION("""COMPUTED_VALUE"""),"dbio")</f>
        <v>dbio</v>
      </c>
      <c r="C3357" s="4" t="str">
        <f>IFERROR(__xludf.DUMMYFUNCTION("""COMPUTED_VALUE"""),"DeBio Network")</f>
        <v>DeBio Network</v>
      </c>
    </row>
    <row r="3358">
      <c r="A3358" s="4" t="str">
        <f>IFERROR(__xludf.DUMMYFUNCTION("""COMPUTED_VALUE"""),"decanect")</f>
        <v>decanect</v>
      </c>
      <c r="B3358" s="4" t="str">
        <f>IFERROR(__xludf.DUMMYFUNCTION("""COMPUTED_VALUE"""),"dcnt")</f>
        <v>dcnt</v>
      </c>
      <c r="C3358" s="4" t="str">
        <f>IFERROR(__xludf.DUMMYFUNCTION("""COMPUTED_VALUE"""),"Decanect")</f>
        <v>Decanect</v>
      </c>
    </row>
    <row r="3359">
      <c r="A3359" s="4" t="str">
        <f>IFERROR(__xludf.DUMMYFUNCTION("""COMPUTED_VALUE"""),"decats")</f>
        <v>decats</v>
      </c>
      <c r="B3359" s="4" t="str">
        <f>IFERROR(__xludf.DUMMYFUNCTION("""COMPUTED_VALUE"""),"decats")</f>
        <v>decats</v>
      </c>
      <c r="C3359" s="4" t="str">
        <f>IFERROR(__xludf.DUMMYFUNCTION("""COMPUTED_VALUE"""),"DeCats")</f>
        <v>DeCats</v>
      </c>
    </row>
    <row r="3360">
      <c r="A3360" s="4" t="str">
        <f>IFERROR(__xludf.DUMMYFUNCTION("""COMPUTED_VALUE"""),"decentr")</f>
        <v>decentr</v>
      </c>
      <c r="B3360" s="4" t="str">
        <f>IFERROR(__xludf.DUMMYFUNCTION("""COMPUTED_VALUE"""),"dec")</f>
        <v>dec</v>
      </c>
      <c r="C3360" s="4" t="str">
        <f>IFERROR(__xludf.DUMMYFUNCTION("""COMPUTED_VALUE"""),"Decentr")</f>
        <v>Decentr</v>
      </c>
    </row>
    <row r="3361">
      <c r="A3361" s="4" t="str">
        <f>IFERROR(__xludf.DUMMYFUNCTION("""COMPUTED_VALUE"""),"decentrabnb")</f>
        <v>decentrabnb</v>
      </c>
      <c r="B3361" s="4" t="str">
        <f>IFERROR(__xludf.DUMMYFUNCTION("""COMPUTED_VALUE"""),"dbnb")</f>
        <v>dbnb</v>
      </c>
      <c r="C3361" s="4" t="str">
        <f>IFERROR(__xludf.DUMMYFUNCTION("""COMPUTED_VALUE"""),"DecentraBNB")</f>
        <v>DecentraBNB</v>
      </c>
    </row>
    <row r="3362">
      <c r="A3362" s="4" t="str">
        <f>IFERROR(__xludf.DUMMYFUNCTION("""COMPUTED_VALUE"""),"decentracard")</f>
        <v>decentracard</v>
      </c>
      <c r="B3362" s="4" t="str">
        <f>IFERROR(__xludf.DUMMYFUNCTION("""COMPUTED_VALUE"""),"dcard")</f>
        <v>dcard</v>
      </c>
      <c r="C3362" s="4" t="str">
        <f>IFERROR(__xludf.DUMMYFUNCTION("""COMPUTED_VALUE"""),"DECENTRACARD")</f>
        <v>DECENTRACARD</v>
      </c>
    </row>
    <row r="3363">
      <c r="A3363" s="4" t="str">
        <f>IFERROR(__xludf.DUMMYFUNCTION("""COMPUTED_VALUE"""),"decentracloud")</f>
        <v>decentracloud</v>
      </c>
      <c r="B3363" s="4" t="str">
        <f>IFERROR(__xludf.DUMMYFUNCTION("""COMPUTED_VALUE"""),"dcloud")</f>
        <v>dcloud</v>
      </c>
      <c r="C3363" s="4" t="str">
        <f>IFERROR(__xludf.DUMMYFUNCTION("""COMPUTED_VALUE"""),"DecentraCloud")</f>
        <v>DecentraCloud</v>
      </c>
    </row>
    <row r="3364">
      <c r="A3364" s="4" t="str">
        <f>IFERROR(__xludf.DUMMYFUNCTION("""COMPUTED_VALUE"""),"decentra-ecosystem")</f>
        <v>decentra-ecosystem</v>
      </c>
      <c r="B3364" s="4" t="str">
        <f>IFERROR(__xludf.DUMMYFUNCTION("""COMPUTED_VALUE"""),"dce")</f>
        <v>dce</v>
      </c>
      <c r="C3364" s="4" t="str">
        <f>IFERROR(__xludf.DUMMYFUNCTION("""COMPUTED_VALUE"""),"Decentra Ecosystem")</f>
        <v>Decentra Ecosystem</v>
      </c>
    </row>
    <row r="3365">
      <c r="A3365" s="4" t="str">
        <f>IFERROR(__xludf.DUMMYFUNCTION("""COMPUTED_VALUE"""),"decentraland")</f>
        <v>decentraland</v>
      </c>
      <c r="B3365" s="4" t="str">
        <f>IFERROR(__xludf.DUMMYFUNCTION("""COMPUTED_VALUE"""),"mana")</f>
        <v>mana</v>
      </c>
      <c r="C3365" s="4" t="str">
        <f>IFERROR(__xludf.DUMMYFUNCTION("""COMPUTED_VALUE"""),"Decentraland")</f>
        <v>Decentraland</v>
      </c>
    </row>
    <row r="3366">
      <c r="A3366" s="4" t="str">
        <f>IFERROR(__xludf.DUMMYFUNCTION("""COMPUTED_VALUE"""),"decentraland-wormhole")</f>
        <v>decentraland-wormhole</v>
      </c>
      <c r="B3366" s="4" t="str">
        <f>IFERROR(__xludf.DUMMYFUNCTION("""COMPUTED_VALUE"""),"mana")</f>
        <v>mana</v>
      </c>
      <c r="C3366" s="4" t="str">
        <f>IFERROR(__xludf.DUMMYFUNCTION("""COMPUTED_VALUE"""),"Decentraland (Wormhole)")</f>
        <v>Decentraland (Wormhole)</v>
      </c>
    </row>
    <row r="3367">
      <c r="A3367" s="4" t="str">
        <f>IFERROR(__xludf.DUMMYFUNCTION("""COMPUTED_VALUE"""),"decentral-art")</f>
        <v>decentral-art</v>
      </c>
      <c r="B3367" s="4" t="str">
        <f>IFERROR(__xludf.DUMMYFUNCTION("""COMPUTED_VALUE"""),"art")</f>
        <v>art</v>
      </c>
      <c r="C3367" s="4" t="str">
        <f>IFERROR(__xludf.DUMMYFUNCTION("""COMPUTED_VALUE"""),"Decentral ART")</f>
        <v>Decentral ART</v>
      </c>
    </row>
    <row r="3368">
      <c r="A3368" s="4" t="str">
        <f>IFERROR(__xludf.DUMMYFUNCTION("""COMPUTED_VALUE"""),"decentralfree")</f>
        <v>decentralfree</v>
      </c>
      <c r="B3368" s="4" t="str">
        <f>IFERROR(__xludf.DUMMYFUNCTION("""COMPUTED_VALUE"""),"freela")</f>
        <v>freela</v>
      </c>
      <c r="C3368" s="4" t="str">
        <f>IFERROR(__xludf.DUMMYFUNCTION("""COMPUTED_VALUE"""),"DecentralFree")</f>
        <v>DecentralFree</v>
      </c>
    </row>
    <row r="3369">
      <c r="A3369" s="4" t="str">
        <f>IFERROR(__xludf.DUMMYFUNCTION("""COMPUTED_VALUE"""),"decentral-games")</f>
        <v>decentral-games</v>
      </c>
      <c r="B3369" s="4" t="str">
        <f>IFERROR(__xludf.DUMMYFUNCTION("""COMPUTED_VALUE"""),"dg")</f>
        <v>dg</v>
      </c>
      <c r="C3369" s="4" t="str">
        <f>IFERROR(__xludf.DUMMYFUNCTION("""COMPUTED_VALUE"""),"Decentral Games")</f>
        <v>Decentral Games</v>
      </c>
    </row>
    <row r="3370">
      <c r="A3370" s="4" t="str">
        <f>IFERROR(__xludf.DUMMYFUNCTION("""COMPUTED_VALUE"""),"decentral-games-ice")</f>
        <v>decentral-games-ice</v>
      </c>
      <c r="B3370" s="4" t="str">
        <f>IFERROR(__xludf.DUMMYFUNCTION("""COMPUTED_VALUE"""),"ice")</f>
        <v>ice</v>
      </c>
      <c r="C3370" s="4" t="str">
        <f>IFERROR(__xludf.DUMMYFUNCTION("""COMPUTED_VALUE"""),"Decentral Games ICE")</f>
        <v>Decentral Games ICE</v>
      </c>
    </row>
    <row r="3371">
      <c r="A3371" s="4" t="str">
        <f>IFERROR(__xludf.DUMMYFUNCTION("""COMPUTED_VALUE"""),"decentral-games-old")</f>
        <v>decentral-games-old</v>
      </c>
      <c r="B3371" s="4" t="str">
        <f>IFERROR(__xludf.DUMMYFUNCTION("""COMPUTED_VALUE"""),"dg")</f>
        <v>dg</v>
      </c>
      <c r="C3371" s="4" t="str">
        <f>IFERROR(__xludf.DUMMYFUNCTION("""COMPUTED_VALUE"""),"Decentral Games (Old)")</f>
        <v>Decentral Games (Old)</v>
      </c>
    </row>
    <row r="3372">
      <c r="A3372" s="4" t="str">
        <f>IFERROR(__xludf.DUMMYFUNCTION("""COMPUTED_VALUE"""),"decentralized-advertising")</f>
        <v>decentralized-advertising</v>
      </c>
      <c r="B3372" s="4" t="str">
        <f>IFERROR(__xludf.DUMMYFUNCTION("""COMPUTED_VALUE"""),"dad")</f>
        <v>dad</v>
      </c>
      <c r="C3372" s="4" t="str">
        <f>IFERROR(__xludf.DUMMYFUNCTION("""COMPUTED_VALUE"""),"DAD")</f>
        <v>DAD</v>
      </c>
    </row>
    <row r="3373">
      <c r="A3373" s="4" t="str">
        <f>IFERROR(__xludf.DUMMYFUNCTION("""COMPUTED_VALUE"""),"decentralized-cloud-infra")</f>
        <v>decentralized-cloud-infra</v>
      </c>
      <c r="B3373" s="4" t="str">
        <f>IFERROR(__xludf.DUMMYFUNCTION("""COMPUTED_VALUE"""),"dci")</f>
        <v>dci</v>
      </c>
      <c r="C3373" s="4" t="str">
        <f>IFERROR(__xludf.DUMMYFUNCTION("""COMPUTED_VALUE"""),"Decentralized Cloud Infra")</f>
        <v>Decentralized Cloud Infra</v>
      </c>
    </row>
    <row r="3374">
      <c r="A3374" s="4" t="str">
        <f>IFERROR(__xludf.DUMMYFUNCTION("""COMPUTED_VALUE"""),"decentralized-community-investment-protocol")</f>
        <v>decentralized-community-investment-protocol</v>
      </c>
      <c r="B3374" s="4" t="str">
        <f>IFERROR(__xludf.DUMMYFUNCTION("""COMPUTED_VALUE"""),"dcip")</f>
        <v>dcip</v>
      </c>
      <c r="C3374" s="4" t="str">
        <f>IFERROR(__xludf.DUMMYFUNCTION("""COMPUTED_VALUE"""),"Decentralized Community Investment Protocol")</f>
        <v>Decentralized Community Investment Protocol</v>
      </c>
    </row>
    <row r="3375">
      <c r="A3375" s="4" t="str">
        <f>IFERROR(__xludf.DUMMYFUNCTION("""COMPUTED_VALUE"""),"decentralized-etf")</f>
        <v>decentralized-etf</v>
      </c>
      <c r="B3375" s="4" t="str">
        <f>IFERROR(__xludf.DUMMYFUNCTION("""COMPUTED_VALUE"""),"detf")</f>
        <v>detf</v>
      </c>
      <c r="C3375" s="4" t="str">
        <f>IFERROR(__xludf.DUMMYFUNCTION("""COMPUTED_VALUE"""),"Decentralized ETF")</f>
        <v>Decentralized ETF</v>
      </c>
    </row>
    <row r="3376">
      <c r="A3376" s="4" t="str">
        <f>IFERROR(__xludf.DUMMYFUNCTION("""COMPUTED_VALUE"""),"decentralized-intelligence-agency-2")</f>
        <v>decentralized-intelligence-agency-2</v>
      </c>
      <c r="B3376" s="4" t="str">
        <f>IFERROR(__xludf.DUMMYFUNCTION("""COMPUTED_VALUE"""),"dia")</f>
        <v>dia</v>
      </c>
      <c r="C3376" s="4" t="str">
        <f>IFERROR(__xludf.DUMMYFUNCTION("""COMPUTED_VALUE"""),"Decentralized Intelligence Agency")</f>
        <v>Decentralized Intelligence Agency</v>
      </c>
    </row>
    <row r="3377">
      <c r="A3377" s="4" t="str">
        <f>IFERROR(__xludf.DUMMYFUNCTION("""COMPUTED_VALUE"""),"decentralized-liquidity-program")</f>
        <v>decentralized-liquidity-program</v>
      </c>
      <c r="B3377" s="4" t="str">
        <f>IFERROR(__xludf.DUMMYFUNCTION("""COMPUTED_VALUE"""),"dlp")</f>
        <v>dlp</v>
      </c>
      <c r="C3377" s="4" t="str">
        <f>IFERROR(__xludf.DUMMYFUNCTION("""COMPUTED_VALUE"""),"Decentralized Liquidity Program")</f>
        <v>Decentralized Liquidity Program</v>
      </c>
    </row>
    <row r="3378">
      <c r="A3378" s="4" t="str">
        <f>IFERROR(__xludf.DUMMYFUNCTION("""COMPUTED_VALUE"""),"decentralized-mining-exchange")</f>
        <v>decentralized-mining-exchange</v>
      </c>
      <c r="B3378" s="4" t="str">
        <f>IFERROR(__xludf.DUMMYFUNCTION("""COMPUTED_VALUE"""),"dmc")</f>
        <v>dmc</v>
      </c>
      <c r="C3378" s="4" t="str">
        <f>IFERROR(__xludf.DUMMYFUNCTION("""COMPUTED_VALUE"""),"Decentralized Mining Exchange")</f>
        <v>Decentralized Mining Exchange</v>
      </c>
    </row>
    <row r="3379">
      <c r="A3379" s="4" t="str">
        <f>IFERROR(__xludf.DUMMYFUNCTION("""COMPUTED_VALUE"""),"decentralized-music-chain")</f>
        <v>decentralized-music-chain</v>
      </c>
      <c r="B3379" s="4" t="str">
        <f>IFERROR(__xludf.DUMMYFUNCTION("""COMPUTED_VALUE"""),"dmcc")</f>
        <v>dmcc</v>
      </c>
      <c r="C3379" s="4" t="str">
        <f>IFERROR(__xludf.DUMMYFUNCTION("""COMPUTED_VALUE"""),"Decentralized Music Chain")</f>
        <v>Decentralized Music Chain</v>
      </c>
    </row>
    <row r="3380">
      <c r="A3380" s="4" t="str">
        <f>IFERROR(__xludf.DUMMYFUNCTION("""COMPUTED_VALUE"""),"decentralized-universal-basic-income")</f>
        <v>decentralized-universal-basic-income</v>
      </c>
      <c r="B3380" s="4" t="str">
        <f>IFERROR(__xludf.DUMMYFUNCTION("""COMPUTED_VALUE"""),"dubi")</f>
        <v>dubi</v>
      </c>
      <c r="C3380" s="4" t="str">
        <f>IFERROR(__xludf.DUMMYFUNCTION("""COMPUTED_VALUE"""),"Decentralized Universal Basic Income")</f>
        <v>Decentralized Universal Basic Income</v>
      </c>
    </row>
    <row r="3381">
      <c r="A3381" s="4" t="str">
        <f>IFERROR(__xludf.DUMMYFUNCTION("""COMPUTED_VALUE"""),"decentralized-usd")</f>
        <v>decentralized-usd</v>
      </c>
      <c r="B3381" s="4" t="str">
        <f>IFERROR(__xludf.DUMMYFUNCTION("""COMPUTED_VALUE"""),"dusd")</f>
        <v>dusd</v>
      </c>
      <c r="C3381" s="4" t="str">
        <f>IFERROR(__xludf.DUMMYFUNCTION("""COMPUTED_VALUE"""),"Decentralized USD")</f>
        <v>Decentralized USD</v>
      </c>
    </row>
    <row r="3382">
      <c r="A3382" s="4" t="str">
        <f>IFERROR(__xludf.DUMMYFUNCTION("""COMPUTED_VALUE"""),"decentralized-vulnerability-platform")</f>
        <v>decentralized-vulnerability-platform</v>
      </c>
      <c r="B3382" s="4" t="str">
        <f>IFERROR(__xludf.DUMMYFUNCTION("""COMPUTED_VALUE"""),"dvp")</f>
        <v>dvp</v>
      </c>
      <c r="C3382" s="4" t="str">
        <f>IFERROR(__xludf.DUMMYFUNCTION("""COMPUTED_VALUE"""),"Decentralized Vulnerability Platform")</f>
        <v>Decentralized Vulnerability Platform</v>
      </c>
    </row>
    <row r="3383">
      <c r="A3383" s="4" t="str">
        <f>IFERROR(__xludf.DUMMYFUNCTION("""COMPUTED_VALUE"""),"decentramind")</f>
        <v>decentramind</v>
      </c>
      <c r="B3383" s="4" t="str">
        <f>IFERROR(__xludf.DUMMYFUNCTION("""COMPUTED_VALUE"""),"dmind")</f>
        <v>dmind</v>
      </c>
      <c r="C3383" s="4" t="str">
        <f>IFERROR(__xludf.DUMMYFUNCTION("""COMPUTED_VALUE"""),"DecentraMind")</f>
        <v>DecentraMind</v>
      </c>
    </row>
    <row r="3384">
      <c r="A3384" s="4" t="str">
        <f>IFERROR(__xludf.DUMMYFUNCTION("""COMPUTED_VALUE"""),"decentraweb")</f>
        <v>decentraweb</v>
      </c>
      <c r="B3384" s="4" t="str">
        <f>IFERROR(__xludf.DUMMYFUNCTION("""COMPUTED_VALUE"""),"dweb")</f>
        <v>dweb</v>
      </c>
      <c r="C3384" s="4" t="str">
        <f>IFERROR(__xludf.DUMMYFUNCTION("""COMPUTED_VALUE"""),"DecentraWeb")</f>
        <v>DecentraWeb</v>
      </c>
    </row>
    <row r="3385">
      <c r="A3385" s="4" t="str">
        <f>IFERROR(__xludf.DUMMYFUNCTION("""COMPUTED_VALUE"""),"decentrawood")</f>
        <v>decentrawood</v>
      </c>
      <c r="B3385" s="4" t="str">
        <f>IFERROR(__xludf.DUMMYFUNCTION("""COMPUTED_VALUE"""),"deod")</f>
        <v>deod</v>
      </c>
      <c r="C3385" s="4" t="str">
        <f>IFERROR(__xludf.DUMMYFUNCTION("""COMPUTED_VALUE"""),"Decentrawood")</f>
        <v>Decentrawood</v>
      </c>
    </row>
    <row r="3386">
      <c r="A3386" s="4" t="str">
        <f>IFERROR(__xludf.DUMMYFUNCTION("""COMPUTED_VALUE"""),"decetralized-minting-atomicals")</f>
        <v>decetralized-minting-atomicals</v>
      </c>
      <c r="B3386" s="4" t="str">
        <f>IFERROR(__xludf.DUMMYFUNCTION("""COMPUTED_VALUE"""),"dmint")</f>
        <v>dmint</v>
      </c>
      <c r="C3386" s="4" t="str">
        <f>IFERROR(__xludf.DUMMYFUNCTION("""COMPUTED_VALUE"""),"Decentralized Minting")</f>
        <v>Decentralized Minting</v>
      </c>
    </row>
    <row r="3387">
      <c r="A3387" s="4" t="str">
        <f>IFERROR(__xludf.DUMMYFUNCTION("""COMPUTED_VALUE"""),"decetranode")</f>
        <v>decetranode</v>
      </c>
      <c r="B3387" s="4" t="str">
        <f>IFERROR(__xludf.DUMMYFUNCTION("""COMPUTED_VALUE"""),"dnode")</f>
        <v>dnode</v>
      </c>
      <c r="C3387" s="4" t="str">
        <f>IFERROR(__xludf.DUMMYFUNCTION("""COMPUTED_VALUE"""),"DecentraNode")</f>
        <v>DecentraNode</v>
      </c>
    </row>
    <row r="3388">
      <c r="A3388" s="4" t="str">
        <f>IFERROR(__xludf.DUMMYFUNCTION("""COMPUTED_VALUE"""),"dechat")</f>
        <v>dechat</v>
      </c>
      <c r="B3388" s="4" t="str">
        <f>IFERROR(__xludf.DUMMYFUNCTION("""COMPUTED_VALUE"""),"dechat")</f>
        <v>dechat</v>
      </c>
      <c r="C3388" s="4" t="str">
        <f>IFERROR(__xludf.DUMMYFUNCTION("""COMPUTED_VALUE"""),"Dechat")</f>
        <v>Dechat</v>
      </c>
    </row>
    <row r="3389">
      <c r="A3389" s="4" t="str">
        <f>IFERROR(__xludf.DUMMYFUNCTION("""COMPUTED_VALUE"""),"decimal")</f>
        <v>decimal</v>
      </c>
      <c r="B3389" s="4" t="str">
        <f>IFERROR(__xludf.DUMMYFUNCTION("""COMPUTED_VALUE"""),"del")</f>
        <v>del</v>
      </c>
      <c r="C3389" s="4" t="str">
        <f>IFERROR(__xludf.DUMMYFUNCTION("""COMPUTED_VALUE"""),"Decimal")</f>
        <v>Decimal</v>
      </c>
    </row>
    <row r="3390">
      <c r="A3390" s="4" t="str">
        <f>IFERROR(__xludf.DUMMYFUNCTION("""COMPUTED_VALUE"""),"decimated")</f>
        <v>decimated</v>
      </c>
      <c r="B3390" s="4" t="str">
        <f>IFERROR(__xludf.DUMMYFUNCTION("""COMPUTED_VALUE"""),"dio")</f>
        <v>dio</v>
      </c>
      <c r="C3390" s="4" t="str">
        <f>IFERROR(__xludf.DUMMYFUNCTION("""COMPUTED_VALUE"""),"Decimated")</f>
        <v>Decimated</v>
      </c>
    </row>
    <row r="3391">
      <c r="A3391" s="4" t="str">
        <f>IFERROR(__xludf.DUMMYFUNCTION("""COMPUTED_VALUE"""),"decloud")</f>
        <v>decloud</v>
      </c>
      <c r="B3391" s="4" t="str">
        <f>IFERROR(__xludf.DUMMYFUNCTION("""COMPUTED_VALUE"""),"cloud")</f>
        <v>cloud</v>
      </c>
      <c r="C3391" s="4" t="str">
        <f>IFERROR(__xludf.DUMMYFUNCTION("""COMPUTED_VALUE"""),"DeCloud")</f>
        <v>DeCloud</v>
      </c>
    </row>
    <row r="3392">
      <c r="A3392" s="4" t="str">
        <f>IFERROR(__xludf.DUMMYFUNCTION("""COMPUTED_VALUE"""),"d-ecosystem")</f>
        <v>d-ecosystem</v>
      </c>
      <c r="B3392" s="4" t="str">
        <f>IFERROR(__xludf.DUMMYFUNCTION("""COMPUTED_VALUE"""),"dcx")</f>
        <v>dcx</v>
      </c>
      <c r="C3392" s="4" t="str">
        <f>IFERROR(__xludf.DUMMYFUNCTION("""COMPUTED_VALUE"""),"D-Ecosystem")</f>
        <v>D-Ecosystem</v>
      </c>
    </row>
    <row r="3393">
      <c r="A3393" s="4" t="str">
        <f>IFERROR(__xludf.DUMMYFUNCTION("""COMPUTED_VALUE"""),"decred")</f>
        <v>decred</v>
      </c>
      <c r="B3393" s="4" t="str">
        <f>IFERROR(__xludf.DUMMYFUNCTION("""COMPUTED_VALUE"""),"dcr")</f>
        <v>dcr</v>
      </c>
      <c r="C3393" s="4" t="str">
        <f>IFERROR(__xludf.DUMMYFUNCTION("""COMPUTED_VALUE"""),"Decred")</f>
        <v>Decred</v>
      </c>
    </row>
    <row r="3394">
      <c r="A3394" s="4" t="str">
        <f>IFERROR(__xludf.DUMMYFUNCTION("""COMPUTED_VALUE"""),"decred-next")</f>
        <v>decred-next</v>
      </c>
      <c r="B3394" s="4" t="str">
        <f>IFERROR(__xludf.DUMMYFUNCTION("""COMPUTED_VALUE"""),"dcrn")</f>
        <v>dcrn</v>
      </c>
      <c r="C3394" s="4" t="str">
        <f>IFERROR(__xludf.DUMMYFUNCTION("""COMPUTED_VALUE"""),"Decred-Next")</f>
        <v>Decred-Next</v>
      </c>
    </row>
    <row r="3395">
      <c r="A3395" s="4" t="str">
        <f>IFERROR(__xludf.DUMMYFUNCTION("""COMPUTED_VALUE"""),"decubate")</f>
        <v>decubate</v>
      </c>
      <c r="B3395" s="4" t="str">
        <f>IFERROR(__xludf.DUMMYFUNCTION("""COMPUTED_VALUE"""),"dcb")</f>
        <v>dcb</v>
      </c>
      <c r="C3395" s="4" t="str">
        <f>IFERROR(__xludf.DUMMYFUNCTION("""COMPUTED_VALUE"""),"Decubate")</f>
        <v>Decubate</v>
      </c>
    </row>
    <row r="3396">
      <c r="A3396" s="4" t="str">
        <f>IFERROR(__xludf.DUMMYFUNCTION("""COMPUTED_VALUE"""),"dede")</f>
        <v>dede</v>
      </c>
      <c r="B3396" s="4" t="str">
        <f>IFERROR(__xludf.DUMMYFUNCTION("""COMPUTED_VALUE"""),"dede")</f>
        <v>dede</v>
      </c>
      <c r="C3396" s="4" t="str">
        <f>IFERROR(__xludf.DUMMYFUNCTION("""COMPUTED_VALUE"""),"Dede")</f>
        <v>Dede</v>
      </c>
    </row>
    <row r="3397">
      <c r="A3397" s="4" t="str">
        <f>IFERROR(__xludf.DUMMYFUNCTION("""COMPUTED_VALUE"""),"dedprz")</f>
        <v>dedprz</v>
      </c>
      <c r="B3397" s="4" t="str">
        <f>IFERROR(__xludf.DUMMYFUNCTION("""COMPUTED_VALUE"""),"usa")</f>
        <v>usa</v>
      </c>
      <c r="C3397" s="4" t="str">
        <f>IFERROR(__xludf.DUMMYFUNCTION("""COMPUTED_VALUE"""),"DEDPRZ")</f>
        <v>DEDPRZ</v>
      </c>
    </row>
    <row r="3398">
      <c r="A3398" s="4" t="str">
        <f>IFERROR(__xludf.DUMMYFUNCTION("""COMPUTED_VALUE"""),"deelance")</f>
        <v>deelance</v>
      </c>
      <c r="B3398" s="4" t="str">
        <f>IFERROR(__xludf.DUMMYFUNCTION("""COMPUTED_VALUE"""),"$dlance")</f>
        <v>$dlance</v>
      </c>
      <c r="C3398" s="4" t="str">
        <f>IFERROR(__xludf.DUMMYFUNCTION("""COMPUTED_VALUE"""),"DeeLance")</f>
        <v>DeeLance</v>
      </c>
    </row>
    <row r="3399">
      <c r="A3399" s="4" t="str">
        <f>IFERROR(__xludf.DUMMYFUNCTION("""COMPUTED_VALUE"""),"deepbrain-chain")</f>
        <v>deepbrain-chain</v>
      </c>
      <c r="B3399" s="4" t="str">
        <f>IFERROR(__xludf.DUMMYFUNCTION("""COMPUTED_VALUE"""),"dbc")</f>
        <v>dbc</v>
      </c>
      <c r="C3399" s="4" t="str">
        <f>IFERROR(__xludf.DUMMYFUNCTION("""COMPUTED_VALUE"""),"DeepBrain Chain")</f>
        <v>DeepBrain Chain</v>
      </c>
    </row>
    <row r="3400">
      <c r="A3400" s="4" t="str">
        <f>IFERROR(__xludf.DUMMYFUNCTION("""COMPUTED_VALUE"""),"deeper-network")</f>
        <v>deeper-network</v>
      </c>
      <c r="B3400" s="4" t="str">
        <f>IFERROR(__xludf.DUMMYFUNCTION("""COMPUTED_VALUE"""),"dpr")</f>
        <v>dpr</v>
      </c>
      <c r="C3400" s="4" t="str">
        <f>IFERROR(__xludf.DUMMYFUNCTION("""COMPUTED_VALUE"""),"Deeper Network")</f>
        <v>Deeper Network</v>
      </c>
    </row>
    <row r="3401">
      <c r="A3401" s="4" t="str">
        <f>IFERROR(__xludf.DUMMYFUNCTION("""COMPUTED_VALUE"""),"deepfakeai")</f>
        <v>deepfakeai</v>
      </c>
      <c r="B3401" s="4" t="str">
        <f>IFERROR(__xludf.DUMMYFUNCTION("""COMPUTED_VALUE"""),"fakeai")</f>
        <v>fakeai</v>
      </c>
      <c r="C3401" s="4" t="str">
        <f>IFERROR(__xludf.DUMMYFUNCTION("""COMPUTED_VALUE"""),"DeepFakeAI")</f>
        <v>DeepFakeAI</v>
      </c>
    </row>
    <row r="3402">
      <c r="A3402" s="4" t="str">
        <f>IFERROR(__xludf.DUMMYFUNCTION("""COMPUTED_VALUE"""),"deep-fucking-value")</f>
        <v>deep-fucking-value</v>
      </c>
      <c r="B3402" s="4" t="str">
        <f>IFERROR(__xludf.DUMMYFUNCTION("""COMPUTED_VALUE"""),"deep")</f>
        <v>deep</v>
      </c>
      <c r="C3402" s="4" t="str">
        <f>IFERROR(__xludf.DUMMYFUNCTION("""COMPUTED_VALUE"""),"Deep Fucking Value")</f>
        <v>Deep Fucking Value</v>
      </c>
    </row>
    <row r="3403">
      <c r="A3403" s="4" t="str">
        <f>IFERROR(__xludf.DUMMYFUNCTION("""COMPUTED_VALUE"""),"deepl")</f>
        <v>deepl</v>
      </c>
      <c r="B3403" s="4" t="str">
        <f>IFERROR(__xludf.DUMMYFUNCTION("""COMPUTED_VALUE"""),"deepl")</f>
        <v>deepl</v>
      </c>
      <c r="C3403" s="4" t="str">
        <f>IFERROR(__xludf.DUMMYFUNCTION("""COMPUTED_VALUE"""),"DeepL")</f>
        <v>DeepL</v>
      </c>
    </row>
    <row r="3404">
      <c r="A3404" s="4" t="str">
        <f>IFERROR(__xludf.DUMMYFUNCTION("""COMPUTED_VALUE"""),"deeployer")</f>
        <v>deeployer</v>
      </c>
      <c r="B3404" s="4" t="str">
        <f>IFERROR(__xludf.DUMMYFUNCTION("""COMPUTED_VALUE"""),"deep")</f>
        <v>deep</v>
      </c>
      <c r="C3404" s="4" t="str">
        <f>IFERROR(__xludf.DUMMYFUNCTION("""COMPUTED_VALUE"""),"Deeployer")</f>
        <v>Deeployer</v>
      </c>
    </row>
    <row r="3405">
      <c r="A3405" s="4" t="str">
        <f>IFERROR(__xludf.DUMMYFUNCTION("""COMPUTED_VALUE"""),"deeponion")</f>
        <v>deeponion</v>
      </c>
      <c r="B3405" s="4" t="str">
        <f>IFERROR(__xludf.DUMMYFUNCTION("""COMPUTED_VALUE"""),"onion")</f>
        <v>onion</v>
      </c>
      <c r="C3405" s="4" t="str">
        <f>IFERROR(__xludf.DUMMYFUNCTION("""COMPUTED_VALUE"""),"DeepOnion")</f>
        <v>DeepOnion</v>
      </c>
    </row>
    <row r="3406">
      <c r="A3406" s="4" t="str">
        <f>IFERROR(__xludf.DUMMYFUNCTION("""COMPUTED_VALUE"""),"deepr")</f>
        <v>deepr</v>
      </c>
      <c r="B3406" s="4" t="str">
        <f>IFERROR(__xludf.DUMMYFUNCTION("""COMPUTED_VALUE"""),"deepr")</f>
        <v>deepr</v>
      </c>
      <c r="C3406" s="4" t="str">
        <f>IFERROR(__xludf.DUMMYFUNCTION("""COMPUTED_VALUE"""),"DEEPR")</f>
        <v>DEEPR</v>
      </c>
    </row>
    <row r="3407">
      <c r="A3407" s="4" t="str">
        <f>IFERROR(__xludf.DUMMYFUNCTION("""COMPUTED_VALUE"""),"deepsouth-ai")</f>
        <v>deepsouth-ai</v>
      </c>
      <c r="B3407" s="4" t="str">
        <f>IFERROR(__xludf.DUMMYFUNCTION("""COMPUTED_VALUE"""),"south")</f>
        <v>south</v>
      </c>
      <c r="C3407" s="4" t="str">
        <f>IFERROR(__xludf.DUMMYFUNCTION("""COMPUTED_VALUE"""),"DeepSouth AI")</f>
        <v>DeepSouth AI</v>
      </c>
    </row>
    <row r="3408">
      <c r="A3408" s="4" t="str">
        <f>IFERROR(__xludf.DUMMYFUNCTION("""COMPUTED_VALUE"""),"deepspace")</f>
        <v>deepspace</v>
      </c>
      <c r="B3408" s="4" t="str">
        <f>IFERROR(__xludf.DUMMYFUNCTION("""COMPUTED_VALUE"""),"dps")</f>
        <v>dps</v>
      </c>
      <c r="C3408" s="4" t="str">
        <f>IFERROR(__xludf.DUMMYFUNCTION("""COMPUTED_VALUE"""),"DEEPSPACE")</f>
        <v>DEEPSPACE</v>
      </c>
    </row>
    <row r="3409">
      <c r="A3409" s="4" t="str">
        <f>IFERROR(__xludf.DUMMYFUNCTION("""COMPUTED_VALUE"""),"deepwaters")</f>
        <v>deepwaters</v>
      </c>
      <c r="B3409" s="4" t="str">
        <f>IFERROR(__xludf.DUMMYFUNCTION("""COMPUTED_VALUE"""),"wtr")</f>
        <v>wtr</v>
      </c>
      <c r="C3409" s="4" t="str">
        <f>IFERROR(__xludf.DUMMYFUNCTION("""COMPUTED_VALUE"""),"Deepwaters")</f>
        <v>Deepwaters</v>
      </c>
    </row>
    <row r="3410">
      <c r="A3410" s="4" t="str">
        <f>IFERROR(__xludf.DUMMYFUNCTION("""COMPUTED_VALUE"""),"deesse")</f>
        <v>deesse</v>
      </c>
      <c r="B3410" s="4" t="str">
        <f>IFERROR(__xludf.DUMMYFUNCTION("""COMPUTED_VALUE"""),"love")</f>
        <v>love</v>
      </c>
      <c r="C3410" s="4" t="str">
        <f>IFERROR(__xludf.DUMMYFUNCTION("""COMPUTED_VALUE"""),"Deesse")</f>
        <v>Deesse</v>
      </c>
    </row>
    <row r="3411">
      <c r="A3411" s="4" t="str">
        <f>IFERROR(__xludf.DUMMYFUNCTION("""COMPUTED_VALUE"""),"deez-nuts-erc404")</f>
        <v>deez-nuts-erc404</v>
      </c>
      <c r="B3411" s="4" t="str">
        <f>IFERROR(__xludf.DUMMYFUNCTION("""COMPUTED_VALUE"""),"dn")</f>
        <v>dn</v>
      </c>
      <c r="C3411" s="4" t="str">
        <f>IFERROR(__xludf.DUMMYFUNCTION("""COMPUTED_VALUE"""),"Deez Nuts (ERC404)")</f>
        <v>Deez Nuts (ERC404)</v>
      </c>
    </row>
    <row r="3412">
      <c r="A3412" s="4" t="str">
        <f>IFERROR(__xludf.DUMMYFUNCTION("""COMPUTED_VALUE"""),"deez-nuts-sol")</f>
        <v>deez-nuts-sol</v>
      </c>
      <c r="B3412" s="4" t="str">
        <f>IFERROR(__xludf.DUMMYFUNCTION("""COMPUTED_VALUE"""),"nuts")</f>
        <v>nuts</v>
      </c>
      <c r="C3412" s="4" t="str">
        <f>IFERROR(__xludf.DUMMYFUNCTION("""COMPUTED_VALUE"""),"Deez Nuts")</f>
        <v>Deez Nuts</v>
      </c>
    </row>
    <row r="3413">
      <c r="A3413" s="4" t="str">
        <f>IFERROR(__xludf.DUMMYFUNCTION("""COMPUTED_VALUE"""),"defactor")</f>
        <v>defactor</v>
      </c>
      <c r="B3413" s="4" t="str">
        <f>IFERROR(__xludf.DUMMYFUNCTION("""COMPUTED_VALUE"""),"factr")</f>
        <v>factr</v>
      </c>
      <c r="C3413" s="4" t="str">
        <f>IFERROR(__xludf.DUMMYFUNCTION("""COMPUTED_VALUE"""),"Defactor")</f>
        <v>Defactor</v>
      </c>
    </row>
    <row r="3414">
      <c r="A3414" s="4" t="str">
        <f>IFERROR(__xludf.DUMMYFUNCTION("""COMPUTED_VALUE"""),"defender-bot")</f>
        <v>defender-bot</v>
      </c>
      <c r="B3414" s="4" t="str">
        <f>IFERROR(__xludf.DUMMYFUNCTION("""COMPUTED_VALUE"""),"dfndr")</f>
        <v>dfndr</v>
      </c>
      <c r="C3414" s="4" t="str">
        <f>IFERROR(__xludf.DUMMYFUNCTION("""COMPUTED_VALUE"""),"Defender Bot")</f>
        <v>Defender Bot</v>
      </c>
    </row>
    <row r="3415">
      <c r="A3415" s="4" t="str">
        <f>IFERROR(__xludf.DUMMYFUNCTION("""COMPUTED_VALUE"""),"de-fi")</f>
        <v>de-fi</v>
      </c>
      <c r="B3415" s="4" t="str">
        <f>IFERROR(__xludf.DUMMYFUNCTION("""COMPUTED_VALUE"""),"defi")</f>
        <v>defi</v>
      </c>
      <c r="C3415" s="4" t="str">
        <f>IFERROR(__xludf.DUMMYFUNCTION("""COMPUTED_VALUE"""),"DeFi")</f>
        <v>DeFi</v>
      </c>
    </row>
    <row r="3416">
      <c r="A3416" s="4" t="str">
        <f>IFERROR(__xludf.DUMMYFUNCTION("""COMPUTED_VALUE"""),"defiai")</f>
        <v>defiai</v>
      </c>
      <c r="B3416" s="4" t="str">
        <f>IFERROR(__xludf.DUMMYFUNCTION("""COMPUTED_VALUE"""),"dfai")</f>
        <v>dfai</v>
      </c>
      <c r="C3416" s="4" t="str">
        <f>IFERROR(__xludf.DUMMYFUNCTION("""COMPUTED_VALUE"""),"DeFiAI")</f>
        <v>DeFiAI</v>
      </c>
    </row>
    <row r="3417">
      <c r="A3417" s="4" t="str">
        <f>IFERROR(__xludf.DUMMYFUNCTION("""COMPUTED_VALUE"""),"defi-all-odds-daogame")</f>
        <v>defi-all-odds-daogame</v>
      </c>
      <c r="B3417" s="4" t="str">
        <f>IFERROR(__xludf.DUMMYFUNCTION("""COMPUTED_VALUE"""),"daog")</f>
        <v>daog</v>
      </c>
      <c r="C3417" s="4" t="str">
        <f>IFERROR(__xludf.DUMMYFUNCTION("""COMPUTED_VALUE"""),"DAOGAME")</f>
        <v>DAOGAME</v>
      </c>
    </row>
    <row r="3418">
      <c r="A3418" s="4" t="str">
        <f>IFERROR(__xludf.DUMMYFUNCTION("""COMPUTED_VALUE"""),"defiato")</f>
        <v>defiato</v>
      </c>
      <c r="B3418" s="4" t="str">
        <f>IFERROR(__xludf.DUMMYFUNCTION("""COMPUTED_VALUE"""),"dfiat")</f>
        <v>dfiat</v>
      </c>
      <c r="C3418" s="4" t="str">
        <f>IFERROR(__xludf.DUMMYFUNCTION("""COMPUTED_VALUE"""),"DeFiato")</f>
        <v>DeFiato</v>
      </c>
    </row>
    <row r="3419">
      <c r="A3419" s="4" t="str">
        <f>IFERROR(__xludf.DUMMYFUNCTION("""COMPUTED_VALUE"""),"defibox")</f>
        <v>defibox</v>
      </c>
      <c r="B3419" s="4" t="str">
        <f>IFERROR(__xludf.DUMMYFUNCTION("""COMPUTED_VALUE"""),"box")</f>
        <v>box</v>
      </c>
      <c r="C3419" s="4" t="str">
        <f>IFERROR(__xludf.DUMMYFUNCTION("""COMPUTED_VALUE"""),"DefiBox")</f>
        <v>DefiBox</v>
      </c>
    </row>
    <row r="3420">
      <c r="A3420" s="4" t="str">
        <f>IFERROR(__xludf.DUMMYFUNCTION("""COMPUTED_VALUE"""),"defibox-bram")</f>
        <v>defibox-bram</v>
      </c>
      <c r="B3420" s="4" t="str">
        <f>IFERROR(__xludf.DUMMYFUNCTION("""COMPUTED_VALUE"""),"bram")</f>
        <v>bram</v>
      </c>
      <c r="C3420" s="4" t="str">
        <f>IFERROR(__xludf.DUMMYFUNCTION("""COMPUTED_VALUE"""),"Defibox bRAM")</f>
        <v>Defibox bRAM</v>
      </c>
    </row>
    <row r="3421">
      <c r="A3421" s="4" t="str">
        <f>IFERROR(__xludf.DUMMYFUNCTION("""COMPUTED_VALUE"""),"defichain")</f>
        <v>defichain</v>
      </c>
      <c r="B3421" s="4" t="str">
        <f>IFERROR(__xludf.DUMMYFUNCTION("""COMPUTED_VALUE"""),"dfi")</f>
        <v>dfi</v>
      </c>
      <c r="C3421" s="4" t="str">
        <f>IFERROR(__xludf.DUMMYFUNCTION("""COMPUTED_VALUE"""),"DeFiChain")</f>
        <v>DeFiChain</v>
      </c>
    </row>
    <row r="3422">
      <c r="A3422" s="4" t="str">
        <f>IFERROR(__xludf.DUMMYFUNCTION("""COMPUTED_VALUE"""),"defi-coin")</f>
        <v>defi-coin</v>
      </c>
      <c r="B3422" s="4" t="str">
        <f>IFERROR(__xludf.DUMMYFUNCTION("""COMPUTED_VALUE"""),"defc")</f>
        <v>defc</v>
      </c>
      <c r="C3422" s="4" t="str">
        <f>IFERROR(__xludf.DUMMYFUNCTION("""COMPUTED_VALUE"""),"DeFi Coin")</f>
        <v>DeFi Coin</v>
      </c>
    </row>
    <row r="3423">
      <c r="A3423" s="4" t="str">
        <f>IFERROR(__xludf.DUMMYFUNCTION("""COMPUTED_VALUE"""),"deficonnect-v2")</f>
        <v>deficonnect-v2</v>
      </c>
      <c r="B3423" s="4" t="str">
        <f>IFERROR(__xludf.DUMMYFUNCTION("""COMPUTED_VALUE"""),"dfc")</f>
        <v>dfc</v>
      </c>
      <c r="C3423" s="4" t="str">
        <f>IFERROR(__xludf.DUMMYFUNCTION("""COMPUTED_VALUE"""),"DefiConnect V2")</f>
        <v>DefiConnect V2</v>
      </c>
    </row>
    <row r="3424">
      <c r="A3424" s="4" t="str">
        <f>IFERROR(__xludf.DUMMYFUNCTION("""COMPUTED_VALUE"""),"defido")</f>
        <v>defido</v>
      </c>
      <c r="B3424" s="4" t="str">
        <f>IFERROR(__xludf.DUMMYFUNCTION("""COMPUTED_VALUE"""),"defido")</f>
        <v>defido</v>
      </c>
      <c r="C3424" s="4" t="str">
        <f>IFERROR(__xludf.DUMMYFUNCTION("""COMPUTED_VALUE"""),"DeFido")</f>
        <v>DeFido</v>
      </c>
    </row>
    <row r="3425">
      <c r="A3425" s="4" t="str">
        <f>IFERROR(__xludf.DUMMYFUNCTION("""COMPUTED_VALUE"""),"defido-2")</f>
        <v>defido-2</v>
      </c>
      <c r="B3425" s="4" t="str">
        <f>IFERROR(__xludf.DUMMYFUNCTION("""COMPUTED_VALUE"""),"dfd")</f>
        <v>dfd</v>
      </c>
      <c r="C3425" s="4" t="str">
        <f>IFERROR(__xludf.DUMMYFUNCTION("""COMPUTED_VALUE"""),"DeFido")</f>
        <v>DeFido</v>
      </c>
    </row>
    <row r="3426">
      <c r="A3426" s="4" t="str">
        <f>IFERROR(__xludf.DUMMYFUNCTION("""COMPUTED_VALUE"""),"defidollar-dao")</f>
        <v>defidollar-dao</v>
      </c>
      <c r="B3426" s="4" t="str">
        <f>IFERROR(__xludf.DUMMYFUNCTION("""COMPUTED_VALUE"""),"dfd")</f>
        <v>dfd</v>
      </c>
      <c r="C3426" s="4" t="str">
        <f>IFERROR(__xludf.DUMMYFUNCTION("""COMPUTED_VALUE"""),"DefiDollar DAO")</f>
        <v>DefiDollar DAO</v>
      </c>
    </row>
    <row r="3427">
      <c r="A3427" s="4" t="str">
        <f>IFERROR(__xludf.DUMMYFUNCTION("""COMPUTED_VALUE"""),"defi-for-you")</f>
        <v>defi-for-you</v>
      </c>
      <c r="B3427" s="4" t="str">
        <f>IFERROR(__xludf.DUMMYFUNCTION("""COMPUTED_VALUE"""),"dfy")</f>
        <v>dfy</v>
      </c>
      <c r="C3427" s="4" t="str">
        <f>IFERROR(__xludf.DUMMYFUNCTION("""COMPUTED_VALUE"""),"Defi For You")</f>
        <v>Defi For You</v>
      </c>
    </row>
    <row r="3428">
      <c r="A3428" s="4" t="str">
        <f>IFERROR(__xludf.DUMMYFUNCTION("""COMPUTED_VALUE"""),"defi-franc")</f>
        <v>defi-franc</v>
      </c>
      <c r="B3428" s="4" t="str">
        <f>IFERROR(__xludf.DUMMYFUNCTION("""COMPUTED_VALUE"""),"dchf")</f>
        <v>dchf</v>
      </c>
      <c r="C3428" s="4" t="str">
        <f>IFERROR(__xludf.DUMMYFUNCTION("""COMPUTED_VALUE"""),"DeFi Franc")</f>
        <v>DeFi Franc</v>
      </c>
    </row>
    <row r="3429">
      <c r="A3429" s="4" t="str">
        <f>IFERROR(__xludf.DUMMYFUNCTION("""COMPUTED_VALUE"""),"defi-franc-moneta")</f>
        <v>defi-franc-moneta</v>
      </c>
      <c r="B3429" s="4" t="str">
        <f>IFERROR(__xludf.DUMMYFUNCTION("""COMPUTED_VALUE"""),"mon")</f>
        <v>mon</v>
      </c>
      <c r="C3429" s="4" t="str">
        <f>IFERROR(__xludf.DUMMYFUNCTION("""COMPUTED_VALUE"""),"Moneta DAO")</f>
        <v>Moneta DAO</v>
      </c>
    </row>
    <row r="3430">
      <c r="A3430" s="4" t="str">
        <f>IFERROR(__xludf.DUMMYFUNCTION("""COMPUTED_VALUE"""),"defigram")</f>
        <v>defigram</v>
      </c>
      <c r="B3430" s="4" t="str">
        <f>IFERROR(__xludf.DUMMYFUNCTION("""COMPUTED_VALUE"""),"dfg")</f>
        <v>dfg</v>
      </c>
      <c r="C3430" s="4" t="str">
        <f>IFERROR(__xludf.DUMMYFUNCTION("""COMPUTED_VALUE"""),"Defigram")</f>
        <v>Defigram</v>
      </c>
    </row>
    <row r="3431">
      <c r="A3431" s="4" t="str">
        <f>IFERROR(__xludf.DUMMYFUNCTION("""COMPUTED_VALUE"""),"defi-hunters-dao")</f>
        <v>defi-hunters-dao</v>
      </c>
      <c r="B3431" s="4" t="str">
        <f>IFERROR(__xludf.DUMMYFUNCTION("""COMPUTED_VALUE"""),"ddao")</f>
        <v>ddao</v>
      </c>
      <c r="C3431" s="4" t="str">
        <f>IFERROR(__xludf.DUMMYFUNCTION("""COMPUTED_VALUE"""),"DDAO Hunters")</f>
        <v>DDAO Hunters</v>
      </c>
    </row>
    <row r="3432">
      <c r="A3432" s="4" t="str">
        <f>IFERROR(__xludf.DUMMYFUNCTION("""COMPUTED_VALUE"""),"defi-kingdoms")</f>
        <v>defi-kingdoms</v>
      </c>
      <c r="B3432" s="4" t="str">
        <f>IFERROR(__xludf.DUMMYFUNCTION("""COMPUTED_VALUE"""),"jewel")</f>
        <v>jewel</v>
      </c>
      <c r="C3432" s="4" t="str">
        <f>IFERROR(__xludf.DUMMYFUNCTION("""COMPUTED_VALUE"""),"DeFi Kingdoms")</f>
        <v>DeFi Kingdoms</v>
      </c>
    </row>
    <row r="3433">
      <c r="A3433" s="4" t="str">
        <f>IFERROR(__xludf.DUMMYFUNCTION("""COMPUTED_VALUE"""),"defi-kingdoms-crystal")</f>
        <v>defi-kingdoms-crystal</v>
      </c>
      <c r="B3433" s="4" t="str">
        <f>IFERROR(__xludf.DUMMYFUNCTION("""COMPUTED_VALUE"""),"crystal")</f>
        <v>crystal</v>
      </c>
      <c r="C3433" s="4" t="str">
        <f>IFERROR(__xludf.DUMMYFUNCTION("""COMPUTED_VALUE"""),"DeFi Kingdoms Crystal")</f>
        <v>DeFi Kingdoms Crystal</v>
      </c>
    </row>
    <row r="3434">
      <c r="A3434" s="4" t="str">
        <f>IFERROR(__xludf.DUMMYFUNCTION("""COMPUTED_VALUE"""),"defil")</f>
        <v>defil</v>
      </c>
      <c r="B3434" s="4" t="str">
        <f>IFERROR(__xludf.DUMMYFUNCTION("""COMPUTED_VALUE"""),"dfl")</f>
        <v>dfl</v>
      </c>
      <c r="C3434" s="4" t="str">
        <f>IFERROR(__xludf.DUMMYFUNCTION("""COMPUTED_VALUE"""),"DeFIL")</f>
        <v>DeFIL</v>
      </c>
    </row>
    <row r="3435">
      <c r="A3435" s="4" t="str">
        <f>IFERROR(__xludf.DUMMYFUNCTION("""COMPUTED_VALUE"""),"defi-land")</f>
        <v>defi-land</v>
      </c>
      <c r="B3435" s="4" t="str">
        <f>IFERROR(__xludf.DUMMYFUNCTION("""COMPUTED_VALUE"""),"dfl")</f>
        <v>dfl</v>
      </c>
      <c r="C3435" s="4" t="str">
        <f>IFERROR(__xludf.DUMMYFUNCTION("""COMPUTED_VALUE"""),"DeFi Land")</f>
        <v>DeFi Land</v>
      </c>
    </row>
    <row r="3436">
      <c r="A3436" s="4" t="str">
        <f>IFERROR(__xludf.DUMMYFUNCTION("""COMPUTED_VALUE"""),"defi-land-gold")</f>
        <v>defi-land-gold</v>
      </c>
      <c r="B3436" s="4" t="str">
        <f>IFERROR(__xludf.DUMMYFUNCTION("""COMPUTED_VALUE"""),"goldy")</f>
        <v>goldy</v>
      </c>
      <c r="C3436" s="4" t="str">
        <f>IFERROR(__xludf.DUMMYFUNCTION("""COMPUTED_VALUE"""),"DeFi Land Gold")</f>
        <v>DeFi Land Gold</v>
      </c>
    </row>
    <row r="3437">
      <c r="A3437" s="4" t="str">
        <f>IFERROR(__xludf.DUMMYFUNCTION("""COMPUTED_VALUE"""),"defina-finance")</f>
        <v>defina-finance</v>
      </c>
      <c r="B3437" s="4" t="str">
        <f>IFERROR(__xludf.DUMMYFUNCTION("""COMPUTED_VALUE"""),"fina")</f>
        <v>fina</v>
      </c>
      <c r="C3437" s="4" t="str">
        <f>IFERROR(__xludf.DUMMYFUNCTION("""COMPUTED_VALUE"""),"Defina Finance")</f>
        <v>Defina Finance</v>
      </c>
    </row>
    <row r="3438">
      <c r="A3438" s="4" t="str">
        <f>IFERROR(__xludf.DUMMYFUNCTION("""COMPUTED_VALUE"""),"definder-capital")</f>
        <v>definder-capital</v>
      </c>
      <c r="B3438" s="4" t="str">
        <f>IFERROR(__xludf.DUMMYFUNCTION("""COMPUTED_VALUE"""),"dfc")</f>
        <v>dfc</v>
      </c>
      <c r="C3438" s="4" t="str">
        <f>IFERROR(__xludf.DUMMYFUNCTION("""COMPUTED_VALUE"""),"DeFinder Capital")</f>
        <v>DeFinder Capital</v>
      </c>
    </row>
    <row r="3439">
      <c r="A3439" s="4" t="str">
        <f>IFERROR(__xludf.DUMMYFUNCTION("""COMPUTED_VALUE"""),"define")</f>
        <v>define</v>
      </c>
      <c r="B3439" s="4" t="str">
        <f>IFERROR(__xludf.DUMMYFUNCTION("""COMPUTED_VALUE"""),"dfa")</f>
        <v>dfa</v>
      </c>
      <c r="C3439" s="4" t="str">
        <f>IFERROR(__xludf.DUMMYFUNCTION("""COMPUTED_VALUE"""),"DeFine")</f>
        <v>DeFine</v>
      </c>
    </row>
    <row r="3440">
      <c r="A3440" s="4" t="str">
        <f>IFERROR(__xludf.DUMMYFUNCTION("""COMPUTED_VALUE"""),"definer")</f>
        <v>definer</v>
      </c>
      <c r="B3440" s="4" t="str">
        <f>IFERROR(__xludf.DUMMYFUNCTION("""COMPUTED_VALUE"""),"fin")</f>
        <v>fin</v>
      </c>
      <c r="C3440" s="4" t="str">
        <f>IFERROR(__xludf.DUMMYFUNCTION("""COMPUTED_VALUE"""),"DeFiner")</f>
        <v>DeFiner</v>
      </c>
    </row>
    <row r="3441">
      <c r="A3441" s="4" t="str">
        <f>IFERROR(__xludf.DUMMYFUNCTION("""COMPUTED_VALUE"""),"definity")</f>
        <v>definity</v>
      </c>
      <c r="B3441" s="4" t="str">
        <f>IFERROR(__xludf.DUMMYFUNCTION("""COMPUTED_VALUE"""),"defx")</f>
        <v>defx</v>
      </c>
      <c r="C3441" s="4" t="str">
        <f>IFERROR(__xludf.DUMMYFUNCTION("""COMPUTED_VALUE"""),"DeFinity")</f>
        <v>DeFinity</v>
      </c>
    </row>
    <row r="3442">
      <c r="A3442" s="4" t="str">
        <f>IFERROR(__xludf.DUMMYFUNCTION("""COMPUTED_VALUE"""),"defipal")</f>
        <v>defipal</v>
      </c>
      <c r="B3442" s="4" t="str">
        <f>IFERROR(__xludf.DUMMYFUNCTION("""COMPUTED_VALUE"""),"pal")</f>
        <v>pal</v>
      </c>
      <c r="C3442" s="4" t="str">
        <f>IFERROR(__xludf.DUMMYFUNCTION("""COMPUTED_VALUE"""),"DefiPal")</f>
        <v>DefiPal</v>
      </c>
    </row>
    <row r="3443">
      <c r="A3443" s="4" t="str">
        <f>IFERROR(__xludf.DUMMYFUNCTION("""COMPUTED_VALUE"""),"defiplaza")</f>
        <v>defiplaza</v>
      </c>
      <c r="B3443" s="4" t="str">
        <f>IFERROR(__xludf.DUMMYFUNCTION("""COMPUTED_VALUE"""),"dfp2")</f>
        <v>dfp2</v>
      </c>
      <c r="C3443" s="4" t="str">
        <f>IFERROR(__xludf.DUMMYFUNCTION("""COMPUTED_VALUE"""),"DefiPlaza")</f>
        <v>DefiPlaza</v>
      </c>
    </row>
    <row r="3444">
      <c r="A3444" s="4" t="str">
        <f>IFERROR(__xludf.DUMMYFUNCTION("""COMPUTED_VALUE"""),"defi-pool-share")</f>
        <v>defi-pool-share</v>
      </c>
      <c r="B3444" s="4" t="str">
        <f>IFERROR(__xludf.DUMMYFUNCTION("""COMPUTED_VALUE"""),"dpst")</f>
        <v>dpst</v>
      </c>
      <c r="C3444" s="4" t="str">
        <f>IFERROR(__xludf.DUMMYFUNCTION("""COMPUTED_VALUE"""),"DeFi Pool Share")</f>
        <v>DeFi Pool Share</v>
      </c>
    </row>
    <row r="3445">
      <c r="A3445" s="4" t="str">
        <f>IFERROR(__xludf.DUMMYFUNCTION("""COMPUTED_VALUE"""),"defipulse-index")</f>
        <v>defipulse-index</v>
      </c>
      <c r="B3445" s="4" t="str">
        <f>IFERROR(__xludf.DUMMYFUNCTION("""COMPUTED_VALUE"""),"dpi")</f>
        <v>dpi</v>
      </c>
      <c r="C3445" s="4" t="str">
        <f>IFERROR(__xludf.DUMMYFUNCTION("""COMPUTED_VALUE"""),"DeFi Pulse Index")</f>
        <v>DeFi Pulse Index</v>
      </c>
    </row>
    <row r="3446">
      <c r="A3446" s="4" t="str">
        <f>IFERROR(__xludf.DUMMYFUNCTION("""COMPUTED_VALUE"""),"defi-radar")</f>
        <v>defi-radar</v>
      </c>
      <c r="B3446" s="4" t="str">
        <f>IFERROR(__xludf.DUMMYFUNCTION("""COMPUTED_VALUE"""),"dradar")</f>
        <v>dradar</v>
      </c>
      <c r="C3446" s="4" t="str">
        <f>IFERROR(__xludf.DUMMYFUNCTION("""COMPUTED_VALUE"""),"Defi Radar")</f>
        <v>Defi Radar</v>
      </c>
    </row>
    <row r="3447">
      <c r="A3447" s="4" t="str">
        <f>IFERROR(__xludf.DUMMYFUNCTION("""COMPUTED_VALUE"""),"defi-robot")</f>
        <v>defi-robot</v>
      </c>
      <c r="B3447" s="4" t="str">
        <f>IFERROR(__xludf.DUMMYFUNCTION("""COMPUTED_VALUE"""),"drbt")</f>
        <v>drbt</v>
      </c>
      <c r="C3447" s="4" t="str">
        <f>IFERROR(__xludf.DUMMYFUNCTION("""COMPUTED_VALUE"""),"DeFi-Robot")</f>
        <v>DeFi-Robot</v>
      </c>
    </row>
    <row r="3448">
      <c r="A3448" s="4" t="str">
        <f>IFERROR(__xludf.DUMMYFUNCTION("""COMPUTED_VALUE"""),"defi-shopping-stake")</f>
        <v>defi-shopping-stake</v>
      </c>
      <c r="B3448" s="4" t="str">
        <f>IFERROR(__xludf.DUMMYFUNCTION("""COMPUTED_VALUE"""),"dss")</f>
        <v>dss</v>
      </c>
      <c r="C3448" s="4" t="str">
        <f>IFERROR(__xludf.DUMMYFUNCTION("""COMPUTED_VALUE"""),"Defi Shopping Stake")</f>
        <v>Defi Shopping Stake</v>
      </c>
    </row>
    <row r="3449">
      <c r="A3449" s="4" t="str">
        <f>IFERROR(__xludf.DUMMYFUNCTION("""COMPUTED_VALUE"""),"defispot")</f>
        <v>defispot</v>
      </c>
      <c r="B3449" s="4" t="str">
        <f>IFERROR(__xludf.DUMMYFUNCTION("""COMPUTED_VALUE"""),"spot")</f>
        <v>spot</v>
      </c>
      <c r="C3449" s="4" t="str">
        <f>IFERROR(__xludf.DUMMYFUNCTION("""COMPUTED_VALUE"""),"Defispot")</f>
        <v>Defispot</v>
      </c>
    </row>
    <row r="3450">
      <c r="A3450" s="4" t="str">
        <f>IFERROR(__xludf.DUMMYFUNCTION("""COMPUTED_VALUE"""),"defistarter")</f>
        <v>defistarter</v>
      </c>
      <c r="B3450" s="4" t="str">
        <f>IFERROR(__xludf.DUMMYFUNCTION("""COMPUTED_VALUE"""),"dfi")</f>
        <v>dfi</v>
      </c>
      <c r="C3450" s="4" t="str">
        <f>IFERROR(__xludf.DUMMYFUNCTION("""COMPUTED_VALUE"""),"DfiStarter")</f>
        <v>DfiStarter</v>
      </c>
    </row>
    <row r="3451">
      <c r="A3451" s="4" t="str">
        <f>IFERROR(__xludf.DUMMYFUNCTION("""COMPUTED_VALUE"""),"defi-stoa")</f>
        <v>defi-stoa</v>
      </c>
      <c r="B3451" s="4" t="str">
        <f>IFERROR(__xludf.DUMMYFUNCTION("""COMPUTED_VALUE"""),"sta")</f>
        <v>sta</v>
      </c>
      <c r="C3451" s="4" t="str">
        <f>IFERROR(__xludf.DUMMYFUNCTION("""COMPUTED_VALUE"""),"STOA Network")</f>
        <v>STOA Network</v>
      </c>
    </row>
    <row r="3452">
      <c r="A3452" s="4" t="str">
        <f>IFERROR(__xludf.DUMMYFUNCTION("""COMPUTED_VALUE"""),"defit")</f>
        <v>defit</v>
      </c>
      <c r="B3452" s="4" t="str">
        <f>IFERROR(__xludf.DUMMYFUNCTION("""COMPUTED_VALUE"""),"defit")</f>
        <v>defit</v>
      </c>
      <c r="C3452" s="4" t="str">
        <f>IFERROR(__xludf.DUMMYFUNCTION("""COMPUTED_VALUE"""),"Digital Fitness")</f>
        <v>Digital Fitness</v>
      </c>
    </row>
    <row r="3453">
      <c r="A3453" s="4" t="str">
        <f>IFERROR(__xludf.DUMMYFUNCTION("""COMPUTED_VALUE"""),"defitankland")</f>
        <v>defitankland</v>
      </c>
      <c r="B3453" s="4" t="str">
        <f>IFERROR(__xludf.DUMMYFUNCTION("""COMPUTED_VALUE"""),"dftl")</f>
        <v>dftl</v>
      </c>
      <c r="C3453" s="4" t="str">
        <f>IFERROR(__xludf.DUMMYFUNCTION("""COMPUTED_VALUE"""),"DefiTankLand")</f>
        <v>DefiTankLand</v>
      </c>
    </row>
    <row r="3454">
      <c r="A3454" s="4" t="str">
        <f>IFERROR(__xludf.DUMMYFUNCTION("""COMPUTED_VALUE"""),"defi-warrior")</f>
        <v>defi-warrior</v>
      </c>
      <c r="B3454" s="4" t="str">
        <f>IFERROR(__xludf.DUMMYFUNCTION("""COMPUTED_VALUE"""),"fiwa")</f>
        <v>fiwa</v>
      </c>
      <c r="C3454" s="4" t="str">
        <f>IFERROR(__xludf.DUMMYFUNCTION("""COMPUTED_VALUE"""),"Defi Warrior")</f>
        <v>Defi Warrior</v>
      </c>
    </row>
    <row r="3455">
      <c r="A3455" s="4" t="str">
        <f>IFERROR(__xludf.DUMMYFUNCTION("""COMPUTED_VALUE"""),"defi-world")</f>
        <v>defi-world</v>
      </c>
      <c r="B3455" s="4" t="str">
        <f>IFERROR(__xludf.DUMMYFUNCTION("""COMPUTED_VALUE"""),"dwc")</f>
        <v>dwc</v>
      </c>
      <c r="C3455" s="4" t="str">
        <f>IFERROR(__xludf.DUMMYFUNCTION("""COMPUTED_VALUE"""),"Defi World")</f>
        <v>Defi World</v>
      </c>
    </row>
    <row r="3456">
      <c r="A3456" s="4" t="str">
        <f>IFERROR(__xludf.DUMMYFUNCTION("""COMPUTED_VALUE"""),"defi-yield-protocol")</f>
        <v>defi-yield-protocol</v>
      </c>
      <c r="B3456" s="4" t="str">
        <f>IFERROR(__xludf.DUMMYFUNCTION("""COMPUTED_VALUE"""),"dyp")</f>
        <v>dyp</v>
      </c>
      <c r="C3456" s="4" t="str">
        <f>IFERROR(__xludf.DUMMYFUNCTION("""COMPUTED_VALUE"""),"Dypius [OLD]")</f>
        <v>Dypius [OLD]</v>
      </c>
    </row>
    <row r="3457">
      <c r="A3457" s="4" t="str">
        <f>IFERROR(__xludf.DUMMYFUNCTION("""COMPUTED_VALUE"""),"defly")</f>
        <v>defly</v>
      </c>
      <c r="B3457" s="4" t="str">
        <f>IFERROR(__xludf.DUMMYFUNCTION("""COMPUTED_VALUE"""),"defly")</f>
        <v>defly</v>
      </c>
      <c r="C3457" s="4" t="str">
        <f>IFERROR(__xludf.DUMMYFUNCTION("""COMPUTED_VALUE"""),"Defly")</f>
        <v>Defly</v>
      </c>
    </row>
    <row r="3458">
      <c r="A3458" s="4" t="str">
        <f>IFERROR(__xludf.DUMMYFUNCTION("""COMPUTED_VALUE"""),"defrogs")</f>
        <v>defrogs</v>
      </c>
      <c r="B3458" s="4" t="str">
        <f>IFERROR(__xludf.DUMMYFUNCTION("""COMPUTED_VALUE"""),"defrogs")</f>
        <v>defrogs</v>
      </c>
      <c r="C3458" s="4" t="str">
        <f>IFERROR(__xludf.DUMMYFUNCTION("""COMPUTED_VALUE"""),"DeFrogs")</f>
        <v>DeFrogs</v>
      </c>
    </row>
    <row r="3459">
      <c r="A3459" s="4" t="str">
        <f>IFERROR(__xludf.DUMMYFUNCTION("""COMPUTED_VALUE"""),"defusion-staked-vic")</f>
        <v>defusion-staked-vic</v>
      </c>
      <c r="B3459" s="4" t="str">
        <f>IFERROR(__xludf.DUMMYFUNCTION("""COMPUTED_VALUE"""),"svic")</f>
        <v>svic</v>
      </c>
      <c r="C3459" s="4" t="str">
        <f>IFERROR(__xludf.DUMMYFUNCTION("""COMPUTED_VALUE"""),"deFusion Staked VIC")</f>
        <v>deFusion Staked VIC</v>
      </c>
    </row>
    <row r="3460">
      <c r="A3460" s="4" t="str">
        <f>IFERROR(__xludf.DUMMYFUNCTION("""COMPUTED_VALUE"""),"defy")</f>
        <v>defy</v>
      </c>
      <c r="B3460" s="4" t="str">
        <f>IFERROR(__xludf.DUMMYFUNCTION("""COMPUTED_VALUE"""),"defy")</f>
        <v>defy</v>
      </c>
      <c r="C3460" s="4" t="str">
        <f>IFERROR(__xludf.DUMMYFUNCTION("""COMPUTED_VALUE"""),"DEFY")</f>
        <v>DEFY</v>
      </c>
    </row>
    <row r="3461">
      <c r="A3461" s="4" t="str">
        <f>IFERROR(__xludf.DUMMYFUNCTION("""COMPUTED_VALUE"""),"dega")</f>
        <v>dega</v>
      </c>
      <c r="B3461" s="4" t="str">
        <f>IFERROR(__xludf.DUMMYFUNCTION("""COMPUTED_VALUE"""),"dega")</f>
        <v>dega</v>
      </c>
      <c r="C3461" s="4" t="str">
        <f>IFERROR(__xludf.DUMMYFUNCTION("""COMPUTED_VALUE"""),"Dega")</f>
        <v>Dega</v>
      </c>
    </row>
    <row r="3462">
      <c r="A3462" s="4" t="str">
        <f>IFERROR(__xludf.DUMMYFUNCTION("""COMPUTED_VALUE"""),"degate")</f>
        <v>degate</v>
      </c>
      <c r="B3462" s="4" t="str">
        <f>IFERROR(__xludf.DUMMYFUNCTION("""COMPUTED_VALUE"""),"dg")</f>
        <v>dg</v>
      </c>
      <c r="C3462" s="4" t="str">
        <f>IFERROR(__xludf.DUMMYFUNCTION("""COMPUTED_VALUE"""),"DeGate")</f>
        <v>DeGate</v>
      </c>
    </row>
    <row r="3463">
      <c r="A3463" s="4" t="str">
        <f>IFERROR(__xludf.DUMMYFUNCTION("""COMPUTED_VALUE"""),"degen-2")</f>
        <v>degen-2</v>
      </c>
      <c r="B3463" s="4" t="str">
        <f>IFERROR(__xludf.DUMMYFUNCTION("""COMPUTED_VALUE"""),"d三g三n")</f>
        <v>d三g三n</v>
      </c>
      <c r="C3463" s="4" t="str">
        <f>IFERROR(__xludf.DUMMYFUNCTION("""COMPUTED_VALUE"""),"Degen")</f>
        <v>Degen</v>
      </c>
    </row>
    <row r="3464">
      <c r="A3464" s="4" t="str">
        <f>IFERROR(__xludf.DUMMYFUNCTION("""COMPUTED_VALUE"""),"degen-base")</f>
        <v>degen-base</v>
      </c>
      <c r="B3464" s="4" t="str">
        <f>IFERROR(__xludf.DUMMYFUNCTION("""COMPUTED_VALUE"""),"degen")</f>
        <v>degen</v>
      </c>
      <c r="C3464" s="4" t="str">
        <f>IFERROR(__xludf.DUMMYFUNCTION("""COMPUTED_VALUE"""),"Degen (Base)")</f>
        <v>Degen (Base)</v>
      </c>
    </row>
    <row r="3465">
      <c r="A3465" s="4" t="str">
        <f>IFERROR(__xludf.DUMMYFUNCTION("""COMPUTED_VALUE"""),"degen-base-2")</f>
        <v>degen-base-2</v>
      </c>
      <c r="B3465" s="4" t="str">
        <f>IFERROR(__xludf.DUMMYFUNCTION("""COMPUTED_VALUE"""),"$db")</f>
        <v>$db</v>
      </c>
      <c r="C3465" s="4" t="str">
        <f>IFERROR(__xludf.DUMMYFUNCTION("""COMPUTED_VALUE"""),"Degen Base")</f>
        <v>Degen Base</v>
      </c>
    </row>
    <row r="3466">
      <c r="A3466" s="4" t="str">
        <f>IFERROR(__xludf.DUMMYFUNCTION("""COMPUTED_VALUE"""),"degen-cet")</f>
        <v>degen-cet</v>
      </c>
      <c r="B3466" s="4" t="str">
        <f>IFERROR(__xludf.DUMMYFUNCTION("""COMPUTED_VALUE"""),"cet")</f>
        <v>cet</v>
      </c>
      <c r="C3466" s="4" t="str">
        <f>IFERROR(__xludf.DUMMYFUNCTION("""COMPUTED_VALUE"""),"Degen Cet")</f>
        <v>Degen Cet</v>
      </c>
    </row>
    <row r="3467">
      <c r="A3467" s="4" t="str">
        <f>IFERROR(__xludf.DUMMYFUNCTION("""COMPUTED_VALUE"""),"degen-fighting-championship")</f>
        <v>degen-fighting-championship</v>
      </c>
      <c r="B3467" s="4" t="str">
        <f>IFERROR(__xludf.DUMMYFUNCTION("""COMPUTED_VALUE"""),"dfc")</f>
        <v>dfc</v>
      </c>
      <c r="C3467" s="4" t="str">
        <f>IFERROR(__xludf.DUMMYFUNCTION("""COMPUTED_VALUE"""),"Degen Fighting Championship")</f>
        <v>Degen Fighting Championship</v>
      </c>
    </row>
    <row r="3468">
      <c r="A3468" s="4" t="str">
        <f>IFERROR(__xludf.DUMMYFUNCTION("""COMPUTED_VALUE"""),"degeninsure")</f>
        <v>degeninsure</v>
      </c>
      <c r="B3468" s="4" t="str">
        <f>IFERROR(__xludf.DUMMYFUNCTION("""COMPUTED_VALUE"""),"dgns")</f>
        <v>dgns</v>
      </c>
      <c r="C3468" s="4" t="str">
        <f>IFERROR(__xludf.DUMMYFUNCTION("""COMPUTED_VALUE"""),"DegenInsure")</f>
        <v>DegenInsure</v>
      </c>
    </row>
    <row r="3469">
      <c r="A3469" s="4" t="str">
        <f>IFERROR(__xludf.DUMMYFUNCTION("""COMPUTED_VALUE"""),"degen-knightsofdegen")</f>
        <v>degen-knightsofdegen</v>
      </c>
      <c r="B3469" s="4" t="str">
        <f>IFERROR(__xludf.DUMMYFUNCTION("""COMPUTED_VALUE"""),"dgen")</f>
        <v>dgen</v>
      </c>
      <c r="C3469" s="4" t="str">
        <f>IFERROR(__xludf.DUMMYFUNCTION("""COMPUTED_VALUE"""),"DGEN")</f>
        <v>DGEN</v>
      </c>
    </row>
    <row r="3470">
      <c r="A3470" s="4" t="str">
        <f>IFERROR(__xludf.DUMMYFUNCTION("""COMPUTED_VALUE"""),"degenmasters-ai")</f>
        <v>degenmasters-ai</v>
      </c>
      <c r="B3470" s="4" t="str">
        <f>IFERROR(__xludf.DUMMYFUNCTION("""COMPUTED_VALUE"""),"dmai")</f>
        <v>dmai</v>
      </c>
      <c r="C3470" s="4" t="str">
        <f>IFERROR(__xludf.DUMMYFUNCTION("""COMPUTED_VALUE"""),"DegenMasters AI")</f>
        <v>DegenMasters AI</v>
      </c>
    </row>
    <row r="3471">
      <c r="A3471" s="4" t="str">
        <f>IFERROR(__xludf.DUMMYFUNCTION("""COMPUTED_VALUE"""),"degenreborn")</f>
        <v>degenreborn</v>
      </c>
      <c r="B3471" s="4" t="str">
        <f>IFERROR(__xludf.DUMMYFUNCTION("""COMPUTED_VALUE"""),"degen")</f>
        <v>degen</v>
      </c>
      <c r="C3471" s="4" t="str">
        <f>IFERROR(__xludf.DUMMYFUNCTION("""COMPUTED_VALUE"""),"DegenReborn")</f>
        <v>DegenReborn</v>
      </c>
    </row>
    <row r="3472">
      <c r="A3472" s="4" t="str">
        <f>IFERROR(__xludf.DUMMYFUNCTION("""COMPUTED_VALUE"""),"degenstogether")</f>
        <v>degenstogether</v>
      </c>
      <c r="B3472" s="4" t="str">
        <f>IFERROR(__xludf.DUMMYFUNCTION("""COMPUTED_VALUE"""),"degen")</f>
        <v>degen</v>
      </c>
      <c r="C3472" s="4" t="str">
        <f>IFERROR(__xludf.DUMMYFUNCTION("""COMPUTED_VALUE"""),"DegensTogether")</f>
        <v>DegensTogether</v>
      </c>
    </row>
    <row r="3473">
      <c r="A3473" s="4" t="str">
        <f>IFERROR(__xludf.DUMMYFUNCTION("""COMPUTED_VALUE"""),"degenswap")</f>
        <v>degenswap</v>
      </c>
      <c r="B3473" s="4" t="str">
        <f>IFERROR(__xludf.DUMMYFUNCTION("""COMPUTED_VALUE"""),"dswap")</f>
        <v>dswap</v>
      </c>
      <c r="C3473" s="4" t="str">
        <f>IFERROR(__xludf.DUMMYFUNCTION("""COMPUTED_VALUE"""),"DegenSwap")</f>
        <v>DegenSwap</v>
      </c>
    </row>
    <row r="3474">
      <c r="A3474" s="4" t="str">
        <f>IFERROR(__xludf.DUMMYFUNCTION("""COMPUTED_VALUE"""),"degen-token")</f>
        <v>degen-token</v>
      </c>
      <c r="B3474" s="4" t="str">
        <f>IFERROR(__xludf.DUMMYFUNCTION("""COMPUTED_VALUE"""),"dgn")</f>
        <v>dgn</v>
      </c>
      <c r="C3474" s="4" t="str">
        <f>IFERROR(__xludf.DUMMYFUNCTION("""COMPUTED_VALUE"""),"Degen Token")</f>
        <v>Degen Token</v>
      </c>
    </row>
    <row r="3475">
      <c r="A3475" s="4" t="str">
        <f>IFERROR(__xludf.DUMMYFUNCTION("""COMPUTED_VALUE"""),"degen-traded-fund")</f>
        <v>degen-traded-fund</v>
      </c>
      <c r="B3475" s="4" t="str">
        <f>IFERROR(__xludf.DUMMYFUNCTION("""COMPUTED_VALUE"""),"dtf")</f>
        <v>dtf</v>
      </c>
      <c r="C3475" s="4" t="str">
        <f>IFERROR(__xludf.DUMMYFUNCTION("""COMPUTED_VALUE"""),"Degen Traded Fund")</f>
        <v>Degen Traded Fund</v>
      </c>
    </row>
    <row r="3476">
      <c r="A3476" s="4" t="str">
        <f>IFERROR(__xludf.DUMMYFUNCTION("""COMPUTED_VALUE"""),"degenx")</f>
        <v>degenx</v>
      </c>
      <c r="B3476" s="4" t="str">
        <f>IFERROR(__xludf.DUMMYFUNCTION("""COMPUTED_VALUE"""),"dgnx")</f>
        <v>dgnx</v>
      </c>
      <c r="C3476" s="4" t="str">
        <f>IFERROR(__xludf.DUMMYFUNCTION("""COMPUTED_VALUE"""),"DegenX")</f>
        <v>DegenX</v>
      </c>
    </row>
    <row r="3477">
      <c r="A3477" s="4" t="str">
        <f>IFERROR(__xludf.DUMMYFUNCTION("""COMPUTED_VALUE"""),"degen-zoo")</f>
        <v>degen-zoo</v>
      </c>
      <c r="B3477" s="4" t="str">
        <f>IFERROR(__xludf.DUMMYFUNCTION("""COMPUTED_VALUE"""),"dzoo")</f>
        <v>dzoo</v>
      </c>
      <c r="C3477" s="4" t="str">
        <f>IFERROR(__xludf.DUMMYFUNCTION("""COMPUTED_VALUE"""),"Degen Zoo")</f>
        <v>Degen Zoo</v>
      </c>
    </row>
    <row r="3478">
      <c r="A3478" s="4" t="str">
        <f>IFERROR(__xludf.DUMMYFUNCTION("""COMPUTED_VALUE"""),"degis")</f>
        <v>degis</v>
      </c>
      <c r="B3478" s="4" t="str">
        <f>IFERROR(__xludf.DUMMYFUNCTION("""COMPUTED_VALUE"""),"deg")</f>
        <v>deg</v>
      </c>
      <c r="C3478" s="4" t="str">
        <f>IFERROR(__xludf.DUMMYFUNCTION("""COMPUTED_VALUE"""),"Degis")</f>
        <v>Degis</v>
      </c>
    </row>
    <row r="3479">
      <c r="A3479" s="4" t="str">
        <f>IFERROR(__xludf.DUMMYFUNCTION("""COMPUTED_VALUE"""),"dego-finance")</f>
        <v>dego-finance</v>
      </c>
      <c r="B3479" s="4" t="str">
        <f>IFERROR(__xludf.DUMMYFUNCTION("""COMPUTED_VALUE"""),"dego")</f>
        <v>dego</v>
      </c>
      <c r="C3479" s="4" t="str">
        <f>IFERROR(__xludf.DUMMYFUNCTION("""COMPUTED_VALUE"""),"Dego Finance")</f>
        <v>Dego Finance</v>
      </c>
    </row>
    <row r="3480">
      <c r="A3480" s="4" t="str">
        <f>IFERROR(__xludf.DUMMYFUNCTION("""COMPUTED_VALUE"""),"degree-crypto-token")</f>
        <v>degree-crypto-token</v>
      </c>
      <c r="B3480" s="4" t="str">
        <f>IFERROR(__xludf.DUMMYFUNCTION("""COMPUTED_VALUE"""),"dct")</f>
        <v>dct</v>
      </c>
      <c r="C3480" s="4" t="str">
        <f>IFERROR(__xludf.DUMMYFUNCTION("""COMPUTED_VALUE"""),"Degree Crypto")</f>
        <v>Degree Crypto</v>
      </c>
    </row>
    <row r="3481">
      <c r="A3481" s="4" t="str">
        <f>IFERROR(__xludf.DUMMYFUNCTION("""COMPUTED_VALUE"""),"degwefhat")</f>
        <v>degwefhat</v>
      </c>
      <c r="B3481" s="4" t="str">
        <f>IFERROR(__xludf.DUMMYFUNCTION("""COMPUTED_VALUE"""),"wef")</f>
        <v>wef</v>
      </c>
      <c r="C3481" s="4" t="str">
        <f>IFERROR(__xludf.DUMMYFUNCTION("""COMPUTED_VALUE"""),"degwefhat")</f>
        <v>degwefhat</v>
      </c>
    </row>
    <row r="3482">
      <c r="A3482" s="4" t="str">
        <f>IFERROR(__xludf.DUMMYFUNCTION("""COMPUTED_VALUE"""),"dehealth")</f>
        <v>dehealth</v>
      </c>
      <c r="B3482" s="4" t="str">
        <f>IFERROR(__xludf.DUMMYFUNCTION("""COMPUTED_VALUE"""),"dhlt")</f>
        <v>dhlt</v>
      </c>
      <c r="C3482" s="4" t="str">
        <f>IFERROR(__xludf.DUMMYFUNCTION("""COMPUTED_VALUE"""),"DeHealth")</f>
        <v>DeHealth</v>
      </c>
    </row>
    <row r="3483">
      <c r="A3483" s="4" t="str">
        <f>IFERROR(__xludf.DUMMYFUNCTION("""COMPUTED_VALUE"""),"dehero-community-token")</f>
        <v>dehero-community-token</v>
      </c>
      <c r="B3483" s="4" t="str">
        <f>IFERROR(__xludf.DUMMYFUNCTION("""COMPUTED_VALUE"""),"heroes")</f>
        <v>heroes</v>
      </c>
      <c r="C3483" s="4" t="str">
        <f>IFERROR(__xludf.DUMMYFUNCTION("""COMPUTED_VALUE"""),"Dehero Community")</f>
        <v>Dehero Community</v>
      </c>
    </row>
    <row r="3484">
      <c r="A3484" s="4" t="str">
        <f>IFERROR(__xludf.DUMMYFUNCTION("""COMPUTED_VALUE"""),"deherogame-amazing-token")</f>
        <v>deherogame-amazing-token</v>
      </c>
      <c r="B3484" s="4" t="str">
        <f>IFERROR(__xludf.DUMMYFUNCTION("""COMPUTED_VALUE"""),"amg")</f>
        <v>amg</v>
      </c>
      <c r="C3484" s="4" t="str">
        <f>IFERROR(__xludf.DUMMYFUNCTION("""COMPUTED_VALUE"""),"DeHeroGame Amazing Token")</f>
        <v>DeHeroGame Amazing Token</v>
      </c>
    </row>
    <row r="3485">
      <c r="A3485" s="4" t="str">
        <f>IFERROR(__xludf.DUMMYFUNCTION("""COMPUTED_VALUE"""),"dehive")</f>
        <v>dehive</v>
      </c>
      <c r="B3485" s="4" t="str">
        <f>IFERROR(__xludf.DUMMYFUNCTION("""COMPUTED_VALUE"""),"dhv")</f>
        <v>dhv</v>
      </c>
      <c r="C3485" s="4" t="str">
        <f>IFERROR(__xludf.DUMMYFUNCTION("""COMPUTED_VALUE"""),"DeHive")</f>
        <v>DeHive</v>
      </c>
    </row>
    <row r="3486">
      <c r="A3486" s="4" t="str">
        <f>IFERROR(__xludf.DUMMYFUNCTION("""COMPUTED_VALUE"""),"dehorizon")</f>
        <v>dehorizon</v>
      </c>
      <c r="B3486" s="4" t="str">
        <f>IFERROR(__xludf.DUMMYFUNCTION("""COMPUTED_VALUE"""),"devt")</f>
        <v>devt</v>
      </c>
      <c r="C3486" s="4" t="str">
        <f>IFERROR(__xludf.DUMMYFUNCTION("""COMPUTED_VALUE"""),"DeHorizon")</f>
        <v>DeHorizon</v>
      </c>
    </row>
    <row r="3487">
      <c r="A3487" s="4" t="str">
        <f>IFERROR(__xludf.DUMMYFUNCTION("""COMPUTED_VALUE"""),"dehub")</f>
        <v>dehub</v>
      </c>
      <c r="B3487" s="4" t="str">
        <f>IFERROR(__xludf.DUMMYFUNCTION("""COMPUTED_VALUE"""),"dhb")</f>
        <v>dhb</v>
      </c>
      <c r="C3487" s="4" t="str">
        <f>IFERROR(__xludf.DUMMYFUNCTION("""COMPUTED_VALUE"""),"DeHub")</f>
        <v>DeHub</v>
      </c>
    </row>
    <row r="3488">
      <c r="A3488" s="4" t="str">
        <f>IFERROR(__xludf.DUMMYFUNCTION("""COMPUTED_VALUE"""),"dejitaru-hoshi")</f>
        <v>dejitaru-hoshi</v>
      </c>
      <c r="B3488" s="4" t="str">
        <f>IFERROR(__xludf.DUMMYFUNCTION("""COMPUTED_VALUE"""),"hoshi")</f>
        <v>hoshi</v>
      </c>
      <c r="C3488" s="4" t="str">
        <f>IFERROR(__xludf.DUMMYFUNCTION("""COMPUTED_VALUE"""),"Dejitaru Hoshi")</f>
        <v>Dejitaru Hoshi</v>
      </c>
    </row>
    <row r="3489">
      <c r="A3489" s="4" t="str">
        <f>IFERROR(__xludf.DUMMYFUNCTION("""COMPUTED_VALUE"""),"dejitaru-shirudo")</f>
        <v>dejitaru-shirudo</v>
      </c>
      <c r="B3489" s="4" t="str">
        <f>IFERROR(__xludf.DUMMYFUNCTION("""COMPUTED_VALUE"""),"shield")</f>
        <v>shield</v>
      </c>
      <c r="C3489" s="4" t="str">
        <f>IFERROR(__xludf.DUMMYFUNCTION("""COMPUTED_VALUE"""),"Dejitaru Shirudo")</f>
        <v>Dejitaru Shirudo</v>
      </c>
    </row>
    <row r="3490">
      <c r="A3490" s="4" t="str">
        <f>IFERROR(__xludf.DUMMYFUNCTION("""COMPUTED_VALUE"""),"dejitaru-tsuka")</f>
        <v>dejitaru-tsuka</v>
      </c>
      <c r="B3490" s="4" t="str">
        <f>IFERROR(__xludf.DUMMYFUNCTION("""COMPUTED_VALUE"""),"tsuka")</f>
        <v>tsuka</v>
      </c>
      <c r="C3490" s="4" t="str">
        <f>IFERROR(__xludf.DUMMYFUNCTION("""COMPUTED_VALUE"""),"Dejitaru Tsuka")</f>
        <v>Dejitaru Tsuka</v>
      </c>
    </row>
    <row r="3491">
      <c r="A3491" s="4" t="str">
        <f>IFERROR(__xludf.DUMMYFUNCTION("""COMPUTED_VALUE"""),"dekbox")</f>
        <v>dekbox</v>
      </c>
      <c r="B3491" s="4" t="str">
        <f>IFERROR(__xludf.DUMMYFUNCTION("""COMPUTED_VALUE"""),"dek")</f>
        <v>dek</v>
      </c>
      <c r="C3491" s="4" t="str">
        <f>IFERROR(__xludf.DUMMYFUNCTION("""COMPUTED_VALUE"""),"DekBox")</f>
        <v>DekBox</v>
      </c>
    </row>
    <row r="3492">
      <c r="A3492" s="4" t="str">
        <f>IFERROR(__xludf.DUMMYFUNCTION("""COMPUTED_VALUE"""),"de-layer")</f>
        <v>de-layer</v>
      </c>
      <c r="B3492" s="4" t="str">
        <f>IFERROR(__xludf.DUMMYFUNCTION("""COMPUTED_VALUE"""),"deai")</f>
        <v>deai</v>
      </c>
      <c r="C3492" s="4" t="str">
        <f>IFERROR(__xludf.DUMMYFUNCTION("""COMPUTED_VALUE"""),"De Layer")</f>
        <v>De Layer</v>
      </c>
    </row>
    <row r="3493">
      <c r="A3493" s="4" t="str">
        <f>IFERROR(__xludf.DUMMYFUNCTION("""COMPUTED_VALUE"""),"deliq")</f>
        <v>deliq</v>
      </c>
      <c r="B3493" s="4" t="str">
        <f>IFERROR(__xludf.DUMMYFUNCTION("""COMPUTED_VALUE"""),"dlq")</f>
        <v>dlq</v>
      </c>
      <c r="C3493" s="4" t="str">
        <f>IFERROR(__xludf.DUMMYFUNCTION("""COMPUTED_VALUE"""),"Deliq")</f>
        <v>Deliq</v>
      </c>
    </row>
    <row r="3494">
      <c r="A3494" s="4" t="str">
        <f>IFERROR(__xludf.DUMMYFUNCTION("""COMPUTED_VALUE"""),"delphibets")</f>
        <v>delphibets</v>
      </c>
      <c r="B3494" s="4" t="str">
        <f>IFERROR(__xludf.DUMMYFUNCTION("""COMPUTED_VALUE"""),"dph")</f>
        <v>dph</v>
      </c>
      <c r="C3494" s="4" t="str">
        <f>IFERROR(__xludf.DUMMYFUNCTION("""COMPUTED_VALUE"""),"DELPHIBETS")</f>
        <v>DELPHIBETS</v>
      </c>
    </row>
    <row r="3495">
      <c r="A3495" s="4" t="str">
        <f>IFERROR(__xludf.DUMMYFUNCTION("""COMPUTED_VALUE"""),"delphy")</f>
        <v>delphy</v>
      </c>
      <c r="B3495" s="4" t="str">
        <f>IFERROR(__xludf.DUMMYFUNCTION("""COMPUTED_VALUE"""),"dpy")</f>
        <v>dpy</v>
      </c>
      <c r="C3495" s="4" t="str">
        <f>IFERROR(__xludf.DUMMYFUNCTION("""COMPUTED_VALUE"""),"Delphy")</f>
        <v>Delphy</v>
      </c>
    </row>
    <row r="3496">
      <c r="A3496" s="4" t="str">
        <f>IFERROR(__xludf.DUMMYFUNCTION("""COMPUTED_VALUE"""),"delrey-inu")</f>
        <v>delrey-inu</v>
      </c>
      <c r="B3496" s="4" t="str">
        <f>IFERROR(__xludf.DUMMYFUNCTION("""COMPUTED_VALUE"""),"delrey")</f>
        <v>delrey</v>
      </c>
      <c r="C3496" s="4" t="str">
        <f>IFERROR(__xludf.DUMMYFUNCTION("""COMPUTED_VALUE"""),"Delrey Inu")</f>
        <v>Delrey Inu</v>
      </c>
    </row>
    <row r="3497">
      <c r="A3497" s="4" t="str">
        <f>IFERROR(__xludf.DUMMYFUNCTION("""COMPUTED_VALUE"""),"delta-exchange-token")</f>
        <v>delta-exchange-token</v>
      </c>
      <c r="B3497" s="4" t="str">
        <f>IFERROR(__xludf.DUMMYFUNCTION("""COMPUTED_VALUE"""),"deto")</f>
        <v>deto</v>
      </c>
      <c r="C3497" s="4" t="str">
        <f>IFERROR(__xludf.DUMMYFUNCTION("""COMPUTED_VALUE"""),"Delta Exchange")</f>
        <v>Delta Exchange</v>
      </c>
    </row>
    <row r="3498">
      <c r="A3498" s="4" t="str">
        <f>IFERROR(__xludf.DUMMYFUNCTION("""COMPUTED_VALUE"""),"deltafi")</f>
        <v>deltafi</v>
      </c>
      <c r="B3498" s="4" t="str">
        <f>IFERROR(__xludf.DUMMYFUNCTION("""COMPUTED_VALUE"""),"delfi")</f>
        <v>delfi</v>
      </c>
      <c r="C3498" s="4" t="str">
        <f>IFERROR(__xludf.DUMMYFUNCTION("""COMPUTED_VALUE"""),"DeltaFi")</f>
        <v>DeltaFi</v>
      </c>
    </row>
    <row r="3499">
      <c r="A3499" s="4" t="str">
        <f>IFERROR(__xludf.DUMMYFUNCTION("""COMPUTED_VALUE"""),"delta-financial")</f>
        <v>delta-financial</v>
      </c>
      <c r="B3499" s="4" t="str">
        <f>IFERROR(__xludf.DUMMYFUNCTION("""COMPUTED_VALUE"""),"delta")</f>
        <v>delta</v>
      </c>
      <c r="C3499" s="4" t="str">
        <f>IFERROR(__xludf.DUMMYFUNCTION("""COMPUTED_VALUE"""),"Delta Financial")</f>
        <v>Delta Financial</v>
      </c>
    </row>
    <row r="3500">
      <c r="A3500" s="4" t="str">
        <f>IFERROR(__xludf.DUMMYFUNCTION("""COMPUTED_VALUE"""),"deltaflare")</f>
        <v>deltaflare</v>
      </c>
      <c r="B3500" s="4" t="str">
        <f>IFERROR(__xludf.DUMMYFUNCTION("""COMPUTED_VALUE"""),"honr")</f>
        <v>honr</v>
      </c>
      <c r="C3500" s="4" t="str">
        <f>IFERROR(__xludf.DUMMYFUNCTION("""COMPUTED_VALUE"""),"DeltaFlare")</f>
        <v>DeltaFlare</v>
      </c>
    </row>
    <row r="3501">
      <c r="A3501" s="4" t="str">
        <f>IFERROR(__xludf.DUMMYFUNCTION("""COMPUTED_VALUE"""),"deltahub-community")</f>
        <v>deltahub-community</v>
      </c>
      <c r="B3501" s="4" t="str">
        <f>IFERROR(__xludf.DUMMYFUNCTION("""COMPUTED_VALUE"""),"dhc")</f>
        <v>dhc</v>
      </c>
      <c r="C3501" s="4" t="str">
        <f>IFERROR(__xludf.DUMMYFUNCTION("""COMPUTED_VALUE"""),"DeltaHub Community")</f>
        <v>DeltaHub Community</v>
      </c>
    </row>
    <row r="3502">
      <c r="A3502" s="4" t="str">
        <f>IFERROR(__xludf.DUMMYFUNCTION("""COMPUTED_VALUE"""),"delta-theta")</f>
        <v>delta-theta</v>
      </c>
      <c r="B3502" s="4" t="str">
        <f>IFERROR(__xludf.DUMMYFUNCTION("""COMPUTED_VALUE"""),"dlta")</f>
        <v>dlta</v>
      </c>
      <c r="C3502" s="4" t="str">
        <f>IFERROR(__xludf.DUMMYFUNCTION("""COMPUTED_VALUE"""),"delta.theta")</f>
        <v>delta.theta</v>
      </c>
    </row>
    <row r="3503">
      <c r="A3503" s="4" t="str">
        <f>IFERROR(__xludf.DUMMYFUNCTION("""COMPUTED_VALUE"""),"delysium")</f>
        <v>delysium</v>
      </c>
      <c r="B3503" s="4" t="str">
        <f>IFERROR(__xludf.DUMMYFUNCTION("""COMPUTED_VALUE"""),"agi")</f>
        <v>agi</v>
      </c>
      <c r="C3503" s="4" t="str">
        <f>IFERROR(__xludf.DUMMYFUNCTION("""COMPUTED_VALUE"""),"Delysium")</f>
        <v>Delysium</v>
      </c>
    </row>
    <row r="3504">
      <c r="A3504" s="4" t="str">
        <f>IFERROR(__xludf.DUMMYFUNCTION("""COMPUTED_VALUE"""),"demeter")</f>
        <v>demeter</v>
      </c>
      <c r="B3504" s="4" t="str">
        <f>IFERROR(__xludf.DUMMYFUNCTION("""COMPUTED_VALUE"""),"deo")</f>
        <v>deo</v>
      </c>
      <c r="C3504" s="4" t="str">
        <f>IFERROR(__xludf.DUMMYFUNCTION("""COMPUTED_VALUE"""),"Demeter")</f>
        <v>Demeter</v>
      </c>
    </row>
    <row r="3505">
      <c r="A3505" s="4" t="str">
        <f>IFERROR(__xludf.DUMMYFUNCTION("""COMPUTED_VALUE"""),"demeter-usd")</f>
        <v>demeter-usd</v>
      </c>
      <c r="B3505" s="4" t="str">
        <f>IFERROR(__xludf.DUMMYFUNCTION("""COMPUTED_VALUE"""),"dusd")</f>
        <v>dusd</v>
      </c>
      <c r="C3505" s="4" t="str">
        <f>IFERROR(__xludf.DUMMYFUNCTION("""COMPUTED_VALUE"""),"Demeter USD")</f>
        <v>Demeter USD</v>
      </c>
    </row>
    <row r="3506">
      <c r="A3506" s="4" t="str">
        <f>IFERROR(__xludf.DUMMYFUNCTION("""COMPUTED_VALUE"""),"demi")</f>
        <v>demi</v>
      </c>
      <c r="B3506" s="4" t="str">
        <f>IFERROR(__xludf.DUMMYFUNCTION("""COMPUTED_VALUE"""),"demi")</f>
        <v>demi</v>
      </c>
      <c r="C3506" s="4" t="str">
        <f>IFERROR(__xludf.DUMMYFUNCTION("""COMPUTED_VALUE"""),"DeMi")</f>
        <v>DeMi</v>
      </c>
    </row>
    <row r="3507">
      <c r="A3507" s="4" t="str">
        <f>IFERROR(__xludf.DUMMYFUNCTION("""COMPUTED_VALUE"""),"demiourgos-holdings-ouroboros")</f>
        <v>demiourgos-holdings-ouroboros</v>
      </c>
      <c r="B3507" s="4" t="str">
        <f>IFERROR(__xludf.DUMMYFUNCTION("""COMPUTED_VALUE"""),"ouro")</f>
        <v>ouro</v>
      </c>
      <c r="C3507" s="4" t="str">
        <f>IFERROR(__xludf.DUMMYFUNCTION("""COMPUTED_VALUE"""),"Demiourgos Holdings OUROBOROS")</f>
        <v>Demiourgos Holdings OUROBOROS</v>
      </c>
    </row>
    <row r="3508">
      <c r="A3508" s="4" t="str">
        <f>IFERROR(__xludf.DUMMYFUNCTION("""COMPUTED_VALUE"""),"demole")</f>
        <v>demole</v>
      </c>
      <c r="B3508" s="4" t="str">
        <f>IFERROR(__xludf.DUMMYFUNCTION("""COMPUTED_VALUE"""),"dmlg")</f>
        <v>dmlg</v>
      </c>
      <c r="C3508" s="4" t="str">
        <f>IFERROR(__xludf.DUMMYFUNCTION("""COMPUTED_VALUE"""),"Demole")</f>
        <v>Demole</v>
      </c>
    </row>
    <row r="3509">
      <c r="A3509" s="4" t="str">
        <f>IFERROR(__xludf.DUMMYFUNCTION("""COMPUTED_VALUE"""),"demx")</f>
        <v>demx</v>
      </c>
      <c r="B3509" s="4" t="str">
        <f>IFERROR(__xludf.DUMMYFUNCTION("""COMPUTED_VALUE"""),"demx")</f>
        <v>demx</v>
      </c>
      <c r="C3509" s="4" t="str">
        <f>IFERROR(__xludf.DUMMYFUNCTION("""COMPUTED_VALUE"""),"DemX")</f>
        <v>DemX</v>
      </c>
    </row>
    <row r="3510">
      <c r="A3510" s="4" t="str">
        <f>IFERROR(__xludf.DUMMYFUNCTION("""COMPUTED_VALUE"""),"denarius")</f>
        <v>denarius</v>
      </c>
      <c r="B3510" s="4" t="str">
        <f>IFERROR(__xludf.DUMMYFUNCTION("""COMPUTED_VALUE"""),"d")</f>
        <v>d</v>
      </c>
      <c r="C3510" s="4" t="str">
        <f>IFERROR(__xludf.DUMMYFUNCTION("""COMPUTED_VALUE"""),"Denarius")</f>
        <v>Denarius</v>
      </c>
    </row>
    <row r="3511">
      <c r="A3511" s="4" t="str">
        <f>IFERROR(__xludf.DUMMYFUNCTION("""COMPUTED_VALUE"""),"denchcoin")</f>
        <v>denchcoin</v>
      </c>
      <c r="B3511" s="4" t="str">
        <f>IFERROR(__xludf.DUMMYFUNCTION("""COMPUTED_VALUE"""),"dench")</f>
        <v>dench</v>
      </c>
      <c r="C3511" s="4" t="str">
        <f>IFERROR(__xludf.DUMMYFUNCTION("""COMPUTED_VALUE"""),"DENCHCOIN")</f>
        <v>DENCHCOIN</v>
      </c>
    </row>
    <row r="3512">
      <c r="A3512" s="4" t="str">
        <f>IFERROR(__xludf.DUMMYFUNCTION("""COMPUTED_VALUE"""),"denet-file-token")</f>
        <v>denet-file-token</v>
      </c>
      <c r="B3512" s="4" t="str">
        <f>IFERROR(__xludf.DUMMYFUNCTION("""COMPUTED_VALUE"""),"de")</f>
        <v>de</v>
      </c>
      <c r="C3512" s="4" t="str">
        <f>IFERROR(__xludf.DUMMYFUNCTION("""COMPUTED_VALUE"""),"Denet File Token")</f>
        <v>Denet File Token</v>
      </c>
    </row>
    <row r="3513">
      <c r="A3513" s="4" t="str">
        <f>IFERROR(__xludf.DUMMYFUNCTION("""COMPUTED_VALUE"""),"denizlispor-fan-token")</f>
        <v>denizlispor-fan-token</v>
      </c>
      <c r="B3513" s="4" t="str">
        <f>IFERROR(__xludf.DUMMYFUNCTION("""COMPUTED_VALUE"""),"dnz")</f>
        <v>dnz</v>
      </c>
      <c r="C3513" s="4" t="str">
        <f>IFERROR(__xludf.DUMMYFUNCTION("""COMPUTED_VALUE"""),"Denizlispor Fan Token")</f>
        <v>Denizlispor Fan Token</v>
      </c>
    </row>
    <row r="3514">
      <c r="A3514" s="4" t="str">
        <f>IFERROR(__xludf.DUMMYFUNCTION("""COMPUTED_VALUE"""),"dent")</f>
        <v>dent</v>
      </c>
      <c r="B3514" s="4" t="str">
        <f>IFERROR(__xludf.DUMMYFUNCTION("""COMPUTED_VALUE"""),"dent")</f>
        <v>dent</v>
      </c>
      <c r="C3514" s="4" t="str">
        <f>IFERROR(__xludf.DUMMYFUNCTION("""COMPUTED_VALUE"""),"Dent")</f>
        <v>Dent</v>
      </c>
    </row>
    <row r="3515">
      <c r="A3515" s="4" t="str">
        <f>IFERROR(__xludf.DUMMYFUNCTION("""COMPUTED_VALUE"""),"dentacoin")</f>
        <v>dentacoin</v>
      </c>
      <c r="B3515" s="4" t="str">
        <f>IFERROR(__xludf.DUMMYFUNCTION("""COMPUTED_VALUE"""),"dcn")</f>
        <v>dcn</v>
      </c>
      <c r="C3515" s="4" t="str">
        <f>IFERROR(__xludf.DUMMYFUNCTION("""COMPUTED_VALUE"""),"Dentacoin")</f>
        <v>Dentacoin</v>
      </c>
    </row>
    <row r="3516">
      <c r="A3516" s="4" t="str">
        <f>IFERROR(__xludf.DUMMYFUNCTION("""COMPUTED_VALUE"""),"depay")</f>
        <v>depay</v>
      </c>
      <c r="B3516" s="4" t="str">
        <f>IFERROR(__xludf.DUMMYFUNCTION("""COMPUTED_VALUE"""),"depay")</f>
        <v>depay</v>
      </c>
      <c r="C3516" s="4" t="str">
        <f>IFERROR(__xludf.DUMMYFUNCTION("""COMPUTED_VALUE"""),"DePay")</f>
        <v>DePay</v>
      </c>
    </row>
    <row r="3517">
      <c r="A3517" s="4" t="str">
        <f>IFERROR(__xludf.DUMMYFUNCTION("""COMPUTED_VALUE"""),"depin-dao")</f>
        <v>depin-dao</v>
      </c>
      <c r="B3517" s="4" t="str">
        <f>IFERROR(__xludf.DUMMYFUNCTION("""COMPUTED_VALUE"""),"depindao")</f>
        <v>depindao</v>
      </c>
      <c r="C3517" s="4" t="str">
        <f>IFERROR(__xludf.DUMMYFUNCTION("""COMPUTED_VALUE"""),"DePIN DAO")</f>
        <v>DePIN DAO</v>
      </c>
    </row>
    <row r="3518">
      <c r="A3518" s="4" t="str">
        <f>IFERROR(__xludf.DUMMYFUNCTION("""COMPUTED_VALUE"""),"deplan")</f>
        <v>deplan</v>
      </c>
      <c r="B3518" s="4" t="str">
        <f>IFERROR(__xludf.DUMMYFUNCTION("""COMPUTED_VALUE"""),"dpln")</f>
        <v>dpln</v>
      </c>
      <c r="C3518" s="4" t="str">
        <f>IFERROR(__xludf.DUMMYFUNCTION("""COMPUTED_VALUE"""),"DePlan")</f>
        <v>DePlan</v>
      </c>
    </row>
    <row r="3519">
      <c r="A3519" s="4" t="str">
        <f>IFERROR(__xludf.DUMMYFUNCTION("""COMPUTED_VALUE"""),"deportivo-alaves-fan-token")</f>
        <v>deportivo-alaves-fan-token</v>
      </c>
      <c r="B3519" s="4" t="str">
        <f>IFERROR(__xludf.DUMMYFUNCTION("""COMPUTED_VALUE"""),"daft")</f>
        <v>daft</v>
      </c>
      <c r="C3519" s="4" t="str">
        <f>IFERROR(__xludf.DUMMYFUNCTION("""COMPUTED_VALUE"""),"Deportivo Alavés Fan Token")</f>
        <v>Deportivo Alavés Fan Token</v>
      </c>
    </row>
    <row r="3520">
      <c r="A3520" s="4" t="str">
        <f>IFERROR(__xludf.DUMMYFUNCTION("""COMPUTED_VALUE"""),"dequant")</f>
        <v>dequant</v>
      </c>
      <c r="B3520" s="4" t="str">
        <f>IFERROR(__xludf.DUMMYFUNCTION("""COMPUTED_VALUE"""),"deq")</f>
        <v>deq</v>
      </c>
      <c r="C3520" s="4" t="str">
        <f>IFERROR(__xludf.DUMMYFUNCTION("""COMPUTED_VALUE"""),"Dequant")</f>
        <v>Dequant</v>
      </c>
    </row>
    <row r="3521">
      <c r="A3521" s="4" t="str">
        <f>IFERROR(__xludf.DUMMYFUNCTION("""COMPUTED_VALUE"""),"derace")</f>
        <v>derace</v>
      </c>
      <c r="B3521" s="4" t="str">
        <f>IFERROR(__xludf.DUMMYFUNCTION("""COMPUTED_VALUE"""),"derc")</f>
        <v>derc</v>
      </c>
      <c r="C3521" s="4" t="str">
        <f>IFERROR(__xludf.DUMMYFUNCTION("""COMPUTED_VALUE"""),"DeRace")</f>
        <v>DeRace</v>
      </c>
    </row>
    <row r="3522">
      <c r="A3522" s="4" t="str">
        <f>IFERROR(__xludf.DUMMYFUNCTION("""COMPUTED_VALUE"""),"deracoin")</f>
        <v>deracoin</v>
      </c>
      <c r="B3522" s="4" t="str">
        <f>IFERROR(__xludf.DUMMYFUNCTION("""COMPUTED_VALUE"""),"drc")</f>
        <v>drc</v>
      </c>
      <c r="C3522" s="4" t="str">
        <f>IFERROR(__xludf.DUMMYFUNCTION("""COMPUTED_VALUE"""),"Deracoin")</f>
        <v>Deracoin</v>
      </c>
    </row>
    <row r="3523">
      <c r="A3523" s="4" t="str">
        <f>IFERROR(__xludf.DUMMYFUNCTION("""COMPUTED_VALUE"""),"derby-stars-run")</f>
        <v>derby-stars-run</v>
      </c>
      <c r="B3523" s="4" t="str">
        <f>IFERROR(__xludf.DUMMYFUNCTION("""COMPUTED_VALUE"""),"dsrun")</f>
        <v>dsrun</v>
      </c>
      <c r="C3523" s="4" t="str">
        <f>IFERROR(__xludf.DUMMYFUNCTION("""COMPUTED_VALUE"""),"Derby Stars RUN")</f>
        <v>Derby Stars RUN</v>
      </c>
    </row>
    <row r="3524">
      <c r="A3524" s="4" t="str">
        <f>IFERROR(__xludf.DUMMYFUNCTION("""COMPUTED_VALUE"""),"derify-protocol")</f>
        <v>derify-protocol</v>
      </c>
      <c r="B3524" s="4" t="str">
        <f>IFERROR(__xludf.DUMMYFUNCTION("""COMPUTED_VALUE"""),"drf")</f>
        <v>drf</v>
      </c>
      <c r="C3524" s="4" t="str">
        <f>IFERROR(__xludf.DUMMYFUNCTION("""COMPUTED_VALUE"""),"Derify Protocol")</f>
        <v>Derify Protocol</v>
      </c>
    </row>
    <row r="3525">
      <c r="A3525" s="4" t="str">
        <f>IFERROR(__xludf.DUMMYFUNCTION("""COMPUTED_VALUE"""),"deri-protocol")</f>
        <v>deri-protocol</v>
      </c>
      <c r="B3525" s="4" t="str">
        <f>IFERROR(__xludf.DUMMYFUNCTION("""COMPUTED_VALUE"""),"deri")</f>
        <v>deri</v>
      </c>
      <c r="C3525" s="4" t="str">
        <f>IFERROR(__xludf.DUMMYFUNCTION("""COMPUTED_VALUE"""),"Deri Protocol")</f>
        <v>Deri Protocol</v>
      </c>
    </row>
    <row r="3526">
      <c r="A3526" s="4" t="str">
        <f>IFERROR(__xludf.DUMMYFUNCTION("""COMPUTED_VALUE"""),"derivadao")</f>
        <v>derivadao</v>
      </c>
      <c r="B3526" s="4" t="str">
        <f>IFERROR(__xludf.DUMMYFUNCTION("""COMPUTED_VALUE"""),"ddx")</f>
        <v>ddx</v>
      </c>
      <c r="C3526" s="4" t="str">
        <f>IFERROR(__xludf.DUMMYFUNCTION("""COMPUTED_VALUE"""),"DerivaDAO")</f>
        <v>DerivaDAO</v>
      </c>
    </row>
    <row r="3527">
      <c r="A3527" s="4" t="str">
        <f>IFERROR(__xludf.DUMMYFUNCTION("""COMPUTED_VALUE"""),"dero")</f>
        <v>dero</v>
      </c>
      <c r="B3527" s="4" t="str">
        <f>IFERROR(__xludf.DUMMYFUNCTION("""COMPUTED_VALUE"""),"dero")</f>
        <v>dero</v>
      </c>
      <c r="C3527" s="4" t="str">
        <f>IFERROR(__xludf.DUMMYFUNCTION("""COMPUTED_VALUE"""),"Dero")</f>
        <v>Dero</v>
      </c>
    </row>
    <row r="3528">
      <c r="A3528" s="4" t="str">
        <f>IFERROR(__xludf.DUMMYFUNCTION("""COMPUTED_VALUE"""),"derp")</f>
        <v>derp</v>
      </c>
      <c r="B3528" s="4" t="str">
        <f>IFERROR(__xludf.DUMMYFUNCTION("""COMPUTED_VALUE"""),"derp")</f>
        <v>derp</v>
      </c>
      <c r="C3528" s="4" t="str">
        <f>IFERROR(__xludf.DUMMYFUNCTION("""COMPUTED_VALUE"""),"Derp")</f>
        <v>Derp</v>
      </c>
    </row>
    <row r="3529">
      <c r="A3529" s="4" t="str">
        <f>IFERROR(__xludf.DUMMYFUNCTION("""COMPUTED_VALUE"""),"derp-birds")</f>
        <v>derp-birds</v>
      </c>
      <c r="B3529" s="4" t="str">
        <f>IFERROR(__xludf.DUMMYFUNCTION("""COMPUTED_VALUE"""),"derp")</f>
        <v>derp</v>
      </c>
      <c r="C3529" s="4" t="str">
        <f>IFERROR(__xludf.DUMMYFUNCTION("""COMPUTED_VALUE"""),"Derp Birds")</f>
        <v>Derp Birds</v>
      </c>
    </row>
    <row r="3530">
      <c r="A3530" s="4" t="str">
        <f>IFERROR(__xludf.DUMMYFUNCTION("""COMPUTED_VALUE"""),"derpcat")</f>
        <v>derpcat</v>
      </c>
      <c r="B3530" s="4" t="str">
        <f>IFERROR(__xludf.DUMMYFUNCTION("""COMPUTED_VALUE"""),"derpcat")</f>
        <v>derpcat</v>
      </c>
      <c r="C3530" s="4" t="str">
        <f>IFERROR(__xludf.DUMMYFUNCTION("""COMPUTED_VALUE"""),"DERPCAT")</f>
        <v>DERPCAT</v>
      </c>
    </row>
    <row r="3531">
      <c r="A3531" s="4" t="str">
        <f>IFERROR(__xludf.DUMMYFUNCTION("""COMPUTED_VALUE"""),"derp-coin")</f>
        <v>derp-coin</v>
      </c>
      <c r="B3531" s="4" t="str">
        <f>IFERROR(__xludf.DUMMYFUNCTION("""COMPUTED_VALUE"""),"derp")</f>
        <v>derp</v>
      </c>
      <c r="C3531" s="4" t="str">
        <f>IFERROR(__xludf.DUMMYFUNCTION("""COMPUTED_VALUE"""),"Derp Coin")</f>
        <v>Derp Coin</v>
      </c>
    </row>
    <row r="3532">
      <c r="A3532" s="4" t="str">
        <f>IFERROR(__xludf.DUMMYFUNCTION("""COMPUTED_VALUE"""),"desme")</f>
        <v>desme</v>
      </c>
      <c r="B3532" s="4" t="str">
        <f>IFERROR(__xludf.DUMMYFUNCTION("""COMPUTED_VALUE"""),"desme")</f>
        <v>desme</v>
      </c>
      <c r="C3532" s="4" t="str">
        <f>IFERROR(__xludf.DUMMYFUNCTION("""COMPUTED_VALUE"""),"DeSME")</f>
        <v>DeSME</v>
      </c>
    </row>
    <row r="3533">
      <c r="A3533" s="4" t="str">
        <f>IFERROR(__xludf.DUMMYFUNCTION("""COMPUTED_VALUE"""),"desmos")</f>
        <v>desmos</v>
      </c>
      <c r="B3533" s="4" t="str">
        <f>IFERROR(__xludf.DUMMYFUNCTION("""COMPUTED_VALUE"""),"dsm")</f>
        <v>dsm</v>
      </c>
      <c r="C3533" s="4" t="str">
        <f>IFERROR(__xludf.DUMMYFUNCTION("""COMPUTED_VALUE"""),"Desmos")</f>
        <v>Desmos</v>
      </c>
    </row>
    <row r="3534">
      <c r="A3534" s="4" t="str">
        <f>IFERROR(__xludf.DUMMYFUNCTION("""COMPUTED_VALUE"""),"deso")</f>
        <v>deso</v>
      </c>
      <c r="B3534" s="4" t="str">
        <f>IFERROR(__xludf.DUMMYFUNCTION("""COMPUTED_VALUE"""),"deso")</f>
        <v>deso</v>
      </c>
      <c r="C3534" s="4" t="str">
        <f>IFERROR(__xludf.DUMMYFUNCTION("""COMPUTED_VALUE"""),"Decentralized Social")</f>
        <v>Decentralized Social</v>
      </c>
    </row>
    <row r="3535">
      <c r="A3535" s="4" t="str">
        <f>IFERROR(__xludf.DUMMYFUNCTION("""COMPUTED_VALUE"""),"despace-protocol")</f>
        <v>despace-protocol</v>
      </c>
      <c r="B3535" s="4" t="str">
        <f>IFERROR(__xludf.DUMMYFUNCTION("""COMPUTED_VALUE"""),"des")</f>
        <v>des</v>
      </c>
      <c r="C3535" s="4" t="str">
        <f>IFERROR(__xludf.DUMMYFUNCTION("""COMPUTED_VALUE"""),"DeSpace Protocol")</f>
        <v>DeSpace Protocol</v>
      </c>
    </row>
    <row r="3536">
      <c r="A3536" s="4" t="str">
        <f>IFERROR(__xludf.DUMMYFUNCTION("""COMPUTED_VALUE"""),"destiny-world")</f>
        <v>destiny-world</v>
      </c>
      <c r="B3536" s="4" t="str">
        <f>IFERROR(__xludf.DUMMYFUNCTION("""COMPUTED_VALUE"""),"deco")</f>
        <v>deco</v>
      </c>
      <c r="C3536" s="4" t="str">
        <f>IFERROR(__xludf.DUMMYFUNCTION("""COMPUTED_VALUE"""),"Destiny World")</f>
        <v>Destiny World</v>
      </c>
    </row>
    <row r="3537">
      <c r="A3537" s="4" t="str">
        <f>IFERROR(__xludf.DUMMYFUNCTION("""COMPUTED_VALUE"""),"destorage")</f>
        <v>destorage</v>
      </c>
      <c r="B3537" s="4" t="str">
        <f>IFERROR(__xludf.DUMMYFUNCTION("""COMPUTED_VALUE"""),"ds")</f>
        <v>ds</v>
      </c>
      <c r="C3537" s="4" t="str">
        <f>IFERROR(__xludf.DUMMYFUNCTION("""COMPUTED_VALUE"""),"DeStorage")</f>
        <v>DeStorage</v>
      </c>
    </row>
    <row r="3538">
      <c r="A3538" s="4" t="str">
        <f>IFERROR(__xludf.DUMMYFUNCTION("""COMPUTED_VALUE"""),"destra-network")</f>
        <v>destra-network</v>
      </c>
      <c r="B3538" s="4" t="str">
        <f>IFERROR(__xludf.DUMMYFUNCTION("""COMPUTED_VALUE"""),"dsync")</f>
        <v>dsync</v>
      </c>
      <c r="C3538" s="4" t="str">
        <f>IFERROR(__xludf.DUMMYFUNCTION("""COMPUTED_VALUE"""),"Destra Network")</f>
        <v>Destra Network</v>
      </c>
    </row>
    <row r="3539">
      <c r="A3539" s="4" t="str">
        <f>IFERROR(__xludf.DUMMYFUNCTION("""COMPUTED_VALUE"""),"detensor")</f>
        <v>detensor</v>
      </c>
      <c r="B3539" s="4" t="str">
        <f>IFERROR(__xludf.DUMMYFUNCTION("""COMPUTED_VALUE"""),"detensor")</f>
        <v>detensor</v>
      </c>
      <c r="C3539" s="4" t="str">
        <f>IFERROR(__xludf.DUMMYFUNCTION("""COMPUTED_VALUE"""),"DeTensor")</f>
        <v>DeTensor</v>
      </c>
    </row>
    <row r="3540">
      <c r="A3540" s="4" t="str">
        <f>IFERROR(__xludf.DUMMYFUNCTION("""COMPUTED_VALUE"""),"detto-finance")</f>
        <v>detto-finance</v>
      </c>
      <c r="B3540" s="4" t="str">
        <f>IFERROR(__xludf.DUMMYFUNCTION("""COMPUTED_VALUE"""),"deto")</f>
        <v>deto</v>
      </c>
      <c r="C3540" s="4" t="str">
        <f>IFERROR(__xludf.DUMMYFUNCTION("""COMPUTED_VALUE"""),"Detto Finance")</f>
        <v>Detto Finance</v>
      </c>
    </row>
    <row r="3541">
      <c r="A3541" s="4" t="str">
        <f>IFERROR(__xludf.DUMMYFUNCTION("""COMPUTED_VALUE"""),"deus-finance-2")</f>
        <v>deus-finance-2</v>
      </c>
      <c r="B3541" s="4" t="str">
        <f>IFERROR(__xludf.DUMMYFUNCTION("""COMPUTED_VALUE"""),"deus")</f>
        <v>deus</v>
      </c>
      <c r="C3541" s="4" t="str">
        <f>IFERROR(__xludf.DUMMYFUNCTION("""COMPUTED_VALUE"""),"DEUS Finance")</f>
        <v>DEUS Finance</v>
      </c>
    </row>
    <row r="3542">
      <c r="A3542" s="4" t="str">
        <f>IFERROR(__xludf.DUMMYFUNCTION("""COMPUTED_VALUE"""),"deutsche-emark")</f>
        <v>deutsche-emark</v>
      </c>
      <c r="B3542" s="4" t="str">
        <f>IFERROR(__xludf.DUMMYFUNCTION("""COMPUTED_VALUE"""),"dem")</f>
        <v>dem</v>
      </c>
      <c r="C3542" s="4" t="str">
        <f>IFERROR(__xludf.DUMMYFUNCTION("""COMPUTED_VALUE"""),"Deutsche eMark")</f>
        <v>Deutsche eMark</v>
      </c>
    </row>
    <row r="3543">
      <c r="A3543" s="4" t="str">
        <f>IFERROR(__xludf.DUMMYFUNCTION("""COMPUTED_VALUE"""),"devault")</f>
        <v>devault</v>
      </c>
      <c r="B3543" s="4" t="str">
        <f>IFERROR(__xludf.DUMMYFUNCTION("""COMPUTED_VALUE"""),"dvt")</f>
        <v>dvt</v>
      </c>
      <c r="C3543" s="4" t="str">
        <f>IFERROR(__xludf.DUMMYFUNCTION("""COMPUTED_VALUE"""),"DeVault")</f>
        <v>DeVault</v>
      </c>
    </row>
    <row r="3544">
      <c r="A3544" s="4" t="str">
        <f>IFERROR(__xludf.DUMMYFUNCTION("""COMPUTED_VALUE"""),"develocity")</f>
        <v>develocity</v>
      </c>
      <c r="B3544" s="4" t="str">
        <f>IFERROR(__xludf.DUMMYFUNCTION("""COMPUTED_VALUE"""),"deve")</f>
        <v>deve</v>
      </c>
      <c r="C3544" s="4" t="str">
        <f>IFERROR(__xludf.DUMMYFUNCTION("""COMPUTED_VALUE"""),"Develocity")</f>
        <v>Develocity</v>
      </c>
    </row>
    <row r="3545">
      <c r="A3545" s="4" t="str">
        <f>IFERROR(__xludf.DUMMYFUNCTION("""COMPUTED_VALUE"""),"deviantsfactions")</f>
        <v>deviantsfactions</v>
      </c>
      <c r="B3545" s="4" t="str">
        <f>IFERROR(__xludf.DUMMYFUNCTION("""COMPUTED_VALUE"""),"dev")</f>
        <v>dev</v>
      </c>
      <c r="C3545" s="4" t="str">
        <f>IFERROR(__xludf.DUMMYFUNCTION("""COMPUTED_VALUE"""),"DeviantsFactions")</f>
        <v>DeviantsFactions</v>
      </c>
    </row>
    <row r="3546">
      <c r="A3546" s="4" t="str">
        <f>IFERROR(__xludf.DUMMYFUNCTION("""COMPUTED_VALUE"""),"devikins")</f>
        <v>devikins</v>
      </c>
      <c r="B3546" s="4" t="str">
        <f>IFERROR(__xludf.DUMMYFUNCTION("""COMPUTED_VALUE"""),"dvk")</f>
        <v>dvk</v>
      </c>
      <c r="C3546" s="4" t="str">
        <f>IFERROR(__xludf.DUMMYFUNCTION("""COMPUTED_VALUE"""),"Devikins")</f>
        <v>Devikins</v>
      </c>
    </row>
    <row r="3547">
      <c r="A3547" s="4" t="str">
        <f>IFERROR(__xludf.DUMMYFUNCTION("""COMPUTED_VALUE"""),"devil-finance")</f>
        <v>devil-finance</v>
      </c>
      <c r="B3547" s="4" t="str">
        <f>IFERROR(__xludf.DUMMYFUNCTION("""COMPUTED_VALUE"""),"devil")</f>
        <v>devil</v>
      </c>
      <c r="C3547" s="4" t="str">
        <f>IFERROR(__xludf.DUMMYFUNCTION("""COMPUTED_VALUE"""),"Devil Finance")</f>
        <v>Devil Finance</v>
      </c>
    </row>
    <row r="3548">
      <c r="A3548" s="4" t="str">
        <f>IFERROR(__xludf.DUMMYFUNCTION("""COMPUTED_VALUE"""),"devomon")</f>
        <v>devomon</v>
      </c>
      <c r="B3548" s="4" t="str">
        <f>IFERROR(__xludf.DUMMYFUNCTION("""COMPUTED_VALUE"""),"evo")</f>
        <v>evo</v>
      </c>
      <c r="C3548" s="4" t="str">
        <f>IFERROR(__xludf.DUMMYFUNCTION("""COMPUTED_VALUE"""),"Devomon")</f>
        <v>Devomon</v>
      </c>
    </row>
    <row r="3549">
      <c r="A3549" s="4" t="str">
        <f>IFERROR(__xludf.DUMMYFUNCTION("""COMPUTED_VALUE"""),"devops")</f>
        <v>devops</v>
      </c>
      <c r="B3549" s="4" t="str">
        <f>IFERROR(__xludf.DUMMYFUNCTION("""COMPUTED_VALUE"""),"dev")</f>
        <v>dev</v>
      </c>
      <c r="C3549" s="4" t="str">
        <f>IFERROR(__xludf.DUMMYFUNCTION("""COMPUTED_VALUE"""),"DevOps")</f>
        <v>DevOps</v>
      </c>
    </row>
    <row r="3550">
      <c r="A3550" s="4" t="str">
        <f>IFERROR(__xludf.DUMMYFUNCTION("""COMPUTED_VALUE"""),"devour-2")</f>
        <v>devour-2</v>
      </c>
      <c r="B3550" s="4" t="str">
        <f>IFERROR(__xludf.DUMMYFUNCTION("""COMPUTED_VALUE"""),"dpay")</f>
        <v>dpay</v>
      </c>
      <c r="C3550" s="4" t="str">
        <f>IFERROR(__xludf.DUMMYFUNCTION("""COMPUTED_VALUE"""),"Devour")</f>
        <v>Devour</v>
      </c>
    </row>
    <row r="3551">
      <c r="A3551" s="4" t="str">
        <f>IFERROR(__xludf.DUMMYFUNCTION("""COMPUTED_VALUE"""),"dev-protocol")</f>
        <v>dev-protocol</v>
      </c>
      <c r="B3551" s="4" t="str">
        <f>IFERROR(__xludf.DUMMYFUNCTION("""COMPUTED_VALUE"""),"dev")</f>
        <v>dev</v>
      </c>
      <c r="C3551" s="4" t="str">
        <f>IFERROR(__xludf.DUMMYFUNCTION("""COMPUTED_VALUE"""),"Dev Protocol")</f>
        <v>Dev Protocol</v>
      </c>
    </row>
    <row r="3552">
      <c r="A3552" s="4" t="str">
        <f>IFERROR(__xludf.DUMMYFUNCTION("""COMPUTED_VALUE"""),"dev-smashed-his-keyboard")</f>
        <v>dev-smashed-his-keyboard</v>
      </c>
      <c r="B3552" s="4" t="str">
        <f>IFERROR(__xludf.DUMMYFUNCTION("""COMPUTED_VALUE"""),"hixokdkekjcjdksicndnaiaihsbznnxnxnduje")</f>
        <v>hixokdkekjcjdksicndnaiaihsbznnxnxnduje</v>
      </c>
      <c r="C3552" s="4" t="str">
        <f>IFERROR(__xludf.DUMMYFUNCTION("""COMPUTED_VALUE"""),"DEV SMASHED HIS KEYBOARD")</f>
        <v>DEV SMASHED HIS KEYBOARD</v>
      </c>
    </row>
    <row r="3553">
      <c r="A3553" s="4" t="str">
        <f>IFERROR(__xludf.DUMMYFUNCTION("""COMPUTED_VALUE"""),"devve")</f>
        <v>devve</v>
      </c>
      <c r="B3553" s="4" t="str">
        <f>IFERROR(__xludf.DUMMYFUNCTION("""COMPUTED_VALUE"""),"devve")</f>
        <v>devve</v>
      </c>
      <c r="C3553" s="4" t="str">
        <f>IFERROR(__xludf.DUMMYFUNCTION("""COMPUTED_VALUE"""),"DevvE")</f>
        <v>DevvE</v>
      </c>
    </row>
    <row r="3554">
      <c r="A3554" s="4" t="str">
        <f>IFERROR(__xludf.DUMMYFUNCTION("""COMPUTED_VALUE"""),"devvio")</f>
        <v>devvio</v>
      </c>
      <c r="B3554" s="4" t="str">
        <f>IFERROR(__xludf.DUMMYFUNCTION("""COMPUTED_VALUE"""),"devve")</f>
        <v>devve</v>
      </c>
      <c r="C3554" s="4" t="str">
        <f>IFERROR(__xludf.DUMMYFUNCTION("""COMPUTED_VALUE"""),"Devvio")</f>
        <v>Devvio</v>
      </c>
    </row>
    <row r="3555">
      <c r="A3555" s="4" t="str">
        <f>IFERROR(__xludf.DUMMYFUNCTION("""COMPUTED_VALUE"""),"dewae")</f>
        <v>dewae</v>
      </c>
      <c r="B3555" s="4" t="str">
        <f>IFERROR(__xludf.DUMMYFUNCTION("""COMPUTED_VALUE"""),"dewae")</f>
        <v>dewae</v>
      </c>
      <c r="C3555" s="4" t="str">
        <f>IFERROR(__xludf.DUMMYFUNCTION("""COMPUTED_VALUE"""),"Dewae")</f>
        <v>Dewae</v>
      </c>
    </row>
    <row r="3556">
      <c r="A3556" s="4" t="str">
        <f>IFERROR(__xludf.DUMMYFUNCTION("""COMPUTED_VALUE"""),"dewn")</f>
        <v>dewn</v>
      </c>
      <c r="B3556" s="4" t="str">
        <f>IFERROR(__xludf.DUMMYFUNCTION("""COMPUTED_VALUE"""),"dewn")</f>
        <v>dewn</v>
      </c>
      <c r="C3556" s="4" t="str">
        <f>IFERROR(__xludf.DUMMYFUNCTION("""COMPUTED_VALUE"""),"Dewn")</f>
        <v>Dewn</v>
      </c>
    </row>
    <row r="3557">
      <c r="A3557" s="4" t="str">
        <f>IFERROR(__xludf.DUMMYFUNCTION("""COMPUTED_VALUE"""),"dexa-coin")</f>
        <v>dexa-coin</v>
      </c>
      <c r="B3557" s="4" t="str">
        <f>IFERROR(__xludf.DUMMYFUNCTION("""COMPUTED_VALUE"""),"dexa")</f>
        <v>dexa</v>
      </c>
      <c r="C3557" s="4" t="str">
        <f>IFERROR(__xludf.DUMMYFUNCTION("""COMPUTED_VALUE"""),"DEXA COIN")</f>
        <v>DEXA COIN</v>
      </c>
    </row>
    <row r="3558">
      <c r="A3558" s="4" t="str">
        <f>IFERROR(__xludf.DUMMYFUNCTION("""COMPUTED_VALUE"""),"dexagon")</f>
        <v>dexagon</v>
      </c>
      <c r="B3558" s="4" t="str">
        <f>IFERROR(__xludf.DUMMYFUNCTION("""COMPUTED_VALUE"""),"dxc")</f>
        <v>dxc</v>
      </c>
      <c r="C3558" s="4" t="str">
        <f>IFERROR(__xludf.DUMMYFUNCTION("""COMPUTED_VALUE"""),"DeXagon")</f>
        <v>DeXagon</v>
      </c>
    </row>
    <row r="3559">
      <c r="A3559" s="4" t="str">
        <f>IFERROR(__xludf.DUMMYFUNCTION("""COMPUTED_VALUE"""),"dexalot")</f>
        <v>dexalot</v>
      </c>
      <c r="B3559" s="4" t="str">
        <f>IFERROR(__xludf.DUMMYFUNCTION("""COMPUTED_VALUE"""),"alot")</f>
        <v>alot</v>
      </c>
      <c r="C3559" s="4" t="str">
        <f>IFERROR(__xludf.DUMMYFUNCTION("""COMPUTED_VALUE"""),"Dexalot")</f>
        <v>Dexalot</v>
      </c>
    </row>
    <row r="3560">
      <c r="A3560" s="4" t="str">
        <f>IFERROR(__xludf.DUMMYFUNCTION("""COMPUTED_VALUE"""),"dexbet")</f>
        <v>dexbet</v>
      </c>
      <c r="B3560" s="4" t="str">
        <f>IFERROR(__xludf.DUMMYFUNCTION("""COMPUTED_VALUE"""),"dxb")</f>
        <v>dxb</v>
      </c>
      <c r="C3560" s="4" t="str">
        <f>IFERROR(__xludf.DUMMYFUNCTION("""COMPUTED_VALUE"""),"Dexbet")</f>
        <v>Dexbet</v>
      </c>
    </row>
    <row r="3561">
      <c r="A3561" s="4" t="str">
        <f>IFERROR(__xludf.DUMMYFUNCTION("""COMPUTED_VALUE"""),"dexbrowser")</f>
        <v>dexbrowser</v>
      </c>
      <c r="B3561" s="4" t="str">
        <f>IFERROR(__xludf.DUMMYFUNCTION("""COMPUTED_VALUE"""),"bro")</f>
        <v>bro</v>
      </c>
      <c r="C3561" s="4" t="str">
        <f>IFERROR(__xludf.DUMMYFUNCTION("""COMPUTED_VALUE"""),"DexBrowser")</f>
        <v>DexBrowser</v>
      </c>
    </row>
    <row r="3562">
      <c r="A3562" s="4" t="str">
        <f>IFERROR(__xludf.DUMMYFUNCTION("""COMPUTED_VALUE"""),"dexcheck")</f>
        <v>dexcheck</v>
      </c>
      <c r="B3562" s="4" t="str">
        <f>IFERROR(__xludf.DUMMYFUNCTION("""COMPUTED_VALUE"""),"dck")</f>
        <v>dck</v>
      </c>
      <c r="C3562" s="4" t="str">
        <f>IFERROR(__xludf.DUMMYFUNCTION("""COMPUTED_VALUE"""),"DexCheck AI")</f>
        <v>DexCheck AI</v>
      </c>
    </row>
    <row r="3563">
      <c r="A3563" s="4" t="str">
        <f>IFERROR(__xludf.DUMMYFUNCTION("""COMPUTED_VALUE"""),"dexe")</f>
        <v>dexe</v>
      </c>
      <c r="B3563" s="4" t="str">
        <f>IFERROR(__xludf.DUMMYFUNCTION("""COMPUTED_VALUE"""),"dexe")</f>
        <v>dexe</v>
      </c>
      <c r="C3563" s="4" t="str">
        <f>IFERROR(__xludf.DUMMYFUNCTION("""COMPUTED_VALUE"""),"DeXe")</f>
        <v>DeXe</v>
      </c>
    </row>
    <row r="3564">
      <c r="A3564" s="4" t="str">
        <f>IFERROR(__xludf.DUMMYFUNCTION("""COMPUTED_VALUE"""),"dexed")</f>
        <v>dexed</v>
      </c>
      <c r="B3564" s="4" t="str">
        <f>IFERROR(__xludf.DUMMYFUNCTION("""COMPUTED_VALUE"""),"dexed")</f>
        <v>dexed</v>
      </c>
      <c r="C3564" s="4" t="str">
        <f>IFERROR(__xludf.DUMMYFUNCTION("""COMPUTED_VALUE"""),"DEXED")</f>
        <v>DEXED</v>
      </c>
    </row>
    <row r="3565">
      <c r="A3565" s="4" t="str">
        <f>IFERROR(__xludf.DUMMYFUNCTION("""COMPUTED_VALUE"""),"dexfi-governance")</f>
        <v>dexfi-governance</v>
      </c>
      <c r="B3565" s="4" t="str">
        <f>IFERROR(__xludf.DUMMYFUNCTION("""COMPUTED_VALUE"""),"gdex")</f>
        <v>gdex</v>
      </c>
      <c r="C3565" s="4" t="str">
        <f>IFERROR(__xludf.DUMMYFUNCTION("""COMPUTED_VALUE"""),"DexFi Governance")</f>
        <v>DexFi Governance</v>
      </c>
    </row>
    <row r="3566">
      <c r="A3566" s="4" t="str">
        <f>IFERROR(__xludf.DUMMYFUNCTION("""COMPUTED_VALUE"""),"dex-game")</f>
        <v>dex-game</v>
      </c>
      <c r="B3566" s="4" t="str">
        <f>IFERROR(__xludf.DUMMYFUNCTION("""COMPUTED_VALUE"""),"dxgm")</f>
        <v>dxgm</v>
      </c>
      <c r="C3566" s="4" t="str">
        <f>IFERROR(__xludf.DUMMYFUNCTION("""COMPUTED_VALUE"""),"DexGame")</f>
        <v>DexGame</v>
      </c>
    </row>
    <row r="3567">
      <c r="A3567" s="4" t="str">
        <f>IFERROR(__xludf.DUMMYFUNCTION("""COMPUTED_VALUE"""),"dexhunter")</f>
        <v>dexhunter</v>
      </c>
      <c r="B3567" s="4" t="str">
        <f>IFERROR(__xludf.DUMMYFUNCTION("""COMPUTED_VALUE"""),"hunt")</f>
        <v>hunt</v>
      </c>
      <c r="C3567" s="4" t="str">
        <f>IFERROR(__xludf.DUMMYFUNCTION("""COMPUTED_VALUE"""),"Dexhunter")</f>
        <v>Dexhunter</v>
      </c>
    </row>
    <row r="3568">
      <c r="A3568" s="4" t="str">
        <f>IFERROR(__xludf.DUMMYFUNCTION("""COMPUTED_VALUE"""),"dexioprotocol-v2")</f>
        <v>dexioprotocol-v2</v>
      </c>
      <c r="B3568" s="4" t="str">
        <f>IFERROR(__xludf.DUMMYFUNCTION("""COMPUTED_VALUE"""),"dexio")</f>
        <v>dexio</v>
      </c>
      <c r="C3568" s="4" t="str">
        <f>IFERROR(__xludf.DUMMYFUNCTION("""COMPUTED_VALUE"""),"Dexioprotocol")</f>
        <v>Dexioprotocol</v>
      </c>
    </row>
    <row r="3569">
      <c r="A3569" s="4" t="str">
        <f>IFERROR(__xludf.DUMMYFUNCTION("""COMPUTED_VALUE"""),"dexit-finance")</f>
        <v>dexit-finance</v>
      </c>
      <c r="B3569" s="4" t="str">
        <f>IFERROR(__xludf.DUMMYFUNCTION("""COMPUTED_VALUE"""),"dxt")</f>
        <v>dxt</v>
      </c>
      <c r="C3569" s="4" t="str">
        <f>IFERROR(__xludf.DUMMYFUNCTION("""COMPUTED_VALUE"""),"Dexit Network")</f>
        <v>Dexit Network</v>
      </c>
    </row>
    <row r="3570">
      <c r="A3570" s="4" t="str">
        <f>IFERROR(__xludf.DUMMYFUNCTION("""COMPUTED_VALUE"""),"dexkit")</f>
        <v>dexkit</v>
      </c>
      <c r="B3570" s="4" t="str">
        <f>IFERROR(__xludf.DUMMYFUNCTION("""COMPUTED_VALUE"""),"kit")</f>
        <v>kit</v>
      </c>
      <c r="C3570" s="4" t="str">
        <f>IFERROR(__xludf.DUMMYFUNCTION("""COMPUTED_VALUE"""),"DexKit")</f>
        <v>DexKit</v>
      </c>
    </row>
    <row r="3571">
      <c r="A3571" s="4" t="str">
        <f>IFERROR(__xludf.DUMMYFUNCTION("""COMPUTED_VALUE"""),"dexlab")</f>
        <v>dexlab</v>
      </c>
      <c r="B3571" s="4" t="str">
        <f>IFERROR(__xludf.DUMMYFUNCTION("""COMPUTED_VALUE"""),"dxl")</f>
        <v>dxl</v>
      </c>
      <c r="C3571" s="4" t="str">
        <f>IFERROR(__xludf.DUMMYFUNCTION("""COMPUTED_VALUE"""),"Dexlab")</f>
        <v>Dexlab</v>
      </c>
    </row>
    <row r="3572">
      <c r="A3572" s="4" t="str">
        <f>IFERROR(__xludf.DUMMYFUNCTION("""COMPUTED_VALUE"""),"dex-message")</f>
        <v>dex-message</v>
      </c>
      <c r="B3572" s="4" t="str">
        <f>IFERROR(__xludf.DUMMYFUNCTION("""COMPUTED_VALUE"""),"dex")</f>
        <v>dex</v>
      </c>
      <c r="C3572" s="4" t="str">
        <f>IFERROR(__xludf.DUMMYFUNCTION("""COMPUTED_VALUE"""),"DEX Message")</f>
        <v>DEX Message</v>
      </c>
    </row>
    <row r="3573">
      <c r="A3573" s="4" t="str">
        <f>IFERROR(__xludf.DUMMYFUNCTION("""COMPUTED_VALUE"""),"dexnet")</f>
        <v>dexnet</v>
      </c>
      <c r="B3573" s="4" t="str">
        <f>IFERROR(__xludf.DUMMYFUNCTION("""COMPUTED_VALUE"""),"dexnet")</f>
        <v>dexnet</v>
      </c>
      <c r="C3573" s="4" t="str">
        <f>IFERROR(__xludf.DUMMYFUNCTION("""COMPUTED_VALUE"""),"DexNet")</f>
        <v>DexNet</v>
      </c>
    </row>
    <row r="3574">
      <c r="A3574" s="4" t="str">
        <f>IFERROR(__xludf.DUMMYFUNCTION("""COMPUTED_VALUE"""),"dex-on-crypto")</f>
        <v>dex-on-crypto</v>
      </c>
      <c r="B3574" s="4" t="str">
        <f>IFERROR(__xludf.DUMMYFUNCTION("""COMPUTED_VALUE"""),"docswap")</f>
        <v>docswap</v>
      </c>
      <c r="C3574" s="4" t="str">
        <f>IFERROR(__xludf.DUMMYFUNCTION("""COMPUTED_VALUE"""),"Dex on Crypto")</f>
        <v>Dex on Crypto</v>
      </c>
    </row>
    <row r="3575">
      <c r="A3575" s="4" t="str">
        <f>IFERROR(__xludf.DUMMYFUNCTION("""COMPUTED_VALUE"""),"dexpad")</f>
        <v>dexpad</v>
      </c>
      <c r="B3575" s="4" t="str">
        <f>IFERROR(__xludf.DUMMYFUNCTION("""COMPUTED_VALUE"""),"dxp")</f>
        <v>dxp</v>
      </c>
      <c r="C3575" s="4" t="str">
        <f>IFERROR(__xludf.DUMMYFUNCTION("""COMPUTED_VALUE"""),"DexPad")</f>
        <v>DexPad</v>
      </c>
    </row>
    <row r="3576">
      <c r="A3576" s="4" t="str">
        <f>IFERROR(__xludf.DUMMYFUNCTION("""COMPUTED_VALUE"""),"dexpools")</f>
        <v>dexpools</v>
      </c>
      <c r="B3576" s="4" t="str">
        <f>IFERROR(__xludf.DUMMYFUNCTION("""COMPUTED_VALUE"""),"dxp")</f>
        <v>dxp</v>
      </c>
      <c r="C3576" s="4" t="str">
        <f>IFERROR(__xludf.DUMMYFUNCTION("""COMPUTED_VALUE"""),"Dexpools")</f>
        <v>Dexpools</v>
      </c>
    </row>
    <row r="3577">
      <c r="A3577" s="4" t="str">
        <f>IFERROR(__xludf.DUMMYFUNCTION("""COMPUTED_VALUE"""),"dex-raiden")</f>
        <v>dex-raiden</v>
      </c>
      <c r="B3577" s="4" t="str">
        <f>IFERROR(__xludf.DUMMYFUNCTION("""COMPUTED_VALUE"""),"dxr")</f>
        <v>dxr</v>
      </c>
      <c r="C3577" s="4" t="str">
        <f>IFERROR(__xludf.DUMMYFUNCTION("""COMPUTED_VALUE"""),"Dex Raiden")</f>
        <v>Dex Raiden</v>
      </c>
    </row>
    <row r="3578">
      <c r="A3578" s="4" t="str">
        <f>IFERROR(__xludf.DUMMYFUNCTION("""COMPUTED_VALUE"""),"dexshare")</f>
        <v>dexshare</v>
      </c>
      <c r="B3578" s="4" t="str">
        <f>IFERROR(__xludf.DUMMYFUNCTION("""COMPUTED_VALUE"""),"dexshare")</f>
        <v>dexshare</v>
      </c>
      <c r="C3578" s="4" t="str">
        <f>IFERROR(__xludf.DUMMYFUNCTION("""COMPUTED_VALUE"""),"dexSHARE")</f>
        <v>dexSHARE</v>
      </c>
    </row>
    <row r="3579">
      <c r="A3579" s="4" t="str">
        <f>IFERROR(__xludf.DUMMYFUNCTION("""COMPUTED_VALUE"""),"dex-sniffer-2")</f>
        <v>dex-sniffer-2</v>
      </c>
      <c r="B3579" s="4" t="str">
        <f>IFERROR(__xludf.DUMMYFUNCTION("""COMPUTED_VALUE"""),"ds")</f>
        <v>ds</v>
      </c>
      <c r="C3579" s="4" t="str">
        <f>IFERROR(__xludf.DUMMYFUNCTION("""COMPUTED_VALUE"""),"Dex Sniffer")</f>
        <v>Dex Sniffer</v>
      </c>
    </row>
    <row r="3580">
      <c r="A3580" s="4" t="str">
        <f>IFERROR(__xludf.DUMMYFUNCTION("""COMPUTED_VALUE"""),"dexsport")</f>
        <v>dexsport</v>
      </c>
      <c r="B3580" s="4" t="str">
        <f>IFERROR(__xludf.DUMMYFUNCTION("""COMPUTED_VALUE"""),"desu")</f>
        <v>desu</v>
      </c>
      <c r="C3580" s="4" t="str">
        <f>IFERROR(__xludf.DUMMYFUNCTION("""COMPUTED_VALUE"""),"Dexsport")</f>
        <v>Dexsport</v>
      </c>
    </row>
    <row r="3581">
      <c r="A3581" s="4" t="str">
        <f>IFERROR(__xludf.DUMMYFUNCTION("""COMPUTED_VALUE"""),"dextensor")</f>
        <v>dextensor</v>
      </c>
      <c r="B3581" s="4" t="str">
        <f>IFERROR(__xludf.DUMMYFUNCTION("""COMPUTED_VALUE"""),"taos")</f>
        <v>taos</v>
      </c>
      <c r="C3581" s="4" t="str">
        <f>IFERROR(__xludf.DUMMYFUNCTION("""COMPUTED_VALUE"""),"Dextensor")</f>
        <v>Dextensor</v>
      </c>
    </row>
    <row r="3582">
      <c r="A3582" s="4" t="str">
        <f>IFERROR(__xludf.DUMMYFUNCTION("""COMPUTED_VALUE"""),"dexter-exchange")</f>
        <v>dexter-exchange</v>
      </c>
      <c r="B3582" s="4" t="str">
        <f>IFERROR(__xludf.DUMMYFUNCTION("""COMPUTED_VALUE"""),"dextr")</f>
        <v>dextr</v>
      </c>
      <c r="C3582" s="4" t="str">
        <f>IFERROR(__xludf.DUMMYFUNCTION("""COMPUTED_VALUE"""),"DeXter")</f>
        <v>DeXter</v>
      </c>
    </row>
    <row r="3583">
      <c r="A3583" s="4" t="str">
        <f>IFERROR(__xludf.DUMMYFUNCTION("""COMPUTED_VALUE"""),"dextf")</f>
        <v>dextf</v>
      </c>
      <c r="B3583" s="4" t="str">
        <f>IFERROR(__xludf.DUMMYFUNCTION("""COMPUTED_VALUE"""),"dextf")</f>
        <v>dextf</v>
      </c>
      <c r="C3583" s="4" t="str">
        <f>IFERROR(__xludf.DUMMYFUNCTION("""COMPUTED_VALUE"""),"Domani Protocol")</f>
        <v>Domani Protocol</v>
      </c>
    </row>
    <row r="3584">
      <c r="A3584" s="4" t="str">
        <f>IFERROR(__xludf.DUMMYFUNCTION("""COMPUTED_VALUE"""),"dextools")</f>
        <v>dextools</v>
      </c>
      <c r="B3584" s="4" t="str">
        <f>IFERROR(__xludf.DUMMYFUNCTION("""COMPUTED_VALUE"""),"dext")</f>
        <v>dext</v>
      </c>
      <c r="C3584" s="4" t="str">
        <f>IFERROR(__xludf.DUMMYFUNCTION("""COMPUTED_VALUE"""),"DexTools")</f>
        <v>DexTools</v>
      </c>
    </row>
    <row r="3585">
      <c r="A3585" s="4" t="str">
        <f>IFERROR(__xludf.DUMMYFUNCTION("""COMPUTED_VALUE"""),"dextoro")</f>
        <v>dextoro</v>
      </c>
      <c r="B3585" s="4" t="str">
        <f>IFERROR(__xludf.DUMMYFUNCTION("""COMPUTED_VALUE"""),"dtoro")</f>
        <v>dtoro</v>
      </c>
      <c r="C3585" s="4" t="str">
        <f>IFERROR(__xludf.DUMMYFUNCTION("""COMPUTED_VALUE"""),"DexToro")</f>
        <v>DexToro</v>
      </c>
    </row>
    <row r="3586">
      <c r="A3586" s="4" t="str">
        <f>IFERROR(__xludf.DUMMYFUNCTION("""COMPUTED_VALUE"""),"dex-trade-coin")</f>
        <v>dex-trade-coin</v>
      </c>
      <c r="B3586" s="4" t="str">
        <f>IFERROR(__xludf.DUMMYFUNCTION("""COMPUTED_VALUE"""),"dxc")</f>
        <v>dxc</v>
      </c>
      <c r="C3586" s="4" t="str">
        <f>IFERROR(__xludf.DUMMYFUNCTION("""COMPUTED_VALUE"""),"Dex-Trade Coin")</f>
        <v>Dex-Trade Coin</v>
      </c>
    </row>
    <row r="3587">
      <c r="A3587" s="4" t="str">
        <f>IFERROR(__xludf.DUMMYFUNCTION("""COMPUTED_VALUE"""),"dextro")</f>
        <v>dextro</v>
      </c>
      <c r="B3587" s="4" t="str">
        <f>IFERROR(__xludf.DUMMYFUNCTION("""COMPUTED_VALUE"""),"dxo")</f>
        <v>dxo</v>
      </c>
      <c r="C3587" s="4" t="str">
        <f>IFERROR(__xludf.DUMMYFUNCTION("""COMPUTED_VALUE"""),"Dextro")</f>
        <v>Dextro</v>
      </c>
    </row>
    <row r="3588">
      <c r="A3588" s="4" t="str">
        <f>IFERROR(__xludf.DUMMYFUNCTION("""COMPUTED_VALUE"""),"dexwallet")</f>
        <v>dexwallet</v>
      </c>
      <c r="B3588" s="4" t="str">
        <f>IFERROR(__xludf.DUMMYFUNCTION("""COMPUTED_VALUE"""),"dwt")</f>
        <v>dwt</v>
      </c>
      <c r="C3588" s="4" t="str">
        <f>IFERROR(__xludf.DUMMYFUNCTION("""COMPUTED_VALUE"""),"DexWallet")</f>
        <v>DexWallet</v>
      </c>
    </row>
    <row r="3589">
      <c r="A3589" s="4" t="str">
        <f>IFERROR(__xludf.DUMMYFUNCTION("""COMPUTED_VALUE"""),"dforce-token")</f>
        <v>dforce-token</v>
      </c>
      <c r="B3589" s="4" t="str">
        <f>IFERROR(__xludf.DUMMYFUNCTION("""COMPUTED_VALUE"""),"df")</f>
        <v>df</v>
      </c>
      <c r="C3589" s="4" t="str">
        <f>IFERROR(__xludf.DUMMYFUNCTION("""COMPUTED_VALUE"""),"dForce")</f>
        <v>dForce</v>
      </c>
    </row>
    <row r="3590">
      <c r="A3590" s="4" t="str">
        <f>IFERROR(__xludf.DUMMYFUNCTION("""COMPUTED_VALUE"""),"dfs-mafia")</f>
        <v>dfs-mafia</v>
      </c>
      <c r="B3590" s="4" t="str">
        <f>IFERROR(__xludf.DUMMYFUNCTION("""COMPUTED_VALUE"""),"dfsm")</f>
        <v>dfsm</v>
      </c>
      <c r="C3590" s="4" t="str">
        <f>IFERROR(__xludf.DUMMYFUNCTION("""COMPUTED_VALUE"""),"DFS Mafia V2")</f>
        <v>DFS Mafia V2</v>
      </c>
    </row>
    <row r="3591">
      <c r="A3591" s="4" t="str">
        <f>IFERROR(__xludf.DUMMYFUNCTION("""COMPUTED_VALUE"""),"dfuk")</f>
        <v>dfuk</v>
      </c>
      <c r="B3591" s="4" t="str">
        <f>IFERROR(__xludf.DUMMYFUNCTION("""COMPUTED_VALUE"""),"dfuk")</f>
        <v>dfuk</v>
      </c>
      <c r="C3591" s="4" t="str">
        <f>IFERROR(__xludf.DUMMYFUNCTION("""COMPUTED_VALUE"""),"DFUK")</f>
        <v>DFUK</v>
      </c>
    </row>
    <row r="3592">
      <c r="A3592" s="4" t="str">
        <f>IFERROR(__xludf.DUMMYFUNCTION("""COMPUTED_VALUE"""),"dfund")</f>
        <v>dfund</v>
      </c>
      <c r="B3592" s="4" t="str">
        <f>IFERROR(__xludf.DUMMYFUNCTION("""COMPUTED_VALUE"""),"dfnd")</f>
        <v>dfnd</v>
      </c>
      <c r="C3592" s="4" t="str">
        <f>IFERROR(__xludf.DUMMYFUNCTION("""COMPUTED_VALUE"""),"dFund")</f>
        <v>dFund</v>
      </c>
    </row>
    <row r="3593">
      <c r="A3593" s="4" t="str">
        <f>IFERROR(__xludf.DUMMYFUNCTION("""COMPUTED_VALUE"""),"dfx-finance")</f>
        <v>dfx-finance</v>
      </c>
      <c r="B3593" s="4" t="str">
        <f>IFERROR(__xludf.DUMMYFUNCTION("""COMPUTED_VALUE"""),"dfx")</f>
        <v>dfx</v>
      </c>
      <c r="C3593" s="4" t="str">
        <f>IFERROR(__xludf.DUMMYFUNCTION("""COMPUTED_VALUE"""),"DFX Finance")</f>
        <v>DFX Finance</v>
      </c>
    </row>
    <row r="3594">
      <c r="A3594" s="4" t="str">
        <f>IFERROR(__xludf.DUMMYFUNCTION("""COMPUTED_VALUE"""),"dfyn-network")</f>
        <v>dfyn-network</v>
      </c>
      <c r="B3594" s="4" t="str">
        <f>IFERROR(__xludf.DUMMYFUNCTION("""COMPUTED_VALUE"""),"dfyn")</f>
        <v>dfyn</v>
      </c>
      <c r="C3594" s="4" t="str">
        <f>IFERROR(__xludf.DUMMYFUNCTION("""COMPUTED_VALUE"""),"Dfyn Network")</f>
        <v>Dfyn Network</v>
      </c>
    </row>
    <row r="3595">
      <c r="A3595" s="4" t="str">
        <f>IFERROR(__xludf.DUMMYFUNCTION("""COMPUTED_VALUE"""),"dgi-game")</f>
        <v>dgi-game</v>
      </c>
      <c r="B3595" s="4" t="str">
        <f>IFERROR(__xludf.DUMMYFUNCTION("""COMPUTED_VALUE"""),"dgi")</f>
        <v>dgi</v>
      </c>
      <c r="C3595" s="4" t="str">
        <f>IFERROR(__xludf.DUMMYFUNCTION("""COMPUTED_VALUE"""),"DGI Game")</f>
        <v>DGI Game</v>
      </c>
    </row>
    <row r="3596">
      <c r="A3596" s="4" t="str">
        <f>IFERROR(__xludf.DUMMYFUNCTION("""COMPUTED_VALUE"""),"dgnapp-ai")</f>
        <v>dgnapp-ai</v>
      </c>
      <c r="B3596" s="4" t="str">
        <f>IFERROR(__xludf.DUMMYFUNCTION("""COMPUTED_VALUE"""),"degai")</f>
        <v>degai</v>
      </c>
      <c r="C3596" s="5" t="str">
        <f>IFERROR(__xludf.DUMMYFUNCTION("""COMPUTED_VALUE"""),"DGNAPP.AI")</f>
        <v>DGNAPP.AI</v>
      </c>
    </row>
    <row r="3597">
      <c r="A3597" s="4" t="str">
        <f>IFERROR(__xludf.DUMMYFUNCTION("""COMPUTED_VALUE"""),"dhabicoin")</f>
        <v>dhabicoin</v>
      </c>
      <c r="B3597" s="4" t="str">
        <f>IFERROR(__xludf.DUMMYFUNCTION("""COMPUTED_VALUE"""),"dbc")</f>
        <v>dbc</v>
      </c>
      <c r="C3597" s="4" t="str">
        <f>IFERROR(__xludf.DUMMYFUNCTION("""COMPUTED_VALUE"""),"Dhabicoin")</f>
        <v>Dhabicoin</v>
      </c>
    </row>
    <row r="3598">
      <c r="A3598" s="4" t="str">
        <f>IFERROR(__xludf.DUMMYFUNCTION("""COMPUTED_VALUE"""),"dhd-coin-2")</f>
        <v>dhd-coin-2</v>
      </c>
      <c r="B3598" s="4" t="str">
        <f>IFERROR(__xludf.DUMMYFUNCTION("""COMPUTED_VALUE"""),"dhd")</f>
        <v>dhd</v>
      </c>
      <c r="C3598" s="4" t="str">
        <f>IFERROR(__xludf.DUMMYFUNCTION("""COMPUTED_VALUE"""),"DHD Coin")</f>
        <v>DHD Coin</v>
      </c>
    </row>
    <row r="3599">
      <c r="A3599" s="4" t="str">
        <f>IFERROR(__xludf.DUMMYFUNCTION("""COMPUTED_VALUE"""),"dhealth")</f>
        <v>dhealth</v>
      </c>
      <c r="B3599" s="4" t="str">
        <f>IFERROR(__xludf.DUMMYFUNCTION("""COMPUTED_VALUE"""),"dhp")</f>
        <v>dhp</v>
      </c>
      <c r="C3599" s="4" t="str">
        <f>IFERROR(__xludf.DUMMYFUNCTION("""COMPUTED_VALUE"""),"dHealth")</f>
        <v>dHealth</v>
      </c>
    </row>
    <row r="3600">
      <c r="A3600" s="4" t="str">
        <f>IFERROR(__xludf.DUMMYFUNCTION("""COMPUTED_VALUE"""),"dhedge-dao")</f>
        <v>dhedge-dao</v>
      </c>
      <c r="B3600" s="4" t="str">
        <f>IFERROR(__xludf.DUMMYFUNCTION("""COMPUTED_VALUE"""),"dht")</f>
        <v>dht</v>
      </c>
      <c r="C3600" s="4" t="str">
        <f>IFERROR(__xludf.DUMMYFUNCTION("""COMPUTED_VALUE"""),"dHEDGE DAO")</f>
        <v>dHEDGE DAO</v>
      </c>
    </row>
    <row r="3601">
      <c r="A3601" s="4" t="str">
        <f>IFERROR(__xludf.DUMMYFUNCTION("""COMPUTED_VALUE"""),"dht")</f>
        <v>dht</v>
      </c>
      <c r="B3601" s="4" t="str">
        <f>IFERROR(__xludf.DUMMYFUNCTION("""COMPUTED_VALUE"""),"dht")</f>
        <v>dht</v>
      </c>
      <c r="C3601" s="4" t="str">
        <f>IFERROR(__xludf.DUMMYFUNCTION("""COMPUTED_VALUE"""),"DHT")</f>
        <v>DHT</v>
      </c>
    </row>
    <row r="3602">
      <c r="A3602" s="4" t="str">
        <f>IFERROR(__xludf.DUMMYFUNCTION("""COMPUTED_VALUE"""),"diabase")</f>
        <v>diabase</v>
      </c>
      <c r="B3602" s="4" t="str">
        <f>IFERROR(__xludf.DUMMYFUNCTION("""COMPUTED_VALUE"""),"diac")</f>
        <v>diac</v>
      </c>
      <c r="C3602" s="4" t="str">
        <f>IFERROR(__xludf.DUMMYFUNCTION("""COMPUTED_VALUE"""),"Diabase")</f>
        <v>Diabase</v>
      </c>
    </row>
    <row r="3603">
      <c r="A3603" s="4" t="str">
        <f>IFERROR(__xludf.DUMMYFUNCTION("""COMPUTED_VALUE"""),"dia-data")</f>
        <v>dia-data</v>
      </c>
      <c r="B3603" s="4" t="str">
        <f>IFERROR(__xludf.DUMMYFUNCTION("""COMPUTED_VALUE"""),"dia")</f>
        <v>dia</v>
      </c>
      <c r="C3603" s="4" t="str">
        <f>IFERROR(__xludf.DUMMYFUNCTION("""COMPUTED_VALUE"""),"DIA")</f>
        <v>DIA</v>
      </c>
    </row>
    <row r="3604">
      <c r="A3604" s="4" t="str">
        <f>IFERROR(__xludf.DUMMYFUNCTION("""COMPUTED_VALUE"""),"diamault")</f>
        <v>diamault</v>
      </c>
      <c r="B3604" s="4" t="str">
        <f>IFERROR(__xludf.DUMMYFUNCTION("""COMPUTED_VALUE"""),"dvt")</f>
        <v>dvt</v>
      </c>
      <c r="C3604" s="4" t="str">
        <f>IFERROR(__xludf.DUMMYFUNCTION("""COMPUTED_VALUE"""),"Diamault")</f>
        <v>Diamault</v>
      </c>
    </row>
    <row r="3605">
      <c r="A3605" s="4" t="str">
        <f>IFERROR(__xludf.DUMMYFUNCTION("""COMPUTED_VALUE"""),"diamond")</f>
        <v>diamond</v>
      </c>
      <c r="B3605" s="4" t="str">
        <f>IFERROR(__xludf.DUMMYFUNCTION("""COMPUTED_VALUE"""),"dmd")</f>
        <v>dmd</v>
      </c>
      <c r="C3605" s="4" t="str">
        <f>IFERROR(__xludf.DUMMYFUNCTION("""COMPUTED_VALUE"""),"Diamond")</f>
        <v>Diamond</v>
      </c>
    </row>
    <row r="3606">
      <c r="A3606" s="4" t="str">
        <f>IFERROR(__xludf.DUMMYFUNCTION("""COMPUTED_VALUE"""),"diamond-boyz-coin")</f>
        <v>diamond-boyz-coin</v>
      </c>
      <c r="B3606" s="4" t="str">
        <f>IFERROR(__xludf.DUMMYFUNCTION("""COMPUTED_VALUE"""),"dbz")</f>
        <v>dbz</v>
      </c>
      <c r="C3606" s="4" t="str">
        <f>IFERROR(__xludf.DUMMYFUNCTION("""COMPUTED_VALUE"""),"Diamond Boyz Coin")</f>
        <v>Diamond Boyz Coin</v>
      </c>
    </row>
    <row r="3607">
      <c r="A3607" s="4" t="str">
        <f>IFERROR(__xludf.DUMMYFUNCTION("""COMPUTED_VALUE"""),"diamond-coin")</f>
        <v>diamond-coin</v>
      </c>
      <c r="B3607" s="4" t="str">
        <f>IFERROR(__xludf.DUMMYFUNCTION("""COMPUTED_VALUE"""),"diamond")</f>
        <v>diamond</v>
      </c>
      <c r="C3607" s="4" t="str">
        <f>IFERROR(__xludf.DUMMYFUNCTION("""COMPUTED_VALUE"""),"Diamond Coin")</f>
        <v>Diamond Coin</v>
      </c>
    </row>
    <row r="3608">
      <c r="A3608" s="4" t="str">
        <f>IFERROR(__xludf.DUMMYFUNCTION("""COMPUTED_VALUE"""),"diamond-launch")</f>
        <v>diamond-launch</v>
      </c>
      <c r="B3608" s="4" t="str">
        <f>IFERROR(__xludf.DUMMYFUNCTION("""COMPUTED_VALUE"""),"dlc")</f>
        <v>dlc</v>
      </c>
      <c r="C3608" s="4" t="str">
        <f>IFERROR(__xludf.DUMMYFUNCTION("""COMPUTED_VALUE"""),"Diamond Launch")</f>
        <v>Diamond Launch</v>
      </c>
    </row>
    <row r="3609">
      <c r="A3609" s="4" t="str">
        <f>IFERROR(__xludf.DUMMYFUNCTION("""COMPUTED_VALUE"""),"diamond-standard-carat")</f>
        <v>diamond-standard-carat</v>
      </c>
      <c r="B3609" s="4" t="str">
        <f>IFERROR(__xludf.DUMMYFUNCTION("""COMPUTED_VALUE"""),"carat")</f>
        <v>carat</v>
      </c>
      <c r="C3609" s="4" t="str">
        <f>IFERROR(__xludf.DUMMYFUNCTION("""COMPUTED_VALUE"""),"Diamond Standard Carat")</f>
        <v>Diamond Standard Carat</v>
      </c>
    </row>
    <row r="3610">
      <c r="A3610" s="4" t="str">
        <f>IFERROR(__xludf.DUMMYFUNCTION("""COMPUTED_VALUE"""),"dibbles")</f>
        <v>dibbles</v>
      </c>
      <c r="B3610" s="4" t="str">
        <f>IFERROR(__xludf.DUMMYFUNCTION("""COMPUTED_VALUE"""),"dibble")</f>
        <v>dibble</v>
      </c>
      <c r="C3610" s="4" t="str">
        <f>IFERROR(__xludf.DUMMYFUNCTION("""COMPUTED_VALUE"""),"Dibbles")</f>
        <v>Dibbles</v>
      </c>
    </row>
    <row r="3611">
      <c r="A3611" s="4" t="str">
        <f>IFERROR(__xludf.DUMMYFUNCTION("""COMPUTED_VALUE"""),"dibbles-404")</f>
        <v>dibbles-404</v>
      </c>
      <c r="B3611" s="4" t="str">
        <f>IFERROR(__xludf.DUMMYFUNCTION("""COMPUTED_VALUE"""),"errdb")</f>
        <v>errdb</v>
      </c>
      <c r="C3611" s="4" t="str">
        <f>IFERROR(__xludf.DUMMYFUNCTION("""COMPUTED_VALUE"""),"Dibbles 404")</f>
        <v>Dibbles 404</v>
      </c>
    </row>
    <row r="3612">
      <c r="A3612" s="4" t="str">
        <f>IFERROR(__xludf.DUMMYFUNCTION("""COMPUTED_VALUE"""),"dibs-share")</f>
        <v>dibs-share</v>
      </c>
      <c r="B3612" s="4" t="str">
        <f>IFERROR(__xludf.DUMMYFUNCTION("""COMPUTED_VALUE"""),"dshare")</f>
        <v>dshare</v>
      </c>
      <c r="C3612" s="4" t="str">
        <f>IFERROR(__xludf.DUMMYFUNCTION("""COMPUTED_VALUE"""),"Dibs Share")</f>
        <v>Dibs Share</v>
      </c>
    </row>
    <row r="3613">
      <c r="A3613" s="4" t="str">
        <f>IFERROR(__xludf.DUMMYFUNCTION("""COMPUTED_VALUE"""),"dice-bot")</f>
        <v>dice-bot</v>
      </c>
      <c r="B3613" s="4" t="str">
        <f>IFERROR(__xludf.DUMMYFUNCTION("""COMPUTED_VALUE"""),"dice")</f>
        <v>dice</v>
      </c>
      <c r="C3613" s="4" t="str">
        <f>IFERROR(__xludf.DUMMYFUNCTION("""COMPUTED_VALUE"""),"Dice Bot")</f>
        <v>Dice Bot</v>
      </c>
    </row>
    <row r="3614">
      <c r="A3614" s="4" t="str">
        <f>IFERROR(__xludf.DUMMYFUNCTION("""COMPUTED_VALUE"""),"dice-kingdom")</f>
        <v>dice-kingdom</v>
      </c>
      <c r="B3614" s="4" t="str">
        <f>IFERROR(__xludf.DUMMYFUNCTION("""COMPUTED_VALUE"""),"dk")</f>
        <v>dk</v>
      </c>
      <c r="C3614" s="4" t="str">
        <f>IFERROR(__xludf.DUMMYFUNCTION("""COMPUTED_VALUE"""),"Dice Kingdom")</f>
        <v>Dice Kingdom</v>
      </c>
    </row>
    <row r="3615">
      <c r="A3615" s="4" t="str">
        <f>IFERROR(__xludf.DUMMYFUNCTION("""COMPUTED_VALUE"""),"die-protocol")</f>
        <v>die-protocol</v>
      </c>
      <c r="B3615" s="4" t="str">
        <f>IFERROR(__xludf.DUMMYFUNCTION("""COMPUTED_VALUE"""),"die")</f>
        <v>die</v>
      </c>
      <c r="C3615" s="4" t="str">
        <f>IFERROR(__xludf.DUMMYFUNCTION("""COMPUTED_VALUE"""),"Die Protocol")</f>
        <v>Die Protocol</v>
      </c>
    </row>
    <row r="3616">
      <c r="A3616" s="4" t="str">
        <f>IFERROR(__xludf.DUMMYFUNCTION("""COMPUTED_VALUE"""),"diffusion")</f>
        <v>diffusion</v>
      </c>
      <c r="B3616" s="4" t="str">
        <f>IFERROR(__xludf.DUMMYFUNCTION("""COMPUTED_VALUE"""),"diff")</f>
        <v>diff</v>
      </c>
      <c r="C3616" s="4" t="str">
        <f>IFERROR(__xludf.DUMMYFUNCTION("""COMPUTED_VALUE"""),"Diffusion")</f>
        <v>Diffusion</v>
      </c>
    </row>
    <row r="3617">
      <c r="A3617" s="4" t="str">
        <f>IFERROR(__xludf.DUMMYFUNCTION("""COMPUTED_VALUE"""),"dig-chain")</f>
        <v>dig-chain</v>
      </c>
      <c r="B3617" s="4" t="str">
        <f>IFERROR(__xludf.DUMMYFUNCTION("""COMPUTED_VALUE"""),"dig")</f>
        <v>dig</v>
      </c>
      <c r="C3617" s="4" t="str">
        <f>IFERROR(__xludf.DUMMYFUNCTION("""COMPUTED_VALUE"""),"Dig Chain")</f>
        <v>Dig Chain</v>
      </c>
    </row>
    <row r="3618">
      <c r="A3618" s="4" t="str">
        <f>IFERROR(__xludf.DUMMYFUNCTION("""COMPUTED_VALUE"""),"digg")</f>
        <v>digg</v>
      </c>
      <c r="B3618" s="4" t="str">
        <f>IFERROR(__xludf.DUMMYFUNCTION("""COMPUTED_VALUE"""),"digg")</f>
        <v>digg</v>
      </c>
      <c r="C3618" s="4" t="str">
        <f>IFERROR(__xludf.DUMMYFUNCTION("""COMPUTED_VALUE"""),"DIGG")</f>
        <v>DIGG</v>
      </c>
    </row>
    <row r="3619">
      <c r="A3619" s="4" t="str">
        <f>IFERROR(__xludf.DUMMYFUNCTION("""COMPUTED_VALUE"""),"digibunnies")</f>
        <v>digibunnies</v>
      </c>
      <c r="B3619" s="4" t="str">
        <f>IFERROR(__xludf.DUMMYFUNCTION("""COMPUTED_VALUE"""),"dgbn")</f>
        <v>dgbn</v>
      </c>
      <c r="C3619" s="4" t="str">
        <f>IFERROR(__xludf.DUMMYFUNCTION("""COMPUTED_VALUE"""),"DigiBunnies")</f>
        <v>DigiBunnies</v>
      </c>
    </row>
    <row r="3620">
      <c r="A3620" s="4" t="str">
        <f>IFERROR(__xludf.DUMMYFUNCTION("""COMPUTED_VALUE"""),"digibyte")</f>
        <v>digibyte</v>
      </c>
      <c r="B3620" s="4" t="str">
        <f>IFERROR(__xludf.DUMMYFUNCTION("""COMPUTED_VALUE"""),"dgb")</f>
        <v>dgb</v>
      </c>
      <c r="C3620" s="4" t="str">
        <f>IFERROR(__xludf.DUMMYFUNCTION("""COMPUTED_VALUE"""),"DigiByte")</f>
        <v>DigiByte</v>
      </c>
    </row>
    <row r="3621">
      <c r="A3621" s="4" t="str">
        <f>IFERROR(__xludf.DUMMYFUNCTION("""COMPUTED_VALUE"""),"digicask-token")</f>
        <v>digicask-token</v>
      </c>
      <c r="B3621" s="4" t="str">
        <f>IFERROR(__xludf.DUMMYFUNCTION("""COMPUTED_VALUE"""),"dcask")</f>
        <v>dcask</v>
      </c>
      <c r="C3621" s="4" t="str">
        <f>IFERROR(__xludf.DUMMYFUNCTION("""COMPUTED_VALUE"""),"DigiCask Token")</f>
        <v>DigiCask Token</v>
      </c>
    </row>
    <row r="3622">
      <c r="A3622" s="4" t="str">
        <f>IFERROR(__xludf.DUMMYFUNCTION("""COMPUTED_VALUE"""),"digifinextoken")</f>
        <v>digifinextoken</v>
      </c>
      <c r="B3622" s="4" t="str">
        <f>IFERROR(__xludf.DUMMYFUNCTION("""COMPUTED_VALUE"""),"dft")</f>
        <v>dft</v>
      </c>
      <c r="C3622" s="4" t="str">
        <f>IFERROR(__xludf.DUMMYFUNCTION("""COMPUTED_VALUE"""),"DigiFinex")</f>
        <v>DigiFinex</v>
      </c>
    </row>
    <row r="3623">
      <c r="A3623" s="4" t="str">
        <f>IFERROR(__xludf.DUMMYFUNCTION("""COMPUTED_VALUE"""),"digifund")</f>
        <v>digifund</v>
      </c>
      <c r="B3623" s="4" t="str">
        <f>IFERROR(__xludf.DUMMYFUNCTION("""COMPUTED_VALUE"""),"dfund")</f>
        <v>dfund</v>
      </c>
      <c r="C3623" s="4" t="str">
        <f>IFERROR(__xludf.DUMMYFUNCTION("""COMPUTED_VALUE"""),"DigiFund V1")</f>
        <v>DigiFund V1</v>
      </c>
    </row>
    <row r="3624">
      <c r="A3624" s="4" t="str">
        <f>IFERROR(__xludf.DUMMYFUNCTION("""COMPUTED_VALUE"""),"digifund-capital-v2")</f>
        <v>digifund-capital-v2</v>
      </c>
      <c r="B3624" s="4" t="str">
        <f>IFERROR(__xludf.DUMMYFUNCTION("""COMPUTED_VALUE"""),"dfund")</f>
        <v>dfund</v>
      </c>
      <c r="C3624" s="4" t="str">
        <f>IFERROR(__xludf.DUMMYFUNCTION("""COMPUTED_VALUE"""),"DigiFund Capital V2")</f>
        <v>DigiFund Capital V2</v>
      </c>
    </row>
    <row r="3625">
      <c r="A3625" s="4" t="str">
        <f>IFERROR(__xludf.DUMMYFUNCTION("""COMPUTED_VALUE"""),"digihealth")</f>
        <v>digihealth</v>
      </c>
      <c r="B3625" s="4" t="str">
        <f>IFERROR(__xludf.DUMMYFUNCTION("""COMPUTED_VALUE"""),"dgh")</f>
        <v>dgh</v>
      </c>
      <c r="C3625" s="4" t="str">
        <f>IFERROR(__xludf.DUMMYFUNCTION("""COMPUTED_VALUE"""),"Digihealth")</f>
        <v>Digihealth</v>
      </c>
    </row>
    <row r="3626">
      <c r="A3626" s="4" t="str">
        <f>IFERROR(__xludf.DUMMYFUNCTION("""COMPUTED_VALUE"""),"digimetaverse")</f>
        <v>digimetaverse</v>
      </c>
      <c r="B3626" s="4" t="str">
        <f>IFERROR(__xludf.DUMMYFUNCTION("""COMPUTED_VALUE"""),"dgmv")</f>
        <v>dgmv</v>
      </c>
      <c r="C3626" s="4" t="str">
        <f>IFERROR(__xludf.DUMMYFUNCTION("""COMPUTED_VALUE"""),"DigiMetaverse")</f>
        <v>DigiMetaverse</v>
      </c>
    </row>
    <row r="3627">
      <c r="A3627" s="4" t="str">
        <f>IFERROR(__xludf.DUMMYFUNCTION("""COMPUTED_VALUE"""),"digital-bank-of-africa")</f>
        <v>digital-bank-of-africa</v>
      </c>
      <c r="B3627" s="4" t="str">
        <f>IFERROR(__xludf.DUMMYFUNCTION("""COMPUTED_VALUE"""),"dba")</f>
        <v>dba</v>
      </c>
      <c r="C3627" s="4" t="str">
        <f>IFERROR(__xludf.DUMMYFUNCTION("""COMPUTED_VALUE"""),"Digital Bank of Africa")</f>
        <v>Digital Bank of Africa</v>
      </c>
    </row>
    <row r="3628">
      <c r="A3628" s="4" t="str">
        <f>IFERROR(__xludf.DUMMYFUNCTION("""COMPUTED_VALUE"""),"digitalbay")</f>
        <v>digitalbay</v>
      </c>
      <c r="B3628" s="4" t="str">
        <f>IFERROR(__xludf.DUMMYFUNCTION("""COMPUTED_VALUE"""),"dbc")</f>
        <v>dbc</v>
      </c>
      <c r="C3628" s="4" t="str">
        <f>IFERROR(__xludf.DUMMYFUNCTION("""COMPUTED_VALUE"""),"DigitalBay")</f>
        <v>DigitalBay</v>
      </c>
    </row>
    <row r="3629">
      <c r="A3629" s="4" t="str">
        <f>IFERROR(__xludf.DUMMYFUNCTION("""COMPUTED_VALUE"""),"digitalbits")</f>
        <v>digitalbits</v>
      </c>
      <c r="B3629" s="4" t="str">
        <f>IFERROR(__xludf.DUMMYFUNCTION("""COMPUTED_VALUE"""),"xdb")</f>
        <v>xdb</v>
      </c>
      <c r="C3629" s="4" t="str">
        <f>IFERROR(__xludf.DUMMYFUNCTION("""COMPUTED_VALUE"""),"XDB CHAIN")</f>
        <v>XDB CHAIN</v>
      </c>
    </row>
    <row r="3630">
      <c r="A3630" s="4" t="str">
        <f>IFERROR(__xludf.DUMMYFUNCTION("""COMPUTED_VALUE"""),"digitalcoin")</f>
        <v>digitalcoin</v>
      </c>
      <c r="B3630" s="4" t="str">
        <f>IFERROR(__xludf.DUMMYFUNCTION("""COMPUTED_VALUE"""),"dgc")</f>
        <v>dgc</v>
      </c>
      <c r="C3630" s="4" t="str">
        <f>IFERROR(__xludf.DUMMYFUNCTION("""COMPUTED_VALUE"""),"Digitalcoin")</f>
        <v>Digitalcoin</v>
      </c>
    </row>
    <row r="3631">
      <c r="A3631" s="4" t="str">
        <f>IFERROR(__xludf.DUMMYFUNCTION("""COMPUTED_VALUE"""),"digital-files")</f>
        <v>digital-files</v>
      </c>
      <c r="B3631" s="4" t="str">
        <f>IFERROR(__xludf.DUMMYFUNCTION("""COMPUTED_VALUE"""),"difi")</f>
        <v>difi</v>
      </c>
      <c r="C3631" s="4" t="str">
        <f>IFERROR(__xludf.DUMMYFUNCTION("""COMPUTED_VALUE"""),"Digital Files")</f>
        <v>Digital Files</v>
      </c>
    </row>
    <row r="3632">
      <c r="A3632" s="4" t="str">
        <f>IFERROR(__xludf.DUMMYFUNCTION("""COMPUTED_VALUE"""),"digital-financial-exchange")</f>
        <v>digital-financial-exchange</v>
      </c>
      <c r="B3632" s="4" t="str">
        <f>IFERROR(__xludf.DUMMYFUNCTION("""COMPUTED_VALUE"""),"difx")</f>
        <v>difx</v>
      </c>
      <c r="C3632" s="4" t="str">
        <f>IFERROR(__xludf.DUMMYFUNCTION("""COMPUTED_VALUE"""),"Digital Financial Exchange")</f>
        <v>Digital Financial Exchange</v>
      </c>
    </row>
    <row r="3633">
      <c r="A3633" s="4" t="str">
        <f>IFERROR(__xludf.DUMMYFUNCTION("""COMPUTED_VALUE"""),"digitalnote")</f>
        <v>digitalnote</v>
      </c>
      <c r="B3633" s="4" t="str">
        <f>IFERROR(__xludf.DUMMYFUNCTION("""COMPUTED_VALUE"""),"xdn")</f>
        <v>xdn</v>
      </c>
      <c r="C3633" s="4" t="str">
        <f>IFERROR(__xludf.DUMMYFUNCTION("""COMPUTED_VALUE"""),"DigitalNote")</f>
        <v>DigitalNote</v>
      </c>
    </row>
    <row r="3634">
      <c r="A3634" s="4" t="str">
        <f>IFERROR(__xludf.DUMMYFUNCTION("""COMPUTED_VALUE"""),"digital-rand")</f>
        <v>digital-rand</v>
      </c>
      <c r="B3634" s="4" t="str">
        <f>IFERROR(__xludf.DUMMYFUNCTION("""COMPUTED_VALUE"""),"dzar")</f>
        <v>dzar</v>
      </c>
      <c r="C3634" s="4" t="str">
        <f>IFERROR(__xludf.DUMMYFUNCTION("""COMPUTED_VALUE"""),"Digital Rand")</f>
        <v>Digital Rand</v>
      </c>
    </row>
    <row r="3635">
      <c r="A3635" s="4" t="str">
        <f>IFERROR(__xludf.DUMMYFUNCTION("""COMPUTED_VALUE"""),"digital-reserve-currency")</f>
        <v>digital-reserve-currency</v>
      </c>
      <c r="B3635" s="4" t="str">
        <f>IFERROR(__xludf.DUMMYFUNCTION("""COMPUTED_VALUE"""),"drc")</f>
        <v>drc</v>
      </c>
      <c r="C3635" s="4" t="str">
        <f>IFERROR(__xludf.DUMMYFUNCTION("""COMPUTED_VALUE"""),"Digital Reserve Currency")</f>
        <v>Digital Reserve Currency</v>
      </c>
    </row>
    <row r="3636">
      <c r="A3636" s="4" t="str">
        <f>IFERROR(__xludf.DUMMYFUNCTION("""COMPUTED_VALUE"""),"digital-trip-advisor")</f>
        <v>digital-trip-advisor</v>
      </c>
      <c r="B3636" s="4" t="str">
        <f>IFERROR(__xludf.DUMMYFUNCTION("""COMPUTED_VALUE"""),"dta")</f>
        <v>dta</v>
      </c>
      <c r="C3636" s="4" t="str">
        <f>IFERROR(__xludf.DUMMYFUNCTION("""COMPUTED_VALUE"""),"Digital Trip Advisor")</f>
        <v>Digital Trip Advisor</v>
      </c>
    </row>
    <row r="3637">
      <c r="A3637" s="4" t="str">
        <f>IFERROR(__xludf.DUMMYFUNCTION("""COMPUTED_VALUE"""),"digitex-futures-exchange")</f>
        <v>digitex-futures-exchange</v>
      </c>
      <c r="B3637" s="4" t="str">
        <f>IFERROR(__xludf.DUMMYFUNCTION("""COMPUTED_VALUE"""),"dgtx")</f>
        <v>dgtx</v>
      </c>
      <c r="C3637" s="4" t="str">
        <f>IFERROR(__xludf.DUMMYFUNCTION("""COMPUTED_VALUE"""),"Digitex")</f>
        <v>Digitex</v>
      </c>
    </row>
    <row r="3638">
      <c r="A3638" s="4" t="str">
        <f>IFERROR(__xludf.DUMMYFUNCTION("""COMPUTED_VALUE"""),"digits-dao")</f>
        <v>digits-dao</v>
      </c>
      <c r="B3638" s="4" t="str">
        <f>IFERROR(__xludf.DUMMYFUNCTION("""COMPUTED_VALUE"""),"digits")</f>
        <v>digits</v>
      </c>
      <c r="C3638" s="4" t="str">
        <f>IFERROR(__xludf.DUMMYFUNCTION("""COMPUTED_VALUE"""),"Digits DAO")</f>
        <v>Digits DAO</v>
      </c>
    </row>
    <row r="3639">
      <c r="A3639" s="4" t="str">
        <f>IFERROR(__xludf.DUMMYFUNCTION("""COMPUTED_VALUE"""),"digiverse-2")</f>
        <v>digiverse-2</v>
      </c>
      <c r="B3639" s="4" t="str">
        <f>IFERROR(__xludf.DUMMYFUNCTION("""COMPUTED_VALUE"""),"digi")</f>
        <v>digi</v>
      </c>
      <c r="C3639" s="4" t="str">
        <f>IFERROR(__xludf.DUMMYFUNCTION("""COMPUTED_VALUE"""),"DIGIVERSE")</f>
        <v>DIGIVERSE</v>
      </c>
    </row>
    <row r="3640">
      <c r="A3640" s="4" t="str">
        <f>IFERROR(__xludf.DUMMYFUNCTION("""COMPUTED_VALUE"""),"digix-gold")</f>
        <v>digix-gold</v>
      </c>
      <c r="B3640" s="4" t="str">
        <f>IFERROR(__xludf.DUMMYFUNCTION("""COMPUTED_VALUE"""),"dgx")</f>
        <v>dgx</v>
      </c>
      <c r="C3640" s="4" t="str">
        <f>IFERROR(__xludf.DUMMYFUNCTION("""COMPUTED_VALUE"""),"Digix Gold")</f>
        <v>Digix Gold</v>
      </c>
    </row>
    <row r="3641">
      <c r="A3641" s="4" t="str">
        <f>IFERROR(__xludf.DUMMYFUNCTION("""COMPUTED_VALUE"""),"dimecoin")</f>
        <v>dimecoin</v>
      </c>
      <c r="B3641" s="4" t="str">
        <f>IFERROR(__xludf.DUMMYFUNCTION("""COMPUTED_VALUE"""),"dime")</f>
        <v>dime</v>
      </c>
      <c r="C3641" s="4" t="str">
        <f>IFERROR(__xludf.DUMMYFUNCTION("""COMPUTED_VALUE"""),"Dimecoin")</f>
        <v>Dimecoin</v>
      </c>
    </row>
    <row r="3642">
      <c r="A3642" s="4" t="str">
        <f>IFERROR(__xludf.DUMMYFUNCTION("""COMPUTED_VALUE"""),"diminutive-coin")</f>
        <v>diminutive-coin</v>
      </c>
      <c r="B3642" s="4" t="str">
        <f>IFERROR(__xludf.DUMMYFUNCTION("""COMPUTED_VALUE"""),"dimi")</f>
        <v>dimi</v>
      </c>
      <c r="C3642" s="4" t="str">
        <f>IFERROR(__xludf.DUMMYFUNCTION("""COMPUTED_VALUE"""),"Diminutive Coin")</f>
        <v>Diminutive Coin</v>
      </c>
    </row>
    <row r="3643">
      <c r="A3643" s="4" t="str">
        <f>IFERROR(__xludf.DUMMYFUNCTION("""COMPUTED_VALUE"""),"dimitra")</f>
        <v>dimitra</v>
      </c>
      <c r="B3643" s="4" t="str">
        <f>IFERROR(__xludf.DUMMYFUNCTION("""COMPUTED_VALUE"""),"dmtr")</f>
        <v>dmtr</v>
      </c>
      <c r="C3643" s="4" t="str">
        <f>IFERROR(__xludf.DUMMYFUNCTION("""COMPUTED_VALUE"""),"Dimitra")</f>
        <v>Dimitra</v>
      </c>
    </row>
    <row r="3644">
      <c r="A3644" s="4" t="str">
        <f>IFERROR(__xludf.DUMMYFUNCTION("""COMPUTED_VALUE"""),"dimo")</f>
        <v>dimo</v>
      </c>
      <c r="B3644" s="4" t="str">
        <f>IFERROR(__xludf.DUMMYFUNCTION("""COMPUTED_VALUE"""),"dimo")</f>
        <v>dimo</v>
      </c>
      <c r="C3644" s="4" t="str">
        <f>IFERROR(__xludf.DUMMYFUNCTION("""COMPUTED_VALUE"""),"DIMO")</f>
        <v>DIMO</v>
      </c>
    </row>
    <row r="3645">
      <c r="A3645" s="4" t="str">
        <f>IFERROR(__xludf.DUMMYFUNCTION("""COMPUTED_VALUE"""),"dinamo-zagreb-fan-token")</f>
        <v>dinamo-zagreb-fan-token</v>
      </c>
      <c r="B3645" s="4" t="str">
        <f>IFERROR(__xludf.DUMMYFUNCTION("""COMPUTED_VALUE"""),"dzg")</f>
        <v>dzg</v>
      </c>
      <c r="C3645" s="4" t="str">
        <f>IFERROR(__xludf.DUMMYFUNCTION("""COMPUTED_VALUE"""),"Dinamo Zagreb Fan Token")</f>
        <v>Dinamo Zagreb Fan Token</v>
      </c>
    </row>
    <row r="3646">
      <c r="A3646" s="4" t="str">
        <f>IFERROR(__xludf.DUMMYFUNCTION("""COMPUTED_VALUE"""),"dinari-aapl-dshares")</f>
        <v>dinari-aapl-dshares</v>
      </c>
      <c r="B3646" s="4" t="str">
        <f>IFERROR(__xludf.DUMMYFUNCTION("""COMPUTED_VALUE"""),"aapl.d")</f>
        <v>aapl.d</v>
      </c>
      <c r="C3646" s="4" t="str">
        <f>IFERROR(__xludf.DUMMYFUNCTION("""COMPUTED_VALUE"""),"Dinari AAPL")</f>
        <v>Dinari AAPL</v>
      </c>
    </row>
    <row r="3647">
      <c r="A3647" s="4" t="str">
        <f>IFERROR(__xludf.DUMMYFUNCTION("""COMPUTED_VALUE"""),"dinari-amd")</f>
        <v>dinari-amd</v>
      </c>
      <c r="B3647" s="4" t="str">
        <f>IFERROR(__xludf.DUMMYFUNCTION("""COMPUTED_VALUE"""),"amd.d")</f>
        <v>amd.d</v>
      </c>
      <c r="C3647" s="4" t="str">
        <f>IFERROR(__xludf.DUMMYFUNCTION("""COMPUTED_VALUE"""),"Dinari AMD")</f>
        <v>Dinari AMD</v>
      </c>
    </row>
    <row r="3648">
      <c r="A3648" s="4" t="str">
        <f>IFERROR(__xludf.DUMMYFUNCTION("""COMPUTED_VALUE"""),"dinari-amzn-dshares")</f>
        <v>dinari-amzn-dshares</v>
      </c>
      <c r="B3648" s="4" t="str">
        <f>IFERROR(__xludf.DUMMYFUNCTION("""COMPUTED_VALUE"""),"amzn.d")</f>
        <v>amzn.d</v>
      </c>
      <c r="C3648" s="4" t="str">
        <f>IFERROR(__xludf.DUMMYFUNCTION("""COMPUTED_VALUE"""),"Dinari AMZN")</f>
        <v>Dinari AMZN</v>
      </c>
    </row>
    <row r="3649">
      <c r="A3649" s="4" t="str">
        <f>IFERROR(__xludf.DUMMYFUNCTION("""COMPUTED_VALUE"""),"dinari-arm")</f>
        <v>dinari-arm</v>
      </c>
      <c r="B3649" s="4" t="str">
        <f>IFERROR(__xludf.DUMMYFUNCTION("""COMPUTED_VALUE"""),"arm.d")</f>
        <v>arm.d</v>
      </c>
      <c r="C3649" s="4" t="str">
        <f>IFERROR(__xludf.DUMMYFUNCTION("""COMPUTED_VALUE"""),"Dinari ARM")</f>
        <v>Dinari ARM</v>
      </c>
    </row>
    <row r="3650">
      <c r="A3650" s="4" t="str">
        <f>IFERROR(__xludf.DUMMYFUNCTION("""COMPUTED_VALUE"""),"dinari-brk-a-d")</f>
        <v>dinari-brk-a-d</v>
      </c>
      <c r="B3650" s="4" t="str">
        <f>IFERROR(__xludf.DUMMYFUNCTION("""COMPUTED_VALUE"""),"brk.a.d")</f>
        <v>brk.a.d</v>
      </c>
      <c r="C3650" s="4" t="str">
        <f>IFERROR(__xludf.DUMMYFUNCTION("""COMPUTED_VALUE"""),"Dinari BRK.A")</f>
        <v>Dinari BRK.A</v>
      </c>
    </row>
    <row r="3651">
      <c r="A3651" s="4" t="str">
        <f>IFERROR(__xludf.DUMMYFUNCTION("""COMPUTED_VALUE"""),"dinari-coin")</f>
        <v>dinari-coin</v>
      </c>
      <c r="B3651" s="4" t="str">
        <f>IFERROR(__xludf.DUMMYFUNCTION("""COMPUTED_VALUE"""),"coin.d")</f>
        <v>coin.d</v>
      </c>
      <c r="C3651" s="4" t="str">
        <f>IFERROR(__xludf.DUMMYFUNCTION("""COMPUTED_VALUE"""),"Dinari COIN")</f>
        <v>Dinari COIN</v>
      </c>
    </row>
    <row r="3652">
      <c r="A3652" s="4" t="str">
        <f>IFERROR(__xludf.DUMMYFUNCTION("""COMPUTED_VALUE"""),"dinari-dis-dshares")</f>
        <v>dinari-dis-dshares</v>
      </c>
      <c r="B3652" s="4" t="str">
        <f>IFERROR(__xludf.DUMMYFUNCTION("""COMPUTED_VALUE"""),"dis.d")</f>
        <v>dis.d</v>
      </c>
      <c r="C3652" s="4" t="str">
        <f>IFERROR(__xludf.DUMMYFUNCTION("""COMPUTED_VALUE"""),"Dinari DIS")</f>
        <v>Dinari DIS</v>
      </c>
    </row>
    <row r="3653">
      <c r="A3653" s="4" t="str">
        <f>IFERROR(__xludf.DUMMYFUNCTION("""COMPUTED_VALUE"""),"dinari-googl-dshares")</f>
        <v>dinari-googl-dshares</v>
      </c>
      <c r="B3653" s="4" t="str">
        <f>IFERROR(__xludf.DUMMYFUNCTION("""COMPUTED_VALUE"""),"googl.d")</f>
        <v>googl.d</v>
      </c>
      <c r="C3653" s="4" t="str">
        <f>IFERROR(__xludf.DUMMYFUNCTION("""COMPUTED_VALUE"""),"Dinari GOOGL")</f>
        <v>Dinari GOOGL</v>
      </c>
    </row>
    <row r="3654">
      <c r="A3654" s="4" t="str">
        <f>IFERROR(__xludf.DUMMYFUNCTION("""COMPUTED_VALUE"""),"dinari-meta-dshare")</f>
        <v>dinari-meta-dshare</v>
      </c>
      <c r="B3654" s="4" t="str">
        <f>IFERROR(__xludf.DUMMYFUNCTION("""COMPUTED_VALUE"""),"meta.d")</f>
        <v>meta.d</v>
      </c>
      <c r="C3654" s="4" t="str">
        <f>IFERROR(__xludf.DUMMYFUNCTION("""COMPUTED_VALUE"""),"Dinari META")</f>
        <v>Dinari META</v>
      </c>
    </row>
    <row r="3655">
      <c r="A3655" s="4" t="str">
        <f>IFERROR(__xludf.DUMMYFUNCTION("""COMPUTED_VALUE"""),"dinari-msft-dshares")</f>
        <v>dinari-msft-dshares</v>
      </c>
      <c r="B3655" s="4" t="str">
        <f>IFERROR(__xludf.DUMMYFUNCTION("""COMPUTED_VALUE"""),"msft.d")</f>
        <v>msft.d</v>
      </c>
      <c r="C3655" s="4" t="str">
        <f>IFERROR(__xludf.DUMMYFUNCTION("""COMPUTED_VALUE"""),"Dinari MSFT")</f>
        <v>Dinari MSFT</v>
      </c>
    </row>
    <row r="3656">
      <c r="A3656" s="4" t="str">
        <f>IFERROR(__xludf.DUMMYFUNCTION("""COMPUTED_VALUE"""),"dinari-nflx-dshares")</f>
        <v>dinari-nflx-dshares</v>
      </c>
      <c r="B3656" s="4" t="str">
        <f>IFERROR(__xludf.DUMMYFUNCTION("""COMPUTED_VALUE"""),"nflx.d")</f>
        <v>nflx.d</v>
      </c>
      <c r="C3656" s="4" t="str">
        <f>IFERROR(__xludf.DUMMYFUNCTION("""COMPUTED_VALUE"""),"Dinari NFLX")</f>
        <v>Dinari NFLX</v>
      </c>
    </row>
    <row r="3657">
      <c r="A3657" s="4" t="str">
        <f>IFERROR(__xludf.DUMMYFUNCTION("""COMPUTED_VALUE"""),"dinari-nvda-dshares")</f>
        <v>dinari-nvda-dshares</v>
      </c>
      <c r="B3657" s="4" t="str">
        <f>IFERROR(__xludf.DUMMYFUNCTION("""COMPUTED_VALUE"""),"nvda.d")</f>
        <v>nvda.d</v>
      </c>
      <c r="C3657" s="4" t="str">
        <f>IFERROR(__xludf.DUMMYFUNCTION("""COMPUTED_VALUE"""),"Dinari NVDA")</f>
        <v>Dinari NVDA</v>
      </c>
    </row>
    <row r="3658">
      <c r="A3658" s="4" t="str">
        <f>IFERROR(__xludf.DUMMYFUNCTION("""COMPUTED_VALUE"""),"dinari-pfe-dshares")</f>
        <v>dinari-pfe-dshares</v>
      </c>
      <c r="B3658" s="4" t="str">
        <f>IFERROR(__xludf.DUMMYFUNCTION("""COMPUTED_VALUE"""),"pfe.d")</f>
        <v>pfe.d</v>
      </c>
      <c r="C3658" s="4" t="str">
        <f>IFERROR(__xludf.DUMMYFUNCTION("""COMPUTED_VALUE"""),"Dinari PFE")</f>
        <v>Dinari PFE</v>
      </c>
    </row>
    <row r="3659">
      <c r="A3659" s="4" t="str">
        <f>IFERROR(__xludf.DUMMYFUNCTION("""COMPUTED_VALUE"""),"dinari-pld")</f>
        <v>dinari-pld</v>
      </c>
      <c r="B3659" s="4" t="str">
        <f>IFERROR(__xludf.DUMMYFUNCTION("""COMPUTED_VALUE"""),"pld.d")</f>
        <v>pld.d</v>
      </c>
      <c r="C3659" s="4" t="str">
        <f>IFERROR(__xludf.DUMMYFUNCTION("""COMPUTED_VALUE"""),"Dinari PLD")</f>
        <v>Dinari PLD</v>
      </c>
    </row>
    <row r="3660">
      <c r="A3660" s="4" t="str">
        <f>IFERROR(__xludf.DUMMYFUNCTION("""COMPUTED_VALUE"""),"dinari-pypl-dshares")</f>
        <v>dinari-pypl-dshares</v>
      </c>
      <c r="B3660" s="4" t="str">
        <f>IFERROR(__xludf.DUMMYFUNCTION("""COMPUTED_VALUE"""),"pypl.d")</f>
        <v>pypl.d</v>
      </c>
      <c r="C3660" s="4" t="str">
        <f>IFERROR(__xludf.DUMMYFUNCTION("""COMPUTED_VALUE"""),"Dinari PYPL")</f>
        <v>Dinari PYPL</v>
      </c>
    </row>
    <row r="3661">
      <c r="A3661" s="4" t="str">
        <f>IFERROR(__xludf.DUMMYFUNCTION("""COMPUTED_VALUE"""),"dinari-spy-dshares")</f>
        <v>dinari-spy-dshares</v>
      </c>
      <c r="B3661" s="4" t="str">
        <f>IFERROR(__xludf.DUMMYFUNCTION("""COMPUTED_VALUE"""),"spy.d")</f>
        <v>spy.d</v>
      </c>
      <c r="C3661" s="4" t="str">
        <f>IFERROR(__xludf.DUMMYFUNCTION("""COMPUTED_VALUE"""),"Dinari SPY")</f>
        <v>Dinari SPY</v>
      </c>
    </row>
    <row r="3662">
      <c r="A3662" s="4" t="str">
        <f>IFERROR(__xludf.DUMMYFUNCTION("""COMPUTED_VALUE"""),"dinari-tsla-dshares")</f>
        <v>dinari-tsla-dshares</v>
      </c>
      <c r="B3662" s="4" t="str">
        <f>IFERROR(__xludf.DUMMYFUNCTION("""COMPUTED_VALUE"""),"tsla.d")</f>
        <v>tsla.d</v>
      </c>
      <c r="C3662" s="4" t="str">
        <f>IFERROR(__xludf.DUMMYFUNCTION("""COMPUTED_VALUE"""),"Dinari TSLA")</f>
        <v>Dinari TSLA</v>
      </c>
    </row>
    <row r="3663">
      <c r="A3663" s="4" t="str">
        <f>IFERROR(__xludf.DUMMYFUNCTION("""COMPUTED_VALUE"""),"dinari-usfr-dshares")</f>
        <v>dinari-usfr-dshares</v>
      </c>
      <c r="B3663" s="4" t="str">
        <f>IFERROR(__xludf.DUMMYFUNCTION("""COMPUTED_VALUE"""),"usfr.d")</f>
        <v>usfr.d</v>
      </c>
      <c r="C3663" s="4" t="str">
        <f>IFERROR(__xludf.DUMMYFUNCTION("""COMPUTED_VALUE"""),"Dinari USFR")</f>
        <v>Dinari USFR</v>
      </c>
    </row>
    <row r="3664">
      <c r="A3664" s="4" t="str">
        <f>IFERROR(__xludf.DUMMYFUNCTION("""COMPUTED_VALUE"""),"dinartether")</f>
        <v>dinartether</v>
      </c>
      <c r="B3664" s="4" t="str">
        <f>IFERROR(__xludf.DUMMYFUNCTION("""COMPUTED_VALUE"""),"dint")</f>
        <v>dint</v>
      </c>
      <c r="C3664" s="4" t="str">
        <f>IFERROR(__xludf.DUMMYFUNCTION("""COMPUTED_VALUE"""),"DinarTether")</f>
        <v>DinarTether</v>
      </c>
    </row>
    <row r="3665">
      <c r="A3665" s="4" t="str">
        <f>IFERROR(__xludf.DUMMYFUNCTION("""COMPUTED_VALUE"""),"dinero-apxeth")</f>
        <v>dinero-apxeth</v>
      </c>
      <c r="B3665" s="4" t="str">
        <f>IFERROR(__xludf.DUMMYFUNCTION("""COMPUTED_VALUE"""),"apxeth")</f>
        <v>apxeth</v>
      </c>
      <c r="C3665" s="4" t="str">
        <f>IFERROR(__xludf.DUMMYFUNCTION("""COMPUTED_VALUE"""),"Dinero apxETH")</f>
        <v>Dinero apxETH</v>
      </c>
    </row>
    <row r="3666">
      <c r="A3666" s="4" t="str">
        <f>IFERROR(__xludf.DUMMYFUNCTION("""COMPUTED_VALUE"""),"dinerobet")</f>
        <v>dinerobet</v>
      </c>
      <c r="B3666" s="4" t="str">
        <f>IFERROR(__xludf.DUMMYFUNCTION("""COMPUTED_VALUE"""),"dinero")</f>
        <v>dinero</v>
      </c>
      <c r="C3666" s="4" t="str">
        <f>IFERROR(__xludf.DUMMYFUNCTION("""COMPUTED_VALUE"""),"Dinerobet")</f>
        <v>Dinerobet</v>
      </c>
    </row>
    <row r="3667">
      <c r="A3667" s="4" t="str">
        <f>IFERROR(__xludf.DUMMYFUNCTION("""COMPUTED_VALUE"""),"dinero-staked-eth")</f>
        <v>dinero-staked-eth</v>
      </c>
      <c r="B3667" s="4" t="str">
        <f>IFERROR(__xludf.DUMMYFUNCTION("""COMPUTED_VALUE"""),"pxeth")</f>
        <v>pxeth</v>
      </c>
      <c r="C3667" s="4" t="str">
        <f>IFERROR(__xludf.DUMMYFUNCTION("""COMPUTED_VALUE"""),"Dinero Staked ETH")</f>
        <v>Dinero Staked ETH</v>
      </c>
    </row>
    <row r="3668">
      <c r="A3668" s="4" t="str">
        <f>IFERROR(__xludf.DUMMYFUNCTION("""COMPUTED_VALUE"""),"dinger-token")</f>
        <v>dinger-token</v>
      </c>
      <c r="B3668" s="4" t="str">
        <f>IFERROR(__xludf.DUMMYFUNCTION("""COMPUTED_VALUE"""),"dinger")</f>
        <v>dinger</v>
      </c>
      <c r="C3668" s="4" t="str">
        <f>IFERROR(__xludf.DUMMYFUNCTION("""COMPUTED_VALUE"""),"Dinger")</f>
        <v>Dinger</v>
      </c>
    </row>
    <row r="3669">
      <c r="A3669" s="4" t="str">
        <f>IFERROR(__xludf.DUMMYFUNCTION("""COMPUTED_VALUE"""),"dingocoin")</f>
        <v>dingocoin</v>
      </c>
      <c r="B3669" s="4" t="str">
        <f>IFERROR(__xludf.DUMMYFUNCTION("""COMPUTED_VALUE"""),"dingo")</f>
        <v>dingo</v>
      </c>
      <c r="C3669" s="4" t="str">
        <f>IFERROR(__xludf.DUMMYFUNCTION("""COMPUTED_VALUE"""),"Dingocoin")</f>
        <v>Dingocoin</v>
      </c>
    </row>
    <row r="3670">
      <c r="A3670" s="4" t="str">
        <f>IFERROR(__xludf.DUMMYFUNCTION("""COMPUTED_VALUE"""),"dinj")</f>
        <v>dinj</v>
      </c>
      <c r="B3670" s="4" t="str">
        <f>IFERROR(__xludf.DUMMYFUNCTION("""COMPUTED_VALUE"""),"dinj")</f>
        <v>dinj</v>
      </c>
      <c r="C3670" s="4" t="str">
        <f>IFERROR(__xludf.DUMMYFUNCTION("""COMPUTED_VALUE"""),"dINJ")</f>
        <v>dINJ</v>
      </c>
    </row>
    <row r="3671">
      <c r="A3671" s="4" t="str">
        <f>IFERROR(__xludf.DUMMYFUNCTION("""COMPUTED_VALUE"""),"dino")</f>
        <v>dino</v>
      </c>
      <c r="B3671" s="4" t="str">
        <f>IFERROR(__xludf.DUMMYFUNCTION("""COMPUTED_VALUE"""),"dino")</f>
        <v>dino</v>
      </c>
      <c r="C3671" s="4" t="str">
        <f>IFERROR(__xludf.DUMMYFUNCTION("""COMPUTED_VALUE"""),"Dino")</f>
        <v>Dino</v>
      </c>
    </row>
    <row r="3672">
      <c r="A3672" s="4" t="str">
        <f>IFERROR(__xludf.DUMMYFUNCTION("""COMPUTED_VALUE"""),"dinoegg")</f>
        <v>dinoegg</v>
      </c>
      <c r="B3672" s="4" t="str">
        <f>IFERROR(__xludf.DUMMYFUNCTION("""COMPUTED_VALUE"""),"dinoegg")</f>
        <v>dinoegg</v>
      </c>
      <c r="C3672" s="4" t="str">
        <f>IFERROR(__xludf.DUMMYFUNCTION("""COMPUTED_VALUE"""),"DINOEGG")</f>
        <v>DINOEGG</v>
      </c>
    </row>
    <row r="3673">
      <c r="A3673" s="4" t="str">
        <f>IFERROR(__xludf.DUMMYFUNCTION("""COMPUTED_VALUE"""),"dinolfg")</f>
        <v>dinolfg</v>
      </c>
      <c r="B3673" s="4" t="str">
        <f>IFERROR(__xludf.DUMMYFUNCTION("""COMPUTED_VALUE"""),"dino")</f>
        <v>dino</v>
      </c>
      <c r="C3673" s="4" t="str">
        <f>IFERROR(__xludf.DUMMYFUNCTION("""COMPUTED_VALUE"""),"DinoLFG")</f>
        <v>DinoLFG</v>
      </c>
    </row>
    <row r="3674">
      <c r="A3674" s="4" t="str">
        <f>IFERROR(__xludf.DUMMYFUNCTION("""COMPUTED_VALUE"""),"dino-poker")</f>
        <v>dino-poker</v>
      </c>
      <c r="B3674" s="4" t="str">
        <f>IFERROR(__xludf.DUMMYFUNCTION("""COMPUTED_VALUE"""),"rawr")</f>
        <v>rawr</v>
      </c>
      <c r="C3674" s="4" t="str">
        <f>IFERROR(__xludf.DUMMYFUNCTION("""COMPUTED_VALUE"""),"Dino Poker")</f>
        <v>Dino Poker</v>
      </c>
    </row>
    <row r="3675">
      <c r="A3675" s="4" t="str">
        <f>IFERROR(__xludf.DUMMYFUNCTION("""COMPUTED_VALUE"""),"dinosaur-inu")</f>
        <v>dinosaur-inu</v>
      </c>
      <c r="B3675" s="4" t="str">
        <f>IFERROR(__xludf.DUMMYFUNCTION("""COMPUTED_VALUE"""),"dino")</f>
        <v>dino</v>
      </c>
      <c r="C3675" s="4" t="str">
        <f>IFERROR(__xludf.DUMMYFUNCTION("""COMPUTED_VALUE"""),"Dinosaur Inu")</f>
        <v>Dinosaur Inu</v>
      </c>
    </row>
    <row r="3676">
      <c r="A3676" s="4" t="str">
        <f>IFERROR(__xludf.DUMMYFUNCTION("""COMPUTED_VALUE"""),"dinosol")</f>
        <v>dinosol</v>
      </c>
      <c r="B3676" s="4" t="str">
        <f>IFERROR(__xludf.DUMMYFUNCTION("""COMPUTED_VALUE"""),"dinosol")</f>
        <v>dinosol</v>
      </c>
      <c r="C3676" s="4" t="str">
        <f>IFERROR(__xludf.DUMMYFUNCTION("""COMPUTED_VALUE"""),"Dinosol")</f>
        <v>Dinosol</v>
      </c>
    </row>
    <row r="3677">
      <c r="A3677" s="4" t="str">
        <f>IFERROR(__xludf.DUMMYFUNCTION("""COMPUTED_VALUE"""),"dinoswap")</f>
        <v>dinoswap</v>
      </c>
      <c r="B3677" s="4" t="str">
        <f>IFERROR(__xludf.DUMMYFUNCTION("""COMPUTED_VALUE"""),"dino")</f>
        <v>dino</v>
      </c>
      <c r="C3677" s="4" t="str">
        <f>IFERROR(__xludf.DUMMYFUNCTION("""COMPUTED_VALUE"""),"DinoSwap")</f>
        <v>DinoSwap</v>
      </c>
    </row>
    <row r="3678">
      <c r="A3678" s="4" t="str">
        <f>IFERROR(__xludf.DUMMYFUNCTION("""COMPUTED_VALUE"""),"dinox")</f>
        <v>dinox</v>
      </c>
      <c r="B3678" s="4" t="str">
        <f>IFERROR(__xludf.DUMMYFUNCTION("""COMPUTED_VALUE"""),"dnxc")</f>
        <v>dnxc</v>
      </c>
      <c r="C3678" s="4" t="str">
        <f>IFERROR(__xludf.DUMMYFUNCTION("""COMPUTED_VALUE"""),"DinoX")</f>
        <v>DinoX</v>
      </c>
    </row>
    <row r="3679">
      <c r="A3679" s="4" t="str">
        <f>IFERROR(__xludf.DUMMYFUNCTION("""COMPUTED_VALUE"""),"dinu")</f>
        <v>dinu</v>
      </c>
      <c r="B3679" s="4" t="str">
        <f>IFERROR(__xludf.DUMMYFUNCTION("""COMPUTED_VALUE"""),"dinu")</f>
        <v>dinu</v>
      </c>
      <c r="C3679" s="4" t="str">
        <f>IFERROR(__xludf.DUMMYFUNCTION("""COMPUTED_VALUE"""),"DINU")</f>
        <v>DINU</v>
      </c>
    </row>
    <row r="3680">
      <c r="A3680" s="4" t="str">
        <f>IFERROR(__xludf.DUMMYFUNCTION("""COMPUTED_VALUE"""),"dione")</f>
        <v>dione</v>
      </c>
      <c r="B3680" s="4" t="str">
        <f>IFERROR(__xludf.DUMMYFUNCTION("""COMPUTED_VALUE"""),"dione")</f>
        <v>dione</v>
      </c>
      <c r="C3680" s="4" t="str">
        <f>IFERROR(__xludf.DUMMYFUNCTION("""COMPUTED_VALUE"""),"Dione")</f>
        <v>Dione</v>
      </c>
    </row>
    <row r="3681">
      <c r="A3681" s="4" t="str">
        <f>IFERROR(__xludf.DUMMYFUNCTION("""COMPUTED_VALUE"""),"dip-exchange")</f>
        <v>dip-exchange</v>
      </c>
      <c r="B3681" s="4" t="str">
        <f>IFERROR(__xludf.DUMMYFUNCTION("""COMPUTED_VALUE"""),"dip")</f>
        <v>dip</v>
      </c>
      <c r="C3681" s="4" t="str">
        <f>IFERROR(__xludf.DUMMYFUNCTION("""COMPUTED_VALUE"""),"DIP Exchange")</f>
        <v>DIP Exchange</v>
      </c>
    </row>
    <row r="3682">
      <c r="A3682" s="4" t="str">
        <f>IFERROR(__xludf.DUMMYFUNCTION("""COMPUTED_VALUE"""),"diqinu")</f>
        <v>diqinu</v>
      </c>
      <c r="B3682" s="4" t="str">
        <f>IFERROR(__xludf.DUMMYFUNCTION("""COMPUTED_VALUE"""),"diq")</f>
        <v>diq</v>
      </c>
      <c r="C3682" s="4" t="str">
        <f>IFERROR(__xludf.DUMMYFUNCTION("""COMPUTED_VALUE"""),"DIQINU")</f>
        <v>DIQINU</v>
      </c>
    </row>
    <row r="3683">
      <c r="A3683" s="4" t="str">
        <f>IFERROR(__xludf.DUMMYFUNCTION("""COMPUTED_VALUE"""),"disbalancer")</f>
        <v>disbalancer</v>
      </c>
      <c r="B3683" s="4" t="str">
        <f>IFERROR(__xludf.DUMMYFUNCTION("""COMPUTED_VALUE"""),"ddos")</f>
        <v>ddos</v>
      </c>
      <c r="C3683" s="4" t="str">
        <f>IFERROR(__xludf.DUMMYFUNCTION("""COMPUTED_VALUE"""),"disBalancer")</f>
        <v>disBalancer</v>
      </c>
    </row>
    <row r="3684">
      <c r="A3684" s="4" t="str">
        <f>IFERROR(__xludf.DUMMYFUNCTION("""COMPUTED_VALUE"""),"disney")</f>
        <v>disney</v>
      </c>
      <c r="B3684" s="4" t="str">
        <f>IFERROR(__xludf.DUMMYFUNCTION("""COMPUTED_VALUE"""),"dis")</f>
        <v>dis</v>
      </c>
      <c r="C3684" s="4" t="str">
        <f>IFERROR(__xludf.DUMMYFUNCTION("""COMPUTED_VALUE"""),"Disney")</f>
        <v>Disney</v>
      </c>
    </row>
    <row r="3685">
      <c r="A3685" s="4" t="str">
        <f>IFERROR(__xludf.DUMMYFUNCTION("""COMPUTED_VALUE"""),"distracted-dudes")</f>
        <v>distracted-dudes</v>
      </c>
      <c r="B3685" s="4" t="str">
        <f>IFERROR(__xludf.DUMMYFUNCTION("""COMPUTED_VALUE"""),"dude")</f>
        <v>dude</v>
      </c>
      <c r="C3685" s="4" t="str">
        <f>IFERROR(__xludf.DUMMYFUNCTION("""COMPUTED_VALUE"""),"Distracted Dudes")</f>
        <v>Distracted Dudes</v>
      </c>
    </row>
    <row r="3686">
      <c r="A3686" s="4" t="str">
        <f>IFERROR(__xludf.DUMMYFUNCTION("""COMPUTED_VALUE"""),"district0x")</f>
        <v>district0x</v>
      </c>
      <c r="B3686" s="4" t="str">
        <f>IFERROR(__xludf.DUMMYFUNCTION("""COMPUTED_VALUE"""),"dnt")</f>
        <v>dnt</v>
      </c>
      <c r="C3686" s="4" t="str">
        <f>IFERROR(__xludf.DUMMYFUNCTION("""COMPUTED_VALUE"""),"district0x")</f>
        <v>district0x</v>
      </c>
    </row>
    <row r="3687">
      <c r="A3687" s="4" t="str">
        <f>IFERROR(__xludf.DUMMYFUNCTION("""COMPUTED_VALUE"""),"dither")</f>
        <v>dither</v>
      </c>
      <c r="B3687" s="4" t="str">
        <f>IFERROR(__xludf.DUMMYFUNCTION("""COMPUTED_VALUE"""),"dith")</f>
        <v>dith</v>
      </c>
      <c r="C3687" s="4" t="str">
        <f>IFERROR(__xludf.DUMMYFUNCTION("""COMPUTED_VALUE"""),"Dither")</f>
        <v>Dither</v>
      </c>
    </row>
    <row r="3688">
      <c r="A3688" s="4" t="str">
        <f>IFERROR(__xludf.DUMMYFUNCTION("""COMPUTED_VALUE"""),"ditto-staked-aptos")</f>
        <v>ditto-staked-aptos</v>
      </c>
      <c r="B3688" s="4" t="str">
        <f>IFERROR(__xludf.DUMMYFUNCTION("""COMPUTED_VALUE"""),"stapt")</f>
        <v>stapt</v>
      </c>
      <c r="C3688" s="4" t="str">
        <f>IFERROR(__xludf.DUMMYFUNCTION("""COMPUTED_VALUE"""),"Ditto Staked Aptos")</f>
        <v>Ditto Staked Aptos</v>
      </c>
    </row>
    <row r="3689">
      <c r="A3689" s="4" t="str">
        <f>IFERROR(__xludf.DUMMYFUNCTION("""COMPUTED_VALUE"""),"diva-protocol")</f>
        <v>diva-protocol</v>
      </c>
      <c r="B3689" s="4" t="str">
        <f>IFERROR(__xludf.DUMMYFUNCTION("""COMPUTED_VALUE"""),"diva")</f>
        <v>diva</v>
      </c>
      <c r="C3689" s="4" t="str">
        <f>IFERROR(__xludf.DUMMYFUNCTION("""COMPUTED_VALUE"""),"DIVA Protocol")</f>
        <v>DIVA Protocol</v>
      </c>
    </row>
    <row r="3690">
      <c r="A3690" s="4" t="str">
        <f>IFERROR(__xludf.DUMMYFUNCTION("""COMPUTED_VALUE"""),"diva-staking")</f>
        <v>diva-staking</v>
      </c>
      <c r="B3690" s="4" t="str">
        <f>IFERROR(__xludf.DUMMYFUNCTION("""COMPUTED_VALUE"""),"diva")</f>
        <v>diva</v>
      </c>
      <c r="C3690" s="4" t="str">
        <f>IFERROR(__xludf.DUMMYFUNCTION("""COMPUTED_VALUE"""),"Diva Staking")</f>
        <v>Diva Staking</v>
      </c>
    </row>
    <row r="3691">
      <c r="A3691" s="4" t="str">
        <f>IFERROR(__xludf.DUMMYFUNCTION("""COMPUTED_VALUE"""),"divergence-protocol")</f>
        <v>divergence-protocol</v>
      </c>
      <c r="B3691" s="4" t="str">
        <f>IFERROR(__xludf.DUMMYFUNCTION("""COMPUTED_VALUE"""),"diver")</f>
        <v>diver</v>
      </c>
      <c r="C3691" s="4" t="str">
        <f>IFERROR(__xludf.DUMMYFUNCTION("""COMPUTED_VALUE"""),"Divergence Protocol")</f>
        <v>Divergence Protocol</v>
      </c>
    </row>
    <row r="3692">
      <c r="A3692" s="4" t="str">
        <f>IFERROR(__xludf.DUMMYFUNCTION("""COMPUTED_VALUE"""),"diversified-staked-eth")</f>
        <v>diversified-staked-eth</v>
      </c>
      <c r="B3692" s="4" t="str">
        <f>IFERROR(__xludf.DUMMYFUNCTION("""COMPUTED_VALUE"""),"dseth")</f>
        <v>dseth</v>
      </c>
      <c r="C3692" s="4" t="str">
        <f>IFERROR(__xludf.DUMMYFUNCTION("""COMPUTED_VALUE"""),"Diversified Staked ETH")</f>
        <v>Diversified Staked ETH</v>
      </c>
    </row>
    <row r="3693">
      <c r="A3693" s="4" t="str">
        <f>IFERROR(__xludf.DUMMYFUNCTION("""COMPUTED_VALUE"""),"diversityequity-inclusion")</f>
        <v>diversityequity-inclusion</v>
      </c>
      <c r="B3693" s="4" t="str">
        <f>IFERROR(__xludf.DUMMYFUNCTION("""COMPUTED_VALUE"""),"dei")</f>
        <v>dei</v>
      </c>
      <c r="C3693" s="4" t="str">
        <f>IFERROR(__xludf.DUMMYFUNCTION("""COMPUTED_VALUE"""),"DiversityEquity&amp;Inclusion")</f>
        <v>DiversityEquity&amp;Inclusion</v>
      </c>
    </row>
    <row r="3694">
      <c r="A3694" s="4" t="str">
        <f>IFERROR(__xludf.DUMMYFUNCTION("""COMPUTED_VALUE"""),"divi")</f>
        <v>divi</v>
      </c>
      <c r="B3694" s="4" t="str">
        <f>IFERROR(__xludf.DUMMYFUNCTION("""COMPUTED_VALUE"""),"divi")</f>
        <v>divi</v>
      </c>
      <c r="C3694" s="4" t="str">
        <f>IFERROR(__xludf.DUMMYFUNCTION("""COMPUTED_VALUE"""),"Divi")</f>
        <v>Divi</v>
      </c>
    </row>
    <row r="3695">
      <c r="A3695" s="4" t="str">
        <f>IFERROR(__xludf.DUMMYFUNCTION("""COMPUTED_VALUE"""),"divincipay")</f>
        <v>divincipay</v>
      </c>
      <c r="B3695" s="4" t="str">
        <f>IFERROR(__xludf.DUMMYFUNCTION("""COMPUTED_VALUE"""),"dvnci")</f>
        <v>dvnci</v>
      </c>
      <c r="C3695" s="4" t="str">
        <f>IFERROR(__xludf.DUMMYFUNCTION("""COMPUTED_VALUE"""),"DiVinciPay")</f>
        <v>DiVinciPay</v>
      </c>
    </row>
    <row r="3696">
      <c r="A3696" s="4" t="str">
        <f>IFERROR(__xludf.DUMMYFUNCTION("""COMPUTED_VALUE"""),"dizzyhavoc")</f>
        <v>dizzyhavoc</v>
      </c>
      <c r="B3696" s="4" t="str">
        <f>IFERROR(__xludf.DUMMYFUNCTION("""COMPUTED_VALUE"""),"dzhv")</f>
        <v>dzhv</v>
      </c>
      <c r="C3696" s="4" t="str">
        <f>IFERROR(__xludf.DUMMYFUNCTION("""COMPUTED_VALUE"""),"DizzyHavoc")</f>
        <v>DizzyHavoc</v>
      </c>
    </row>
    <row r="3697">
      <c r="A3697" s="4" t="str">
        <f>IFERROR(__xludf.DUMMYFUNCTION("""COMPUTED_VALUE"""),"djbonk")</f>
        <v>djbonk</v>
      </c>
      <c r="B3697" s="4" t="str">
        <f>IFERROR(__xludf.DUMMYFUNCTION("""COMPUTED_VALUE"""),"djbonk")</f>
        <v>djbonk</v>
      </c>
      <c r="C3697" s="4" t="str">
        <f>IFERROR(__xludf.DUMMYFUNCTION("""COMPUTED_VALUE"""),"DJBONK")</f>
        <v>DJBONK</v>
      </c>
    </row>
    <row r="3698">
      <c r="A3698" s="4" t="str">
        <f>IFERROR(__xludf.DUMMYFUNCTION("""COMPUTED_VALUE"""),"djed")</f>
        <v>djed</v>
      </c>
      <c r="B3698" s="4" t="str">
        <f>IFERROR(__xludf.DUMMYFUNCTION("""COMPUTED_VALUE"""),"djed")</f>
        <v>djed</v>
      </c>
      <c r="C3698" s="4" t="str">
        <f>IFERROR(__xludf.DUMMYFUNCTION("""COMPUTED_VALUE"""),"Djed")</f>
        <v>Djed</v>
      </c>
    </row>
    <row r="3699">
      <c r="A3699" s="4" t="str">
        <f>IFERROR(__xludf.DUMMYFUNCTION("""COMPUTED_VALUE"""),"dkargo")</f>
        <v>dkargo</v>
      </c>
      <c r="B3699" s="4" t="str">
        <f>IFERROR(__xludf.DUMMYFUNCTION("""COMPUTED_VALUE"""),"dka")</f>
        <v>dka</v>
      </c>
      <c r="C3699" s="4" t="str">
        <f>IFERROR(__xludf.DUMMYFUNCTION("""COMPUTED_VALUE"""),"dKargo")</f>
        <v>dKargo</v>
      </c>
    </row>
    <row r="3700">
      <c r="A3700" s="4" t="str">
        <f>IFERROR(__xludf.DUMMYFUNCTION("""COMPUTED_VALUE"""),"dkey-bank")</f>
        <v>dkey-bank</v>
      </c>
      <c r="B3700" s="4" t="str">
        <f>IFERROR(__xludf.DUMMYFUNCTION("""COMPUTED_VALUE"""),"dkey")</f>
        <v>dkey</v>
      </c>
      <c r="C3700" s="4" t="str">
        <f>IFERROR(__xludf.DUMMYFUNCTION("""COMPUTED_VALUE"""),"DKEY Bank")</f>
        <v>DKEY Bank</v>
      </c>
    </row>
    <row r="3701">
      <c r="A3701" s="4" t="str">
        <f>IFERROR(__xludf.DUMMYFUNCTION("""COMPUTED_VALUE"""),"dlp-duck-token")</f>
        <v>dlp-duck-token</v>
      </c>
      <c r="B3701" s="4" t="str">
        <f>IFERROR(__xludf.DUMMYFUNCTION("""COMPUTED_VALUE"""),"duck")</f>
        <v>duck</v>
      </c>
      <c r="C3701" s="4" t="str">
        <f>IFERROR(__xludf.DUMMYFUNCTION("""COMPUTED_VALUE"""),"DLP Duck")</f>
        <v>DLP Duck</v>
      </c>
    </row>
    <row r="3702">
      <c r="A3702" s="4" t="str">
        <f>IFERROR(__xludf.DUMMYFUNCTION("""COMPUTED_VALUE"""),"dmail-network")</f>
        <v>dmail-network</v>
      </c>
      <c r="B3702" s="4" t="str">
        <f>IFERROR(__xludf.DUMMYFUNCTION("""COMPUTED_VALUE"""),"dmail")</f>
        <v>dmail</v>
      </c>
      <c r="C3702" s="4" t="str">
        <f>IFERROR(__xludf.DUMMYFUNCTION("""COMPUTED_VALUE"""),"Dmail Network")</f>
        <v>Dmail Network</v>
      </c>
    </row>
    <row r="3703">
      <c r="A3703" s="4" t="str">
        <f>IFERROR(__xludf.DUMMYFUNCTION("""COMPUTED_VALUE"""),"dmx")</f>
        <v>dmx</v>
      </c>
      <c r="B3703" s="4" t="str">
        <f>IFERROR(__xludf.DUMMYFUNCTION("""COMPUTED_VALUE"""),"dmx")</f>
        <v>dmx</v>
      </c>
      <c r="C3703" s="4" t="str">
        <f>IFERROR(__xludf.DUMMYFUNCTION("""COMPUTED_VALUE"""),"DMX")</f>
        <v>DMX</v>
      </c>
    </row>
    <row r="3704">
      <c r="A3704" s="4" t="str">
        <f>IFERROR(__xludf.DUMMYFUNCTION("""COMPUTED_VALUE"""),"dmz-token")</f>
        <v>dmz-token</v>
      </c>
      <c r="B3704" s="4" t="str">
        <f>IFERROR(__xludf.DUMMYFUNCTION("""COMPUTED_VALUE"""),"dmz")</f>
        <v>dmz</v>
      </c>
      <c r="C3704" s="4" t="str">
        <f>IFERROR(__xludf.DUMMYFUNCTION("""COMPUTED_VALUE"""),"DMZ")</f>
        <v>DMZ</v>
      </c>
    </row>
    <row r="3705">
      <c r="A3705" s="4" t="str">
        <f>IFERROR(__xludf.DUMMYFUNCTION("""COMPUTED_VALUE"""),"dnaxcat")</f>
        <v>dnaxcat</v>
      </c>
      <c r="B3705" s="4" t="str">
        <f>IFERROR(__xludf.DUMMYFUNCTION("""COMPUTED_VALUE"""),"dxct")</f>
        <v>dxct</v>
      </c>
      <c r="C3705" s="4" t="str">
        <f>IFERROR(__xludf.DUMMYFUNCTION("""COMPUTED_VALUE"""),"DNAxCAT")</f>
        <v>DNAxCAT</v>
      </c>
    </row>
    <row r="3706">
      <c r="A3706" s="4" t="str">
        <f>IFERROR(__xludf.DUMMYFUNCTION("""COMPUTED_VALUE"""),"dobi")</f>
        <v>dobi</v>
      </c>
      <c r="B3706" s="4" t="str">
        <f>IFERROR(__xludf.DUMMYFUNCTION("""COMPUTED_VALUE"""),"dobi")</f>
        <v>dobi</v>
      </c>
      <c r="C3706" s="4" t="str">
        <f>IFERROR(__xludf.DUMMYFUNCTION("""COMPUTED_VALUE"""),"DOBI")</f>
        <v>DOBI</v>
      </c>
    </row>
    <row r="3707">
      <c r="A3707" s="4" t="str">
        <f>IFERROR(__xludf.DUMMYFUNCTION("""COMPUTED_VALUE"""),"dock")</f>
        <v>dock</v>
      </c>
      <c r="B3707" s="4" t="str">
        <f>IFERROR(__xludf.DUMMYFUNCTION("""COMPUTED_VALUE"""),"dock")</f>
        <v>dock</v>
      </c>
      <c r="C3707" s="4" t="str">
        <f>IFERROR(__xludf.DUMMYFUNCTION("""COMPUTED_VALUE"""),"Dock")</f>
        <v>Dock</v>
      </c>
    </row>
    <row r="3708">
      <c r="A3708" s="4" t="str">
        <f>IFERROR(__xludf.DUMMYFUNCTION("""COMPUTED_VALUE"""),"doctor-evil")</f>
        <v>doctor-evil</v>
      </c>
      <c r="B3708" s="4" t="str">
        <f>IFERROR(__xludf.DUMMYFUNCTION("""COMPUTED_VALUE"""),"evil")</f>
        <v>evil</v>
      </c>
      <c r="C3708" s="4" t="str">
        <f>IFERROR(__xludf.DUMMYFUNCTION("""COMPUTED_VALUE"""),"Doctor Evil")</f>
        <v>Doctor Evil</v>
      </c>
    </row>
    <row r="3709">
      <c r="A3709" s="4" t="str">
        <f>IFERROR(__xludf.DUMMYFUNCTION("""COMPUTED_VALUE"""),"docuchain")</f>
        <v>docuchain</v>
      </c>
      <c r="B3709" s="4" t="str">
        <f>IFERROR(__xludf.DUMMYFUNCTION("""COMPUTED_VALUE"""),"dcct")</f>
        <v>dcct</v>
      </c>
      <c r="C3709" s="4" t="str">
        <f>IFERROR(__xludf.DUMMYFUNCTION("""COMPUTED_VALUE"""),"DocuChain")</f>
        <v>DocuChain</v>
      </c>
    </row>
    <row r="3710">
      <c r="A3710" s="4" t="str">
        <f>IFERROR(__xludf.DUMMYFUNCTION("""COMPUTED_VALUE"""),"documentchain")</f>
        <v>documentchain</v>
      </c>
      <c r="B3710" s="4" t="str">
        <f>IFERROR(__xludf.DUMMYFUNCTION("""COMPUTED_VALUE"""),"dms")</f>
        <v>dms</v>
      </c>
      <c r="C3710" s="4" t="str">
        <f>IFERROR(__xludf.DUMMYFUNCTION("""COMPUTED_VALUE"""),"Documentchain")</f>
        <v>Documentchain</v>
      </c>
    </row>
    <row r="3711">
      <c r="A3711" s="4" t="str">
        <f>IFERROR(__xludf.DUMMYFUNCTION("""COMPUTED_VALUE"""),"dodo")</f>
        <v>dodo</v>
      </c>
      <c r="B3711" s="4" t="str">
        <f>IFERROR(__xludf.DUMMYFUNCTION("""COMPUTED_VALUE"""),"dodo")</f>
        <v>dodo</v>
      </c>
      <c r="C3711" s="4" t="str">
        <f>IFERROR(__xludf.DUMMYFUNCTION("""COMPUTED_VALUE"""),"DODO")</f>
        <v>DODO</v>
      </c>
    </row>
    <row r="3712">
      <c r="A3712" s="4" t="str">
        <f>IFERROR(__xludf.DUMMYFUNCTION("""COMPUTED_VALUE"""),"dodo-2")</f>
        <v>dodo-2</v>
      </c>
      <c r="B3712" s="4" t="str">
        <f>IFERROR(__xludf.DUMMYFUNCTION("""COMPUTED_VALUE"""),"dodo")</f>
        <v>dodo</v>
      </c>
      <c r="C3712" s="4" t="str">
        <f>IFERROR(__xludf.DUMMYFUNCTION("""COMPUTED_VALUE"""),"DODO")</f>
        <v>DODO</v>
      </c>
    </row>
    <row r="3713">
      <c r="A3713" s="4" t="str">
        <f>IFERROR(__xludf.DUMMYFUNCTION("""COMPUTED_VALUE"""),"doeg-wif-rerart")</f>
        <v>doeg-wif-rerart</v>
      </c>
      <c r="B3713" s="4" t="str">
        <f>IFERROR(__xludf.DUMMYFUNCTION("""COMPUTED_VALUE"""),"doeg")</f>
        <v>doeg</v>
      </c>
      <c r="C3713" s="4" t="str">
        <f>IFERROR(__xludf.DUMMYFUNCTION("""COMPUTED_VALUE"""),"Doeg Wif Rerart")</f>
        <v>Doeg Wif Rerart</v>
      </c>
    </row>
    <row r="3714">
      <c r="A3714" s="4" t="str">
        <f>IFERROR(__xludf.DUMMYFUNCTION("""COMPUTED_VALUE"""),"dog-3")</f>
        <v>dog-3</v>
      </c>
      <c r="B3714" s="4" t="str">
        <f>IFERROR(__xludf.DUMMYFUNCTION("""COMPUTED_VALUE"""),"dog")</f>
        <v>dog</v>
      </c>
      <c r="C3714" s="4" t="str">
        <f>IFERROR(__xludf.DUMMYFUNCTION("""COMPUTED_VALUE"""),"dog")</f>
        <v>dog</v>
      </c>
    </row>
    <row r="3715">
      <c r="A3715" s="4" t="str">
        <f>IFERROR(__xludf.DUMMYFUNCTION("""COMPUTED_VALUE"""),"dogai")</f>
        <v>dogai</v>
      </c>
      <c r="B3715" s="4" t="str">
        <f>IFERROR(__xludf.DUMMYFUNCTION("""COMPUTED_VALUE"""),"dogai")</f>
        <v>dogai</v>
      </c>
      <c r="C3715" s="4" t="str">
        <f>IFERROR(__xludf.DUMMYFUNCTION("""COMPUTED_VALUE"""),"Dogai")</f>
        <v>Dogai</v>
      </c>
    </row>
    <row r="3716">
      <c r="A3716" s="4" t="str">
        <f>IFERROR(__xludf.DUMMYFUNCTION("""COMPUTED_VALUE"""),"dogami")</f>
        <v>dogami</v>
      </c>
      <c r="B3716" s="4" t="str">
        <f>IFERROR(__xludf.DUMMYFUNCTION("""COMPUTED_VALUE"""),"doga")</f>
        <v>doga</v>
      </c>
      <c r="C3716" s="4" t="str">
        <f>IFERROR(__xludf.DUMMYFUNCTION("""COMPUTED_VALUE"""),"Dogami")</f>
        <v>Dogami</v>
      </c>
    </row>
    <row r="3717">
      <c r="A3717" s="4" t="str">
        <f>IFERROR(__xludf.DUMMYFUNCTION("""COMPUTED_VALUE"""),"dogcoin")</f>
        <v>dogcoin</v>
      </c>
      <c r="B3717" s="4" t="str">
        <f>IFERROR(__xludf.DUMMYFUNCTION("""COMPUTED_VALUE"""),"dogs")</f>
        <v>dogs</v>
      </c>
      <c r="C3717" s="4" t="str">
        <f>IFERROR(__xludf.DUMMYFUNCTION("""COMPUTED_VALUE"""),"Dogcoin")</f>
        <v>Dogcoin</v>
      </c>
    </row>
    <row r="3718">
      <c r="A3718" s="4" t="str">
        <f>IFERROR(__xludf.DUMMYFUNCTION("""COMPUTED_VALUE"""),"dog-collar")</f>
        <v>dog-collar</v>
      </c>
      <c r="B3718" s="4" t="str">
        <f>IFERROR(__xludf.DUMMYFUNCTION("""COMPUTED_VALUE"""),"collar")</f>
        <v>collar</v>
      </c>
      <c r="C3718" s="4" t="str">
        <f>IFERROR(__xludf.DUMMYFUNCTION("""COMPUTED_VALUE"""),"Dog Collar")</f>
        <v>Dog Collar</v>
      </c>
    </row>
    <row r="3719">
      <c r="A3719" s="4" t="str">
        <f>IFERROR(__xludf.DUMMYFUNCTION("""COMPUTED_VALUE"""),"dog-coq")</f>
        <v>dog-coq</v>
      </c>
      <c r="B3719" s="4" t="str">
        <f>IFERROR(__xludf.DUMMYFUNCTION("""COMPUTED_VALUE"""),"dogcoq")</f>
        <v>dogcoq</v>
      </c>
      <c r="C3719" s="4" t="str">
        <f>IFERROR(__xludf.DUMMYFUNCTION("""COMPUTED_VALUE"""),"DOG COQ")</f>
        <v>DOG COQ</v>
      </c>
    </row>
    <row r="3720">
      <c r="A3720" s="4" t="str">
        <f>IFERROR(__xludf.DUMMYFUNCTION("""COMPUTED_VALUE"""),"doge-1")</f>
        <v>doge-1</v>
      </c>
      <c r="B3720" s="4" t="str">
        <f>IFERROR(__xludf.DUMMYFUNCTION("""COMPUTED_VALUE"""),"doge1")</f>
        <v>doge1</v>
      </c>
      <c r="C3720" s="4" t="str">
        <f>IFERROR(__xludf.DUMMYFUNCTION("""COMPUTED_VALUE"""),"DOGE-1")</f>
        <v>DOGE-1</v>
      </c>
    </row>
    <row r="3721">
      <c r="A3721" s="4" t="str">
        <f>IFERROR(__xludf.DUMMYFUNCTION("""COMPUTED_VALUE"""),"doge-1-2")</f>
        <v>doge-1-2</v>
      </c>
      <c r="B3721" s="4" t="str">
        <f>IFERROR(__xludf.DUMMYFUNCTION("""COMPUTED_VALUE"""),"doge-1")</f>
        <v>doge-1</v>
      </c>
      <c r="C3721" s="4" t="str">
        <f>IFERROR(__xludf.DUMMYFUNCTION("""COMPUTED_VALUE"""),"DOGE-1")</f>
        <v>DOGE-1</v>
      </c>
    </row>
    <row r="3722">
      <c r="A3722" s="4" t="str">
        <f>IFERROR(__xludf.DUMMYFUNCTION("""COMPUTED_VALUE"""),"doge-1-mission-to-the-moon")</f>
        <v>doge-1-mission-to-the-moon</v>
      </c>
      <c r="B3722" s="4" t="str">
        <f>IFERROR(__xludf.DUMMYFUNCTION("""COMPUTED_VALUE"""),"doge-1")</f>
        <v>doge-1</v>
      </c>
      <c r="C3722" s="4" t="str">
        <f>IFERROR(__xludf.DUMMYFUNCTION("""COMPUTED_VALUE"""),"Doge-1 Mission to the moon")</f>
        <v>Doge-1 Mission to the moon</v>
      </c>
    </row>
    <row r="3723">
      <c r="A3723" s="4" t="str">
        <f>IFERROR(__xludf.DUMMYFUNCTION("""COMPUTED_VALUE"""),"doge-1-moon-mission")</f>
        <v>doge-1-moon-mission</v>
      </c>
      <c r="B3723" s="4" t="str">
        <f>IFERROR(__xludf.DUMMYFUNCTION("""COMPUTED_VALUE"""),"doge-1")</f>
        <v>doge-1</v>
      </c>
      <c r="C3723" s="4" t="str">
        <f>IFERROR(__xludf.DUMMYFUNCTION("""COMPUTED_VALUE"""),"DOGE-1 Moon Mission")</f>
        <v>DOGE-1 Moon Mission</v>
      </c>
    </row>
    <row r="3724">
      <c r="A3724" s="4" t="str">
        <f>IFERROR(__xludf.DUMMYFUNCTION("""COMPUTED_VALUE"""),"doge-1satellite")</f>
        <v>doge-1satellite</v>
      </c>
      <c r="B3724" s="4" t="str">
        <f>IFERROR(__xludf.DUMMYFUNCTION("""COMPUTED_VALUE"""),"doge-1sat")</f>
        <v>doge-1sat</v>
      </c>
      <c r="C3724" s="4" t="str">
        <f>IFERROR(__xludf.DUMMYFUNCTION("""COMPUTED_VALUE"""),"DOGE-1SATELLITE")</f>
        <v>DOGE-1SATELLITE</v>
      </c>
    </row>
    <row r="3725">
      <c r="A3725" s="4" t="str">
        <f>IFERROR(__xludf.DUMMYFUNCTION("""COMPUTED_VALUE"""),"doge-2-0")</f>
        <v>doge-2-0</v>
      </c>
      <c r="B3725" s="4" t="str">
        <f>IFERROR(__xludf.DUMMYFUNCTION("""COMPUTED_VALUE"""),"doge2.0")</f>
        <v>doge2.0</v>
      </c>
      <c r="C3725" s="4" t="str">
        <f>IFERROR(__xludf.DUMMYFUNCTION("""COMPUTED_VALUE"""),"Doge 2.0")</f>
        <v>Doge 2.0</v>
      </c>
    </row>
    <row r="3726">
      <c r="A3726" s="4" t="str">
        <f>IFERROR(__xludf.DUMMYFUNCTION("""COMPUTED_VALUE"""),"doge69")</f>
        <v>doge69</v>
      </c>
      <c r="B3726" s="4" t="str">
        <f>IFERROR(__xludf.DUMMYFUNCTION("""COMPUTED_VALUE"""),"doge69")</f>
        <v>doge69</v>
      </c>
      <c r="C3726" s="4" t="str">
        <f>IFERROR(__xludf.DUMMYFUNCTION("""COMPUTED_VALUE"""),"Doge69")</f>
        <v>Doge69</v>
      </c>
    </row>
    <row r="3727">
      <c r="A3727" s="4" t="str">
        <f>IFERROR(__xludf.DUMMYFUNCTION("""COMPUTED_VALUE"""),"dogeai")</f>
        <v>dogeai</v>
      </c>
      <c r="B3727" s="4" t="str">
        <f>IFERROR(__xludf.DUMMYFUNCTION("""COMPUTED_VALUE"""),"dogeai")</f>
        <v>dogeai</v>
      </c>
      <c r="C3727" s="4" t="str">
        <f>IFERROR(__xludf.DUMMYFUNCTION("""COMPUTED_VALUE"""),"DogeAi")</f>
        <v>DogeAi</v>
      </c>
    </row>
    <row r="3728">
      <c r="A3728" s="4" t="str">
        <f>IFERROR(__xludf.DUMMYFUNCTION("""COMPUTED_VALUE"""),"dogebits-drc-20")</f>
        <v>dogebits-drc-20</v>
      </c>
      <c r="B3728" s="4" t="str">
        <f>IFERROR(__xludf.DUMMYFUNCTION("""COMPUTED_VALUE"""),"dbit")</f>
        <v>dbit</v>
      </c>
      <c r="C3728" s="4" t="str">
        <f>IFERROR(__xludf.DUMMYFUNCTION("""COMPUTED_VALUE"""),"Dogebits (DRC-20)")</f>
        <v>Dogebits (DRC-20)</v>
      </c>
    </row>
    <row r="3729">
      <c r="A3729" s="4" t="str">
        <f>IFERROR(__xludf.DUMMYFUNCTION("""COMPUTED_VALUE"""),"dogebonk")</f>
        <v>dogebonk</v>
      </c>
      <c r="B3729" s="4" t="str">
        <f>IFERROR(__xludf.DUMMYFUNCTION("""COMPUTED_VALUE"""),"dobo")</f>
        <v>dobo</v>
      </c>
      <c r="C3729" s="4" t="str">
        <f>IFERROR(__xludf.DUMMYFUNCTION("""COMPUTED_VALUE"""),"DogeBonk")</f>
        <v>DogeBonk</v>
      </c>
    </row>
    <row r="3730">
      <c r="A3730" s="4" t="str">
        <f>IFERROR(__xludf.DUMMYFUNCTION("""COMPUTED_VALUE"""),"dogebonk-eth")</f>
        <v>dogebonk-eth</v>
      </c>
      <c r="B3730" s="4" t="str">
        <f>IFERROR(__xludf.DUMMYFUNCTION("""COMPUTED_VALUE"""),"dobo")</f>
        <v>dobo</v>
      </c>
      <c r="C3730" s="4" t="str">
        <f>IFERROR(__xludf.DUMMYFUNCTION("""COMPUTED_VALUE"""),"DogeBonk")</f>
        <v>DogeBonk</v>
      </c>
    </row>
    <row r="3731">
      <c r="A3731" s="4" t="str">
        <f>IFERROR(__xludf.DUMMYFUNCTION("""COMPUTED_VALUE"""),"dogebonk-on-sol")</f>
        <v>dogebonk-on-sol</v>
      </c>
      <c r="B3731" s="4" t="str">
        <f>IFERROR(__xludf.DUMMYFUNCTION("""COMPUTED_VALUE"""),"dobo")</f>
        <v>dobo</v>
      </c>
      <c r="C3731" s="4" t="str">
        <f>IFERROR(__xludf.DUMMYFUNCTION("""COMPUTED_VALUE"""),"dogebonk on sol")</f>
        <v>dogebonk on sol</v>
      </c>
    </row>
    <row r="3732">
      <c r="A3732" s="4" t="str">
        <f>IFERROR(__xludf.DUMMYFUNCTION("""COMPUTED_VALUE"""),"dogeboy")</f>
        <v>dogeboy</v>
      </c>
      <c r="B3732" s="4" t="str">
        <f>IFERROR(__xludf.DUMMYFUNCTION("""COMPUTED_VALUE"""),"dogb")</f>
        <v>dogb</v>
      </c>
      <c r="C3732" s="4" t="str">
        <f>IFERROR(__xludf.DUMMYFUNCTION("""COMPUTED_VALUE"""),"DogeBoy")</f>
        <v>DogeBoy</v>
      </c>
    </row>
    <row r="3733">
      <c r="A3733" s="4" t="str">
        <f>IFERROR(__xludf.DUMMYFUNCTION("""COMPUTED_VALUE"""),"dogecash")</f>
        <v>dogecash</v>
      </c>
      <c r="B3733" s="4" t="str">
        <f>IFERROR(__xludf.DUMMYFUNCTION("""COMPUTED_VALUE"""),"dogec")</f>
        <v>dogec</v>
      </c>
      <c r="C3733" s="4" t="str">
        <f>IFERROR(__xludf.DUMMYFUNCTION("""COMPUTED_VALUE"""),"DogeCash")</f>
        <v>DogeCash</v>
      </c>
    </row>
    <row r="3734">
      <c r="A3734" s="4" t="str">
        <f>IFERROR(__xludf.DUMMYFUNCTION("""COMPUTED_VALUE"""),"doge-ceo")</f>
        <v>doge-ceo</v>
      </c>
      <c r="B3734" s="4" t="str">
        <f>IFERROR(__xludf.DUMMYFUNCTION("""COMPUTED_VALUE"""),"dogeceo")</f>
        <v>dogeceo</v>
      </c>
      <c r="C3734" s="4" t="str">
        <f>IFERROR(__xludf.DUMMYFUNCTION("""COMPUTED_VALUE"""),"Doge CEO")</f>
        <v>Doge CEO</v>
      </c>
    </row>
    <row r="3735">
      <c r="A3735" s="4" t="str">
        <f>IFERROR(__xludf.DUMMYFUNCTION("""COMPUTED_VALUE"""),"dogeceomeme")</f>
        <v>dogeceomeme</v>
      </c>
      <c r="B3735" s="4" t="str">
        <f>IFERROR(__xludf.DUMMYFUNCTION("""COMPUTED_VALUE"""),"dogeceo")</f>
        <v>dogeceo</v>
      </c>
      <c r="C3735" s="4" t="str">
        <f>IFERROR(__xludf.DUMMYFUNCTION("""COMPUTED_VALUE"""),"DOGE CEO AI")</f>
        <v>DOGE CEO AI</v>
      </c>
    </row>
    <row r="3736">
      <c r="A3736" s="4" t="str">
        <f>IFERROR(__xludf.DUMMYFUNCTION("""COMPUTED_VALUE"""),"dogechain")</f>
        <v>dogechain</v>
      </c>
      <c r="B3736" s="4" t="str">
        <f>IFERROR(__xludf.DUMMYFUNCTION("""COMPUTED_VALUE"""),"dc")</f>
        <v>dc</v>
      </c>
      <c r="C3736" s="4" t="str">
        <f>IFERROR(__xludf.DUMMYFUNCTION("""COMPUTED_VALUE"""),"Dogechain")</f>
        <v>Dogechain</v>
      </c>
    </row>
    <row r="3737">
      <c r="A3737" s="4" t="str">
        <f>IFERROR(__xludf.DUMMYFUNCTION("""COMPUTED_VALUE"""),"dogeclub")</f>
        <v>dogeclub</v>
      </c>
      <c r="B3737" s="4" t="str">
        <f>IFERROR(__xludf.DUMMYFUNCTION("""COMPUTED_VALUE"""),"dogc")</f>
        <v>dogc</v>
      </c>
      <c r="C3737" s="4" t="str">
        <f>IFERROR(__xludf.DUMMYFUNCTION("""COMPUTED_VALUE"""),"DogeClub")</f>
        <v>DogeClub</v>
      </c>
    </row>
    <row r="3738">
      <c r="A3738" s="4" t="str">
        <f>IFERROR(__xludf.DUMMYFUNCTION("""COMPUTED_VALUE"""),"dogecoin")</f>
        <v>dogecoin</v>
      </c>
      <c r="B3738" s="4" t="str">
        <f>IFERROR(__xludf.DUMMYFUNCTION("""COMPUTED_VALUE"""),"doge")</f>
        <v>doge</v>
      </c>
      <c r="C3738" s="4" t="str">
        <f>IFERROR(__xludf.DUMMYFUNCTION("""COMPUTED_VALUE"""),"Dogecoin")</f>
        <v>Dogecoin</v>
      </c>
    </row>
    <row r="3739">
      <c r="A3739" s="4" t="str">
        <f>IFERROR(__xludf.DUMMYFUNCTION("""COMPUTED_VALUE"""),"dogecoin-2")</f>
        <v>dogecoin-2</v>
      </c>
      <c r="B3739" s="4" t="str">
        <f>IFERROR(__xludf.DUMMYFUNCTION("""COMPUTED_VALUE"""),"doge2")</f>
        <v>doge2</v>
      </c>
      <c r="C3739" s="4" t="str">
        <f>IFERROR(__xludf.DUMMYFUNCTION("""COMPUTED_VALUE"""),"Dogecoin 2.0")</f>
        <v>Dogecoin 2.0</v>
      </c>
    </row>
    <row r="3740">
      <c r="A3740" s="4" t="str">
        <f>IFERROR(__xludf.DUMMYFUNCTION("""COMPUTED_VALUE"""),"dogecola")</f>
        <v>dogecola</v>
      </c>
      <c r="B3740" s="4" t="str">
        <f>IFERROR(__xludf.DUMMYFUNCTION("""COMPUTED_VALUE"""),"colana")</f>
        <v>colana</v>
      </c>
      <c r="C3740" s="4" t="str">
        <f>IFERROR(__xludf.DUMMYFUNCTION("""COMPUTED_VALUE"""),"COLANA")</f>
        <v>COLANA</v>
      </c>
    </row>
    <row r="3741">
      <c r="A3741" s="4" t="str">
        <f>IFERROR(__xludf.DUMMYFUNCTION("""COMPUTED_VALUE"""),"dogecube")</f>
        <v>dogecube</v>
      </c>
      <c r="B3741" s="4" t="str">
        <f>IFERROR(__xludf.DUMMYFUNCTION("""COMPUTED_VALUE"""),"dogecube")</f>
        <v>dogecube</v>
      </c>
      <c r="C3741" s="4" t="str">
        <f>IFERROR(__xludf.DUMMYFUNCTION("""COMPUTED_VALUE"""),"DogeCube")</f>
        <v>DogeCube</v>
      </c>
    </row>
    <row r="3742">
      <c r="A3742" s="4" t="str">
        <f>IFERROR(__xludf.DUMMYFUNCTION("""COMPUTED_VALUE"""),"dogedi")</f>
        <v>dogedi</v>
      </c>
      <c r="B3742" s="4" t="str">
        <f>IFERROR(__xludf.DUMMYFUNCTION("""COMPUTED_VALUE"""),"dogedi")</f>
        <v>dogedi</v>
      </c>
      <c r="C3742" s="4" t="str">
        <f>IFERROR(__xludf.DUMMYFUNCTION("""COMPUTED_VALUE"""),"DOGEDI")</f>
        <v>DOGEDI</v>
      </c>
    </row>
    <row r="3743">
      <c r="A3743" s="4" t="str">
        <f>IFERROR(__xludf.DUMMYFUNCTION("""COMPUTED_VALUE"""),"dogedragon")</f>
        <v>dogedragon</v>
      </c>
      <c r="B3743" s="4" t="str">
        <f>IFERROR(__xludf.DUMMYFUNCTION("""COMPUTED_VALUE"""),"dd")</f>
        <v>dd</v>
      </c>
      <c r="C3743" s="4" t="str">
        <f>IFERROR(__xludf.DUMMYFUNCTION("""COMPUTED_VALUE"""),"DogeDragon")</f>
        <v>DogeDragon</v>
      </c>
    </row>
    <row r="3744">
      <c r="A3744" s="4" t="str">
        <f>IFERROR(__xludf.DUMMYFUNCTION("""COMPUTED_VALUE"""),"doge-eat-doge")</f>
        <v>doge-eat-doge</v>
      </c>
      <c r="B3744" s="4" t="str">
        <f>IFERROR(__xludf.DUMMYFUNCTION("""COMPUTED_VALUE"""),"omnom")</f>
        <v>omnom</v>
      </c>
      <c r="C3744" s="4" t="str">
        <f>IFERROR(__xludf.DUMMYFUNCTION("""COMPUTED_VALUE"""),"Doge Eat Doge")</f>
        <v>Doge Eat Doge</v>
      </c>
    </row>
    <row r="3745">
      <c r="A3745" s="4" t="str">
        <f>IFERROR(__xludf.DUMMYFUNCTION("""COMPUTED_VALUE"""),"doge-floki-2-0")</f>
        <v>doge-floki-2-0</v>
      </c>
      <c r="B3745" s="4" t="str">
        <f>IFERROR(__xludf.DUMMYFUNCTION("""COMPUTED_VALUE"""),"(dofi20")</f>
        <v>(dofi20</v>
      </c>
      <c r="C3745" s="4" t="str">
        <f>IFERROR(__xludf.DUMMYFUNCTION("""COMPUTED_VALUE"""),"DOGE FLOKI 2.0")</f>
        <v>DOGE FLOKI 2.0</v>
      </c>
    </row>
    <row r="3746">
      <c r="A3746" s="4" t="str">
        <f>IFERROR(__xludf.DUMMYFUNCTION("""COMPUTED_VALUE"""),"doge-floki-coin")</f>
        <v>doge-floki-coin</v>
      </c>
      <c r="B3746" s="4" t="str">
        <f>IFERROR(__xludf.DUMMYFUNCTION("""COMPUTED_VALUE"""),"dofi")</f>
        <v>dofi</v>
      </c>
      <c r="C3746" s="4" t="str">
        <f>IFERROR(__xludf.DUMMYFUNCTION("""COMPUTED_VALUE"""),"Doge Floki Coin [OLD]")</f>
        <v>Doge Floki Coin [OLD]</v>
      </c>
    </row>
    <row r="3747">
      <c r="A3747" s="4" t="str">
        <f>IFERROR(__xludf.DUMMYFUNCTION("""COMPUTED_VALUE"""),"doge-floki-coin-2")</f>
        <v>doge-floki-coin-2</v>
      </c>
      <c r="B3747" s="4" t="str">
        <f>IFERROR(__xludf.DUMMYFUNCTION("""COMPUTED_VALUE"""),"dofi")</f>
        <v>dofi</v>
      </c>
      <c r="C3747" s="4" t="str">
        <f>IFERROR(__xludf.DUMMYFUNCTION("""COMPUTED_VALUE"""),"Doge Floki Coin")</f>
        <v>Doge Floki Coin</v>
      </c>
    </row>
    <row r="3748">
      <c r="A3748" s="4" t="str">
        <f>IFERROR(__xludf.DUMMYFUNCTION("""COMPUTED_VALUE"""),"dogefood")</f>
        <v>dogefood</v>
      </c>
      <c r="B3748" s="4" t="str">
        <f>IFERROR(__xludf.DUMMYFUNCTION("""COMPUTED_VALUE"""),"dogefood")</f>
        <v>dogefood</v>
      </c>
      <c r="C3748" s="4" t="str">
        <f>IFERROR(__xludf.DUMMYFUNCTION("""COMPUTED_VALUE"""),"DogeFood")</f>
        <v>DogeFood</v>
      </c>
    </row>
    <row r="3749">
      <c r="A3749" s="4" t="str">
        <f>IFERROR(__xludf.DUMMYFUNCTION("""COMPUTED_VALUE"""),"dogegayson")</f>
        <v>dogegayson</v>
      </c>
      <c r="B3749" s="4" t="str">
        <f>IFERROR(__xludf.DUMMYFUNCTION("""COMPUTED_VALUE"""),"goge")</f>
        <v>goge</v>
      </c>
      <c r="C3749" s="4" t="str">
        <f>IFERROR(__xludf.DUMMYFUNCTION("""COMPUTED_VALUE"""),"Goge DAO")</f>
        <v>Goge DAO</v>
      </c>
    </row>
    <row r="3750">
      <c r="A3750" s="4" t="str">
        <f>IFERROR(__xludf.DUMMYFUNCTION("""COMPUTED_VALUE"""),"dogegf")</f>
        <v>dogegf</v>
      </c>
      <c r="B3750" s="4" t="str">
        <f>IFERROR(__xludf.DUMMYFUNCTION("""COMPUTED_VALUE"""),"dogegf")</f>
        <v>dogegf</v>
      </c>
      <c r="C3750" s="4" t="str">
        <f>IFERROR(__xludf.DUMMYFUNCTION("""COMPUTED_VALUE"""),"DogeGF")</f>
        <v>DogeGF</v>
      </c>
    </row>
    <row r="3751">
      <c r="A3751" s="4" t="str">
        <f>IFERROR(__xludf.DUMMYFUNCTION("""COMPUTED_VALUE"""),"doge-grok")</f>
        <v>doge-grok</v>
      </c>
      <c r="B3751" s="4" t="str">
        <f>IFERROR(__xludf.DUMMYFUNCTION("""COMPUTED_VALUE"""),"dogegrok")</f>
        <v>dogegrok</v>
      </c>
      <c r="C3751" s="4" t="str">
        <f>IFERROR(__xludf.DUMMYFUNCTION("""COMPUTED_VALUE"""),"Doge Grok")</f>
        <v>Doge Grok</v>
      </c>
    </row>
    <row r="3752">
      <c r="A3752" s="4" t="str">
        <f>IFERROR(__xludf.DUMMYFUNCTION("""COMPUTED_VALUE"""),"dogegrow")</f>
        <v>dogegrow</v>
      </c>
      <c r="B3752" s="4" t="str">
        <f>IFERROR(__xludf.DUMMYFUNCTION("""COMPUTED_VALUE"""),"dgr")</f>
        <v>dgr</v>
      </c>
      <c r="C3752" s="4" t="str">
        <f>IFERROR(__xludf.DUMMYFUNCTION("""COMPUTED_VALUE"""),"DogeGrow")</f>
        <v>DogeGrow</v>
      </c>
    </row>
    <row r="3753">
      <c r="A3753" s="4" t="str">
        <f>IFERROR(__xludf.DUMMYFUNCTION("""COMPUTED_VALUE"""),"doge-inu")</f>
        <v>doge-inu</v>
      </c>
      <c r="B3753" s="4" t="str">
        <f>IFERROR(__xludf.DUMMYFUNCTION("""COMPUTED_VALUE"""),"dinu")</f>
        <v>dinu</v>
      </c>
      <c r="C3753" s="4" t="str">
        <f>IFERROR(__xludf.DUMMYFUNCTION("""COMPUTED_VALUE"""),"Doge Inu")</f>
        <v>Doge Inu</v>
      </c>
    </row>
    <row r="3754">
      <c r="A3754" s="4" t="str">
        <f>IFERROR(__xludf.DUMMYFUNCTION("""COMPUTED_VALUE"""),"doge-kaki")</f>
        <v>doge-kaki</v>
      </c>
      <c r="B3754" s="4" t="str">
        <f>IFERROR(__xludf.DUMMYFUNCTION("""COMPUTED_VALUE"""),"kaki")</f>
        <v>kaki</v>
      </c>
      <c r="C3754" s="4" t="str">
        <f>IFERROR(__xludf.DUMMYFUNCTION("""COMPUTED_VALUE"""),"Doge KaKi")</f>
        <v>Doge KaKi</v>
      </c>
    </row>
    <row r="3755">
      <c r="A3755" s="4" t="str">
        <f>IFERROR(__xludf.DUMMYFUNCTION("""COMPUTED_VALUE"""),"dogeking")</f>
        <v>dogeking</v>
      </c>
      <c r="B3755" s="4" t="str">
        <f>IFERROR(__xludf.DUMMYFUNCTION("""COMPUTED_VALUE"""),"dogeking")</f>
        <v>dogeking</v>
      </c>
      <c r="C3755" s="4" t="str">
        <f>IFERROR(__xludf.DUMMYFUNCTION("""COMPUTED_VALUE"""),"DogeKing")</f>
        <v>DogeKing</v>
      </c>
    </row>
    <row r="3756">
      <c r="A3756" s="4" t="str">
        <f>IFERROR(__xludf.DUMMYFUNCTION("""COMPUTED_VALUE"""),"dogelana")</f>
        <v>dogelana</v>
      </c>
      <c r="B3756" s="4" t="str">
        <f>IFERROR(__xludf.DUMMYFUNCTION("""COMPUTED_VALUE"""),"dgln")</f>
        <v>dgln</v>
      </c>
      <c r="C3756" s="4" t="str">
        <f>IFERROR(__xludf.DUMMYFUNCTION("""COMPUTED_VALUE"""),"Dogelana")</f>
        <v>Dogelana</v>
      </c>
    </row>
    <row r="3757">
      <c r="A3757" s="4" t="str">
        <f>IFERROR(__xludf.DUMMYFUNCTION("""COMPUTED_VALUE"""),"doge-legion")</f>
        <v>doge-legion</v>
      </c>
      <c r="B3757" s="4" t="str">
        <f>IFERROR(__xludf.DUMMYFUNCTION("""COMPUTED_VALUE"""),"doge legio")</f>
        <v>doge legio</v>
      </c>
      <c r="C3757" s="4" t="str">
        <f>IFERROR(__xludf.DUMMYFUNCTION("""COMPUTED_VALUE"""),"DOGE LEGION")</f>
        <v>DOGE LEGION</v>
      </c>
    </row>
    <row r="3758">
      <c r="A3758" s="4" t="str">
        <f>IFERROR(__xludf.DUMMYFUNCTION("""COMPUTED_VALUE"""),"dogelogy")</f>
        <v>dogelogy</v>
      </c>
      <c r="B3758" s="4" t="str">
        <f>IFERROR(__xludf.DUMMYFUNCTION("""COMPUTED_VALUE"""),"doge 0.1")</f>
        <v>doge 0.1</v>
      </c>
      <c r="C3758" s="4" t="str">
        <f>IFERROR(__xludf.DUMMYFUNCTION("""COMPUTED_VALUE"""),"Dogelogy")</f>
        <v>Dogelogy</v>
      </c>
    </row>
    <row r="3759">
      <c r="A3759" s="4" t="str">
        <f>IFERROR(__xludf.DUMMYFUNCTION("""COMPUTED_VALUE"""),"dogelon-classic")</f>
        <v>dogelon-classic</v>
      </c>
      <c r="B3759" s="4" t="str">
        <f>IFERROR(__xludf.DUMMYFUNCTION("""COMPUTED_VALUE"""),"elonc")</f>
        <v>elonc</v>
      </c>
      <c r="C3759" s="4" t="str">
        <f>IFERROR(__xludf.DUMMYFUNCTION("""COMPUTED_VALUE"""),"Dogelon Classic")</f>
        <v>Dogelon Classic</v>
      </c>
    </row>
    <row r="3760">
      <c r="A3760" s="4" t="str">
        <f>IFERROR(__xludf.DUMMYFUNCTION("""COMPUTED_VALUE"""),"dogelon-mars")</f>
        <v>dogelon-mars</v>
      </c>
      <c r="B3760" s="4" t="str">
        <f>IFERROR(__xludf.DUMMYFUNCTION("""COMPUTED_VALUE"""),"elon")</f>
        <v>elon</v>
      </c>
      <c r="C3760" s="4" t="str">
        <f>IFERROR(__xludf.DUMMYFUNCTION("""COMPUTED_VALUE"""),"Dogelon Mars")</f>
        <v>Dogelon Mars</v>
      </c>
    </row>
    <row r="3761">
      <c r="A3761" s="4" t="str">
        <f>IFERROR(__xludf.DUMMYFUNCTION("""COMPUTED_VALUE"""),"dogelon-mars-2-0")</f>
        <v>dogelon-mars-2-0</v>
      </c>
      <c r="B3761" s="4" t="str">
        <f>IFERROR(__xludf.DUMMYFUNCTION("""COMPUTED_VALUE"""),"elon2.0")</f>
        <v>elon2.0</v>
      </c>
      <c r="C3761" s="4" t="str">
        <f>IFERROR(__xludf.DUMMYFUNCTION("""COMPUTED_VALUE"""),"Dogelon Mars 2.0")</f>
        <v>Dogelon Mars 2.0</v>
      </c>
    </row>
    <row r="3762">
      <c r="A3762" s="4" t="str">
        <f>IFERROR(__xludf.DUMMYFUNCTION("""COMPUTED_VALUE"""),"dogelon-mars-wormhole")</f>
        <v>dogelon-mars-wormhole</v>
      </c>
      <c r="B3762" s="4" t="str">
        <f>IFERROR(__xludf.DUMMYFUNCTION("""COMPUTED_VALUE"""),"elon")</f>
        <v>elon</v>
      </c>
      <c r="C3762" s="4" t="str">
        <f>IFERROR(__xludf.DUMMYFUNCTION("""COMPUTED_VALUE"""),"Dogelon Mars (Wormhole)")</f>
        <v>Dogelon Mars (Wormhole)</v>
      </c>
    </row>
    <row r="3763">
      <c r="A3763" s="4" t="str">
        <f>IFERROR(__xludf.DUMMYFUNCTION("""COMPUTED_VALUE"""),"doge-lumens")</f>
        <v>doge-lumens</v>
      </c>
      <c r="B3763" s="4" t="str">
        <f>IFERROR(__xludf.DUMMYFUNCTION("""COMPUTED_VALUE"""),"dxlm")</f>
        <v>dxlm</v>
      </c>
      <c r="C3763" s="4" t="str">
        <f>IFERROR(__xludf.DUMMYFUNCTION("""COMPUTED_VALUE"""),"DogeLumens")</f>
        <v>DogeLumens</v>
      </c>
    </row>
    <row r="3764">
      <c r="A3764" s="4" t="str">
        <f>IFERROR(__xludf.DUMMYFUNCTION("""COMPUTED_VALUE"""),"doge-marley")</f>
        <v>doge-marley</v>
      </c>
      <c r="B3764" s="4" t="str">
        <f>IFERROR(__xludf.DUMMYFUNCTION("""COMPUTED_VALUE"""),"marley")</f>
        <v>marley</v>
      </c>
      <c r="C3764" s="4" t="str">
        <f>IFERROR(__xludf.DUMMYFUNCTION("""COMPUTED_VALUE"""),"Doge Marley")</f>
        <v>Doge Marley</v>
      </c>
    </row>
    <row r="3765">
      <c r="A3765" s="4" t="str">
        <f>IFERROR(__xludf.DUMMYFUNCTION("""COMPUTED_VALUE"""),"dogemeta")</f>
        <v>dogemeta</v>
      </c>
      <c r="B3765" s="4" t="str">
        <f>IFERROR(__xludf.DUMMYFUNCTION("""COMPUTED_VALUE"""),"dogemeta")</f>
        <v>dogemeta</v>
      </c>
      <c r="C3765" s="4" t="str">
        <f>IFERROR(__xludf.DUMMYFUNCTION("""COMPUTED_VALUE"""),"DOGEMETA")</f>
        <v>DOGEMETA</v>
      </c>
    </row>
    <row r="3766">
      <c r="A3766" s="4" t="str">
        <f>IFERROR(__xludf.DUMMYFUNCTION("""COMPUTED_VALUE"""),"dogemob")</f>
        <v>dogemob</v>
      </c>
      <c r="B3766" s="4" t="str">
        <f>IFERROR(__xludf.DUMMYFUNCTION("""COMPUTED_VALUE"""),"dogemob")</f>
        <v>dogemob</v>
      </c>
      <c r="C3766" s="4" t="str">
        <f>IFERROR(__xludf.DUMMYFUNCTION("""COMPUTED_VALUE"""),"Dogemob")</f>
        <v>Dogemob</v>
      </c>
    </row>
    <row r="3767">
      <c r="A3767" s="4" t="str">
        <f>IFERROR(__xludf.DUMMYFUNCTION("""COMPUTED_VALUE"""),"dogemon-go")</f>
        <v>dogemon-go</v>
      </c>
      <c r="B3767" s="4" t="str">
        <f>IFERROR(__xludf.DUMMYFUNCTION("""COMPUTED_VALUE"""),"dogo")</f>
        <v>dogo</v>
      </c>
      <c r="C3767" s="4" t="str">
        <f>IFERROR(__xludf.DUMMYFUNCTION("""COMPUTED_VALUE"""),"DogemonGo")</f>
        <v>DogemonGo</v>
      </c>
    </row>
    <row r="3768">
      <c r="A3768" s="4" t="str">
        <f>IFERROR(__xludf.DUMMYFUNCTION("""COMPUTED_VALUE"""),"dogemoon")</f>
        <v>dogemoon</v>
      </c>
      <c r="B3768" s="4" t="str">
        <f>IFERROR(__xludf.DUMMYFUNCTION("""COMPUTED_VALUE"""),"dogemoon")</f>
        <v>dogemoon</v>
      </c>
      <c r="C3768" s="4" t="str">
        <f>IFERROR(__xludf.DUMMYFUNCTION("""COMPUTED_VALUE"""),"Dogemoon")</f>
        <v>Dogemoon</v>
      </c>
    </row>
    <row r="3769">
      <c r="A3769" s="4" t="str">
        <f>IFERROR(__xludf.DUMMYFUNCTION("""COMPUTED_VALUE"""),"dogemoon-2")</f>
        <v>dogemoon-2</v>
      </c>
      <c r="B3769" s="4" t="str">
        <f>IFERROR(__xludf.DUMMYFUNCTION("""COMPUTED_VALUE"""),"dogemoon")</f>
        <v>dogemoon</v>
      </c>
      <c r="C3769" s="4" t="str">
        <f>IFERROR(__xludf.DUMMYFUNCTION("""COMPUTED_VALUE"""),"Dogemoon")</f>
        <v>Dogemoon</v>
      </c>
    </row>
    <row r="3770">
      <c r="A3770" s="4" t="str">
        <f>IFERROR(__xludf.DUMMYFUNCTION("""COMPUTED_VALUE"""),"doge-of-grok-ai")</f>
        <v>doge-of-grok-ai</v>
      </c>
      <c r="B3770" s="4" t="str">
        <f>IFERROR(__xludf.DUMMYFUNCTION("""COMPUTED_VALUE"""),"dogegrokai")</f>
        <v>dogegrokai</v>
      </c>
      <c r="C3770" s="4" t="str">
        <f>IFERROR(__xludf.DUMMYFUNCTION("""COMPUTED_VALUE"""),"Doge Of Grok AI")</f>
        <v>Doge Of Grok AI</v>
      </c>
    </row>
    <row r="3771">
      <c r="A3771" s="4" t="str">
        <f>IFERROR(__xludf.DUMMYFUNCTION("""COMPUTED_VALUE"""),"dogeon")</f>
        <v>dogeon</v>
      </c>
      <c r="B3771" s="4" t="str">
        <f>IFERROR(__xludf.DUMMYFUNCTION("""COMPUTED_VALUE"""),"don")</f>
        <v>don</v>
      </c>
      <c r="C3771" s="4" t="str">
        <f>IFERROR(__xludf.DUMMYFUNCTION("""COMPUTED_VALUE"""),"Dogeon")</f>
        <v>Dogeon</v>
      </c>
    </row>
    <row r="3772">
      <c r="A3772" s="4" t="str">
        <f>IFERROR(__xludf.DUMMYFUNCTION("""COMPUTED_VALUE"""),"doge-on-pulsechain")</f>
        <v>doge-on-pulsechain</v>
      </c>
      <c r="B3772" s="4" t="str">
        <f>IFERROR(__xludf.DUMMYFUNCTION("""COMPUTED_VALUE"""),"doge")</f>
        <v>doge</v>
      </c>
      <c r="C3772" s="4" t="str">
        <f>IFERROR(__xludf.DUMMYFUNCTION("""COMPUTED_VALUE"""),"Doge on Pulsechain")</f>
        <v>Doge on Pulsechain</v>
      </c>
    </row>
    <row r="3773">
      <c r="A3773" s="4" t="str">
        <f>IFERROR(__xludf.DUMMYFUNCTION("""COMPUTED_VALUE"""),"dogepad-finance")</f>
        <v>dogepad-finance</v>
      </c>
      <c r="B3773" s="4" t="str">
        <f>IFERROR(__xludf.DUMMYFUNCTION("""COMPUTED_VALUE"""),"dpf")</f>
        <v>dpf</v>
      </c>
      <c r="C3773" s="4" t="str">
        <f>IFERROR(__xludf.DUMMYFUNCTION("""COMPUTED_VALUE"""),"Dogepad Finance")</f>
        <v>Dogepad Finance</v>
      </c>
    </row>
    <row r="3774">
      <c r="A3774" s="4" t="str">
        <f>IFERROR(__xludf.DUMMYFUNCTION("""COMPUTED_VALUE"""),"doge-protocol")</f>
        <v>doge-protocol</v>
      </c>
      <c r="B3774" s="4" t="str">
        <f>IFERROR(__xludf.DUMMYFUNCTION("""COMPUTED_VALUE"""),"dogep")</f>
        <v>dogep</v>
      </c>
      <c r="C3774" s="4" t="str">
        <f>IFERROR(__xludf.DUMMYFUNCTION("""COMPUTED_VALUE"""),"Doge Protocol")</f>
        <v>Doge Protocol</v>
      </c>
    </row>
    <row r="3775">
      <c r="A3775" s="4" t="str">
        <f>IFERROR(__xludf.DUMMYFUNCTION("""COMPUTED_VALUE"""),"dogeshrek")</f>
        <v>dogeshrek</v>
      </c>
      <c r="B3775" s="4" t="str">
        <f>IFERROR(__xludf.DUMMYFUNCTION("""COMPUTED_VALUE"""),"dogeshrek")</f>
        <v>dogeshrek</v>
      </c>
      <c r="C3775" s="4" t="str">
        <f>IFERROR(__xludf.DUMMYFUNCTION("""COMPUTED_VALUE"""),"DogeShrek")</f>
        <v>DogeShrek</v>
      </c>
    </row>
    <row r="3776">
      <c r="A3776" s="4" t="str">
        <f>IFERROR(__xludf.DUMMYFUNCTION("""COMPUTED_VALUE"""),"dogeswap")</f>
        <v>dogeswap</v>
      </c>
      <c r="B3776" s="4" t="str">
        <f>IFERROR(__xludf.DUMMYFUNCTION("""COMPUTED_VALUE"""),"doges")</f>
        <v>doges</v>
      </c>
      <c r="C3776" s="4" t="str">
        <f>IFERROR(__xludf.DUMMYFUNCTION("""COMPUTED_VALUE"""),"Dogeswap")</f>
        <v>Dogeswap</v>
      </c>
    </row>
    <row r="3777">
      <c r="A3777" s="4" t="str">
        <f>IFERROR(__xludf.DUMMYFUNCTION("""COMPUTED_VALUE"""),"dogether")</f>
        <v>dogether</v>
      </c>
      <c r="B3777" s="4" t="str">
        <f>IFERROR(__xludf.DUMMYFUNCTION("""COMPUTED_VALUE"""),"dogether")</f>
        <v>dogether</v>
      </c>
      <c r="C3777" s="4" t="str">
        <f>IFERROR(__xludf.DUMMYFUNCTION("""COMPUTED_VALUE"""),"Dogether")</f>
        <v>Dogether</v>
      </c>
    </row>
    <row r="3778">
      <c r="A3778" s="4" t="str">
        <f>IFERROR(__xludf.DUMMYFUNCTION("""COMPUTED_VALUE"""),"doge-token")</f>
        <v>doge-token</v>
      </c>
      <c r="B3778" s="4" t="str">
        <f>IFERROR(__xludf.DUMMYFUNCTION("""COMPUTED_VALUE"""),"doget")</f>
        <v>doget</v>
      </c>
      <c r="C3778" s="4" t="str">
        <f>IFERROR(__xludf.DUMMYFUNCTION("""COMPUTED_VALUE"""),"Doge Token")</f>
        <v>Doge Token</v>
      </c>
    </row>
    <row r="3779">
      <c r="A3779" s="4" t="str">
        <f>IFERROR(__xludf.DUMMYFUNCTION("""COMPUTED_VALUE"""),"doge-tv")</f>
        <v>doge-tv</v>
      </c>
      <c r="B3779" s="4" t="str">
        <f>IFERROR(__xludf.DUMMYFUNCTION("""COMPUTED_VALUE"""),"$dgtv")</f>
        <v>$dgtv</v>
      </c>
      <c r="C3779" s="4" t="str">
        <f>IFERROR(__xludf.DUMMYFUNCTION("""COMPUTED_VALUE"""),"Doge-TV")</f>
        <v>Doge-TV</v>
      </c>
    </row>
    <row r="3780">
      <c r="A3780" s="4" t="str">
        <f>IFERROR(__xludf.DUMMYFUNCTION("""COMPUTED_VALUE"""),"doge-whale")</f>
        <v>doge-whale</v>
      </c>
      <c r="B3780" s="4" t="str">
        <f>IFERROR(__xludf.DUMMYFUNCTION("""COMPUTED_VALUE"""),"dwhl")</f>
        <v>dwhl</v>
      </c>
      <c r="C3780" s="4" t="str">
        <f>IFERROR(__xludf.DUMMYFUNCTION("""COMPUTED_VALUE"""),"Doge Whale")</f>
        <v>Doge Whale</v>
      </c>
    </row>
    <row r="3781">
      <c r="A3781" s="4" t="str">
        <f>IFERROR(__xludf.DUMMYFUNCTION("""COMPUTED_VALUE"""),"dogey-inu")</f>
        <v>dogey-inu</v>
      </c>
      <c r="B3781" s="4" t="str">
        <f>IFERROR(__xludf.DUMMYFUNCTION("""COMPUTED_VALUE"""),"dinu")</f>
        <v>dinu</v>
      </c>
      <c r="C3781" s="4" t="str">
        <f>IFERROR(__xludf.DUMMYFUNCTION("""COMPUTED_VALUE"""),"Dogey-Inu")</f>
        <v>Dogey-Inu</v>
      </c>
    </row>
    <row r="3782">
      <c r="A3782" s="4" t="str">
        <f>IFERROR(__xludf.DUMMYFUNCTION("""COMPUTED_VALUE"""),"dogezilla-2")</f>
        <v>dogezilla-2</v>
      </c>
      <c r="B3782" s="4" t="str">
        <f>IFERROR(__xludf.DUMMYFUNCTION("""COMPUTED_VALUE"""),"zilla")</f>
        <v>zilla</v>
      </c>
      <c r="C3782" s="4" t="str">
        <f>IFERROR(__xludf.DUMMYFUNCTION("""COMPUTED_VALUE"""),"DogeZilla")</f>
        <v>DogeZilla</v>
      </c>
    </row>
    <row r="3783">
      <c r="A3783" s="4" t="str">
        <f>IFERROR(__xludf.DUMMYFUNCTION("""COMPUTED_VALUE"""),"dogezilla-ai")</f>
        <v>dogezilla-ai</v>
      </c>
      <c r="B3783" s="4" t="str">
        <f>IFERROR(__xludf.DUMMYFUNCTION("""COMPUTED_VALUE"""),"dai")</f>
        <v>dai</v>
      </c>
      <c r="C3783" s="4" t="str">
        <f>IFERROR(__xludf.DUMMYFUNCTION("""COMPUTED_VALUE"""),"DogeZilla Ai")</f>
        <v>DogeZilla Ai</v>
      </c>
    </row>
    <row r="3784">
      <c r="A3784" s="4" t="str">
        <f>IFERROR(__xludf.DUMMYFUNCTION("""COMPUTED_VALUE"""),"dogfinity")</f>
        <v>dogfinity</v>
      </c>
      <c r="B3784" s="4" t="str">
        <f>IFERROR(__xludf.DUMMYFUNCTION("""COMPUTED_VALUE"""),"dogmi")</f>
        <v>dogmi</v>
      </c>
      <c r="C3784" s="4" t="str">
        <f>IFERROR(__xludf.DUMMYFUNCTION("""COMPUTED_VALUE"""),"DOGMI")</f>
        <v>DOGMI</v>
      </c>
    </row>
    <row r="3785">
      <c r="A3785" s="4" t="str">
        <f>IFERROR(__xludf.DUMMYFUNCTION("""COMPUTED_VALUE"""),"doggensnout-skeptic")</f>
        <v>doggensnout-skeptic</v>
      </c>
      <c r="B3785" s="4" t="str">
        <f>IFERROR(__xludf.DUMMYFUNCTION("""COMPUTED_VALUE"""),"dogs")</f>
        <v>dogs</v>
      </c>
      <c r="C3785" s="4" t="str">
        <f>IFERROR(__xludf.DUMMYFUNCTION("""COMPUTED_VALUE"""),"Doggensnout Skeptic")</f>
        <v>Doggensnout Skeptic</v>
      </c>
    </row>
    <row r="3786">
      <c r="A3786" s="4" t="str">
        <f>IFERROR(__xludf.DUMMYFUNCTION("""COMPUTED_VALUE"""),"dogggo")</f>
        <v>dogggo</v>
      </c>
      <c r="B3786" s="4" t="str">
        <f>IFERROR(__xludf.DUMMYFUNCTION("""COMPUTED_VALUE"""),"dogggo")</f>
        <v>dogggo</v>
      </c>
      <c r="C3786" s="4" t="str">
        <f>IFERROR(__xludf.DUMMYFUNCTION("""COMPUTED_VALUE"""),"Dogggo")</f>
        <v>Dogggo</v>
      </c>
    </row>
    <row r="3787">
      <c r="A3787" s="4" t="str">
        <f>IFERROR(__xludf.DUMMYFUNCTION("""COMPUTED_VALUE"""),"doggo")</f>
        <v>doggo</v>
      </c>
      <c r="B3787" s="4" t="str">
        <f>IFERROR(__xludf.DUMMYFUNCTION("""COMPUTED_VALUE"""),"doggo")</f>
        <v>doggo</v>
      </c>
      <c r="C3787" s="4" t="str">
        <f>IFERROR(__xludf.DUMMYFUNCTION("""COMPUTED_VALUE"""),"DOGGO")</f>
        <v>DOGGO</v>
      </c>
    </row>
    <row r="3788">
      <c r="A3788" s="4" t="str">
        <f>IFERROR(__xludf.DUMMYFUNCTION("""COMPUTED_VALUE"""),"doggy")</f>
        <v>doggy</v>
      </c>
      <c r="B3788" s="4" t="str">
        <f>IFERROR(__xludf.DUMMYFUNCTION("""COMPUTED_VALUE"""),"doggy")</f>
        <v>doggy</v>
      </c>
      <c r="C3788" s="4" t="str">
        <f>IFERROR(__xludf.DUMMYFUNCTION("""COMPUTED_VALUE"""),"Doggy")</f>
        <v>Doggy</v>
      </c>
    </row>
    <row r="3789">
      <c r="A3789" s="4" t="str">
        <f>IFERROR(__xludf.DUMMYFUNCTION("""COMPUTED_VALUE"""),"dogi")</f>
        <v>dogi</v>
      </c>
      <c r="B3789" s="4" t="str">
        <f>IFERROR(__xludf.DUMMYFUNCTION("""COMPUTED_VALUE"""),"dogi")</f>
        <v>dogi</v>
      </c>
      <c r="C3789" s="4" t="str">
        <f>IFERROR(__xludf.DUMMYFUNCTION("""COMPUTED_VALUE"""),"dogi")</f>
        <v>dogi</v>
      </c>
    </row>
    <row r="3790">
      <c r="A3790" s="4" t="str">
        <f>IFERROR(__xludf.DUMMYFUNCTION("""COMPUTED_VALUE"""),"dogihub-doginals")</f>
        <v>dogihub-doginals</v>
      </c>
      <c r="B3790" s="4" t="str">
        <f>IFERROR(__xludf.DUMMYFUNCTION("""COMPUTED_VALUE"""),"$hub")</f>
        <v>$hub</v>
      </c>
      <c r="C3790" s="4" t="str">
        <f>IFERROR(__xludf.DUMMYFUNCTION("""COMPUTED_VALUE"""),"Dogihub (DRC-20)")</f>
        <v>Dogihub (DRC-20)</v>
      </c>
    </row>
    <row r="3791">
      <c r="A3791" s="4" t="str">
        <f>IFERROR(__xludf.DUMMYFUNCTION("""COMPUTED_VALUE"""),"doginal-kabosu-drc-20")</f>
        <v>doginal-kabosu-drc-20</v>
      </c>
      <c r="B3791" s="4" t="str">
        <f>IFERROR(__xludf.DUMMYFUNCTION("""COMPUTED_VALUE"""),"dosu")</f>
        <v>dosu</v>
      </c>
      <c r="C3791" s="4" t="str">
        <f>IFERROR(__xludf.DUMMYFUNCTION("""COMPUTED_VALUE"""),"Doginal Kabosu (DRC-20)")</f>
        <v>Doginal Kabosu (DRC-20)</v>
      </c>
    </row>
    <row r="3792">
      <c r="A3792" s="4" t="str">
        <f>IFERROR(__xludf.DUMMYFUNCTION("""COMPUTED_VALUE"""),"doginals-club-exclusive-doginals")</f>
        <v>doginals-club-exclusive-doginals</v>
      </c>
      <c r="B3792" s="4" t="str">
        <f>IFERROR(__xludf.DUMMYFUNCTION("""COMPUTED_VALUE"""),"dcex")</f>
        <v>dcex</v>
      </c>
      <c r="C3792" s="4" t="str">
        <f>IFERROR(__xludf.DUMMYFUNCTION("""COMPUTED_VALUE"""),"Doginals Club Exclusive (DRC-20)")</f>
        <v>Doginals Club Exclusive (DRC-20)</v>
      </c>
    </row>
    <row r="3793">
      <c r="A3793" s="4" t="str">
        <f>IFERROR(__xludf.DUMMYFUNCTION("""COMPUTED_VALUE"""),"doginme")</f>
        <v>doginme</v>
      </c>
      <c r="B3793" s="4" t="str">
        <f>IFERROR(__xludf.DUMMYFUNCTION("""COMPUTED_VALUE"""),"doginme")</f>
        <v>doginme</v>
      </c>
      <c r="C3793" s="4" t="str">
        <f>IFERROR(__xludf.DUMMYFUNCTION("""COMPUTED_VALUE"""),"doginme")</f>
        <v>doginme</v>
      </c>
    </row>
    <row r="3794">
      <c r="A3794" s="4" t="str">
        <f>IFERROR(__xludf.DUMMYFUNCTION("""COMPUTED_VALUE"""),"doginphire")</f>
        <v>doginphire</v>
      </c>
      <c r="B3794" s="4" t="str">
        <f>IFERROR(__xludf.DUMMYFUNCTION("""COMPUTED_VALUE"""),"fire")</f>
        <v>fire</v>
      </c>
      <c r="C3794" s="4" t="str">
        <f>IFERROR(__xludf.DUMMYFUNCTION("""COMPUTED_VALUE"""),"doginphire")</f>
        <v>doginphire</v>
      </c>
    </row>
    <row r="3795">
      <c r="A3795" s="4" t="str">
        <f>IFERROR(__xludf.DUMMYFUNCTION("""COMPUTED_VALUE"""),"doginthpool")</f>
        <v>doginthpool</v>
      </c>
      <c r="B3795" s="4" t="str">
        <f>IFERROR(__xludf.DUMMYFUNCTION("""COMPUTED_VALUE"""),"dip")</f>
        <v>dip</v>
      </c>
      <c r="C3795" s="4" t="str">
        <f>IFERROR(__xludf.DUMMYFUNCTION("""COMPUTED_VALUE"""),"doginthpool")</f>
        <v>doginthpool</v>
      </c>
    </row>
    <row r="3796">
      <c r="A3796" s="4" t="str">
        <f>IFERROR(__xludf.DUMMYFUNCTION("""COMPUTED_VALUE"""),"doginwotah")</f>
        <v>doginwotah</v>
      </c>
      <c r="B3796" s="4" t="str">
        <f>IFERROR(__xludf.DUMMYFUNCTION("""COMPUTED_VALUE"""),"water")</f>
        <v>water</v>
      </c>
      <c r="C3796" s="4" t="str">
        <f>IFERROR(__xludf.DUMMYFUNCTION("""COMPUTED_VALUE"""),"doginwotah")</f>
        <v>doginwotah</v>
      </c>
    </row>
    <row r="3797">
      <c r="A3797" s="4" t="str">
        <f>IFERROR(__xludf.DUMMYFUNCTION("""COMPUTED_VALUE"""),"dogira")</f>
        <v>dogira</v>
      </c>
      <c r="B3797" s="4" t="str">
        <f>IFERROR(__xludf.DUMMYFUNCTION("""COMPUTED_VALUE"""),"dogira")</f>
        <v>dogira</v>
      </c>
      <c r="C3797" s="4" t="str">
        <f>IFERROR(__xludf.DUMMYFUNCTION("""COMPUTED_VALUE"""),"Dogira")</f>
        <v>Dogira</v>
      </c>
    </row>
    <row r="3798">
      <c r="A3798" s="4" t="str">
        <f>IFERROR(__xludf.DUMMYFUNCTION("""COMPUTED_VALUE"""),"dogita")</f>
        <v>dogita</v>
      </c>
      <c r="B3798" s="4" t="str">
        <f>IFERROR(__xludf.DUMMYFUNCTION("""COMPUTED_VALUE"""),"doga")</f>
        <v>doga</v>
      </c>
      <c r="C3798" s="4" t="str">
        <f>IFERROR(__xludf.DUMMYFUNCTION("""COMPUTED_VALUE"""),"DOGITA")</f>
        <v>DOGITA</v>
      </c>
    </row>
    <row r="3799">
      <c r="A3799" s="4" t="str">
        <f>IFERROR(__xludf.DUMMYFUNCTION("""COMPUTED_VALUE"""),"dog-of-wisdom")</f>
        <v>dog-of-wisdom</v>
      </c>
      <c r="B3799" s="4" t="str">
        <f>IFERROR(__xludf.DUMMYFUNCTION("""COMPUTED_VALUE"""),"wisdm")</f>
        <v>wisdm</v>
      </c>
      <c r="C3799" s="4" t="str">
        <f>IFERROR(__xludf.DUMMYFUNCTION("""COMPUTED_VALUE"""),"Dog Of Wisdom")</f>
        <v>Dog Of Wisdom</v>
      </c>
    </row>
    <row r="3800">
      <c r="A3800" s="4" t="str">
        <f>IFERROR(__xludf.DUMMYFUNCTION("""COMPUTED_VALUE"""),"dog-ordinals")</f>
        <v>dog-ordinals</v>
      </c>
      <c r="B3800" s="4" t="str">
        <f>IFERROR(__xludf.DUMMYFUNCTION("""COMPUTED_VALUE"""),"$dog")</f>
        <v>$dog</v>
      </c>
      <c r="C3800" s="4" t="str">
        <f>IFERROR(__xludf.DUMMYFUNCTION("""COMPUTED_VALUE"""),"$DOG (Ordinals)")</f>
        <v>$DOG (Ordinals)</v>
      </c>
    </row>
    <row r="3801">
      <c r="A3801" s="4" t="str">
        <f>IFERROR(__xludf.DUMMYFUNCTION("""COMPUTED_VALUE"""),"dogo-token")</f>
        <v>dogo-token</v>
      </c>
      <c r="B3801" s="4" t="str">
        <f>IFERROR(__xludf.DUMMYFUNCTION("""COMPUTED_VALUE"""),"dogo")</f>
        <v>dogo</v>
      </c>
      <c r="C3801" s="4" t="str">
        <f>IFERROR(__xludf.DUMMYFUNCTION("""COMPUTED_VALUE"""),"Dogo Token")</f>
        <v>Dogo Token</v>
      </c>
    </row>
    <row r="3802">
      <c r="A3802" s="4" t="str">
        <f>IFERROR(__xludf.DUMMYFUNCTION("""COMPUTED_VALUE"""),"dogpad-finance")</f>
        <v>dogpad-finance</v>
      </c>
      <c r="B3802" s="4" t="str">
        <f>IFERROR(__xludf.DUMMYFUNCTION("""COMPUTED_VALUE"""),"dogpad")</f>
        <v>dogpad</v>
      </c>
      <c r="C3802" s="4" t="str">
        <f>IFERROR(__xludf.DUMMYFUNCTION("""COMPUTED_VALUE"""),"DogPad Finance")</f>
        <v>DogPad Finance</v>
      </c>
    </row>
    <row r="3803">
      <c r="A3803" s="4" t="str">
        <f>IFERROR(__xludf.DUMMYFUNCTION("""COMPUTED_VALUE"""),"dogsofelon")</f>
        <v>dogsofelon</v>
      </c>
      <c r="B3803" s="4" t="str">
        <f>IFERROR(__xludf.DUMMYFUNCTION("""COMPUTED_VALUE"""),"doe")</f>
        <v>doe</v>
      </c>
      <c r="C3803" s="4" t="str">
        <f>IFERROR(__xludf.DUMMYFUNCTION("""COMPUTED_VALUE"""),"Dogs Of Elon")</f>
        <v>Dogs Of Elon</v>
      </c>
    </row>
    <row r="3804">
      <c r="A3804" s="4" t="str">
        <f>IFERROR(__xludf.DUMMYFUNCTION("""COMPUTED_VALUE"""),"dogs-rock")</f>
        <v>dogs-rock</v>
      </c>
      <c r="B3804" s="4" t="str">
        <f>IFERROR(__xludf.DUMMYFUNCTION("""COMPUTED_VALUE"""),"dogsrock")</f>
        <v>dogsrock</v>
      </c>
      <c r="C3804" s="4" t="str">
        <f>IFERROR(__xludf.DUMMYFUNCTION("""COMPUTED_VALUE"""),"Dogs Rock")</f>
        <v>Dogs Rock</v>
      </c>
    </row>
    <row r="3805">
      <c r="A3805" s="4" t="str">
        <f>IFERROR(__xludf.DUMMYFUNCTION("""COMPUTED_VALUE"""),"dogswap-token")</f>
        <v>dogswap-token</v>
      </c>
      <c r="B3805" s="4" t="str">
        <f>IFERROR(__xludf.DUMMYFUNCTION("""COMPUTED_VALUE"""),"dog")</f>
        <v>dog</v>
      </c>
      <c r="C3805" s="4" t="str">
        <f>IFERROR(__xludf.DUMMYFUNCTION("""COMPUTED_VALUE"""),"Dogeswap (HECO)")</f>
        <v>Dogeswap (HECO)</v>
      </c>
    </row>
    <row r="3806">
      <c r="A3806" s="4" t="str">
        <f>IFERROR(__xludf.DUMMYFUNCTION("""COMPUTED_VALUE"""),"dogu-inu")</f>
        <v>dogu-inu</v>
      </c>
      <c r="B3806" s="4" t="str">
        <f>IFERROR(__xludf.DUMMYFUNCTION("""COMPUTED_VALUE"""),"dogu")</f>
        <v>dogu</v>
      </c>
      <c r="C3806" s="4" t="str">
        <f>IFERROR(__xludf.DUMMYFUNCTION("""COMPUTED_VALUE"""),"Dogu Inu")</f>
        <v>Dogu Inu</v>
      </c>
    </row>
    <row r="3807">
      <c r="A3807" s="4" t="str">
        <f>IFERROR(__xludf.DUMMYFUNCTION("""COMPUTED_VALUE"""),"dog-vision-pro")</f>
        <v>dog-vision-pro</v>
      </c>
      <c r="B3807" s="4" t="str">
        <f>IFERROR(__xludf.DUMMYFUNCTION("""COMPUTED_VALUE"""),"vision")</f>
        <v>vision</v>
      </c>
      <c r="C3807" s="4" t="str">
        <f>IFERROR(__xludf.DUMMYFUNCTION("""COMPUTED_VALUE"""),"Sol Vision Pro")</f>
        <v>Sol Vision Pro</v>
      </c>
    </row>
    <row r="3808">
      <c r="A3808" s="4" t="str">
        <f>IFERROR(__xludf.DUMMYFUNCTION("""COMPUTED_VALUE"""),"dogwifcoin")</f>
        <v>dogwifcoin</v>
      </c>
      <c r="B3808" s="4" t="str">
        <f>IFERROR(__xludf.DUMMYFUNCTION("""COMPUTED_VALUE"""),"wif")</f>
        <v>wif</v>
      </c>
      <c r="C3808" s="4" t="str">
        <f>IFERROR(__xludf.DUMMYFUNCTION("""COMPUTED_VALUE"""),"dogwifhat")</f>
        <v>dogwifhat</v>
      </c>
    </row>
    <row r="3809">
      <c r="A3809" s="4" t="str">
        <f>IFERROR(__xludf.DUMMYFUNCTION("""COMPUTED_VALUE"""),"dogwifcrocs")</f>
        <v>dogwifcrocs</v>
      </c>
      <c r="B3809" s="4" t="str">
        <f>IFERROR(__xludf.DUMMYFUNCTION("""COMPUTED_VALUE"""),"dwc")</f>
        <v>dwc</v>
      </c>
      <c r="C3809" s="4" t="str">
        <f>IFERROR(__xludf.DUMMYFUNCTION("""COMPUTED_VALUE"""),"DOGwifCROCS")</f>
        <v>DOGwifCROCS</v>
      </c>
    </row>
    <row r="3810">
      <c r="A3810" s="4" t="str">
        <f>IFERROR(__xludf.DUMMYFUNCTION("""COMPUTED_VALUE"""),"dogwifhat-bsc")</f>
        <v>dogwifhat-bsc</v>
      </c>
      <c r="B3810" s="4" t="str">
        <f>IFERROR(__xludf.DUMMYFUNCTION("""COMPUTED_VALUE"""),"wif")</f>
        <v>wif</v>
      </c>
      <c r="C3810" s="4" t="str">
        <f>IFERROR(__xludf.DUMMYFUNCTION("""COMPUTED_VALUE"""),"Dogwifhat BSC")</f>
        <v>Dogwifhat BSC</v>
      </c>
    </row>
    <row r="3811">
      <c r="A3811" s="4" t="str">
        <f>IFERROR(__xludf.DUMMYFUNCTION("""COMPUTED_VALUE"""),"dogwifhat-eth")</f>
        <v>dogwifhat-eth</v>
      </c>
      <c r="B3811" s="4" t="str">
        <f>IFERROR(__xludf.DUMMYFUNCTION("""COMPUTED_VALUE"""),"dogwifhat")</f>
        <v>dogwifhat</v>
      </c>
      <c r="C3811" s="4" t="str">
        <f>IFERROR(__xludf.DUMMYFUNCTION("""COMPUTED_VALUE"""),"dogwifhat Eth")</f>
        <v>dogwifhat Eth</v>
      </c>
    </row>
    <row r="3812">
      <c r="A3812" s="4" t="str">
        <f>IFERROR(__xludf.DUMMYFUNCTION("""COMPUTED_VALUE"""),"dogwifhood")</f>
        <v>dogwifhood</v>
      </c>
      <c r="B3812" s="4" t="str">
        <f>IFERROR(__xludf.DUMMYFUNCTION("""COMPUTED_VALUE"""),"wif")</f>
        <v>wif</v>
      </c>
      <c r="C3812" s="4" t="str">
        <f>IFERROR(__xludf.DUMMYFUNCTION("""COMPUTED_VALUE"""),"DOGWIFHOOD")</f>
        <v>DOGWIFHOOD</v>
      </c>
    </row>
    <row r="3813">
      <c r="A3813" s="4" t="str">
        <f>IFERROR(__xludf.DUMMYFUNCTION("""COMPUTED_VALUE"""),"dogwifkatana")</f>
        <v>dogwifkatana</v>
      </c>
      <c r="B3813" s="4" t="str">
        <f>IFERROR(__xludf.DUMMYFUNCTION("""COMPUTED_VALUE"""),"katana")</f>
        <v>katana</v>
      </c>
      <c r="C3813" s="4" t="str">
        <f>IFERROR(__xludf.DUMMYFUNCTION("""COMPUTED_VALUE"""),"dogwifkatana")</f>
        <v>dogwifkatana</v>
      </c>
    </row>
    <row r="3814">
      <c r="A3814" s="4" t="str">
        <f>IFERROR(__xludf.DUMMYFUNCTION("""COMPUTED_VALUE"""),"dogwifleg")</f>
        <v>dogwifleg</v>
      </c>
      <c r="B3814" s="4" t="str">
        <f>IFERROR(__xludf.DUMMYFUNCTION("""COMPUTED_VALUE"""),"leg")</f>
        <v>leg</v>
      </c>
      <c r="C3814" s="4" t="str">
        <f>IFERROR(__xludf.DUMMYFUNCTION("""COMPUTED_VALUE"""),"dogwifleg")</f>
        <v>dogwifleg</v>
      </c>
    </row>
    <row r="3815">
      <c r="A3815" s="4" t="str">
        <f>IFERROR(__xludf.DUMMYFUNCTION("""COMPUTED_VALUE"""),"dog-wif-nuchucks")</f>
        <v>dog-wif-nuchucks</v>
      </c>
      <c r="B3815" s="4" t="str">
        <f>IFERROR(__xludf.DUMMYFUNCTION("""COMPUTED_VALUE"""),"ninja")</f>
        <v>ninja</v>
      </c>
      <c r="C3815" s="4" t="str">
        <f>IFERROR(__xludf.DUMMYFUNCTION("""COMPUTED_VALUE"""),"Dog Wif Nunchucks")</f>
        <v>Dog Wif Nunchucks</v>
      </c>
    </row>
    <row r="3816">
      <c r="A3816" s="4" t="str">
        <f>IFERROR(__xludf.DUMMYFUNCTION("""COMPUTED_VALUE"""),"dogwifouthat")</f>
        <v>dogwifouthat</v>
      </c>
      <c r="B3816" s="4" t="str">
        <f>IFERROR(__xludf.DUMMYFUNCTION("""COMPUTED_VALUE"""),"wifout")</f>
        <v>wifout</v>
      </c>
      <c r="C3816" s="4" t="str">
        <f>IFERROR(__xludf.DUMMYFUNCTION("""COMPUTED_VALUE"""),"dogwifouthat")</f>
        <v>dogwifouthat</v>
      </c>
    </row>
    <row r="3817">
      <c r="A3817" s="4" t="str">
        <f>IFERROR(__xludf.DUMMYFUNCTION("""COMPUTED_VALUE"""),"dogwifpants")</f>
        <v>dogwifpants</v>
      </c>
      <c r="B3817" s="4" t="str">
        <f>IFERROR(__xludf.DUMMYFUNCTION("""COMPUTED_VALUE"""),"pants")</f>
        <v>pants</v>
      </c>
      <c r="C3817" s="4" t="str">
        <f>IFERROR(__xludf.DUMMYFUNCTION("""COMPUTED_VALUE"""),"dogwifpants")</f>
        <v>dogwifpants</v>
      </c>
    </row>
    <row r="3818">
      <c r="A3818" s="4" t="str">
        <f>IFERROR(__xludf.DUMMYFUNCTION("""COMPUTED_VALUE"""),"dogwifsaudihat")</f>
        <v>dogwifsaudihat</v>
      </c>
      <c r="B3818" s="4" t="str">
        <f>IFERROR(__xludf.DUMMYFUNCTION("""COMPUTED_VALUE"""),"wifsa")</f>
        <v>wifsa</v>
      </c>
      <c r="C3818" s="4" t="str">
        <f>IFERROR(__xludf.DUMMYFUNCTION("""COMPUTED_VALUE"""),"dogwifsaudihat")</f>
        <v>dogwifsaudihat</v>
      </c>
    </row>
    <row r="3819">
      <c r="A3819" s="4" t="str">
        <f>IFERROR(__xludf.DUMMYFUNCTION("""COMPUTED_VALUE"""),"dogwifscarf")</f>
        <v>dogwifscarf</v>
      </c>
      <c r="B3819" s="4" t="str">
        <f>IFERROR(__xludf.DUMMYFUNCTION("""COMPUTED_VALUE"""),"wifs")</f>
        <v>wifs</v>
      </c>
      <c r="C3819" s="4" t="str">
        <f>IFERROR(__xludf.DUMMYFUNCTION("""COMPUTED_VALUE"""),"dogwifscarf")</f>
        <v>dogwifscarf</v>
      </c>
    </row>
    <row r="3820">
      <c r="A3820" s="4" t="str">
        <f>IFERROR(__xludf.DUMMYFUNCTION("""COMPUTED_VALUE"""),"dog-wif-spinning-hat")</f>
        <v>dog-wif-spinning-hat</v>
      </c>
      <c r="B3820" s="4" t="str">
        <f>IFERROR(__xludf.DUMMYFUNCTION("""COMPUTED_VALUE"""),"sd")</f>
        <v>sd</v>
      </c>
      <c r="C3820" s="4" t="str">
        <f>IFERROR(__xludf.DUMMYFUNCTION("""COMPUTED_VALUE"""),"dog wif spinning hat")</f>
        <v>dog wif spinning hat</v>
      </c>
    </row>
    <row r="3821">
      <c r="A3821" s="4" t="str">
        <f>IFERROR(__xludf.DUMMYFUNCTION("""COMPUTED_VALUE"""),"dogyrace")</f>
        <v>dogyrace</v>
      </c>
      <c r="B3821" s="4" t="str">
        <f>IFERROR(__xludf.DUMMYFUNCTION("""COMPUTED_VALUE"""),"dor")</f>
        <v>dor</v>
      </c>
      <c r="C3821" s="4" t="str">
        <f>IFERROR(__xludf.DUMMYFUNCTION("""COMPUTED_VALUE"""),"DogyRace")</f>
        <v>DogyRace</v>
      </c>
    </row>
    <row r="3822">
      <c r="A3822" s="4" t="str">
        <f>IFERROR(__xludf.DUMMYFUNCTION("""COMPUTED_VALUE"""),"dogz")</f>
        <v>dogz</v>
      </c>
      <c r="B3822" s="4" t="str">
        <f>IFERROR(__xludf.DUMMYFUNCTION("""COMPUTED_VALUE"""),"dogz")</f>
        <v>dogz</v>
      </c>
      <c r="C3822" s="4" t="str">
        <f>IFERROR(__xludf.DUMMYFUNCTION("""COMPUTED_VALUE"""),"Dogz")</f>
        <v>Dogz</v>
      </c>
    </row>
    <row r="3823">
      <c r="A3823" s="4" t="str">
        <f>IFERROR(__xludf.DUMMYFUNCTION("""COMPUTED_VALUE"""),"dohrnii")</f>
        <v>dohrnii</v>
      </c>
      <c r="B3823" s="4" t="str">
        <f>IFERROR(__xludf.DUMMYFUNCTION("""COMPUTED_VALUE"""),"dhn")</f>
        <v>dhn</v>
      </c>
      <c r="C3823" s="4" t="str">
        <f>IFERROR(__xludf.DUMMYFUNCTION("""COMPUTED_VALUE"""),"Dohrnii")</f>
        <v>Dohrnii</v>
      </c>
    </row>
    <row r="3824">
      <c r="A3824" s="4" t="str">
        <f>IFERROR(__xludf.DUMMYFUNCTION("""COMPUTED_VALUE"""),"doichain")</f>
        <v>doichain</v>
      </c>
      <c r="B3824" s="4" t="str">
        <f>IFERROR(__xludf.DUMMYFUNCTION("""COMPUTED_VALUE"""),"doi")</f>
        <v>doi</v>
      </c>
      <c r="C3824" s="4" t="str">
        <f>IFERROR(__xludf.DUMMYFUNCTION("""COMPUTED_VALUE"""),"Doichain")</f>
        <v>Doichain</v>
      </c>
    </row>
    <row r="3825">
      <c r="A3825" s="4" t="str">
        <f>IFERROR(__xludf.DUMMYFUNCTION("""COMPUTED_VALUE"""),"dojo")</f>
        <v>dojo</v>
      </c>
      <c r="B3825" s="4" t="str">
        <f>IFERROR(__xludf.DUMMYFUNCTION("""COMPUTED_VALUE"""),"dojo")</f>
        <v>dojo</v>
      </c>
      <c r="C3825" s="4" t="str">
        <f>IFERROR(__xludf.DUMMYFUNCTION("""COMPUTED_VALUE"""),"DOJO")</f>
        <v>DOJO</v>
      </c>
    </row>
    <row r="3826">
      <c r="A3826" s="4" t="str">
        <f>IFERROR(__xludf.DUMMYFUNCTION("""COMPUTED_VALUE"""),"dojo-2")</f>
        <v>dojo-2</v>
      </c>
      <c r="B3826" s="4" t="str">
        <f>IFERROR(__xludf.DUMMYFUNCTION("""COMPUTED_VALUE"""),"dojo")</f>
        <v>dojo</v>
      </c>
      <c r="C3826" s="4" t="str">
        <f>IFERROR(__xludf.DUMMYFUNCTION("""COMPUTED_VALUE"""),"Dojo")</f>
        <v>Dojo</v>
      </c>
    </row>
    <row r="3827">
      <c r="A3827" s="4" t="str">
        <f>IFERROR(__xludf.DUMMYFUNCTION("""COMPUTED_VALUE"""),"dojo-supercomputer")</f>
        <v>dojo-supercomputer</v>
      </c>
      <c r="B3827" s="4" t="str">
        <f>IFERROR(__xludf.DUMMYFUNCTION("""COMPUTED_VALUE"""),"$dojo")</f>
        <v>$dojo</v>
      </c>
      <c r="C3827" s="4" t="str">
        <f>IFERROR(__xludf.DUMMYFUNCTION("""COMPUTED_VALUE"""),"Dojo Supercomputer")</f>
        <v>Dojo Supercomputer</v>
      </c>
    </row>
    <row r="3828">
      <c r="A3828" s="4" t="str">
        <f>IFERROR(__xludf.DUMMYFUNCTION("""COMPUTED_VALUE"""),"dojo-token")</f>
        <v>dojo-token</v>
      </c>
      <c r="B3828" s="4" t="str">
        <f>IFERROR(__xludf.DUMMYFUNCTION("""COMPUTED_VALUE"""),"dojo")</f>
        <v>dojo</v>
      </c>
      <c r="C3828" s="4" t="str">
        <f>IFERROR(__xludf.DUMMYFUNCTION("""COMPUTED_VALUE"""),"Dojo token")</f>
        <v>Dojo token</v>
      </c>
    </row>
    <row r="3829">
      <c r="A3829" s="4" t="str">
        <f>IFERROR(__xludf.DUMMYFUNCTION("""COMPUTED_VALUE"""),"doke-inu")</f>
        <v>doke-inu</v>
      </c>
      <c r="B3829" s="4" t="str">
        <f>IFERROR(__xludf.DUMMYFUNCTION("""COMPUTED_VALUE"""),"doke")</f>
        <v>doke</v>
      </c>
      <c r="C3829" s="4" t="str">
        <f>IFERROR(__xludf.DUMMYFUNCTION("""COMPUTED_VALUE"""),"Doke Inu")</f>
        <v>Doke Inu</v>
      </c>
    </row>
    <row r="3830">
      <c r="A3830" s="4" t="str">
        <f>IFERROR(__xludf.DUMMYFUNCTION("""COMPUTED_VALUE"""),"doki")</f>
        <v>doki</v>
      </c>
      <c r="B3830" s="4" t="str">
        <f>IFERROR(__xludf.DUMMYFUNCTION("""COMPUTED_VALUE"""),"doki")</f>
        <v>doki</v>
      </c>
      <c r="C3830" s="4" t="str">
        <f>IFERROR(__xludf.DUMMYFUNCTION("""COMPUTED_VALUE"""),"DOKI")</f>
        <v>DOKI</v>
      </c>
    </row>
    <row r="3831">
      <c r="A3831" s="4" t="str">
        <f>IFERROR(__xludf.DUMMYFUNCTION("""COMPUTED_VALUE"""),"doki-doki-finance")</f>
        <v>doki-doki-finance</v>
      </c>
      <c r="B3831" s="4" t="str">
        <f>IFERROR(__xludf.DUMMYFUNCTION("""COMPUTED_VALUE"""),"doki")</f>
        <v>doki</v>
      </c>
      <c r="C3831" s="4" t="str">
        <f>IFERROR(__xludf.DUMMYFUNCTION("""COMPUTED_VALUE"""),"Doki Doki")</f>
        <v>Doki Doki</v>
      </c>
    </row>
    <row r="3832">
      <c r="A3832" s="4" t="str">
        <f>IFERROR(__xludf.DUMMYFUNCTION("""COMPUTED_VALUE"""),"dola-borrowing-right")</f>
        <v>dola-borrowing-right</v>
      </c>
      <c r="B3832" s="4" t="str">
        <f>IFERROR(__xludf.DUMMYFUNCTION("""COMPUTED_VALUE"""),"dbr")</f>
        <v>dbr</v>
      </c>
      <c r="C3832" s="4" t="str">
        <f>IFERROR(__xludf.DUMMYFUNCTION("""COMPUTED_VALUE"""),"DOLA Borrowing Right")</f>
        <v>DOLA Borrowing Right</v>
      </c>
    </row>
    <row r="3833">
      <c r="A3833" s="4" t="str">
        <f>IFERROR(__xludf.DUMMYFUNCTION("""COMPUTED_VALUE"""),"dolan-duck")</f>
        <v>dolan-duck</v>
      </c>
      <c r="B3833" s="4" t="str">
        <f>IFERROR(__xludf.DUMMYFUNCTION("""COMPUTED_VALUE"""),"dolan")</f>
        <v>dolan</v>
      </c>
      <c r="C3833" s="4" t="str">
        <f>IFERROR(__xludf.DUMMYFUNCTION("""COMPUTED_VALUE"""),"Dolan Duck")</f>
        <v>Dolan Duck</v>
      </c>
    </row>
    <row r="3834">
      <c r="A3834" s="4" t="str">
        <f>IFERROR(__xludf.DUMMYFUNCTION("""COMPUTED_VALUE"""),"dola-usd")</f>
        <v>dola-usd</v>
      </c>
      <c r="B3834" s="4" t="str">
        <f>IFERROR(__xludf.DUMMYFUNCTION("""COMPUTED_VALUE"""),"dola")</f>
        <v>dola</v>
      </c>
      <c r="C3834" s="4" t="str">
        <f>IFERROR(__xludf.DUMMYFUNCTION("""COMPUTED_VALUE"""),"DOLA")</f>
        <v>DOLA</v>
      </c>
    </row>
    <row r="3835">
      <c r="A3835" s="4" t="str">
        <f>IFERROR(__xludf.DUMMYFUNCTION("""COMPUTED_VALUE"""),"dollarback")</f>
        <v>dollarback</v>
      </c>
      <c r="B3835" s="4" t="str">
        <f>IFERROR(__xludf.DUMMYFUNCTION("""COMPUTED_VALUE"""),"back")</f>
        <v>back</v>
      </c>
      <c r="C3835" s="4" t="str">
        <f>IFERROR(__xludf.DUMMYFUNCTION("""COMPUTED_VALUE"""),"DollarBack")</f>
        <v>DollarBack</v>
      </c>
    </row>
    <row r="3836">
      <c r="A3836" s="4" t="str">
        <f>IFERROR(__xludf.DUMMYFUNCTION("""COMPUTED_VALUE"""),"dollarmoon")</f>
        <v>dollarmoon</v>
      </c>
      <c r="B3836" s="4" t="str">
        <f>IFERROR(__xludf.DUMMYFUNCTION("""COMPUTED_VALUE"""),"dmoon")</f>
        <v>dmoon</v>
      </c>
      <c r="C3836" s="4" t="str">
        <f>IFERROR(__xludf.DUMMYFUNCTION("""COMPUTED_VALUE"""),"DollarMoon")</f>
        <v>DollarMoon</v>
      </c>
    </row>
    <row r="3837">
      <c r="A3837" s="4" t="str">
        <f>IFERROR(__xludf.DUMMYFUNCTION("""COMPUTED_VALUE"""),"dollar-on-chain")</f>
        <v>dollar-on-chain</v>
      </c>
      <c r="B3837" s="4" t="str">
        <f>IFERROR(__xludf.DUMMYFUNCTION("""COMPUTED_VALUE"""),"doc")</f>
        <v>doc</v>
      </c>
      <c r="C3837" s="4" t="str">
        <f>IFERROR(__xludf.DUMMYFUNCTION("""COMPUTED_VALUE"""),"Dollar On Chain")</f>
        <v>Dollar On Chain</v>
      </c>
    </row>
    <row r="3838">
      <c r="A3838" s="4" t="str">
        <f>IFERROR(__xludf.DUMMYFUNCTION("""COMPUTED_VALUE"""),"dollarsqueeze")</f>
        <v>dollarsqueeze</v>
      </c>
      <c r="B3838" s="4" t="str">
        <f>IFERROR(__xludf.DUMMYFUNCTION("""COMPUTED_VALUE"""),"dsq")</f>
        <v>dsq</v>
      </c>
      <c r="C3838" s="4" t="str">
        <f>IFERROR(__xludf.DUMMYFUNCTION("""COMPUTED_VALUE"""),"DollarSqueeze")</f>
        <v>DollarSqueeze</v>
      </c>
    </row>
    <row r="3839">
      <c r="A3839" s="4" t="str">
        <f>IFERROR(__xludf.DUMMYFUNCTION("""COMPUTED_VALUE"""),"dolp")</f>
        <v>dolp</v>
      </c>
      <c r="B3839" s="4" t="str">
        <f>IFERROR(__xludf.DUMMYFUNCTION("""COMPUTED_VALUE"""),"dolp")</f>
        <v>dolp</v>
      </c>
      <c r="C3839" s="4" t="str">
        <f>IFERROR(__xludf.DUMMYFUNCTION("""COMPUTED_VALUE"""),"DOLP")</f>
        <v>DOLP</v>
      </c>
    </row>
    <row r="3840">
      <c r="A3840" s="4" t="str">
        <f>IFERROR(__xludf.DUMMYFUNCTION("""COMPUTED_VALUE"""),"dolz-io")</f>
        <v>dolz-io</v>
      </c>
      <c r="B3840" s="4" t="str">
        <f>IFERROR(__xludf.DUMMYFUNCTION("""COMPUTED_VALUE"""),"dolz")</f>
        <v>dolz</v>
      </c>
      <c r="C3840" s="5" t="str">
        <f>IFERROR(__xludf.DUMMYFUNCTION("""COMPUTED_VALUE"""),"DOLZ.io")</f>
        <v>DOLZ.io</v>
      </c>
    </row>
    <row r="3841">
      <c r="A3841" s="4" t="str">
        <f>IFERROR(__xludf.DUMMYFUNCTION("""COMPUTED_VALUE"""),"domi")</f>
        <v>domi</v>
      </c>
      <c r="B3841" s="4" t="str">
        <f>IFERROR(__xludf.DUMMYFUNCTION("""COMPUTED_VALUE"""),"domi")</f>
        <v>domi</v>
      </c>
      <c r="C3841" s="4" t="str">
        <f>IFERROR(__xludf.DUMMYFUNCTION("""COMPUTED_VALUE"""),"Domi")</f>
        <v>Domi</v>
      </c>
    </row>
    <row r="3842">
      <c r="A3842" s="4" t="str">
        <f>IFERROR(__xludf.DUMMYFUNCTION("""COMPUTED_VALUE"""),"dominator-domains")</f>
        <v>dominator-domains</v>
      </c>
      <c r="B3842" s="4" t="str">
        <f>IFERROR(__xludf.DUMMYFUNCTION("""COMPUTED_VALUE"""),"domdom")</f>
        <v>domdom</v>
      </c>
      <c r="C3842" s="4" t="str">
        <f>IFERROR(__xludf.DUMMYFUNCTION("""COMPUTED_VALUE"""),"Dominator Domains")</f>
        <v>Dominator Domains</v>
      </c>
    </row>
    <row r="3843">
      <c r="A3843" s="4" t="str">
        <f>IFERROR(__xludf.DUMMYFUNCTION("""COMPUTED_VALUE"""),"dominica-coin")</f>
        <v>dominica-coin</v>
      </c>
      <c r="B3843" s="4" t="str">
        <f>IFERROR(__xludf.DUMMYFUNCTION("""COMPUTED_VALUE"""),"dmc")</f>
        <v>dmc</v>
      </c>
      <c r="C3843" s="4" t="str">
        <f>IFERROR(__xludf.DUMMYFUNCTION("""COMPUTED_VALUE"""),"Dominica Coin")</f>
        <v>Dominica Coin</v>
      </c>
    </row>
    <row r="3844">
      <c r="A3844" s="4" t="str">
        <f>IFERROR(__xludf.DUMMYFUNCTION("""COMPUTED_VALUE"""),"dominium-2")</f>
        <v>dominium-2</v>
      </c>
      <c r="B3844" s="4" t="str">
        <f>IFERROR(__xludf.DUMMYFUNCTION("""COMPUTED_VALUE"""),"dom")</f>
        <v>dom</v>
      </c>
      <c r="C3844" s="4" t="str">
        <f>IFERROR(__xludf.DUMMYFUNCTION("""COMPUTED_VALUE"""),"Dominium")</f>
        <v>Dominium</v>
      </c>
    </row>
    <row r="3845">
      <c r="A3845" s="4" t="str">
        <f>IFERROR(__xludf.DUMMYFUNCTION("""COMPUTED_VALUE"""),"domo")</f>
        <v>domo</v>
      </c>
      <c r="B3845" s="4" t="str">
        <f>IFERROR(__xludf.DUMMYFUNCTION("""COMPUTED_VALUE"""),"domo")</f>
        <v>domo</v>
      </c>
      <c r="C3845" s="4" t="str">
        <f>IFERROR(__xludf.DUMMYFUNCTION("""COMPUTED_VALUE"""),"DOMO")</f>
        <v>DOMO</v>
      </c>
    </row>
    <row r="3846">
      <c r="A3846" s="4" t="str">
        <f>IFERROR(__xludf.DUMMYFUNCTION("""COMPUTED_VALUE"""),"donablock")</f>
        <v>donablock</v>
      </c>
      <c r="B3846" s="4" t="str">
        <f>IFERROR(__xludf.DUMMYFUNCTION("""COMPUTED_VALUE"""),"dobo")</f>
        <v>dobo</v>
      </c>
      <c r="C3846" s="4" t="str">
        <f>IFERROR(__xludf.DUMMYFUNCTION("""COMPUTED_VALUE"""),"DonaBlock")</f>
        <v>DonaBlock</v>
      </c>
    </row>
    <row r="3847">
      <c r="A3847" s="4" t="str">
        <f>IFERROR(__xludf.DUMMYFUNCTION("""COMPUTED_VALUE"""),"donald-tremp")</f>
        <v>donald-tremp</v>
      </c>
      <c r="B3847" s="4" t="str">
        <f>IFERROR(__xludf.DUMMYFUNCTION("""COMPUTED_VALUE"""),"tremp")</f>
        <v>tremp</v>
      </c>
      <c r="C3847" s="4" t="str">
        <f>IFERROR(__xludf.DUMMYFUNCTION("""COMPUTED_VALUE"""),"Doland Tremp")</f>
        <v>Doland Tremp</v>
      </c>
    </row>
    <row r="3848">
      <c r="A3848" s="4" t="str">
        <f>IFERROR(__xludf.DUMMYFUNCTION("""COMPUTED_VALUE"""),"donald-trump")</f>
        <v>donald-trump</v>
      </c>
      <c r="B3848" s="4" t="str">
        <f>IFERROR(__xludf.DUMMYFUNCTION("""COMPUTED_VALUE"""),"trump2024")</f>
        <v>trump2024</v>
      </c>
      <c r="C3848" s="4" t="str">
        <f>IFERROR(__xludf.DUMMYFUNCTION("""COMPUTED_VALUE"""),"Donald Trump")</f>
        <v>Donald Trump</v>
      </c>
    </row>
    <row r="3849">
      <c r="A3849" s="4" t="str">
        <f>IFERROR(__xludf.DUMMYFUNCTION("""COMPUTED_VALUE"""),"donaswap")</f>
        <v>donaswap</v>
      </c>
      <c r="B3849" s="4" t="str">
        <f>IFERROR(__xludf.DUMMYFUNCTION("""COMPUTED_VALUE"""),"dona")</f>
        <v>dona</v>
      </c>
      <c r="C3849" s="4" t="str">
        <f>IFERROR(__xludf.DUMMYFUNCTION("""COMPUTED_VALUE"""),"Donaswap")</f>
        <v>Donaswap</v>
      </c>
    </row>
    <row r="3850">
      <c r="A3850" s="4" t="str">
        <f>IFERROR(__xludf.DUMMYFUNCTION("""COMPUTED_VALUE"""),"don-catblueone")</f>
        <v>don-catblueone</v>
      </c>
      <c r="B3850" s="4" t="str">
        <f>IFERROR(__xludf.DUMMYFUNCTION("""COMPUTED_VALUE"""),"doncat")</f>
        <v>doncat</v>
      </c>
      <c r="C3850" s="4" t="str">
        <f>IFERROR(__xludf.DUMMYFUNCTION("""COMPUTED_VALUE"""),"Don Catblueone")</f>
        <v>Don Catblueone</v>
      </c>
    </row>
    <row r="3851">
      <c r="A3851" s="4" t="str">
        <f>IFERROR(__xludf.DUMMYFUNCTION("""COMPUTED_VALUE"""),"don-don-donki")</f>
        <v>don-don-donki</v>
      </c>
      <c r="B3851" s="4" t="str">
        <f>IFERROR(__xludf.DUMMYFUNCTION("""COMPUTED_VALUE"""),"donki")</f>
        <v>donki</v>
      </c>
      <c r="C3851" s="4" t="str">
        <f>IFERROR(__xludf.DUMMYFUNCTION("""COMPUTED_VALUE"""),"DON DON DONKI")</f>
        <v>DON DON DONKI</v>
      </c>
    </row>
    <row r="3852">
      <c r="A3852" s="4" t="str">
        <f>IFERROR(__xludf.DUMMYFUNCTION("""COMPUTED_VALUE"""),"dongcoin")</f>
        <v>dongcoin</v>
      </c>
      <c r="B3852" s="4" t="str">
        <f>IFERROR(__xludf.DUMMYFUNCTION("""COMPUTED_VALUE"""),"dong")</f>
        <v>dong</v>
      </c>
      <c r="C3852" s="4" t="str">
        <f>IFERROR(__xludf.DUMMYFUNCTION("""COMPUTED_VALUE"""),"DongCoin")</f>
        <v>DongCoin</v>
      </c>
    </row>
    <row r="3853">
      <c r="A3853" s="4" t="str">
        <f>IFERROR(__xludf.DUMMYFUNCTION("""COMPUTED_VALUE"""),"dongo-ai")</f>
        <v>dongo-ai</v>
      </c>
      <c r="B3853" s="4" t="str">
        <f>IFERROR(__xludf.DUMMYFUNCTION("""COMPUTED_VALUE"""),"dongo")</f>
        <v>dongo</v>
      </c>
      <c r="C3853" s="4" t="str">
        <f>IFERROR(__xludf.DUMMYFUNCTION("""COMPUTED_VALUE"""),"Dongo AI")</f>
        <v>Dongo AI</v>
      </c>
    </row>
    <row r="3854">
      <c r="A3854" s="4" t="str">
        <f>IFERROR(__xludf.DUMMYFUNCTION("""COMPUTED_VALUE"""),"donk")</f>
        <v>donk</v>
      </c>
      <c r="B3854" s="4" t="str">
        <f>IFERROR(__xludf.DUMMYFUNCTION("""COMPUTED_VALUE"""),"donk")</f>
        <v>donk</v>
      </c>
      <c r="C3854" s="4" t="str">
        <f>IFERROR(__xludf.DUMMYFUNCTION("""COMPUTED_VALUE"""),"DONK")</f>
        <v>DONK</v>
      </c>
    </row>
    <row r="3855">
      <c r="A3855" s="4" t="str">
        <f>IFERROR(__xludf.DUMMYFUNCTION("""COMPUTED_VALUE"""),"donkey")</f>
        <v>donkey</v>
      </c>
      <c r="B3855" s="4" t="str">
        <f>IFERROR(__xludf.DUMMYFUNCTION("""COMPUTED_VALUE"""),"donk")</f>
        <v>donk</v>
      </c>
      <c r="C3855" s="4" t="str">
        <f>IFERROR(__xludf.DUMMYFUNCTION("""COMPUTED_VALUE"""),"Donkey")</f>
        <v>Donkey</v>
      </c>
    </row>
    <row r="3856">
      <c r="A3856" s="4" t="str">
        <f>IFERROR(__xludf.DUMMYFUNCTION("""COMPUTED_VALUE"""),"don-key")</f>
        <v>don-key</v>
      </c>
      <c r="B3856" s="4" t="str">
        <f>IFERROR(__xludf.DUMMYFUNCTION("""COMPUTED_VALUE"""),"don")</f>
        <v>don</v>
      </c>
      <c r="C3856" s="4" t="str">
        <f>IFERROR(__xludf.DUMMYFUNCTION("""COMPUTED_VALUE"""),"Don-key")</f>
        <v>Don-key</v>
      </c>
    </row>
    <row r="3857">
      <c r="A3857" s="4" t="str">
        <f>IFERROR(__xludf.DUMMYFUNCTION("""COMPUTED_VALUE"""),"donk-inu")</f>
        <v>donk-inu</v>
      </c>
      <c r="B3857" s="4" t="str">
        <f>IFERROR(__xludf.DUMMYFUNCTION("""COMPUTED_VALUE"""),"donk")</f>
        <v>donk</v>
      </c>
      <c r="C3857" s="4" t="str">
        <f>IFERROR(__xludf.DUMMYFUNCTION("""COMPUTED_VALUE"""),"Donk Inu")</f>
        <v>Donk Inu</v>
      </c>
    </row>
    <row r="3858">
      <c r="A3858" s="4" t="str">
        <f>IFERROR(__xludf.DUMMYFUNCTION("""COMPUTED_VALUE"""),"dons")</f>
        <v>dons</v>
      </c>
      <c r="B3858" s="4" t="str">
        <f>IFERROR(__xludf.DUMMYFUNCTION("""COMPUTED_VALUE"""),"dons")</f>
        <v>dons</v>
      </c>
      <c r="C3858" s="4" t="str">
        <f>IFERROR(__xludf.DUMMYFUNCTION("""COMPUTED_VALUE"""),"The Dons")</f>
        <v>The Dons</v>
      </c>
    </row>
    <row r="3859">
      <c r="A3859" s="4" t="str">
        <f>IFERROR(__xludf.DUMMYFUNCTION("""COMPUTED_VALUE"""),"don-t-buy-inu")</f>
        <v>don-t-buy-inu</v>
      </c>
      <c r="B3859" s="4" t="str">
        <f>IFERROR(__xludf.DUMMYFUNCTION("""COMPUTED_VALUE"""),"dbi")</f>
        <v>dbi</v>
      </c>
      <c r="C3859" s="4" t="str">
        <f>IFERROR(__xludf.DUMMYFUNCTION("""COMPUTED_VALUE"""),"Don't Buy Inu")</f>
        <v>Don't Buy Inu</v>
      </c>
    </row>
    <row r="3860">
      <c r="A3860" s="4" t="str">
        <f>IFERROR(__xludf.DUMMYFUNCTION("""COMPUTED_VALUE"""),"donut")</f>
        <v>donut</v>
      </c>
      <c r="B3860" s="4" t="str">
        <f>IFERROR(__xludf.DUMMYFUNCTION("""COMPUTED_VALUE"""),"donut")</f>
        <v>donut</v>
      </c>
      <c r="C3860" s="4" t="str">
        <f>IFERROR(__xludf.DUMMYFUNCTION("""COMPUTED_VALUE"""),"Donut")</f>
        <v>Donut</v>
      </c>
    </row>
    <row r="3861">
      <c r="A3861" s="4" t="str">
        <f>IFERROR(__xludf.DUMMYFUNCTION("""COMPUTED_VALUE"""),"doodoo")</f>
        <v>doodoo</v>
      </c>
      <c r="B3861" s="4" t="str">
        <f>IFERROR(__xludf.DUMMYFUNCTION("""COMPUTED_VALUE"""),"doodoo")</f>
        <v>doodoo</v>
      </c>
      <c r="C3861" s="4" t="str">
        <f>IFERROR(__xludf.DUMMYFUNCTION("""COMPUTED_VALUE"""),"DooDoo")</f>
        <v>DooDoo</v>
      </c>
    </row>
    <row r="3862">
      <c r="A3862" s="4" t="str">
        <f>IFERROR(__xludf.DUMMYFUNCTION("""COMPUTED_VALUE"""),"doom-hero-dao")</f>
        <v>doom-hero-dao</v>
      </c>
      <c r="B3862" s="4" t="str">
        <f>IFERROR(__xludf.DUMMYFUNCTION("""COMPUTED_VALUE"""),"dhd")</f>
        <v>dhd</v>
      </c>
      <c r="C3862" s="4" t="str">
        <f>IFERROR(__xludf.DUMMYFUNCTION("""COMPUTED_VALUE"""),"Doom Hero Dao")</f>
        <v>Doom Hero Dao</v>
      </c>
    </row>
    <row r="3863">
      <c r="A3863" s="4" t="str">
        <f>IFERROR(__xludf.DUMMYFUNCTION("""COMPUTED_VALUE"""),"doont-buy")</f>
        <v>doont-buy</v>
      </c>
      <c r="B3863" s="4" t="str">
        <f>IFERROR(__xludf.DUMMYFUNCTION("""COMPUTED_VALUE"""),"dbuy")</f>
        <v>dbuy</v>
      </c>
      <c r="C3863" s="4" t="str">
        <f>IFERROR(__xludf.DUMMYFUNCTION("""COMPUTED_VALUE"""),"Doont Buy")</f>
        <v>Doont Buy</v>
      </c>
    </row>
    <row r="3864">
      <c r="A3864" s="4" t="str">
        <f>IFERROR(__xludf.DUMMYFUNCTION("""COMPUTED_VALUE"""),"dopamine")</f>
        <v>dopamine</v>
      </c>
      <c r="B3864" s="4" t="str">
        <f>IFERROR(__xludf.DUMMYFUNCTION("""COMPUTED_VALUE"""),"dope")</f>
        <v>dope</v>
      </c>
      <c r="C3864" s="4" t="str">
        <f>IFERROR(__xludf.DUMMYFUNCTION("""COMPUTED_VALUE"""),"Dopamine")</f>
        <v>Dopamine</v>
      </c>
    </row>
    <row r="3865">
      <c r="A3865" s="4" t="str">
        <f>IFERROR(__xludf.DUMMYFUNCTION("""COMPUTED_VALUE"""),"dope-wars-paper")</f>
        <v>dope-wars-paper</v>
      </c>
      <c r="B3865" s="4" t="str">
        <f>IFERROR(__xludf.DUMMYFUNCTION("""COMPUTED_VALUE"""),"paper")</f>
        <v>paper</v>
      </c>
      <c r="C3865" s="4" t="str">
        <f>IFERROR(__xludf.DUMMYFUNCTION("""COMPUTED_VALUE"""),"Dope Wars Paper")</f>
        <v>Dope Wars Paper</v>
      </c>
    </row>
    <row r="3866">
      <c r="A3866" s="4" t="str">
        <f>IFERROR(__xludf.DUMMYFUNCTION("""COMPUTED_VALUE"""),"dopex")</f>
        <v>dopex</v>
      </c>
      <c r="B3866" s="4" t="str">
        <f>IFERROR(__xludf.DUMMYFUNCTION("""COMPUTED_VALUE"""),"dpx")</f>
        <v>dpx</v>
      </c>
      <c r="C3866" s="4" t="str">
        <f>IFERROR(__xludf.DUMMYFUNCTION("""COMPUTED_VALUE"""),"Dopex")</f>
        <v>Dopex</v>
      </c>
    </row>
    <row r="3867">
      <c r="A3867" s="4" t="str">
        <f>IFERROR(__xludf.DUMMYFUNCTION("""COMPUTED_VALUE"""),"dopex-rebate-token")</f>
        <v>dopex-rebate-token</v>
      </c>
      <c r="B3867" s="4" t="str">
        <f>IFERROR(__xludf.DUMMYFUNCTION("""COMPUTED_VALUE"""),"rdpx")</f>
        <v>rdpx</v>
      </c>
      <c r="C3867" s="4" t="str">
        <f>IFERROR(__xludf.DUMMYFUNCTION("""COMPUTED_VALUE"""),"Dopex Rebate")</f>
        <v>Dopex Rebate</v>
      </c>
    </row>
    <row r="3868">
      <c r="A3868" s="4" t="str">
        <f>IFERROR(__xludf.DUMMYFUNCTION("""COMPUTED_VALUE"""),"dopex-receipt-token-eth")</f>
        <v>dopex-receipt-token-eth</v>
      </c>
      <c r="B3868" s="4" t="str">
        <f>IFERROR(__xludf.DUMMYFUNCTION("""COMPUTED_VALUE"""),"rteth")</f>
        <v>rteth</v>
      </c>
      <c r="C3868" s="4" t="str">
        <f>IFERROR(__xludf.DUMMYFUNCTION("""COMPUTED_VALUE"""),"Dopex Receipt Token ETH")</f>
        <v>Dopex Receipt Token ETH</v>
      </c>
    </row>
    <row r="3869">
      <c r="A3869" s="4" t="str">
        <f>IFERROR(__xludf.DUMMYFUNCTION("""COMPUTED_VALUE"""),"dor")</f>
        <v>dor</v>
      </c>
      <c r="B3869" s="4" t="str">
        <f>IFERROR(__xludf.DUMMYFUNCTION("""COMPUTED_VALUE"""),"dor")</f>
        <v>dor</v>
      </c>
      <c r="C3869" s="4" t="str">
        <f>IFERROR(__xludf.DUMMYFUNCTION("""COMPUTED_VALUE"""),"Dor")</f>
        <v>Dor</v>
      </c>
    </row>
    <row r="3870">
      <c r="A3870" s="4" t="str">
        <f>IFERROR(__xludf.DUMMYFUNCTION("""COMPUTED_VALUE"""),"dora-factory")</f>
        <v>dora-factory</v>
      </c>
      <c r="B3870" s="4" t="str">
        <f>IFERROR(__xludf.DUMMYFUNCTION("""COMPUTED_VALUE"""),"dora")</f>
        <v>dora</v>
      </c>
      <c r="C3870" s="4" t="str">
        <f>IFERROR(__xludf.DUMMYFUNCTION("""COMPUTED_VALUE"""),"Dora Factory [OLD]")</f>
        <v>Dora Factory [OLD]</v>
      </c>
    </row>
    <row r="3871">
      <c r="A3871" s="4" t="str">
        <f>IFERROR(__xludf.DUMMYFUNCTION("""COMPUTED_VALUE"""),"dora-factory-2")</f>
        <v>dora-factory-2</v>
      </c>
      <c r="B3871" s="4" t="str">
        <f>IFERROR(__xludf.DUMMYFUNCTION("""COMPUTED_VALUE"""),"dora")</f>
        <v>dora</v>
      </c>
      <c r="C3871" s="4" t="str">
        <f>IFERROR(__xludf.DUMMYFUNCTION("""COMPUTED_VALUE"""),"Dora Factory")</f>
        <v>Dora Factory</v>
      </c>
    </row>
    <row r="3872">
      <c r="A3872" s="4" t="str">
        <f>IFERROR(__xludf.DUMMYFUNCTION("""COMPUTED_VALUE"""),"doric-network")</f>
        <v>doric-network</v>
      </c>
      <c r="B3872" s="4" t="str">
        <f>IFERROR(__xludf.DUMMYFUNCTION("""COMPUTED_VALUE"""),"drc")</f>
        <v>drc</v>
      </c>
      <c r="C3872" s="4" t="str">
        <f>IFERROR(__xludf.DUMMYFUNCTION("""COMPUTED_VALUE"""),"Doric Network")</f>
        <v>Doric Network</v>
      </c>
    </row>
    <row r="3873">
      <c r="A3873" s="4" t="str">
        <f>IFERROR(__xludf.DUMMYFUNCTION("""COMPUTED_VALUE"""),"dork")</f>
        <v>dork</v>
      </c>
      <c r="B3873" s="4" t="str">
        <f>IFERROR(__xludf.DUMMYFUNCTION("""COMPUTED_VALUE"""),"dork")</f>
        <v>dork</v>
      </c>
      <c r="C3873" s="4" t="str">
        <f>IFERROR(__xludf.DUMMYFUNCTION("""COMPUTED_VALUE"""),"DORK")</f>
        <v>DORK</v>
      </c>
    </row>
    <row r="3874">
      <c r="A3874" s="4" t="str">
        <f>IFERROR(__xludf.DUMMYFUNCTION("""COMPUTED_VALUE"""),"dork-lord")</f>
        <v>dork-lord</v>
      </c>
      <c r="B3874" s="4" t="str">
        <f>IFERROR(__xludf.DUMMYFUNCTION("""COMPUTED_VALUE"""),"dorkl")</f>
        <v>dorkl</v>
      </c>
      <c r="C3874" s="4" t="str">
        <f>IFERROR(__xludf.DUMMYFUNCTION("""COMPUTED_VALUE"""),"DORK LORD")</f>
        <v>DORK LORD</v>
      </c>
    </row>
    <row r="3875">
      <c r="A3875" s="4" t="str">
        <f>IFERROR(__xludf.DUMMYFUNCTION("""COMPUTED_VALUE"""),"dos-chain")</f>
        <v>dos-chain</v>
      </c>
      <c r="B3875" s="4" t="str">
        <f>IFERROR(__xludf.DUMMYFUNCTION("""COMPUTED_VALUE"""),"dos")</f>
        <v>dos</v>
      </c>
      <c r="C3875" s="4" t="str">
        <f>IFERROR(__xludf.DUMMYFUNCTION("""COMPUTED_VALUE"""),"DOS Chain")</f>
        <v>DOS Chain</v>
      </c>
    </row>
    <row r="3876">
      <c r="A3876" s="4" t="str">
        <f>IFERROR(__xludf.DUMMYFUNCTION("""COMPUTED_VALUE"""),"dose-token")</f>
        <v>dose-token</v>
      </c>
      <c r="B3876" s="4" t="str">
        <f>IFERROR(__xludf.DUMMYFUNCTION("""COMPUTED_VALUE"""),"dose")</f>
        <v>dose</v>
      </c>
      <c r="C3876" s="4" t="str">
        <f>IFERROR(__xludf.DUMMYFUNCTION("""COMPUTED_VALUE"""),"DOSE")</f>
        <v>DOSE</v>
      </c>
    </row>
    <row r="3877">
      <c r="A3877" s="4" t="str">
        <f>IFERROR(__xludf.DUMMYFUNCTION("""COMPUTED_VALUE"""),"dos-network")</f>
        <v>dos-network</v>
      </c>
      <c r="B3877" s="4" t="str">
        <f>IFERROR(__xludf.DUMMYFUNCTION("""COMPUTED_VALUE"""),"dos")</f>
        <v>dos</v>
      </c>
      <c r="C3877" s="4" t="str">
        <f>IFERROR(__xludf.DUMMYFUNCTION("""COMPUTED_VALUE"""),"DOS Network")</f>
        <v>DOS Network</v>
      </c>
    </row>
    <row r="3878">
      <c r="A3878" s="4" t="str">
        <f>IFERROR(__xludf.DUMMYFUNCTION("""COMPUTED_VALUE"""),"dotblox")</f>
        <v>dotblox</v>
      </c>
      <c r="B3878" s="4" t="str">
        <f>IFERROR(__xludf.DUMMYFUNCTION("""COMPUTED_VALUE"""),"dtbx")</f>
        <v>dtbx</v>
      </c>
      <c r="C3878" s="4" t="str">
        <f>IFERROR(__xludf.DUMMYFUNCTION("""COMPUTED_VALUE"""),"Dotblox")</f>
        <v>Dotblox</v>
      </c>
    </row>
    <row r="3879">
      <c r="A3879" s="4" t="str">
        <f>IFERROR(__xludf.DUMMYFUNCTION("""COMPUTED_VALUE"""),"dot-dot-finance")</f>
        <v>dot-dot-finance</v>
      </c>
      <c r="B3879" s="4" t="str">
        <f>IFERROR(__xludf.DUMMYFUNCTION("""COMPUTED_VALUE"""),"ddd")</f>
        <v>ddd</v>
      </c>
      <c r="C3879" s="4" t="str">
        <f>IFERROR(__xludf.DUMMYFUNCTION("""COMPUTED_VALUE"""),"Dot Dot Finance")</f>
        <v>Dot Dot Finance</v>
      </c>
    </row>
    <row r="3880">
      <c r="A3880" s="4" t="str">
        <f>IFERROR(__xludf.DUMMYFUNCTION("""COMPUTED_VALUE"""),"dot-finance")</f>
        <v>dot-finance</v>
      </c>
      <c r="B3880" s="4" t="str">
        <f>IFERROR(__xludf.DUMMYFUNCTION("""COMPUTED_VALUE"""),"pink")</f>
        <v>pink</v>
      </c>
      <c r="C3880" s="4" t="str">
        <f>IFERROR(__xludf.DUMMYFUNCTION("""COMPUTED_VALUE"""),"Dot Finance")</f>
        <v>Dot Finance</v>
      </c>
    </row>
    <row r="3881">
      <c r="A3881" s="4" t="str">
        <f>IFERROR(__xludf.DUMMYFUNCTION("""COMPUTED_VALUE"""),"dotmoovs")</f>
        <v>dotmoovs</v>
      </c>
      <c r="B3881" s="4" t="str">
        <f>IFERROR(__xludf.DUMMYFUNCTION("""COMPUTED_VALUE"""),"moov")</f>
        <v>moov</v>
      </c>
      <c r="C3881" s="4" t="str">
        <f>IFERROR(__xludf.DUMMYFUNCTION("""COMPUTED_VALUE"""),"dotmoovs")</f>
        <v>dotmoovs</v>
      </c>
    </row>
    <row r="3882">
      <c r="A3882" s="4" t="str">
        <f>IFERROR(__xludf.DUMMYFUNCTION("""COMPUTED_VALUE"""),"dotori")</f>
        <v>dotori</v>
      </c>
      <c r="B3882" s="4" t="str">
        <f>IFERROR(__xludf.DUMMYFUNCTION("""COMPUTED_VALUE"""),"dtr")</f>
        <v>dtr</v>
      </c>
      <c r="C3882" s="4" t="str">
        <f>IFERROR(__xludf.DUMMYFUNCTION("""COMPUTED_VALUE"""),"Dotori")</f>
        <v>Dotori</v>
      </c>
    </row>
    <row r="3883">
      <c r="A3883" s="4" t="str">
        <f>IFERROR(__xludf.DUMMYFUNCTION("""COMPUTED_VALUE"""),"doubloon")</f>
        <v>doubloon</v>
      </c>
      <c r="B3883" s="4" t="str">
        <f>IFERROR(__xludf.DUMMYFUNCTION("""COMPUTED_VALUE"""),"dbl")</f>
        <v>dbl</v>
      </c>
      <c r="C3883" s="4" t="str">
        <f>IFERROR(__xludf.DUMMYFUNCTION("""COMPUTED_VALUE"""),"Doubloon")</f>
        <v>Doubloon</v>
      </c>
    </row>
    <row r="3884">
      <c r="A3884" s="4" t="str">
        <f>IFERROR(__xludf.DUMMYFUNCTION("""COMPUTED_VALUE"""),"doug")</f>
        <v>doug</v>
      </c>
      <c r="B3884" s="4" t="str">
        <f>IFERROR(__xludf.DUMMYFUNCTION("""COMPUTED_VALUE"""),"doug")</f>
        <v>doug</v>
      </c>
      <c r="C3884" s="4" t="str">
        <f>IFERROR(__xludf.DUMMYFUNCTION("""COMPUTED_VALUE"""),"Doug")</f>
        <v>Doug</v>
      </c>
    </row>
    <row r="3885">
      <c r="A3885" s="4" t="str">
        <f>IFERROR(__xludf.DUMMYFUNCTION("""COMPUTED_VALUE"""),"dough")</f>
        <v>dough</v>
      </c>
      <c r="B3885" s="4" t="str">
        <f>IFERROR(__xludf.DUMMYFUNCTION("""COMPUTED_VALUE"""),"dough")</f>
        <v>dough</v>
      </c>
      <c r="C3885" s="4" t="str">
        <f>IFERROR(__xludf.DUMMYFUNCTION("""COMPUTED_VALUE"""),"Dough")</f>
        <v>Dough</v>
      </c>
    </row>
    <row r="3886">
      <c r="A3886" s="4" t="str">
        <f>IFERROR(__xludf.DUMMYFUNCTION("""COMPUTED_VALUE"""),"douglas-adams")</f>
        <v>douglas-adams</v>
      </c>
      <c r="B3886" s="4" t="str">
        <f>IFERROR(__xludf.DUMMYFUNCTION("""COMPUTED_VALUE"""),"hhgttg")</f>
        <v>hhgttg</v>
      </c>
      <c r="C3886" s="4" t="str">
        <f>IFERROR(__xludf.DUMMYFUNCTION("""COMPUTED_VALUE"""),"Douglas Adams")</f>
        <v>Douglas Adams</v>
      </c>
    </row>
    <row r="3887">
      <c r="A3887" s="4" t="str">
        <f>IFERROR(__xludf.DUMMYFUNCTION("""COMPUTED_VALUE"""),"doveswap")</f>
        <v>doveswap</v>
      </c>
      <c r="B3887" s="4" t="str">
        <f>IFERROR(__xludf.DUMMYFUNCTION("""COMPUTED_VALUE"""),"dov")</f>
        <v>dov</v>
      </c>
      <c r="C3887" s="4" t="str">
        <f>IFERROR(__xludf.DUMMYFUNCTION("""COMPUTED_VALUE"""),"DoveSwap")</f>
        <v>DoveSwap</v>
      </c>
    </row>
    <row r="3888">
      <c r="A3888" s="4" t="str">
        <f>IFERROR(__xludf.DUMMYFUNCTION("""COMPUTED_VALUE"""),"dovi")</f>
        <v>dovi</v>
      </c>
      <c r="B3888" s="4" t="str">
        <f>IFERROR(__xludf.DUMMYFUNCTION("""COMPUTED_VALUE"""),"dovi")</f>
        <v>dovi</v>
      </c>
      <c r="C3888" s="4" t="str">
        <f>IFERROR(__xludf.DUMMYFUNCTION("""COMPUTED_VALUE"""),"DOVI")</f>
        <v>DOVI</v>
      </c>
    </row>
    <row r="3889">
      <c r="A3889" s="4" t="str">
        <f>IFERROR(__xludf.DUMMYFUNCTION("""COMPUTED_VALUE"""),"dovu")</f>
        <v>dovu</v>
      </c>
      <c r="B3889" s="4" t="str">
        <f>IFERROR(__xludf.DUMMYFUNCTION("""COMPUTED_VALUE"""),"dov")</f>
        <v>dov</v>
      </c>
      <c r="C3889" s="4" t="str">
        <f>IFERROR(__xludf.DUMMYFUNCTION("""COMPUTED_VALUE"""),"Dovu [OLD]")</f>
        <v>Dovu [OLD]</v>
      </c>
    </row>
    <row r="3890">
      <c r="A3890" s="4" t="str">
        <f>IFERROR(__xludf.DUMMYFUNCTION("""COMPUTED_VALUE"""),"dovu-2")</f>
        <v>dovu-2</v>
      </c>
      <c r="B3890" s="4" t="str">
        <f>IFERROR(__xludf.DUMMYFUNCTION("""COMPUTED_VALUE"""),"dovu")</f>
        <v>dovu</v>
      </c>
      <c r="C3890" s="4" t="str">
        <f>IFERROR(__xludf.DUMMYFUNCTION("""COMPUTED_VALUE"""),"DOVU")</f>
        <v>DOVU</v>
      </c>
    </row>
    <row r="3891">
      <c r="A3891" s="4" t="str">
        <f>IFERROR(__xludf.DUMMYFUNCTION("""COMPUTED_VALUE"""),"doxcoin")</f>
        <v>doxcoin</v>
      </c>
      <c r="B3891" s="4" t="str">
        <f>IFERROR(__xludf.DUMMYFUNCTION("""COMPUTED_VALUE"""),"dox")</f>
        <v>dox</v>
      </c>
      <c r="C3891" s="4" t="str">
        <f>IFERROR(__xludf.DUMMYFUNCTION("""COMPUTED_VALUE"""),"DOXcoin")</f>
        <v>DOXcoin</v>
      </c>
    </row>
    <row r="3892">
      <c r="A3892" s="4" t="str">
        <f>IFERROR(__xludf.DUMMYFUNCTION("""COMPUTED_VALUE"""),"dozy-ordinals")</f>
        <v>dozy-ordinals</v>
      </c>
      <c r="B3892" s="4" t="str">
        <f>IFERROR(__xludf.DUMMYFUNCTION("""COMPUTED_VALUE"""),"dozy")</f>
        <v>dozy</v>
      </c>
      <c r="C3892" s="4" t="str">
        <f>IFERROR(__xludf.DUMMYFUNCTION("""COMPUTED_VALUE"""),"Dozy (Ordinals)")</f>
        <v>Dozy (Ordinals)</v>
      </c>
    </row>
    <row r="3893">
      <c r="A3893" s="4" t="str">
        <f>IFERROR(__xludf.DUMMYFUNCTION("""COMPUTED_VALUE"""),"dparrot")</f>
        <v>dparrot</v>
      </c>
      <c r="B3893" s="4" t="str">
        <f>IFERROR(__xludf.DUMMYFUNCTION("""COMPUTED_VALUE"""),"parrot")</f>
        <v>parrot</v>
      </c>
      <c r="C3893" s="4" t="str">
        <f>IFERROR(__xludf.DUMMYFUNCTION("""COMPUTED_VALUE"""),"dPARROT")</f>
        <v>dPARROT</v>
      </c>
    </row>
    <row r="3894">
      <c r="A3894" s="4" t="str">
        <f>IFERROR(__xludf.DUMMYFUNCTION("""COMPUTED_VALUE"""),"dpex")</f>
        <v>dpex</v>
      </c>
      <c r="B3894" s="4" t="str">
        <f>IFERROR(__xludf.DUMMYFUNCTION("""COMPUTED_VALUE"""),"dpex")</f>
        <v>dpex</v>
      </c>
      <c r="C3894" s="4" t="str">
        <f>IFERROR(__xludf.DUMMYFUNCTION("""COMPUTED_VALUE"""),"DPEX")</f>
        <v>DPEX</v>
      </c>
    </row>
    <row r="3895">
      <c r="A3895" s="4" t="str">
        <f>IFERROR(__xludf.DUMMYFUNCTION("""COMPUTED_VALUE"""),"dprating")</f>
        <v>dprating</v>
      </c>
      <c r="B3895" s="4" t="str">
        <f>IFERROR(__xludf.DUMMYFUNCTION("""COMPUTED_VALUE"""),"rating")</f>
        <v>rating</v>
      </c>
      <c r="C3895" s="4" t="str">
        <f>IFERROR(__xludf.DUMMYFUNCTION("""COMPUTED_VALUE"""),"DPRating")</f>
        <v>DPRating</v>
      </c>
    </row>
    <row r="3896">
      <c r="A3896" s="4" t="str">
        <f>IFERROR(__xludf.DUMMYFUNCTION("""COMPUTED_VALUE"""),"dps-doubloon")</f>
        <v>dps-doubloon</v>
      </c>
      <c r="B3896" s="4" t="str">
        <f>IFERROR(__xludf.DUMMYFUNCTION("""COMPUTED_VALUE"""),"dbl")</f>
        <v>dbl</v>
      </c>
      <c r="C3896" s="4" t="str">
        <f>IFERROR(__xludf.DUMMYFUNCTION("""COMPUTED_VALUE"""),"DPS Doubloon [OLD]")</f>
        <v>DPS Doubloon [OLD]</v>
      </c>
    </row>
    <row r="3897">
      <c r="A3897" s="4" t="str">
        <f>IFERROR(__xludf.DUMMYFUNCTION("""COMPUTED_VALUE"""),"dps-doubloon-2")</f>
        <v>dps-doubloon-2</v>
      </c>
      <c r="B3897" s="4" t="str">
        <f>IFERROR(__xludf.DUMMYFUNCTION("""COMPUTED_VALUE"""),"dbl")</f>
        <v>dbl</v>
      </c>
      <c r="C3897" s="4" t="str">
        <f>IFERROR(__xludf.DUMMYFUNCTION("""COMPUTED_VALUE"""),"DPS Doubloon")</f>
        <v>DPS Doubloon</v>
      </c>
    </row>
    <row r="3898">
      <c r="A3898" s="4" t="str">
        <f>IFERROR(__xludf.DUMMYFUNCTION("""COMPUTED_VALUE"""),"dps-rum-2")</f>
        <v>dps-rum-2</v>
      </c>
      <c r="B3898" s="4" t="str">
        <f>IFERROR(__xludf.DUMMYFUNCTION("""COMPUTED_VALUE"""),"rum")</f>
        <v>rum</v>
      </c>
      <c r="C3898" s="4" t="str">
        <f>IFERROR(__xludf.DUMMYFUNCTION("""COMPUTED_VALUE"""),"DPS Rum")</f>
        <v>DPS Rum</v>
      </c>
    </row>
    <row r="3899">
      <c r="A3899" s="4" t="str">
        <f>IFERROR(__xludf.DUMMYFUNCTION("""COMPUTED_VALUE"""),"dps-treasuremaps-2")</f>
        <v>dps-treasuremaps-2</v>
      </c>
      <c r="B3899" s="4" t="str">
        <f>IFERROR(__xludf.DUMMYFUNCTION("""COMPUTED_VALUE"""),"tmap")</f>
        <v>tmap</v>
      </c>
      <c r="C3899" s="4" t="str">
        <f>IFERROR(__xludf.DUMMYFUNCTION("""COMPUTED_VALUE"""),"DPS TreasureMaps")</f>
        <v>DPS TreasureMaps</v>
      </c>
    </row>
    <row r="3900">
      <c r="A3900" s="4" t="str">
        <f>IFERROR(__xludf.DUMMYFUNCTION("""COMPUTED_VALUE"""),"dracarys-token")</f>
        <v>dracarys-token</v>
      </c>
      <c r="B3900" s="4" t="str">
        <f>IFERROR(__xludf.DUMMYFUNCTION("""COMPUTED_VALUE"""),"dra")</f>
        <v>dra</v>
      </c>
      <c r="C3900" s="4" t="str">
        <f>IFERROR(__xludf.DUMMYFUNCTION("""COMPUTED_VALUE"""),"Dracarys Token")</f>
        <v>Dracarys Token</v>
      </c>
    </row>
    <row r="3901">
      <c r="A3901" s="4" t="str">
        <f>IFERROR(__xludf.DUMMYFUNCTION("""COMPUTED_VALUE"""),"drac-network")</f>
        <v>drac-network</v>
      </c>
      <c r="B3901" s="4" t="str">
        <f>IFERROR(__xludf.DUMMYFUNCTION("""COMPUTED_VALUE"""),"drac")</f>
        <v>drac</v>
      </c>
      <c r="C3901" s="4" t="str">
        <f>IFERROR(__xludf.DUMMYFUNCTION("""COMPUTED_VALUE"""),"DRAC Network")</f>
        <v>DRAC Network</v>
      </c>
    </row>
    <row r="3902">
      <c r="A3902" s="4" t="str">
        <f>IFERROR(__xludf.DUMMYFUNCTION("""COMPUTED_VALUE"""),"dracoo-point")</f>
        <v>dracoo-point</v>
      </c>
      <c r="B3902" s="4" t="str">
        <f>IFERROR(__xludf.DUMMYFUNCTION("""COMPUTED_VALUE"""),"dra")</f>
        <v>dra</v>
      </c>
      <c r="C3902" s="4" t="str">
        <f>IFERROR(__xludf.DUMMYFUNCTION("""COMPUTED_VALUE"""),"Dracoo Point")</f>
        <v>Dracoo Point</v>
      </c>
    </row>
    <row r="3903">
      <c r="A3903" s="4" t="str">
        <f>IFERROR(__xludf.DUMMYFUNCTION("""COMPUTED_VALUE"""),"drac-ordinals")</f>
        <v>drac-ordinals</v>
      </c>
      <c r="B3903" s="4" t="str">
        <f>IFERROR(__xludf.DUMMYFUNCTION("""COMPUTED_VALUE"""),"drac")</f>
        <v>drac</v>
      </c>
      <c r="C3903" s="4" t="str">
        <f>IFERROR(__xludf.DUMMYFUNCTION("""COMPUTED_VALUE"""),"DRAC (Ordinals)")</f>
        <v>DRAC (Ordinals)</v>
      </c>
    </row>
    <row r="3904">
      <c r="A3904" s="4" t="str">
        <f>IFERROR(__xludf.DUMMYFUNCTION("""COMPUTED_VALUE"""),"dracula-fi")</f>
        <v>dracula-fi</v>
      </c>
      <c r="B3904" s="4" t="str">
        <f>IFERROR(__xludf.DUMMYFUNCTION("""COMPUTED_VALUE"""),"fang")</f>
        <v>fang</v>
      </c>
      <c r="C3904" s="4" t="str">
        <f>IFERROR(__xludf.DUMMYFUNCTION("""COMPUTED_VALUE"""),"Dracula Fi")</f>
        <v>Dracula Fi</v>
      </c>
    </row>
    <row r="3905">
      <c r="A3905" s="4" t="str">
        <f>IFERROR(__xludf.DUMMYFUNCTION("""COMPUTED_VALUE"""),"draggable-aktionariat-ag")</f>
        <v>draggable-aktionariat-ag</v>
      </c>
      <c r="B3905" s="4" t="str">
        <f>IFERROR(__xludf.DUMMYFUNCTION("""COMPUTED_VALUE"""),"daks")</f>
        <v>daks</v>
      </c>
      <c r="C3905" s="4" t="str">
        <f>IFERROR(__xludf.DUMMYFUNCTION("""COMPUTED_VALUE"""),"Draggable Aktionariat AG")</f>
        <v>Draggable Aktionariat AG</v>
      </c>
    </row>
    <row r="3906">
      <c r="A3906" s="4" t="str">
        <f>IFERROR(__xludf.DUMMYFUNCTION("""COMPUTED_VALUE"""),"drago")</f>
        <v>drago</v>
      </c>
      <c r="B3906" s="4" t="str">
        <f>IFERROR(__xludf.DUMMYFUNCTION("""COMPUTED_VALUE"""),"drago")</f>
        <v>drago</v>
      </c>
      <c r="C3906" s="4" t="str">
        <f>IFERROR(__xludf.DUMMYFUNCTION("""COMPUTED_VALUE"""),"Drago")</f>
        <v>Drago</v>
      </c>
    </row>
    <row r="3907">
      <c r="A3907" s="4" t="str">
        <f>IFERROR(__xludf.DUMMYFUNCTION("""COMPUTED_VALUE"""),"dragoma")</f>
        <v>dragoma</v>
      </c>
      <c r="B3907" s="4" t="str">
        <f>IFERROR(__xludf.DUMMYFUNCTION("""COMPUTED_VALUE"""),"dma")</f>
        <v>dma</v>
      </c>
      <c r="C3907" s="4" t="str">
        <f>IFERROR(__xludf.DUMMYFUNCTION("""COMPUTED_VALUE"""),"Dragoma")</f>
        <v>Dragoma</v>
      </c>
    </row>
    <row r="3908">
      <c r="A3908" s="4" t="str">
        <f>IFERROR(__xludf.DUMMYFUNCTION("""COMPUTED_VALUE"""),"dragon-2")</f>
        <v>dragon-2</v>
      </c>
      <c r="B3908" s="4" t="str">
        <f>IFERROR(__xludf.DUMMYFUNCTION("""COMPUTED_VALUE"""),"dragon")</f>
        <v>dragon</v>
      </c>
      <c r="C3908" s="4" t="str">
        <f>IFERROR(__xludf.DUMMYFUNCTION("""COMPUTED_VALUE"""),"Dragon")</f>
        <v>Dragon</v>
      </c>
    </row>
    <row r="3909">
      <c r="A3909" s="4" t="str">
        <f>IFERROR(__xludf.DUMMYFUNCTION("""COMPUTED_VALUE"""),"dragon-3")</f>
        <v>dragon-3</v>
      </c>
      <c r="B3909" s="4" t="str">
        <f>IFERROR(__xludf.DUMMYFUNCTION("""COMPUTED_VALUE"""),"dragon")</f>
        <v>dragon</v>
      </c>
      <c r="C3909" s="4" t="str">
        <f>IFERROR(__xludf.DUMMYFUNCTION("""COMPUTED_VALUE"""),"Dragon")</f>
        <v>Dragon</v>
      </c>
    </row>
    <row r="3910">
      <c r="A3910" s="4" t="str">
        <f>IFERROR(__xludf.DUMMYFUNCTION("""COMPUTED_VALUE"""),"dragonchain")</f>
        <v>dragonchain</v>
      </c>
      <c r="B3910" s="4" t="str">
        <f>IFERROR(__xludf.DUMMYFUNCTION("""COMPUTED_VALUE"""),"drgn")</f>
        <v>drgn</v>
      </c>
      <c r="C3910" s="4" t="str">
        <f>IFERROR(__xludf.DUMMYFUNCTION("""COMPUTED_VALUE"""),"Dragonchain")</f>
        <v>Dragonchain</v>
      </c>
    </row>
    <row r="3911">
      <c r="A3911" s="4" t="str">
        <f>IFERROR(__xludf.DUMMYFUNCTION("""COMPUTED_VALUE"""),"dragoncoin")</f>
        <v>dragoncoin</v>
      </c>
      <c r="B3911" s="4" t="str">
        <f>IFERROR(__xludf.DUMMYFUNCTION("""COMPUTED_VALUE"""),"dragon")</f>
        <v>dragon</v>
      </c>
      <c r="C3911" s="4" t="str">
        <f>IFERROR(__xludf.DUMMYFUNCTION("""COMPUTED_VALUE"""),"DragonCoin")</f>
        <v>DragonCoin</v>
      </c>
    </row>
    <row r="3912">
      <c r="A3912" s="4" t="str">
        <f>IFERROR(__xludf.DUMMYFUNCTION("""COMPUTED_VALUE"""),"dragon-crypto-argenti")</f>
        <v>dragon-crypto-argenti</v>
      </c>
      <c r="B3912" s="4" t="str">
        <f>IFERROR(__xludf.DUMMYFUNCTION("""COMPUTED_VALUE"""),"dcar")</f>
        <v>dcar</v>
      </c>
      <c r="C3912" s="4" t="str">
        <f>IFERROR(__xludf.DUMMYFUNCTION("""COMPUTED_VALUE"""),"Dragon Crypto Argenti")</f>
        <v>Dragon Crypto Argenti</v>
      </c>
    </row>
    <row r="3913">
      <c r="A3913" s="4" t="str">
        <f>IFERROR(__xludf.DUMMYFUNCTION("""COMPUTED_VALUE"""),"dragon-crypto-aurum")</f>
        <v>dragon-crypto-aurum</v>
      </c>
      <c r="B3913" s="4" t="str">
        <f>IFERROR(__xludf.DUMMYFUNCTION("""COMPUTED_VALUE"""),"dcau")</f>
        <v>dcau</v>
      </c>
      <c r="C3913" s="4" t="str">
        <f>IFERROR(__xludf.DUMMYFUNCTION("""COMPUTED_VALUE"""),"Dragon Crypto Aurum")</f>
        <v>Dragon Crypto Aurum</v>
      </c>
    </row>
    <row r="3914">
      <c r="A3914" s="4" t="str">
        <f>IFERROR(__xludf.DUMMYFUNCTION("""COMPUTED_VALUE"""),"dragonking")</f>
        <v>dragonking</v>
      </c>
      <c r="B3914" s="4" t="str">
        <f>IFERROR(__xludf.DUMMYFUNCTION("""COMPUTED_VALUE"""),"dragonking")</f>
        <v>dragonking</v>
      </c>
      <c r="C3914" s="4" t="str">
        <f>IFERROR(__xludf.DUMMYFUNCTION("""COMPUTED_VALUE"""),"DragonKing")</f>
        <v>DragonKing</v>
      </c>
    </row>
    <row r="3915">
      <c r="A3915" s="4" t="str">
        <f>IFERROR(__xludf.DUMMYFUNCTION("""COMPUTED_VALUE"""),"dragon-mainland-shards")</f>
        <v>dragon-mainland-shards</v>
      </c>
      <c r="B3915" s="4" t="str">
        <f>IFERROR(__xludf.DUMMYFUNCTION("""COMPUTED_VALUE"""),"dms")</f>
        <v>dms</v>
      </c>
      <c r="C3915" s="4" t="str">
        <f>IFERROR(__xludf.DUMMYFUNCTION("""COMPUTED_VALUE"""),"Dragon Mainland Shards")</f>
        <v>Dragon Mainland Shards</v>
      </c>
    </row>
    <row r="3916">
      <c r="A3916" s="4" t="str">
        <f>IFERROR(__xludf.DUMMYFUNCTION("""COMPUTED_VALUE"""),"dragonmaster-token")</f>
        <v>dragonmaster-token</v>
      </c>
      <c r="B3916" s="4" t="str">
        <f>IFERROR(__xludf.DUMMYFUNCTION("""COMPUTED_VALUE"""),"dmt")</f>
        <v>dmt</v>
      </c>
      <c r="C3916" s="4" t="str">
        <f>IFERROR(__xludf.DUMMYFUNCTION("""COMPUTED_VALUE"""),"DragonMaster")</f>
        <v>DragonMaster</v>
      </c>
    </row>
    <row r="3917">
      <c r="A3917" s="4" t="str">
        <f>IFERROR(__xludf.DUMMYFUNCTION("""COMPUTED_VALUE"""),"dragonmaster-totem")</f>
        <v>dragonmaster-totem</v>
      </c>
      <c r="B3917" s="4" t="str">
        <f>IFERROR(__xludf.DUMMYFUNCTION("""COMPUTED_VALUE"""),"totem")</f>
        <v>totem</v>
      </c>
      <c r="C3917" s="4" t="str">
        <f>IFERROR(__xludf.DUMMYFUNCTION("""COMPUTED_VALUE"""),"DragonMaster Totem")</f>
        <v>DragonMaster Totem</v>
      </c>
    </row>
    <row r="3918">
      <c r="A3918" s="4" t="str">
        <f>IFERROR(__xludf.DUMMYFUNCTION("""COMPUTED_VALUE"""),"dragon-ordinals")</f>
        <v>dragon-ordinals</v>
      </c>
      <c r="B3918" s="4" t="str">
        <f>IFERROR(__xludf.DUMMYFUNCTION("""COMPUTED_VALUE"""),"drag")</f>
        <v>drag</v>
      </c>
      <c r="C3918" s="4" t="str">
        <f>IFERROR(__xludf.DUMMYFUNCTION("""COMPUTED_VALUE"""),"DRAGON (Ordinals)")</f>
        <v>DRAGON (Ordinals)</v>
      </c>
    </row>
    <row r="3919">
      <c r="A3919" s="4" t="str">
        <f>IFERROR(__xludf.DUMMYFUNCTION("""COMPUTED_VALUE"""),"dragon-soul-token")</f>
        <v>dragon-soul-token</v>
      </c>
      <c r="B3919" s="4" t="str">
        <f>IFERROR(__xludf.DUMMYFUNCTION("""COMPUTED_VALUE"""),"dst")</f>
        <v>dst</v>
      </c>
      <c r="C3919" s="4" t="str">
        <f>IFERROR(__xludf.DUMMYFUNCTION("""COMPUTED_VALUE"""),"Dragon Soul Token")</f>
        <v>Dragon Soul Token</v>
      </c>
    </row>
    <row r="3920">
      <c r="A3920" s="4" t="str">
        <f>IFERROR(__xludf.DUMMYFUNCTION("""COMPUTED_VALUE"""),"dragon-s-quick")</f>
        <v>dragon-s-quick</v>
      </c>
      <c r="B3920" s="4" t="str">
        <f>IFERROR(__xludf.DUMMYFUNCTION("""COMPUTED_VALUE"""),"dquick")</f>
        <v>dquick</v>
      </c>
      <c r="C3920" s="4" t="str">
        <f>IFERROR(__xludf.DUMMYFUNCTION("""COMPUTED_VALUE"""),"Dragon's Quick")</f>
        <v>Dragon's Quick</v>
      </c>
    </row>
    <row r="3921">
      <c r="A3921" s="4" t="str">
        <f>IFERROR(__xludf.DUMMYFUNCTION("""COMPUTED_VALUE"""),"dragons-quick")</f>
        <v>dragons-quick</v>
      </c>
      <c r="B3921" s="4" t="str">
        <f>IFERROR(__xludf.DUMMYFUNCTION("""COMPUTED_VALUE"""),"dquick")</f>
        <v>dquick</v>
      </c>
      <c r="C3921" s="4" t="str">
        <f>IFERROR(__xludf.DUMMYFUNCTION("""COMPUTED_VALUE"""),"Dragon's Quick")</f>
        <v>Dragon's Quick</v>
      </c>
    </row>
    <row r="3922">
      <c r="A3922" s="4" t="str">
        <f>IFERROR(__xludf.DUMMYFUNCTION("""COMPUTED_VALUE"""),"dragon-war")</f>
        <v>dragon-war</v>
      </c>
      <c r="B3922" s="4" t="str">
        <f>IFERROR(__xludf.DUMMYFUNCTION("""COMPUTED_VALUE"""),"draw")</f>
        <v>draw</v>
      </c>
      <c r="C3922" s="4" t="str">
        <f>IFERROR(__xludf.DUMMYFUNCTION("""COMPUTED_VALUE"""),"Dragon War")</f>
        <v>Dragon War</v>
      </c>
    </row>
    <row r="3923">
      <c r="A3923" s="4" t="str">
        <f>IFERROR(__xludf.DUMMYFUNCTION("""COMPUTED_VALUE"""),"dragon-wif-hat")</f>
        <v>dragon-wif-hat</v>
      </c>
      <c r="B3923" s="4" t="str">
        <f>IFERROR(__xludf.DUMMYFUNCTION("""COMPUTED_VALUE"""),"dwif")</f>
        <v>dwif</v>
      </c>
      <c r="C3923" s="4" t="str">
        <f>IFERROR(__xludf.DUMMYFUNCTION("""COMPUTED_VALUE"""),"dragon wif hat")</f>
        <v>dragon wif hat</v>
      </c>
    </row>
    <row r="3924">
      <c r="A3924" s="4" t="str">
        <f>IFERROR(__xludf.DUMMYFUNCTION("""COMPUTED_VALUE"""),"dragonx")</f>
        <v>dragonx</v>
      </c>
      <c r="B3924" s="4" t="str">
        <f>IFERROR(__xludf.DUMMYFUNCTION("""COMPUTED_VALUE"""),"dragon")</f>
        <v>dragon</v>
      </c>
      <c r="C3924" s="4" t="str">
        <f>IFERROR(__xludf.DUMMYFUNCTION("""COMPUTED_VALUE"""),"DragonX")</f>
        <v>DragonX</v>
      </c>
    </row>
    <row r="3925">
      <c r="A3925" s="4" t="str">
        <f>IFERROR(__xludf.DUMMYFUNCTION("""COMPUTED_VALUE"""),"dragonx-2")</f>
        <v>dragonx-2</v>
      </c>
      <c r="B3925" s="4" t="str">
        <f>IFERROR(__xludf.DUMMYFUNCTION("""COMPUTED_VALUE"""),"drgx")</f>
        <v>drgx</v>
      </c>
      <c r="C3925" s="4" t="str">
        <f>IFERROR(__xludf.DUMMYFUNCTION("""COMPUTED_VALUE"""),"DragonX")</f>
        <v>DragonX</v>
      </c>
    </row>
    <row r="3926">
      <c r="A3926" s="4" t="str">
        <f>IFERROR(__xludf.DUMMYFUNCTION("""COMPUTED_VALUE"""),"dragonx-win")</f>
        <v>dragonx-win</v>
      </c>
      <c r="B3926" s="4" t="str">
        <f>IFERROR(__xludf.DUMMYFUNCTION("""COMPUTED_VALUE"""),"dragonx")</f>
        <v>dragonx</v>
      </c>
      <c r="C3926" s="4" t="str">
        <f>IFERROR(__xludf.DUMMYFUNCTION("""COMPUTED_VALUE"""),"DragonX.win")</f>
        <v>DragonX.win</v>
      </c>
    </row>
    <row r="3927">
      <c r="A3927" s="4" t="str">
        <f>IFERROR(__xludf.DUMMYFUNCTION("""COMPUTED_VALUE"""),"dragy")</f>
        <v>dragy</v>
      </c>
      <c r="B3927" s="4" t="str">
        <f>IFERROR(__xludf.DUMMYFUNCTION("""COMPUTED_VALUE"""),"dragy")</f>
        <v>dragy</v>
      </c>
      <c r="C3927" s="4" t="str">
        <f>IFERROR(__xludf.DUMMYFUNCTION("""COMPUTED_VALUE"""),"Dragy")</f>
        <v>Dragy</v>
      </c>
    </row>
    <row r="3928">
      <c r="A3928" s="4" t="str">
        <f>IFERROR(__xludf.DUMMYFUNCTION("""COMPUTED_VALUE"""),"draken")</f>
        <v>draken</v>
      </c>
      <c r="B3928" s="4" t="str">
        <f>IFERROR(__xludf.DUMMYFUNCTION("""COMPUTED_VALUE"""),"drk")</f>
        <v>drk</v>
      </c>
      <c r="C3928" s="4" t="str">
        <f>IFERROR(__xludf.DUMMYFUNCTION("""COMPUTED_VALUE"""),"Draken")</f>
        <v>Draken</v>
      </c>
    </row>
    <row r="3929">
      <c r="A3929" s="4" t="str">
        <f>IFERROR(__xludf.DUMMYFUNCTION("""COMPUTED_VALUE"""),"drake-s-dog")</f>
        <v>drake-s-dog</v>
      </c>
      <c r="B3929" s="4" t="str">
        <f>IFERROR(__xludf.DUMMYFUNCTION("""COMPUTED_VALUE"""),"diamond")</f>
        <v>diamond</v>
      </c>
      <c r="C3929" s="4" t="str">
        <f>IFERROR(__xludf.DUMMYFUNCTION("""COMPUTED_VALUE"""),"Drake's Dog")</f>
        <v>Drake's Dog</v>
      </c>
    </row>
    <row r="3930">
      <c r="A3930" s="4" t="str">
        <f>IFERROR(__xludf.DUMMYFUNCTION("""COMPUTED_VALUE"""),"drako")</f>
        <v>drako</v>
      </c>
      <c r="B3930" s="4" t="str">
        <f>IFERROR(__xludf.DUMMYFUNCTION("""COMPUTED_VALUE"""),"drako")</f>
        <v>drako</v>
      </c>
      <c r="C3930" s="4" t="str">
        <f>IFERROR(__xludf.DUMMYFUNCTION("""COMPUTED_VALUE"""),"Drako")</f>
        <v>Drako</v>
      </c>
    </row>
    <row r="3931">
      <c r="A3931" s="4" t="str">
        <f>IFERROR(__xludf.DUMMYFUNCTION("""COMPUTED_VALUE"""),"drawshop-kingdom-reverse-joystick")</f>
        <v>drawshop-kingdom-reverse-joystick</v>
      </c>
      <c r="B3931" s="4" t="str">
        <f>IFERROR(__xludf.DUMMYFUNCTION("""COMPUTED_VALUE"""),"joy")</f>
        <v>joy</v>
      </c>
      <c r="C3931" s="4" t="str">
        <f>IFERROR(__xludf.DUMMYFUNCTION("""COMPUTED_VALUE"""),"Drawshop Kingdom Reverse Joystick")</f>
        <v>Drawshop Kingdom Reverse Joystick</v>
      </c>
    </row>
    <row r="3932">
      <c r="A3932" s="4" t="str">
        <f>IFERROR(__xludf.DUMMYFUNCTION("""COMPUTED_VALUE"""),"drc-mobility")</f>
        <v>drc-mobility</v>
      </c>
      <c r="B3932" s="4" t="str">
        <f>IFERROR(__xludf.DUMMYFUNCTION("""COMPUTED_VALUE"""),"drc")</f>
        <v>drc</v>
      </c>
      <c r="C3932" s="4" t="str">
        <f>IFERROR(__xludf.DUMMYFUNCTION("""COMPUTED_VALUE"""),"DRC Mobility")</f>
        <v>DRC Mobility</v>
      </c>
    </row>
    <row r="3933">
      <c r="A3933" s="4" t="str">
        <f>IFERROR(__xludf.DUMMYFUNCTION("""COMPUTED_VALUE"""),"dream-machine-token")</f>
        <v>dream-machine-token</v>
      </c>
      <c r="B3933" s="4" t="str">
        <f>IFERROR(__xludf.DUMMYFUNCTION("""COMPUTED_VALUE"""),"dmt")</f>
        <v>dmt</v>
      </c>
      <c r="C3933" s="4" t="str">
        <f>IFERROR(__xludf.DUMMYFUNCTION("""COMPUTED_VALUE"""),"Dream Machine Token")</f>
        <v>Dream Machine Token</v>
      </c>
    </row>
    <row r="3934">
      <c r="A3934" s="4" t="str">
        <f>IFERROR(__xludf.DUMMYFUNCTION("""COMPUTED_VALUE"""),"dream-marketplace")</f>
        <v>dream-marketplace</v>
      </c>
      <c r="B3934" s="4" t="str">
        <f>IFERROR(__xludf.DUMMYFUNCTION("""COMPUTED_VALUE"""),"dream")</f>
        <v>dream</v>
      </c>
      <c r="C3934" s="4" t="str">
        <f>IFERROR(__xludf.DUMMYFUNCTION("""COMPUTED_VALUE"""),"Dream")</f>
        <v>Dream</v>
      </c>
    </row>
    <row r="3935">
      <c r="A3935" s="4" t="str">
        <f>IFERROR(__xludf.DUMMYFUNCTION("""COMPUTED_VALUE"""),"dreampad-capital")</f>
        <v>dreampad-capital</v>
      </c>
      <c r="B3935" s="4" t="str">
        <f>IFERROR(__xludf.DUMMYFUNCTION("""COMPUTED_VALUE"""),"dreampad")</f>
        <v>dreampad</v>
      </c>
      <c r="C3935" s="4" t="str">
        <f>IFERROR(__xludf.DUMMYFUNCTION("""COMPUTED_VALUE"""),"DreamPad Capital")</f>
        <v>DreamPad Capital</v>
      </c>
    </row>
    <row r="3936">
      <c r="A3936" s="4" t="str">
        <f>IFERROR(__xludf.DUMMYFUNCTION("""COMPUTED_VALUE"""),"dreamscoin")</f>
        <v>dreamscoin</v>
      </c>
      <c r="B3936" s="4" t="str">
        <f>IFERROR(__xludf.DUMMYFUNCTION("""COMPUTED_VALUE"""),"dream")</f>
        <v>dream</v>
      </c>
      <c r="C3936" s="4" t="str">
        <f>IFERROR(__xludf.DUMMYFUNCTION("""COMPUTED_VALUE"""),"DreamsCoin")</f>
        <v>DreamsCoin</v>
      </c>
    </row>
    <row r="3937">
      <c r="A3937" s="4" t="str">
        <f>IFERROR(__xludf.DUMMYFUNCTION("""COMPUTED_VALUE"""),"dreams-quest")</f>
        <v>dreams-quest</v>
      </c>
      <c r="B3937" s="4" t="str">
        <f>IFERROR(__xludf.DUMMYFUNCTION("""COMPUTED_VALUE"""),"dreams")</f>
        <v>dreams</v>
      </c>
      <c r="C3937" s="4" t="str">
        <f>IFERROR(__xludf.DUMMYFUNCTION("""COMPUTED_VALUE"""),"Dreams Quest")</f>
        <v>Dreams Quest</v>
      </c>
    </row>
    <row r="3938">
      <c r="A3938" s="4" t="str">
        <f>IFERROR(__xludf.DUMMYFUNCTION("""COMPUTED_VALUE"""),"dream-token")</f>
        <v>dream-token</v>
      </c>
      <c r="B3938" s="4" t="str">
        <f>IFERROR(__xludf.DUMMYFUNCTION("""COMPUTED_VALUE"""),"dream")</f>
        <v>dream</v>
      </c>
      <c r="C3938" s="4" t="str">
        <f>IFERROR(__xludf.DUMMYFUNCTION("""COMPUTED_VALUE"""),"Dream")</f>
        <v>Dream</v>
      </c>
    </row>
    <row r="3939">
      <c r="A3939" s="4" t="str">
        <f>IFERROR(__xludf.DUMMYFUNCTION("""COMPUTED_VALUE"""),"dreamverse")</f>
        <v>dreamverse</v>
      </c>
      <c r="B3939" s="4" t="str">
        <f>IFERROR(__xludf.DUMMYFUNCTION("""COMPUTED_VALUE"""),"dv")</f>
        <v>dv</v>
      </c>
      <c r="C3939" s="4" t="str">
        <f>IFERROR(__xludf.DUMMYFUNCTION("""COMPUTED_VALUE"""),"Dreamverse")</f>
        <v>Dreamverse</v>
      </c>
    </row>
    <row r="3940">
      <c r="A3940" s="4" t="str">
        <f>IFERROR(__xludf.DUMMYFUNCTION("""COMPUTED_VALUE"""),"drep-new")</f>
        <v>drep-new</v>
      </c>
      <c r="B3940" s="4" t="str">
        <f>IFERROR(__xludf.DUMMYFUNCTION("""COMPUTED_VALUE"""),"drep")</f>
        <v>drep</v>
      </c>
      <c r="C3940" s="4" t="str">
        <f>IFERROR(__xludf.DUMMYFUNCTION("""COMPUTED_VALUE"""),"Drep")</f>
        <v>Drep</v>
      </c>
    </row>
    <row r="3941">
      <c r="A3941" s="4" t="str">
        <f>IFERROR(__xludf.DUMMYFUNCTION("""COMPUTED_VALUE"""),"drife")</f>
        <v>drife</v>
      </c>
      <c r="B3941" s="4" t="str">
        <f>IFERROR(__xludf.DUMMYFUNCTION("""COMPUTED_VALUE"""),"drf")</f>
        <v>drf</v>
      </c>
      <c r="C3941" s="4" t="str">
        <f>IFERROR(__xludf.DUMMYFUNCTION("""COMPUTED_VALUE"""),"Drife")</f>
        <v>Drife</v>
      </c>
    </row>
    <row r="3942">
      <c r="A3942" s="4" t="str">
        <f>IFERROR(__xludf.DUMMYFUNCTION("""COMPUTED_VALUE"""),"dripdropz")</f>
        <v>dripdropz</v>
      </c>
      <c r="B3942" s="4" t="str">
        <f>IFERROR(__xludf.DUMMYFUNCTION("""COMPUTED_VALUE"""),"drip")</f>
        <v>drip</v>
      </c>
      <c r="C3942" s="4" t="str">
        <f>IFERROR(__xludf.DUMMYFUNCTION("""COMPUTED_VALUE"""),"DripDropz")</f>
        <v>DripDropz</v>
      </c>
    </row>
    <row r="3943">
      <c r="A3943" s="4" t="str">
        <f>IFERROR(__xludf.DUMMYFUNCTION("""COMPUTED_VALUE"""),"drip-network")</f>
        <v>drip-network</v>
      </c>
      <c r="B3943" s="4" t="str">
        <f>IFERROR(__xludf.DUMMYFUNCTION("""COMPUTED_VALUE"""),"drip")</f>
        <v>drip</v>
      </c>
      <c r="C3943" s="4" t="str">
        <f>IFERROR(__xludf.DUMMYFUNCTION("""COMPUTED_VALUE"""),"Drip Network")</f>
        <v>Drip Network</v>
      </c>
    </row>
    <row r="3944">
      <c r="A3944" s="4" t="str">
        <f>IFERROR(__xludf.DUMMYFUNCTION("""COMPUTED_VALUE"""),"drive-to-earn")</f>
        <v>drive-to-earn</v>
      </c>
      <c r="B3944" s="4" t="str">
        <f>IFERROR(__xludf.DUMMYFUNCTION("""COMPUTED_VALUE"""),"dte")</f>
        <v>dte</v>
      </c>
      <c r="C3944" s="4" t="str">
        <f>IFERROR(__xludf.DUMMYFUNCTION("""COMPUTED_VALUE"""),"Drive To Earn")</f>
        <v>Drive To Earn</v>
      </c>
    </row>
    <row r="3945">
      <c r="A3945" s="4" t="str">
        <f>IFERROR(__xludf.DUMMYFUNCTION("""COMPUTED_VALUE"""),"droggy")</f>
        <v>droggy</v>
      </c>
      <c r="B3945" s="4" t="str">
        <f>IFERROR(__xludf.DUMMYFUNCTION("""COMPUTED_VALUE"""),"droggy")</f>
        <v>droggy</v>
      </c>
      <c r="C3945" s="4" t="str">
        <f>IFERROR(__xludf.DUMMYFUNCTION("""COMPUTED_VALUE"""),"Droggy")</f>
        <v>Droggy</v>
      </c>
    </row>
    <row r="3946">
      <c r="A3946" s="4" t="str">
        <f>IFERROR(__xludf.DUMMYFUNCTION("""COMPUTED_VALUE"""),"drop")</f>
        <v>drop</v>
      </c>
      <c r="B3946" s="4" t="str">
        <f>IFERROR(__xludf.DUMMYFUNCTION("""COMPUTED_VALUE"""),"drop")</f>
        <v>drop</v>
      </c>
      <c r="C3946" s="4" t="str">
        <f>IFERROR(__xludf.DUMMYFUNCTION("""COMPUTED_VALUE"""),"Drop")</f>
        <v>Drop</v>
      </c>
    </row>
    <row r="3947">
      <c r="A3947" s="4" t="str">
        <f>IFERROR(__xludf.DUMMYFUNCTION("""COMPUTED_VALUE"""),"dropcoin-club")</f>
        <v>dropcoin-club</v>
      </c>
      <c r="B3947" s="4" t="str">
        <f>IFERROR(__xludf.DUMMYFUNCTION("""COMPUTED_VALUE"""),"drop")</f>
        <v>drop</v>
      </c>
      <c r="C3947" s="4" t="str">
        <f>IFERROR(__xludf.DUMMYFUNCTION("""COMPUTED_VALUE"""),"DropCoin")</f>
        <v>DropCoin</v>
      </c>
    </row>
    <row r="3948">
      <c r="A3948" s="4" t="str">
        <f>IFERROR(__xludf.DUMMYFUNCTION("""COMPUTED_VALUE"""),"drops")</f>
        <v>drops</v>
      </c>
      <c r="B3948" s="4" t="str">
        <f>IFERROR(__xludf.DUMMYFUNCTION("""COMPUTED_VALUE"""),"drops")</f>
        <v>drops</v>
      </c>
      <c r="C3948" s="4" t="str">
        <f>IFERROR(__xludf.DUMMYFUNCTION("""COMPUTED_VALUE"""),"Drops")</f>
        <v>Drops</v>
      </c>
    </row>
    <row r="3949">
      <c r="A3949" s="4" t="str">
        <f>IFERROR(__xludf.DUMMYFUNCTION("""COMPUTED_VALUE"""),"drops-ownership-power")</f>
        <v>drops-ownership-power</v>
      </c>
      <c r="B3949" s="4" t="str">
        <f>IFERROR(__xludf.DUMMYFUNCTION("""COMPUTED_VALUE"""),"dop")</f>
        <v>dop</v>
      </c>
      <c r="C3949" s="4" t="str">
        <f>IFERROR(__xludf.DUMMYFUNCTION("""COMPUTED_VALUE"""),"Drops Ownership Power")</f>
        <v>Drops Ownership Power</v>
      </c>
    </row>
    <row r="3950">
      <c r="A3950" s="4" t="str">
        <f>IFERROR(__xludf.DUMMYFUNCTION("""COMPUTED_VALUE"""),"drop-wireless-infrastructure")</f>
        <v>drop-wireless-infrastructure</v>
      </c>
      <c r="B3950" s="4" t="str">
        <f>IFERROR(__xludf.DUMMYFUNCTION("""COMPUTED_VALUE"""),"dwin")</f>
        <v>dwin</v>
      </c>
      <c r="C3950" s="4" t="str">
        <f>IFERROR(__xludf.DUMMYFUNCTION("""COMPUTED_VALUE"""),"Drop Wireless Infrastructure")</f>
        <v>Drop Wireless Infrastructure</v>
      </c>
    </row>
    <row r="3951">
      <c r="A3951" s="4" t="str">
        <f>IFERROR(__xludf.DUMMYFUNCTION("""COMPUTED_VALUE"""),"drunk")</f>
        <v>drunk</v>
      </c>
      <c r="B3951" s="4" t="str">
        <f>IFERROR(__xludf.DUMMYFUNCTION("""COMPUTED_VALUE"""),"drunk")</f>
        <v>drunk</v>
      </c>
      <c r="C3951" s="4" t="str">
        <f>IFERROR(__xludf.DUMMYFUNCTION("""COMPUTED_VALUE"""),"Drunk")</f>
        <v>Drunk</v>
      </c>
    </row>
    <row r="3952">
      <c r="A3952" s="4" t="str">
        <f>IFERROR(__xludf.DUMMYFUNCTION("""COMPUTED_VALUE"""),"drunk-robots")</f>
        <v>drunk-robots</v>
      </c>
      <c r="B3952" s="4" t="str">
        <f>IFERROR(__xludf.DUMMYFUNCTION("""COMPUTED_VALUE"""),"metal")</f>
        <v>metal</v>
      </c>
      <c r="C3952" s="4" t="str">
        <f>IFERROR(__xludf.DUMMYFUNCTION("""COMPUTED_VALUE"""),"Badmad Robots")</f>
        <v>Badmad Robots</v>
      </c>
    </row>
    <row r="3953">
      <c r="A3953" s="4" t="str">
        <f>IFERROR(__xludf.DUMMYFUNCTION("""COMPUTED_VALUE"""),"drunk-skunks-drinking-club")</f>
        <v>drunk-skunks-drinking-club</v>
      </c>
      <c r="B3953" s="4" t="str">
        <f>IFERROR(__xludf.DUMMYFUNCTION("""COMPUTED_VALUE"""),"stink")</f>
        <v>stink</v>
      </c>
      <c r="C3953" s="4" t="str">
        <f>IFERROR(__xludf.DUMMYFUNCTION("""COMPUTED_VALUE"""),"Drunk Skunks Drinking Club")</f>
        <v>Drunk Skunks Drinking Club</v>
      </c>
    </row>
    <row r="3954">
      <c r="A3954" s="4" t="str">
        <f>IFERROR(__xludf.DUMMYFUNCTION("""COMPUTED_VALUE"""),"dsc-mix")</f>
        <v>dsc-mix</v>
      </c>
      <c r="B3954" s="4" t="str">
        <f>IFERROR(__xludf.DUMMYFUNCTION("""COMPUTED_VALUE"""),"mix")</f>
        <v>mix</v>
      </c>
      <c r="C3954" s="4" t="str">
        <f>IFERROR(__xludf.DUMMYFUNCTION("""COMPUTED_VALUE"""),"DSC Mix")</f>
        <v>DSC Mix</v>
      </c>
    </row>
    <row r="3955">
      <c r="A3955" s="4" t="str">
        <f>IFERROR(__xludf.DUMMYFUNCTION("""COMPUTED_VALUE"""),"dshares")</f>
        <v>dshares</v>
      </c>
      <c r="B3955" s="4" t="str">
        <f>IFERROR(__xludf.DUMMYFUNCTION("""COMPUTED_VALUE"""),"dshare")</f>
        <v>dshare</v>
      </c>
      <c r="C3955" s="4" t="str">
        <f>IFERROR(__xludf.DUMMYFUNCTION("""COMPUTED_VALUE"""),"DShares")</f>
        <v>DShares</v>
      </c>
    </row>
    <row r="3956">
      <c r="A3956" s="4" t="str">
        <f>IFERROR(__xludf.DUMMYFUNCTION("""COMPUTED_VALUE"""),"d-shop")</f>
        <v>d-shop</v>
      </c>
      <c r="B3956" s="4" t="str">
        <f>IFERROR(__xludf.DUMMYFUNCTION("""COMPUTED_VALUE"""),"dp")</f>
        <v>dp</v>
      </c>
      <c r="C3956" s="4" t="str">
        <f>IFERROR(__xludf.DUMMYFUNCTION("""COMPUTED_VALUE"""),"D-SHOP")</f>
        <v>D-SHOP</v>
      </c>
    </row>
    <row r="3957">
      <c r="A3957" s="4" t="str">
        <f>IFERROR(__xludf.DUMMYFUNCTION("""COMPUTED_VALUE"""),"dsun-token")</f>
        <v>dsun-token</v>
      </c>
      <c r="B3957" s="4" t="str">
        <f>IFERROR(__xludf.DUMMYFUNCTION("""COMPUTED_VALUE"""),"dsun")</f>
        <v>dsun</v>
      </c>
      <c r="C3957" s="4" t="str">
        <f>IFERROR(__xludf.DUMMYFUNCTION("""COMPUTED_VALUE"""),"Dsun Token")</f>
        <v>Dsun Token</v>
      </c>
    </row>
    <row r="3958">
      <c r="A3958" s="4" t="str">
        <f>IFERROR(__xludf.DUMMYFUNCTION("""COMPUTED_VALUE"""),"dtec-token")</f>
        <v>dtec-token</v>
      </c>
      <c r="B3958" s="4" t="str">
        <f>IFERROR(__xludf.DUMMYFUNCTION("""COMPUTED_VALUE"""),"dtec")</f>
        <v>dtec</v>
      </c>
      <c r="C3958" s="4" t="str">
        <f>IFERROR(__xludf.DUMMYFUNCTION("""COMPUTED_VALUE"""),"Dtec token")</f>
        <v>Dtec token</v>
      </c>
    </row>
    <row r="3959">
      <c r="A3959" s="4" t="str">
        <f>IFERROR(__xludf.DUMMYFUNCTION("""COMPUTED_VALUE"""),"dtng")</f>
        <v>dtng</v>
      </c>
      <c r="B3959" s="4" t="str">
        <f>IFERROR(__xludf.DUMMYFUNCTION("""COMPUTED_VALUE"""),"dtng")</f>
        <v>dtng</v>
      </c>
      <c r="C3959" s="4" t="str">
        <f>IFERROR(__xludf.DUMMYFUNCTION("""COMPUTED_VALUE"""),"DTNG")</f>
        <v>DTNG</v>
      </c>
    </row>
    <row r="3960">
      <c r="A3960" s="4" t="str">
        <f>IFERROR(__xludf.DUMMYFUNCTION("""COMPUTED_VALUE"""),"dtools")</f>
        <v>dtools</v>
      </c>
      <c r="B3960" s="4" t="str">
        <f>IFERROR(__xludf.DUMMYFUNCTION("""COMPUTED_VALUE"""),"dtools")</f>
        <v>dtools</v>
      </c>
      <c r="C3960" s="4" t="str">
        <f>IFERROR(__xludf.DUMMYFUNCTION("""COMPUTED_VALUE"""),"DogeTools")</f>
        <v>DogeTools</v>
      </c>
    </row>
    <row r="3961">
      <c r="A3961" s="4" t="str">
        <f>IFERROR(__xludf.DUMMYFUNCTION("""COMPUTED_VALUE"""),"dtravel")</f>
        <v>dtravel</v>
      </c>
      <c r="B3961" s="4" t="str">
        <f>IFERROR(__xludf.DUMMYFUNCTION("""COMPUTED_VALUE"""),"trvl")</f>
        <v>trvl</v>
      </c>
      <c r="C3961" s="4" t="str">
        <f>IFERROR(__xludf.DUMMYFUNCTION("""COMPUTED_VALUE"""),"TRVL")</f>
        <v>TRVL</v>
      </c>
    </row>
    <row r="3962">
      <c r="A3962" s="4" t="str">
        <f>IFERROR(__xludf.DUMMYFUNCTION("""COMPUTED_VALUE"""),"dtsla")</f>
        <v>dtsla</v>
      </c>
      <c r="B3962" s="4" t="str">
        <f>IFERROR(__xludf.DUMMYFUNCTION("""COMPUTED_VALUE"""),"dtsla")</f>
        <v>dtsla</v>
      </c>
      <c r="C3962" s="4" t="str">
        <f>IFERROR(__xludf.DUMMYFUNCTION("""COMPUTED_VALUE"""),"Tesla Tokenized Stock Defichain")</f>
        <v>Tesla Tokenized Stock Defichain</v>
      </c>
    </row>
    <row r="3963">
      <c r="A3963" s="4" t="str">
        <f>IFERROR(__xludf.DUMMYFUNCTION("""COMPUTED_VALUE"""),"dtube-coin")</f>
        <v>dtube-coin</v>
      </c>
      <c r="B3963" s="4" t="str">
        <f>IFERROR(__xludf.DUMMYFUNCTION("""COMPUTED_VALUE"""),"dtube")</f>
        <v>dtube</v>
      </c>
      <c r="C3963" s="4" t="str">
        <f>IFERROR(__xludf.DUMMYFUNCTION("""COMPUTED_VALUE"""),"Dtube Coin")</f>
        <v>Dtube Coin</v>
      </c>
    </row>
    <row r="3964">
      <c r="A3964" s="4" t="str">
        <f>IFERROR(__xludf.DUMMYFUNCTION("""COMPUTED_VALUE"""),"dual-finance")</f>
        <v>dual-finance</v>
      </c>
      <c r="B3964" s="4" t="str">
        <f>IFERROR(__xludf.DUMMYFUNCTION("""COMPUTED_VALUE"""),"dual")</f>
        <v>dual</v>
      </c>
      <c r="C3964" s="4" t="str">
        <f>IFERROR(__xludf.DUMMYFUNCTION("""COMPUTED_VALUE"""),"Dual Finance")</f>
        <v>Dual Finance</v>
      </c>
    </row>
    <row r="3965">
      <c r="A3965" s="4" t="str">
        <f>IFERROR(__xludf.DUMMYFUNCTION("""COMPUTED_VALUE"""),"dua-token")</f>
        <v>dua-token</v>
      </c>
      <c r="B3965" s="4" t="str">
        <f>IFERROR(__xludf.DUMMYFUNCTION("""COMPUTED_VALUE"""),"dua")</f>
        <v>dua</v>
      </c>
      <c r="C3965" s="4" t="str">
        <f>IFERROR(__xludf.DUMMYFUNCTION("""COMPUTED_VALUE"""),"Brillion")</f>
        <v>Brillion</v>
      </c>
    </row>
    <row r="3966">
      <c r="A3966" s="4" t="str">
        <f>IFERROR(__xludf.DUMMYFUNCTION("""COMPUTED_VALUE"""),"dubbz")</f>
        <v>dubbz</v>
      </c>
      <c r="B3966" s="4" t="str">
        <f>IFERROR(__xludf.DUMMYFUNCTION("""COMPUTED_VALUE"""),"dubbz")</f>
        <v>dubbz</v>
      </c>
      <c r="C3966" s="4" t="str">
        <f>IFERROR(__xludf.DUMMYFUNCTION("""COMPUTED_VALUE"""),"Dubbz")</f>
        <v>Dubbz</v>
      </c>
    </row>
    <row r="3967">
      <c r="A3967" s="4" t="str">
        <f>IFERROR(__xludf.DUMMYFUNCTION("""COMPUTED_VALUE"""),"dub-duck")</f>
        <v>dub-duck</v>
      </c>
      <c r="B3967" s="4" t="str">
        <f>IFERROR(__xludf.DUMMYFUNCTION("""COMPUTED_VALUE"""),"$dub")</f>
        <v>$dub</v>
      </c>
      <c r="C3967" s="4" t="str">
        <f>IFERROR(__xludf.DUMMYFUNCTION("""COMPUTED_VALUE"""),"dub duck")</f>
        <v>dub duck</v>
      </c>
    </row>
    <row r="3968">
      <c r="A3968" s="4" t="str">
        <f>IFERROR(__xludf.DUMMYFUNCTION("""COMPUTED_VALUE"""),"dubx")</f>
        <v>dubx</v>
      </c>
      <c r="B3968" s="4" t="str">
        <f>IFERROR(__xludf.DUMMYFUNCTION("""COMPUTED_VALUE"""),"dub")</f>
        <v>dub</v>
      </c>
      <c r="C3968" s="4" t="str">
        <f>IFERROR(__xludf.DUMMYFUNCTION("""COMPUTED_VALUE"""),"DUBX")</f>
        <v>DUBX</v>
      </c>
    </row>
    <row r="3969">
      <c r="A3969" s="4" t="str">
        <f>IFERROR(__xludf.DUMMYFUNCTION("""COMPUTED_VALUE"""),"ducatus")</f>
        <v>ducatus</v>
      </c>
      <c r="B3969" s="4" t="str">
        <f>IFERROR(__xludf.DUMMYFUNCTION("""COMPUTED_VALUE"""),"ducx")</f>
        <v>ducx</v>
      </c>
      <c r="C3969" s="4" t="str">
        <f>IFERROR(__xludf.DUMMYFUNCTION("""COMPUTED_VALUE"""),"DucatusX")</f>
        <v>DucatusX</v>
      </c>
    </row>
    <row r="3970">
      <c r="A3970" s="4" t="str">
        <f>IFERROR(__xludf.DUMMYFUNCTION("""COMPUTED_VALUE"""),"duckdao")</f>
        <v>duckdao</v>
      </c>
      <c r="B3970" s="4" t="str">
        <f>IFERROR(__xludf.DUMMYFUNCTION("""COMPUTED_VALUE"""),"dd")</f>
        <v>dd</v>
      </c>
      <c r="C3970" s="4" t="str">
        <f>IFERROR(__xludf.DUMMYFUNCTION("""COMPUTED_VALUE"""),"DuckDAO")</f>
        <v>DuckDAO</v>
      </c>
    </row>
    <row r="3971">
      <c r="A3971" s="4" t="str">
        <f>IFERROR(__xludf.DUMMYFUNCTION("""COMPUTED_VALUE"""),"duckdaodime")</f>
        <v>duckdaodime</v>
      </c>
      <c r="B3971" s="4" t="str">
        <f>IFERROR(__xludf.DUMMYFUNCTION("""COMPUTED_VALUE"""),"ddim")</f>
        <v>ddim</v>
      </c>
      <c r="C3971" s="4" t="str">
        <f>IFERROR(__xludf.DUMMYFUNCTION("""COMPUTED_VALUE"""),"DuckDaoDime")</f>
        <v>DuckDaoDime</v>
      </c>
    </row>
    <row r="3972">
      <c r="A3972" s="4" t="str">
        <f>IFERROR(__xludf.DUMMYFUNCTION("""COMPUTED_VALUE"""),"duckduck-token")</f>
        <v>duckduck-token</v>
      </c>
      <c r="B3972" s="4" t="str">
        <f>IFERROR(__xludf.DUMMYFUNCTION("""COMPUTED_VALUE"""),"duck")</f>
        <v>duck</v>
      </c>
      <c r="C3972" s="4" t="str">
        <f>IFERROR(__xludf.DUMMYFUNCTION("""COMPUTED_VALUE"""),"DuckDuck")</f>
        <v>DuckDuck</v>
      </c>
    </row>
    <row r="3973">
      <c r="A3973" s="4" t="str">
        <f>IFERROR(__xludf.DUMMYFUNCTION("""COMPUTED_VALUE"""),"ducker")</f>
        <v>ducker</v>
      </c>
      <c r="B3973" s="4" t="str">
        <f>IFERROR(__xludf.DUMMYFUNCTION("""COMPUTED_VALUE"""),"ducker")</f>
        <v>ducker</v>
      </c>
      <c r="C3973" s="4" t="str">
        <f>IFERROR(__xludf.DUMMYFUNCTION("""COMPUTED_VALUE"""),"Ducker")</f>
        <v>Ducker</v>
      </c>
    </row>
    <row r="3974">
      <c r="A3974" s="4" t="str">
        <f>IFERROR(__xludf.DUMMYFUNCTION("""COMPUTED_VALUE"""),"duckereum")</f>
        <v>duckereum</v>
      </c>
      <c r="B3974" s="4" t="str">
        <f>IFERROR(__xludf.DUMMYFUNCTION("""COMPUTED_VALUE"""),"ducker")</f>
        <v>ducker</v>
      </c>
      <c r="C3974" s="4" t="str">
        <f>IFERROR(__xludf.DUMMYFUNCTION("""COMPUTED_VALUE"""),"Duckereum")</f>
        <v>Duckereum</v>
      </c>
    </row>
    <row r="3975">
      <c r="A3975" s="4" t="str">
        <f>IFERROR(__xludf.DUMMYFUNCTION("""COMPUTED_VALUE"""),"duckie-land-multi-metaverse")</f>
        <v>duckie-land-multi-metaverse</v>
      </c>
      <c r="B3975" s="4" t="str">
        <f>IFERROR(__xludf.DUMMYFUNCTION("""COMPUTED_VALUE"""),"mmeta")</f>
        <v>mmeta</v>
      </c>
      <c r="C3975" s="4" t="str">
        <f>IFERROR(__xludf.DUMMYFUNCTION("""COMPUTED_VALUE"""),"Duckie Land Multi Metaverse")</f>
        <v>Duckie Land Multi Metaverse</v>
      </c>
    </row>
    <row r="3976">
      <c r="A3976" s="4" t="str">
        <f>IFERROR(__xludf.DUMMYFUNCTION("""COMPUTED_VALUE"""),"duckies")</f>
        <v>duckies</v>
      </c>
      <c r="B3976" s="4" t="str">
        <f>IFERROR(__xludf.DUMMYFUNCTION("""COMPUTED_VALUE"""),"duckies")</f>
        <v>duckies</v>
      </c>
      <c r="C3976" s="4" t="str">
        <f>IFERROR(__xludf.DUMMYFUNCTION("""COMPUTED_VALUE"""),"Yellow Duckies")</f>
        <v>Yellow Duckies</v>
      </c>
    </row>
    <row r="3977">
      <c r="A3977" s="4" t="str">
        <f>IFERROR(__xludf.DUMMYFUNCTION("""COMPUTED_VALUE"""),"ducks")</f>
        <v>ducks</v>
      </c>
      <c r="B3977" s="4" t="str">
        <f>IFERROR(__xludf.DUMMYFUNCTION("""COMPUTED_VALUE"""),"ducks")</f>
        <v>ducks</v>
      </c>
      <c r="C3977" s="4" t="str">
        <f>IFERROR(__xludf.DUMMYFUNCTION("""COMPUTED_VALUE"""),"Ducks")</f>
        <v>Ducks</v>
      </c>
    </row>
    <row r="3978">
      <c r="A3978" s="4" t="str">
        <f>IFERROR(__xludf.DUMMYFUNCTION("""COMPUTED_VALUE"""),"ducky-city")</f>
        <v>ducky-city</v>
      </c>
      <c r="B3978" s="4" t="str">
        <f>IFERROR(__xludf.DUMMYFUNCTION("""COMPUTED_VALUE"""),"dcm")</f>
        <v>dcm</v>
      </c>
      <c r="C3978" s="4" t="str">
        <f>IFERROR(__xludf.DUMMYFUNCTION("""COMPUTED_VALUE"""),"Ducky City")</f>
        <v>Ducky City</v>
      </c>
    </row>
    <row r="3979">
      <c r="A3979" s="4" t="str">
        <f>IFERROR(__xludf.DUMMYFUNCTION("""COMPUTED_VALUE"""),"ducky-city-earn")</f>
        <v>ducky-city-earn</v>
      </c>
      <c r="B3979" s="4" t="str">
        <f>IFERROR(__xludf.DUMMYFUNCTION("""COMPUTED_VALUE"""),"dce")</f>
        <v>dce</v>
      </c>
      <c r="C3979" s="4" t="str">
        <f>IFERROR(__xludf.DUMMYFUNCTION("""COMPUTED_VALUE"""),"Ducky City Earn")</f>
        <v>Ducky City Earn</v>
      </c>
    </row>
    <row r="3980">
      <c r="A3980" s="4" t="str">
        <f>IFERROR(__xludf.DUMMYFUNCTION("""COMPUTED_VALUE"""),"duckydefi")</f>
        <v>duckydefi</v>
      </c>
      <c r="B3980" s="4" t="str">
        <f>IFERROR(__xludf.DUMMYFUNCTION("""COMPUTED_VALUE"""),"degg")</f>
        <v>degg</v>
      </c>
      <c r="C3980" s="4" t="str">
        <f>IFERROR(__xludf.DUMMYFUNCTION("""COMPUTED_VALUE"""),"DuckyDefi")</f>
        <v>DuckyDefi</v>
      </c>
    </row>
    <row r="3981">
      <c r="A3981" s="4" t="str">
        <f>IFERROR(__xludf.DUMMYFUNCTION("""COMPUTED_VALUE"""),"dude")</f>
        <v>dude</v>
      </c>
      <c r="B3981" s="4" t="str">
        <f>IFERROR(__xludf.DUMMYFUNCTION("""COMPUTED_VALUE"""),"dude")</f>
        <v>dude</v>
      </c>
      <c r="C3981" s="4" t="str">
        <f>IFERROR(__xludf.DUMMYFUNCTION("""COMPUTED_VALUE"""),"DuDe")</f>
        <v>DuDe</v>
      </c>
    </row>
    <row r="3982">
      <c r="A3982" s="4" t="str">
        <f>IFERROR(__xludf.DUMMYFUNCTION("""COMPUTED_VALUE"""),"dude-injective")</f>
        <v>dude-injective</v>
      </c>
      <c r="B3982" s="4" t="str">
        <f>IFERROR(__xludf.DUMMYFUNCTION("""COMPUTED_VALUE"""),"dude")</f>
        <v>dude</v>
      </c>
      <c r="C3982" s="4" t="str">
        <f>IFERROR(__xludf.DUMMYFUNCTION("""COMPUTED_VALUE"""),"DUDE (Injective)")</f>
        <v>DUDE (Injective)</v>
      </c>
    </row>
    <row r="3983">
      <c r="A3983" s="4" t="str">
        <f>IFERROR(__xludf.DUMMYFUNCTION("""COMPUTED_VALUE"""),"dudiez-meme-token")</f>
        <v>dudiez-meme-token</v>
      </c>
      <c r="B3983" s="4" t="str">
        <f>IFERROR(__xludf.DUMMYFUNCTION("""COMPUTED_VALUE"""),"dudiez")</f>
        <v>dudiez</v>
      </c>
      <c r="C3983" s="4" t="str">
        <f>IFERROR(__xludf.DUMMYFUNCTION("""COMPUTED_VALUE"""),"Dudiez Meme Token")</f>
        <v>Dudiez Meme Token</v>
      </c>
    </row>
    <row r="3984">
      <c r="A3984" s="4" t="str">
        <f>IFERROR(__xludf.DUMMYFUNCTION("""COMPUTED_VALUE"""),"duel-network-2")</f>
        <v>duel-network-2</v>
      </c>
      <c r="B3984" s="4" t="str">
        <f>IFERROR(__xludf.DUMMYFUNCTION("""COMPUTED_VALUE"""),"duel")</f>
        <v>duel</v>
      </c>
      <c r="C3984" s="4" t="str">
        <f>IFERROR(__xludf.DUMMYFUNCTION("""COMPUTED_VALUE"""),"Duel Network")</f>
        <v>Duel Network</v>
      </c>
    </row>
    <row r="3985">
      <c r="A3985" s="4" t="str">
        <f>IFERROR(__xludf.DUMMYFUNCTION("""COMPUTED_VALUE"""),"duel-royale")</f>
        <v>duel-royale</v>
      </c>
      <c r="B3985" s="4" t="str">
        <f>IFERROR(__xludf.DUMMYFUNCTION("""COMPUTED_VALUE"""),"royale")</f>
        <v>royale</v>
      </c>
      <c r="C3985" s="4" t="str">
        <f>IFERROR(__xludf.DUMMYFUNCTION("""COMPUTED_VALUE"""),"Duel Royale")</f>
        <v>Duel Royale</v>
      </c>
    </row>
    <row r="3986">
      <c r="A3986" s="4" t="str">
        <f>IFERROR(__xludf.DUMMYFUNCTION("""COMPUTED_VALUE"""),"duet-protocol")</f>
        <v>duet-protocol</v>
      </c>
      <c r="B3986" s="4" t="str">
        <f>IFERROR(__xludf.DUMMYFUNCTION("""COMPUTED_VALUE"""),"duet")</f>
        <v>duet</v>
      </c>
      <c r="C3986" s="4" t="str">
        <f>IFERROR(__xludf.DUMMYFUNCTION("""COMPUTED_VALUE"""),"Duet Protocol")</f>
        <v>Duet Protocol</v>
      </c>
    </row>
    <row r="3987">
      <c r="A3987" s="4" t="str">
        <f>IFERROR(__xludf.DUMMYFUNCTION("""COMPUTED_VALUE"""),"dug")</f>
        <v>dug</v>
      </c>
      <c r="B3987" s="4" t="str">
        <f>IFERROR(__xludf.DUMMYFUNCTION("""COMPUTED_VALUE"""),"dug")</f>
        <v>dug</v>
      </c>
      <c r="C3987" s="4" t="str">
        <f>IFERROR(__xludf.DUMMYFUNCTION("""COMPUTED_VALUE"""),"DUG")</f>
        <v>DUG</v>
      </c>
    </row>
    <row r="3988">
      <c r="A3988" s="4" t="str">
        <f>IFERROR(__xludf.DUMMYFUNCTION("""COMPUTED_VALUE"""),"duge")</f>
        <v>duge</v>
      </c>
      <c r="B3988" s="4" t="str">
        <f>IFERROR(__xludf.DUMMYFUNCTION("""COMPUTED_VALUE"""),"duge")</f>
        <v>duge</v>
      </c>
      <c r="C3988" s="4" t="str">
        <f>IFERROR(__xludf.DUMMYFUNCTION("""COMPUTED_VALUE"""),"Duge")</f>
        <v>Duge</v>
      </c>
    </row>
    <row r="3989">
      <c r="A3989" s="4" t="str">
        <f>IFERROR(__xludf.DUMMYFUNCTION("""COMPUTED_VALUE"""),"duh")</f>
        <v>duh</v>
      </c>
      <c r="B3989" s="4" t="str">
        <f>IFERROR(__xludf.DUMMYFUNCTION("""COMPUTED_VALUE"""),"duh")</f>
        <v>duh</v>
      </c>
      <c r="C3989" s="4" t="str">
        <f>IFERROR(__xludf.DUMMYFUNCTION("""COMPUTED_VALUE"""),"Duh")</f>
        <v>Duh</v>
      </c>
    </row>
    <row r="3990">
      <c r="A3990" s="4" t="str">
        <f>IFERROR(__xludf.DUMMYFUNCTION("""COMPUTED_VALUE"""),"duk")</f>
        <v>duk</v>
      </c>
      <c r="B3990" s="4" t="str">
        <f>IFERROR(__xludf.DUMMYFUNCTION("""COMPUTED_VALUE"""),"duk")</f>
        <v>duk</v>
      </c>
      <c r="C3990" s="4" t="str">
        <f>IFERROR(__xludf.DUMMYFUNCTION("""COMPUTED_VALUE"""),"Duk")</f>
        <v>Duk</v>
      </c>
    </row>
    <row r="3991">
      <c r="A3991" s="4" t="str">
        <f>IFERROR(__xludf.DUMMYFUNCTION("""COMPUTED_VALUE"""),"duke-inu-token")</f>
        <v>duke-inu-token</v>
      </c>
      <c r="B3991" s="4" t="str">
        <f>IFERROR(__xludf.DUMMYFUNCTION("""COMPUTED_VALUE"""),"duke")</f>
        <v>duke</v>
      </c>
      <c r="C3991" s="4" t="str">
        <f>IFERROR(__xludf.DUMMYFUNCTION("""COMPUTED_VALUE"""),"Duke Inu")</f>
        <v>Duke Inu</v>
      </c>
    </row>
    <row r="3992">
      <c r="A3992" s="4" t="str">
        <f>IFERROR(__xludf.DUMMYFUNCTION("""COMPUTED_VALUE"""),"duko")</f>
        <v>duko</v>
      </c>
      <c r="B3992" s="4" t="str">
        <f>IFERROR(__xludf.DUMMYFUNCTION("""COMPUTED_VALUE"""),"duko")</f>
        <v>duko</v>
      </c>
      <c r="C3992" s="4" t="str">
        <f>IFERROR(__xludf.DUMMYFUNCTION("""COMPUTED_VALUE"""),"DUKO")</f>
        <v>DUKO</v>
      </c>
    </row>
    <row r="3993">
      <c r="A3993" s="4" t="str">
        <f>IFERROR(__xludf.DUMMYFUNCTION("""COMPUTED_VALUE"""),"duk-on-sol")</f>
        <v>duk-on-sol</v>
      </c>
      <c r="B3993" s="4" t="str">
        <f>IFERROR(__xludf.DUMMYFUNCTION("""COMPUTED_VALUE"""),"duk")</f>
        <v>duk</v>
      </c>
      <c r="C3993" s="4" t="str">
        <f>IFERROR(__xludf.DUMMYFUNCTION("""COMPUTED_VALUE"""),"duk on SOL")</f>
        <v>duk on SOL</v>
      </c>
    </row>
    <row r="3994">
      <c r="A3994" s="4" t="str">
        <f>IFERROR(__xludf.DUMMYFUNCTION("""COMPUTED_VALUE"""),"dumbmoney")</f>
        <v>dumbmoney</v>
      </c>
      <c r="B3994" s="4" t="str">
        <f>IFERROR(__xludf.DUMMYFUNCTION("""COMPUTED_VALUE"""),"gme")</f>
        <v>gme</v>
      </c>
      <c r="C3994" s="4" t="str">
        <f>IFERROR(__xludf.DUMMYFUNCTION("""COMPUTED_VALUE"""),"DumbMoney")</f>
        <v>DumbMoney</v>
      </c>
    </row>
    <row r="3995">
      <c r="A3995" s="4" t="str">
        <f>IFERROR(__xludf.DUMMYFUNCTION("""COMPUTED_VALUE"""),"dumbmoney-2")</f>
        <v>dumbmoney-2</v>
      </c>
      <c r="B3995" s="4" t="str">
        <f>IFERROR(__xludf.DUMMYFUNCTION("""COMPUTED_VALUE"""),"gme")</f>
        <v>gme</v>
      </c>
      <c r="C3995" s="4" t="str">
        <f>IFERROR(__xludf.DUMMYFUNCTION("""COMPUTED_VALUE"""),"DumbMoney")</f>
        <v>DumbMoney</v>
      </c>
    </row>
    <row r="3996">
      <c r="A3996" s="4" t="str">
        <f>IFERROR(__xludf.DUMMYFUNCTION("""COMPUTED_VALUE"""),"dummy")</f>
        <v>dummy</v>
      </c>
      <c r="B3996" s="4" t="str">
        <f>IFERROR(__xludf.DUMMYFUNCTION("""COMPUTED_VALUE"""),"dummy")</f>
        <v>dummy</v>
      </c>
      <c r="C3996" s="4" t="str">
        <f>IFERROR(__xludf.DUMMYFUNCTION("""COMPUTED_VALUE"""),"DUMMY")</f>
        <v>DUMMY</v>
      </c>
    </row>
    <row r="3997">
      <c r="A3997" s="4" t="str">
        <f>IFERROR(__xludf.DUMMYFUNCTION("""COMPUTED_VALUE"""),"dungeonswap")</f>
        <v>dungeonswap</v>
      </c>
      <c r="B3997" s="4" t="str">
        <f>IFERROR(__xludf.DUMMYFUNCTION("""COMPUTED_VALUE"""),"dnd")</f>
        <v>dnd</v>
      </c>
      <c r="C3997" s="4" t="str">
        <f>IFERROR(__xludf.DUMMYFUNCTION("""COMPUTED_VALUE"""),"DungeonSwap")</f>
        <v>DungeonSwap</v>
      </c>
    </row>
    <row r="3998">
      <c r="A3998" s="4" t="str">
        <f>IFERROR(__xludf.DUMMYFUNCTION("""COMPUTED_VALUE"""),"dungeon-token")</f>
        <v>dungeon-token</v>
      </c>
      <c r="B3998" s="4" t="str">
        <f>IFERROR(__xludf.DUMMYFUNCTION("""COMPUTED_VALUE"""),"grow")</f>
        <v>grow</v>
      </c>
      <c r="C3998" s="4" t="str">
        <f>IFERROR(__xludf.DUMMYFUNCTION("""COMPUTED_VALUE"""),"Triathon")</f>
        <v>Triathon</v>
      </c>
    </row>
    <row r="3999">
      <c r="A3999" s="4" t="str">
        <f>IFERROR(__xludf.DUMMYFUNCTION("""COMPUTED_VALUE"""),"dupe-the-duck")</f>
        <v>dupe-the-duck</v>
      </c>
      <c r="B3999" s="4" t="str">
        <f>IFERROR(__xludf.DUMMYFUNCTION("""COMPUTED_VALUE"""),"dupe")</f>
        <v>dupe</v>
      </c>
      <c r="C3999" s="4" t="str">
        <f>IFERROR(__xludf.DUMMYFUNCTION("""COMPUTED_VALUE"""),"Dupe The Duck")</f>
        <v>Dupe The Duck</v>
      </c>
    </row>
    <row r="4000">
      <c r="A4000" s="4" t="str">
        <f>IFERROR(__xludf.DUMMYFUNCTION("""COMPUTED_VALUE"""),"dusd")</f>
        <v>dusd</v>
      </c>
      <c r="B4000" s="4" t="str">
        <f>IFERROR(__xludf.DUMMYFUNCTION("""COMPUTED_VALUE"""),"dusd")</f>
        <v>dusd</v>
      </c>
      <c r="C4000" s="4" t="str">
        <f>IFERROR(__xludf.DUMMYFUNCTION("""COMPUTED_VALUE"""),"DUSD")</f>
        <v>DUSD</v>
      </c>
    </row>
    <row r="4001">
      <c r="A4001" s="4" t="str">
        <f>IFERROR(__xludf.DUMMYFUNCTION("""COMPUTED_VALUE"""),"dusk-network")</f>
        <v>dusk-network</v>
      </c>
      <c r="B4001" s="4" t="str">
        <f>IFERROR(__xludf.DUMMYFUNCTION("""COMPUTED_VALUE"""),"dusk")</f>
        <v>dusk</v>
      </c>
      <c r="C4001" s="4" t="str">
        <f>IFERROR(__xludf.DUMMYFUNCTION("""COMPUTED_VALUE"""),"Dusk")</f>
        <v>Dusk</v>
      </c>
    </row>
    <row r="4002">
      <c r="A4002" s="4" t="str">
        <f>IFERROR(__xludf.DUMMYFUNCTION("""COMPUTED_VALUE"""),"dust-city-nectar")</f>
        <v>dust-city-nectar</v>
      </c>
      <c r="B4002" s="4" t="str">
        <f>IFERROR(__xludf.DUMMYFUNCTION("""COMPUTED_VALUE"""),"nctr")</f>
        <v>nctr</v>
      </c>
      <c r="C4002" s="4" t="str">
        <f>IFERROR(__xludf.DUMMYFUNCTION("""COMPUTED_VALUE"""),"Nectar")</f>
        <v>Nectar</v>
      </c>
    </row>
    <row r="4003">
      <c r="A4003" s="4" t="str">
        <f>IFERROR(__xludf.DUMMYFUNCTION("""COMPUTED_VALUE"""),"dust-protocol")</f>
        <v>dust-protocol</v>
      </c>
      <c r="B4003" s="4" t="str">
        <f>IFERROR(__xludf.DUMMYFUNCTION("""COMPUTED_VALUE"""),"dust")</f>
        <v>dust</v>
      </c>
      <c r="C4003" s="4" t="str">
        <f>IFERROR(__xludf.DUMMYFUNCTION("""COMPUTED_VALUE"""),"Dust Protocol")</f>
        <v>Dust Protocol</v>
      </c>
    </row>
    <row r="4004">
      <c r="A4004" s="4" t="str">
        <f>IFERROR(__xludf.DUMMYFUNCTION("""COMPUTED_VALUE"""),"dux")</f>
        <v>dux</v>
      </c>
      <c r="B4004" s="4" t="str">
        <f>IFERROR(__xludf.DUMMYFUNCTION("""COMPUTED_VALUE"""),"dux")</f>
        <v>dux</v>
      </c>
      <c r="C4004" s="4" t="str">
        <f>IFERROR(__xludf.DUMMYFUNCTION("""COMPUTED_VALUE"""),"DUX")</f>
        <v>DUX</v>
      </c>
    </row>
    <row r="4005">
      <c r="A4005" s="4" t="str">
        <f>IFERROR(__xludf.DUMMYFUNCTION("""COMPUTED_VALUE"""),"dvision-network")</f>
        <v>dvision-network</v>
      </c>
      <c r="B4005" s="4" t="str">
        <f>IFERROR(__xludf.DUMMYFUNCTION("""COMPUTED_VALUE"""),"dvi")</f>
        <v>dvi</v>
      </c>
      <c r="C4005" s="4" t="str">
        <f>IFERROR(__xludf.DUMMYFUNCTION("""COMPUTED_VALUE"""),"Dvision Network")</f>
        <v>Dvision Network</v>
      </c>
    </row>
    <row r="4006">
      <c r="A4006" s="4" t="str">
        <f>IFERROR(__xludf.DUMMYFUNCTION("""COMPUTED_VALUE"""),"dxchain")</f>
        <v>dxchain</v>
      </c>
      <c r="B4006" s="4" t="str">
        <f>IFERROR(__xludf.DUMMYFUNCTION("""COMPUTED_VALUE"""),"dx")</f>
        <v>dx</v>
      </c>
      <c r="C4006" s="4" t="str">
        <f>IFERROR(__xludf.DUMMYFUNCTION("""COMPUTED_VALUE"""),"DxChain")</f>
        <v>DxChain</v>
      </c>
    </row>
    <row r="4007">
      <c r="A4007" s="4" t="str">
        <f>IFERROR(__xludf.DUMMYFUNCTION("""COMPUTED_VALUE"""),"dxdao")</f>
        <v>dxdao</v>
      </c>
      <c r="B4007" s="4" t="str">
        <f>IFERROR(__xludf.DUMMYFUNCTION("""COMPUTED_VALUE"""),"dxd")</f>
        <v>dxd</v>
      </c>
      <c r="C4007" s="4" t="str">
        <f>IFERROR(__xludf.DUMMYFUNCTION("""COMPUTED_VALUE"""),"DXdao")</f>
        <v>DXdao</v>
      </c>
    </row>
    <row r="4008">
      <c r="A4008" s="4" t="str">
        <f>IFERROR(__xludf.DUMMYFUNCTION("""COMPUTED_VALUE"""),"dydx")</f>
        <v>dydx</v>
      </c>
      <c r="B4008" s="4" t="str">
        <f>IFERROR(__xludf.DUMMYFUNCTION("""COMPUTED_VALUE"""),"ethdydx")</f>
        <v>ethdydx</v>
      </c>
      <c r="C4008" s="4" t="str">
        <f>IFERROR(__xludf.DUMMYFUNCTION("""COMPUTED_VALUE"""),"dYdX")</f>
        <v>dYdX</v>
      </c>
    </row>
    <row r="4009">
      <c r="A4009" s="4" t="str">
        <f>IFERROR(__xludf.DUMMYFUNCTION("""COMPUTED_VALUE"""),"dydx-chain")</f>
        <v>dydx-chain</v>
      </c>
      <c r="B4009" s="4" t="str">
        <f>IFERROR(__xludf.DUMMYFUNCTION("""COMPUTED_VALUE"""),"dydx")</f>
        <v>dydx</v>
      </c>
      <c r="C4009" s="4" t="str">
        <f>IFERROR(__xludf.DUMMYFUNCTION("""COMPUTED_VALUE"""),"dYdX")</f>
        <v>dYdX</v>
      </c>
    </row>
    <row r="4010">
      <c r="A4010" s="4" t="str">
        <f>IFERROR(__xludf.DUMMYFUNCTION("""COMPUTED_VALUE"""),"dydx-wethdydx")</f>
        <v>dydx-wethdydx</v>
      </c>
      <c r="B4010" s="4" t="str">
        <f>IFERROR(__xludf.DUMMYFUNCTION("""COMPUTED_VALUE"""),"wethdydx")</f>
        <v>wethdydx</v>
      </c>
      <c r="C4010" s="4" t="str">
        <f>IFERROR(__xludf.DUMMYFUNCTION("""COMPUTED_VALUE"""),"dYdX")</f>
        <v>dYdX</v>
      </c>
    </row>
    <row r="4011">
      <c r="A4011" s="4" t="str">
        <f>IFERROR(__xludf.DUMMYFUNCTION("""COMPUTED_VALUE"""),"dydx-wormhole")</f>
        <v>dydx-wormhole</v>
      </c>
      <c r="B4011" s="4" t="str">
        <f>IFERROR(__xludf.DUMMYFUNCTION("""COMPUTED_VALUE"""),"dydx")</f>
        <v>dydx</v>
      </c>
      <c r="C4011" s="4" t="str">
        <f>IFERROR(__xludf.DUMMYFUNCTION("""COMPUTED_VALUE"""),"dYdX (Wormhole)")</f>
        <v>dYdX (Wormhole)</v>
      </c>
    </row>
    <row r="4012">
      <c r="A4012" s="4" t="str">
        <f>IFERROR(__xludf.DUMMYFUNCTION("""COMPUTED_VALUE"""),"dyl")</f>
        <v>dyl</v>
      </c>
      <c r="B4012" s="4" t="str">
        <f>IFERROR(__xludf.DUMMYFUNCTION("""COMPUTED_VALUE"""),"dyl")</f>
        <v>dyl</v>
      </c>
      <c r="C4012" s="4" t="str">
        <f>IFERROR(__xludf.DUMMYFUNCTION("""COMPUTED_VALUE"""),"Dyl")</f>
        <v>Dyl</v>
      </c>
    </row>
    <row r="4013">
      <c r="A4013" s="4" t="str">
        <f>IFERROR(__xludf.DUMMYFUNCTION("""COMPUTED_VALUE"""),"dymension")</f>
        <v>dymension</v>
      </c>
      <c r="B4013" s="4" t="str">
        <f>IFERROR(__xludf.DUMMYFUNCTION("""COMPUTED_VALUE"""),"dym")</f>
        <v>dym</v>
      </c>
      <c r="C4013" s="4" t="str">
        <f>IFERROR(__xludf.DUMMYFUNCTION("""COMPUTED_VALUE"""),"Dymension")</f>
        <v>Dymension</v>
      </c>
    </row>
    <row r="4014">
      <c r="A4014" s="4" t="str">
        <f>IFERROR(__xludf.DUMMYFUNCTION("""COMPUTED_VALUE"""),"dymmax")</f>
        <v>dymmax</v>
      </c>
      <c r="B4014" s="4" t="str">
        <f>IFERROR(__xludf.DUMMYFUNCTION("""COMPUTED_VALUE"""),"dmx")</f>
        <v>dmx</v>
      </c>
      <c r="C4014" s="4" t="str">
        <f>IFERROR(__xludf.DUMMYFUNCTION("""COMPUTED_VALUE"""),"Dymmax")</f>
        <v>Dymmax</v>
      </c>
    </row>
    <row r="4015">
      <c r="A4015" s="4" t="str">
        <f>IFERROR(__xludf.DUMMYFUNCTION("""COMPUTED_VALUE"""),"dynamic-finance")</f>
        <v>dynamic-finance</v>
      </c>
      <c r="B4015" s="4" t="str">
        <f>IFERROR(__xludf.DUMMYFUNCTION("""COMPUTED_VALUE"""),"dyna")</f>
        <v>dyna</v>
      </c>
      <c r="C4015" s="4" t="str">
        <f>IFERROR(__xludf.DUMMYFUNCTION("""COMPUTED_VALUE"""),"Dynamic Finance")</f>
        <v>Dynamic Finance</v>
      </c>
    </row>
    <row r="4016">
      <c r="A4016" s="4" t="str">
        <f>IFERROR(__xludf.DUMMYFUNCTION("""COMPUTED_VALUE"""),"dynamite-token")</f>
        <v>dynamite-token</v>
      </c>
      <c r="B4016" s="4" t="str">
        <f>IFERROR(__xludf.DUMMYFUNCTION("""COMPUTED_VALUE"""),"dynmt")</f>
        <v>dynmt</v>
      </c>
      <c r="C4016" s="4" t="str">
        <f>IFERROR(__xludf.DUMMYFUNCTION("""COMPUTED_VALUE"""),"Dynamite")</f>
        <v>Dynamite</v>
      </c>
    </row>
    <row r="4017">
      <c r="A4017" s="4" t="str">
        <f>IFERROR(__xludf.DUMMYFUNCTION("""COMPUTED_VALUE"""),"dynamix")</f>
        <v>dynamix</v>
      </c>
      <c r="B4017" s="4" t="str">
        <f>IFERROR(__xludf.DUMMYFUNCTION("""COMPUTED_VALUE"""),"dyna")</f>
        <v>dyna</v>
      </c>
      <c r="C4017" s="4" t="str">
        <f>IFERROR(__xludf.DUMMYFUNCTION("""COMPUTED_VALUE"""),"Dynamix")</f>
        <v>Dynamix</v>
      </c>
    </row>
    <row r="4018">
      <c r="A4018" s="4" t="str">
        <f>IFERROR(__xludf.DUMMYFUNCTION("""COMPUTED_VALUE"""),"dynasty-coin")</f>
        <v>dynasty-coin</v>
      </c>
      <c r="B4018" s="4" t="str">
        <f>IFERROR(__xludf.DUMMYFUNCTION("""COMPUTED_VALUE"""),"dny")</f>
        <v>dny</v>
      </c>
      <c r="C4018" s="4" t="str">
        <f>IFERROR(__xludf.DUMMYFUNCTION("""COMPUTED_VALUE"""),"Dynasty Coin")</f>
        <v>Dynasty Coin</v>
      </c>
    </row>
    <row r="4019">
      <c r="A4019" s="4" t="str">
        <f>IFERROR(__xludf.DUMMYFUNCTION("""COMPUTED_VALUE"""),"dynex")</f>
        <v>dynex</v>
      </c>
      <c r="B4019" s="4" t="str">
        <f>IFERROR(__xludf.DUMMYFUNCTION("""COMPUTED_VALUE"""),"dnx")</f>
        <v>dnx</v>
      </c>
      <c r="C4019" s="4" t="str">
        <f>IFERROR(__xludf.DUMMYFUNCTION("""COMPUTED_VALUE"""),"Dynex")</f>
        <v>Dynex</v>
      </c>
    </row>
    <row r="4020">
      <c r="A4020" s="4" t="str">
        <f>IFERROR(__xludf.DUMMYFUNCTION("""COMPUTED_VALUE"""),"dyor")</f>
        <v>dyor</v>
      </c>
      <c r="B4020" s="4" t="str">
        <f>IFERROR(__xludf.DUMMYFUNCTION("""COMPUTED_VALUE"""),"dyor")</f>
        <v>dyor</v>
      </c>
      <c r="C4020" s="4" t="str">
        <f>IFERROR(__xludf.DUMMYFUNCTION("""COMPUTED_VALUE"""),"DYOR")</f>
        <v>DYOR</v>
      </c>
    </row>
    <row r="4021">
      <c r="A4021" s="4" t="str">
        <f>IFERROR(__xludf.DUMMYFUNCTION("""COMPUTED_VALUE"""),"dyor-token-2")</f>
        <v>dyor-token-2</v>
      </c>
      <c r="B4021" s="4" t="str">
        <f>IFERROR(__xludf.DUMMYFUNCTION("""COMPUTED_VALUE"""),"dyor")</f>
        <v>dyor</v>
      </c>
      <c r="C4021" s="4" t="str">
        <f>IFERROR(__xludf.DUMMYFUNCTION("""COMPUTED_VALUE"""),"DYOR")</f>
        <v>DYOR</v>
      </c>
    </row>
    <row r="4022">
      <c r="A4022" s="4" t="str">
        <f>IFERROR(__xludf.DUMMYFUNCTION("""COMPUTED_VALUE"""),"dypius")</f>
        <v>dypius</v>
      </c>
      <c r="B4022" s="4" t="str">
        <f>IFERROR(__xludf.DUMMYFUNCTION("""COMPUTED_VALUE"""),"dyp")</f>
        <v>dyp</v>
      </c>
      <c r="C4022" s="4" t="str">
        <f>IFERROR(__xludf.DUMMYFUNCTION("""COMPUTED_VALUE"""),"Dypius")</f>
        <v>Dypius</v>
      </c>
    </row>
    <row r="4023">
      <c r="A4023" s="4" t="str">
        <f>IFERROR(__xludf.DUMMYFUNCTION("""COMPUTED_VALUE"""),"dyson-sphere")</f>
        <v>dyson-sphere</v>
      </c>
      <c r="B4023" s="4" t="str">
        <f>IFERROR(__xludf.DUMMYFUNCTION("""COMPUTED_VALUE"""),"dysn")</f>
        <v>dysn</v>
      </c>
      <c r="C4023" s="4" t="str">
        <f>IFERROR(__xludf.DUMMYFUNCTION("""COMPUTED_VALUE"""),"Dyson Sphere")</f>
        <v>Dyson Sphere</v>
      </c>
    </row>
    <row r="4024">
      <c r="A4024" s="4" t="str">
        <f>IFERROR(__xludf.DUMMYFUNCTION("""COMPUTED_VALUE"""),"dystopia")</f>
        <v>dystopia</v>
      </c>
      <c r="B4024" s="4" t="str">
        <f>IFERROR(__xludf.DUMMYFUNCTION("""COMPUTED_VALUE"""),"dyst")</f>
        <v>dyst</v>
      </c>
      <c r="C4024" s="4" t="str">
        <f>IFERROR(__xludf.DUMMYFUNCTION("""COMPUTED_VALUE"""),"Dystopia")</f>
        <v>Dystopia</v>
      </c>
    </row>
    <row r="4025">
      <c r="A4025" s="4" t="str">
        <f>IFERROR(__xludf.DUMMYFUNCTION("""COMPUTED_VALUE"""),"dyzilla")</f>
        <v>dyzilla</v>
      </c>
      <c r="B4025" s="4" t="str">
        <f>IFERROR(__xludf.DUMMYFUNCTION("""COMPUTED_VALUE"""),"dyzilla")</f>
        <v>dyzilla</v>
      </c>
      <c r="C4025" s="4" t="str">
        <f>IFERROR(__xludf.DUMMYFUNCTION("""COMPUTED_VALUE"""),"DYZilla")</f>
        <v>DYZilla</v>
      </c>
    </row>
    <row r="4026">
      <c r="A4026" s="4" t="str">
        <f>IFERROR(__xludf.DUMMYFUNCTION("""COMPUTED_VALUE"""),"earnbet")</f>
        <v>earnbet</v>
      </c>
      <c r="B4026" s="4" t="str">
        <f>IFERROR(__xludf.DUMMYFUNCTION("""COMPUTED_VALUE"""),"ebet")</f>
        <v>ebet</v>
      </c>
      <c r="C4026" s="4" t="str">
        <f>IFERROR(__xludf.DUMMYFUNCTION("""COMPUTED_VALUE"""),"EarnBet")</f>
        <v>EarnBet</v>
      </c>
    </row>
    <row r="4027">
      <c r="A4027" s="4" t="str">
        <f>IFERROR(__xludf.DUMMYFUNCTION("""COMPUTED_VALUE"""),"earndefi")</f>
        <v>earndefi</v>
      </c>
      <c r="B4027" s="4" t="str">
        <f>IFERROR(__xludf.DUMMYFUNCTION("""COMPUTED_VALUE"""),"edc")</f>
        <v>edc</v>
      </c>
      <c r="C4027" s="4" t="str">
        <f>IFERROR(__xludf.DUMMYFUNCTION("""COMPUTED_VALUE"""),"EarnDeFi")</f>
        <v>EarnDeFi</v>
      </c>
    </row>
    <row r="4028">
      <c r="A4028" s="4" t="str">
        <f>IFERROR(__xludf.DUMMYFUNCTION("""COMPUTED_VALUE"""),"earn-finance")</f>
        <v>earn-finance</v>
      </c>
      <c r="B4028" s="4" t="str">
        <f>IFERROR(__xludf.DUMMYFUNCTION("""COMPUTED_VALUE"""),"earnfi")</f>
        <v>earnfi</v>
      </c>
      <c r="C4028" s="4" t="str">
        <f>IFERROR(__xludf.DUMMYFUNCTION("""COMPUTED_VALUE"""),"EARN FINANCE")</f>
        <v>EARN FINANCE</v>
      </c>
    </row>
    <row r="4029">
      <c r="A4029" s="4" t="str">
        <f>IFERROR(__xludf.DUMMYFUNCTION("""COMPUTED_VALUE"""),"earn-network-2")</f>
        <v>earn-network-2</v>
      </c>
      <c r="B4029" s="4" t="str">
        <f>IFERROR(__xludf.DUMMYFUNCTION("""COMPUTED_VALUE"""),"earn")</f>
        <v>earn</v>
      </c>
      <c r="C4029" s="4" t="str">
        <f>IFERROR(__xludf.DUMMYFUNCTION("""COMPUTED_VALUE"""),"Earn Network")</f>
        <v>Earn Network</v>
      </c>
    </row>
    <row r="4030">
      <c r="A4030" s="4" t="str">
        <f>IFERROR(__xludf.DUMMYFUNCTION("""COMPUTED_VALUE"""),"earntv")</f>
        <v>earntv</v>
      </c>
      <c r="B4030" s="4" t="str">
        <f>IFERROR(__xludf.DUMMYFUNCTION("""COMPUTED_VALUE"""),"etv")</f>
        <v>etv</v>
      </c>
      <c r="C4030" s="4" t="str">
        <f>IFERROR(__xludf.DUMMYFUNCTION("""COMPUTED_VALUE"""),"EarnTV")</f>
        <v>EarnTV</v>
      </c>
    </row>
    <row r="4031">
      <c r="A4031" s="4" t="str">
        <f>IFERROR(__xludf.DUMMYFUNCTION("""COMPUTED_VALUE"""),"earthbyt")</f>
        <v>earthbyt</v>
      </c>
      <c r="B4031" s="4" t="str">
        <f>IFERROR(__xludf.DUMMYFUNCTION("""COMPUTED_VALUE"""),"ebyt")</f>
        <v>ebyt</v>
      </c>
      <c r="C4031" s="4" t="str">
        <f>IFERROR(__xludf.DUMMYFUNCTION("""COMPUTED_VALUE"""),"EarthByt")</f>
        <v>EarthByt</v>
      </c>
    </row>
    <row r="4032">
      <c r="A4032" s="4" t="str">
        <f>IFERROR(__xludf.DUMMYFUNCTION("""COMPUTED_VALUE"""),"earthfund")</f>
        <v>earthfund</v>
      </c>
      <c r="B4032" s="4" t="str">
        <f>IFERROR(__xludf.DUMMYFUNCTION("""COMPUTED_VALUE"""),"1earth")</f>
        <v>1earth</v>
      </c>
      <c r="C4032" s="4" t="str">
        <f>IFERROR(__xludf.DUMMYFUNCTION("""COMPUTED_VALUE"""),"EarthFund")</f>
        <v>EarthFund</v>
      </c>
    </row>
    <row r="4033">
      <c r="A4033" s="4" t="str">
        <f>IFERROR(__xludf.DUMMYFUNCTION("""COMPUTED_VALUE"""),"eastgate-pharmaceuticals")</f>
        <v>eastgate-pharmaceuticals</v>
      </c>
      <c r="B4033" s="4" t="str">
        <f>IFERROR(__xludf.DUMMYFUNCTION("""COMPUTED_VALUE"""),"egp")</f>
        <v>egp</v>
      </c>
      <c r="C4033" s="4" t="str">
        <f>IFERROR(__xludf.DUMMYFUNCTION("""COMPUTED_VALUE"""),"EastGate Pharmaceuticals")</f>
        <v>EastGate Pharmaceuticals</v>
      </c>
    </row>
    <row r="4034">
      <c r="A4034" s="4" t="str">
        <f>IFERROR(__xludf.DUMMYFUNCTION("""COMPUTED_VALUE"""),"easyfi")</f>
        <v>easyfi</v>
      </c>
      <c r="B4034" s="4" t="str">
        <f>IFERROR(__xludf.DUMMYFUNCTION("""COMPUTED_VALUE"""),"ez")</f>
        <v>ez</v>
      </c>
      <c r="C4034" s="4" t="str">
        <f>IFERROR(__xludf.DUMMYFUNCTION("""COMPUTED_VALUE"""),"EasyFi V2")</f>
        <v>EasyFi V2</v>
      </c>
    </row>
    <row r="4035">
      <c r="A4035" s="4" t="str">
        <f>IFERROR(__xludf.DUMMYFUNCTION("""COMPUTED_VALUE"""),"easy-swap-bot")</f>
        <v>easy-swap-bot</v>
      </c>
      <c r="B4035" s="4" t="str">
        <f>IFERROR(__xludf.DUMMYFUNCTION("""COMPUTED_VALUE"""),"ezswap")</f>
        <v>ezswap</v>
      </c>
      <c r="C4035" s="4" t="str">
        <f>IFERROR(__xludf.DUMMYFUNCTION("""COMPUTED_VALUE"""),"Easy Swap Bot")</f>
        <v>Easy Swap Bot</v>
      </c>
    </row>
    <row r="4036">
      <c r="A4036" s="4" t="str">
        <f>IFERROR(__xludf.DUMMYFUNCTION("""COMPUTED_VALUE"""),"easytoken")</f>
        <v>easytoken</v>
      </c>
      <c r="B4036" s="4" t="str">
        <f>IFERROR(__xludf.DUMMYFUNCTION("""COMPUTED_VALUE"""),"eyt")</f>
        <v>eyt</v>
      </c>
      <c r="C4036" s="4" t="str">
        <f>IFERROR(__xludf.DUMMYFUNCTION("""COMPUTED_VALUE"""),"EasyToken")</f>
        <v>EasyToken</v>
      </c>
    </row>
    <row r="4037">
      <c r="A4037" s="4" t="str">
        <f>IFERROR(__xludf.DUMMYFUNCTION("""COMPUTED_VALUE"""),"eazyswap-token")</f>
        <v>eazyswap-token</v>
      </c>
      <c r="B4037" s="4" t="str">
        <f>IFERROR(__xludf.DUMMYFUNCTION("""COMPUTED_VALUE"""),"eazy")</f>
        <v>eazy</v>
      </c>
      <c r="C4037" s="4" t="str">
        <f>IFERROR(__xludf.DUMMYFUNCTION("""COMPUTED_VALUE"""),"EazySwap Token")</f>
        <v>EazySwap Token</v>
      </c>
    </row>
    <row r="4038">
      <c r="A4038" s="4" t="str">
        <f>IFERROR(__xludf.DUMMYFUNCTION("""COMPUTED_VALUE"""),"ebabil-io")</f>
        <v>ebabil-io</v>
      </c>
      <c r="B4038" s="4" t="str">
        <f>IFERROR(__xludf.DUMMYFUNCTION("""COMPUTED_VALUE"""),"ebabil")</f>
        <v>ebabil</v>
      </c>
      <c r="C4038" s="4" t="str">
        <f>IFERROR(__xludf.DUMMYFUNCTION("""COMPUTED_VALUE"""),"Ebabil IO")</f>
        <v>Ebabil IO</v>
      </c>
    </row>
    <row r="4039">
      <c r="A4039" s="4" t="str">
        <f>IFERROR(__xludf.DUMMYFUNCTION("""COMPUTED_VALUE"""),"ebase")</f>
        <v>ebase</v>
      </c>
      <c r="B4039" s="4" t="str">
        <f>IFERROR(__xludf.DUMMYFUNCTION("""COMPUTED_VALUE"""),"ebase")</f>
        <v>ebase</v>
      </c>
      <c r="C4039" s="4" t="str">
        <f>IFERROR(__xludf.DUMMYFUNCTION("""COMPUTED_VALUE"""),"eBASE")</f>
        <v>eBASE</v>
      </c>
    </row>
    <row r="4040">
      <c r="A4040" s="4" t="str">
        <f>IFERROR(__xludf.DUMMYFUNCTION("""COMPUTED_VALUE"""),"ebisusbay-fortune")</f>
        <v>ebisusbay-fortune</v>
      </c>
      <c r="B4040" s="4" t="str">
        <f>IFERROR(__xludf.DUMMYFUNCTION("""COMPUTED_VALUE"""),"frtn")</f>
        <v>frtn</v>
      </c>
      <c r="C4040" s="4" t="str">
        <f>IFERROR(__xludf.DUMMYFUNCTION("""COMPUTED_VALUE"""),"Fortune Token")</f>
        <v>Fortune Token</v>
      </c>
    </row>
    <row r="4041">
      <c r="A4041" s="4" t="str">
        <f>IFERROR(__xludf.DUMMYFUNCTION("""COMPUTED_VALUE"""),"eblockstock")</f>
        <v>eblockstock</v>
      </c>
      <c r="B4041" s="4" t="str">
        <f>IFERROR(__xludf.DUMMYFUNCTION("""COMPUTED_VALUE"""),"ebso")</f>
        <v>ebso</v>
      </c>
      <c r="C4041" s="4" t="str">
        <f>IFERROR(__xludf.DUMMYFUNCTION("""COMPUTED_VALUE"""),"eBlockStock")</f>
        <v>eBlockStock</v>
      </c>
    </row>
    <row r="4042">
      <c r="A4042" s="4" t="str">
        <f>IFERROR(__xludf.DUMMYFUNCTION("""COMPUTED_VALUE"""),"ebox")</f>
        <v>ebox</v>
      </c>
      <c r="B4042" s="4" t="str">
        <f>IFERROR(__xludf.DUMMYFUNCTION("""COMPUTED_VALUE"""),"ebox")</f>
        <v>ebox</v>
      </c>
      <c r="C4042" s="4" t="str">
        <f>IFERROR(__xludf.DUMMYFUNCTION("""COMPUTED_VALUE"""),"Ebox")</f>
        <v>Ebox</v>
      </c>
    </row>
    <row r="4043">
      <c r="A4043" s="4" t="str">
        <f>IFERROR(__xludf.DUMMYFUNCTION("""COMPUTED_VALUE"""),"ecash")</f>
        <v>ecash</v>
      </c>
      <c r="B4043" s="4" t="str">
        <f>IFERROR(__xludf.DUMMYFUNCTION("""COMPUTED_VALUE"""),"xec")</f>
        <v>xec</v>
      </c>
      <c r="C4043" s="4" t="str">
        <f>IFERROR(__xludf.DUMMYFUNCTION("""COMPUTED_VALUE"""),"eCash")</f>
        <v>eCash</v>
      </c>
    </row>
    <row r="4044">
      <c r="A4044" s="4" t="str">
        <f>IFERROR(__xludf.DUMMYFUNCTION("""COMPUTED_VALUE"""),"echain-network")</f>
        <v>echain-network</v>
      </c>
      <c r="B4044" s="4" t="str">
        <f>IFERROR(__xludf.DUMMYFUNCTION("""COMPUTED_VALUE"""),"ect")</f>
        <v>ect</v>
      </c>
      <c r="C4044" s="4" t="str">
        <f>IFERROR(__xludf.DUMMYFUNCTION("""COMPUTED_VALUE"""),"Echain Network")</f>
        <v>Echain Network</v>
      </c>
    </row>
    <row r="4045">
      <c r="A4045" s="4" t="str">
        <f>IFERROR(__xludf.DUMMYFUNCTION("""COMPUTED_VALUE"""),"echelon-prime")</f>
        <v>echelon-prime</v>
      </c>
      <c r="B4045" s="4" t="str">
        <f>IFERROR(__xludf.DUMMYFUNCTION("""COMPUTED_VALUE"""),"prime")</f>
        <v>prime</v>
      </c>
      <c r="C4045" s="4" t="str">
        <f>IFERROR(__xludf.DUMMYFUNCTION("""COMPUTED_VALUE"""),"Echelon Prime")</f>
        <v>Echelon Prime</v>
      </c>
    </row>
    <row r="4046">
      <c r="A4046" s="4" t="str">
        <f>IFERROR(__xludf.DUMMYFUNCTION("""COMPUTED_VALUE"""),"echidna")</f>
        <v>echidna</v>
      </c>
      <c r="B4046" s="4" t="str">
        <f>IFERROR(__xludf.DUMMYFUNCTION("""COMPUTED_VALUE"""),"ecd")</f>
        <v>ecd</v>
      </c>
      <c r="C4046" s="4" t="str">
        <f>IFERROR(__xludf.DUMMYFUNCTION("""COMPUTED_VALUE"""),"Echidna")</f>
        <v>Echidna</v>
      </c>
    </row>
    <row r="4047">
      <c r="A4047" s="4" t="str">
        <f>IFERROR(__xludf.DUMMYFUNCTION("""COMPUTED_VALUE"""),"echoblock")</f>
        <v>echoblock</v>
      </c>
      <c r="B4047" s="4" t="str">
        <f>IFERROR(__xludf.DUMMYFUNCTION("""COMPUTED_VALUE"""),"eblock")</f>
        <v>eblock</v>
      </c>
      <c r="C4047" s="4" t="str">
        <f>IFERROR(__xludf.DUMMYFUNCTION("""COMPUTED_VALUE"""),"EchoBlock")</f>
        <v>EchoBlock</v>
      </c>
    </row>
    <row r="4048">
      <c r="A4048" s="4" t="str">
        <f>IFERROR(__xludf.DUMMYFUNCTION("""COMPUTED_VALUE"""),"echo-bot")</f>
        <v>echo-bot</v>
      </c>
      <c r="B4048" s="4" t="str">
        <f>IFERROR(__xludf.DUMMYFUNCTION("""COMPUTED_VALUE"""),"echo")</f>
        <v>echo</v>
      </c>
      <c r="C4048" s="4" t="str">
        <f>IFERROR(__xludf.DUMMYFUNCTION("""COMPUTED_VALUE"""),"Echo Bot")</f>
        <v>Echo Bot</v>
      </c>
    </row>
    <row r="4049">
      <c r="A4049" s="4" t="str">
        <f>IFERROR(__xludf.DUMMYFUNCTION("""COMPUTED_VALUE"""),"echodex-community-portion")</f>
        <v>echodex-community-portion</v>
      </c>
      <c r="B4049" s="4" t="str">
        <f>IFERROR(__xludf.DUMMYFUNCTION("""COMPUTED_VALUE"""),"ecp")</f>
        <v>ecp</v>
      </c>
      <c r="C4049" s="4" t="str">
        <f>IFERROR(__xludf.DUMMYFUNCTION("""COMPUTED_VALUE"""),"EchoDEX Community Portion")</f>
        <v>EchoDEX Community Portion</v>
      </c>
    </row>
    <row r="4050">
      <c r="A4050" s="4" t="str">
        <f>IFERROR(__xludf.DUMMYFUNCTION("""COMPUTED_VALUE"""),"echoes")</f>
        <v>echoes</v>
      </c>
      <c r="B4050" s="4" t="str">
        <f>IFERROR(__xludf.DUMMYFUNCTION("""COMPUTED_VALUE"""),"echoes")</f>
        <v>echoes</v>
      </c>
      <c r="C4050" s="4" t="str">
        <f>IFERROR(__xludf.DUMMYFUNCTION("""COMPUTED_VALUE"""),"Echoes")</f>
        <v>Echoes</v>
      </c>
    </row>
    <row r="4051">
      <c r="A4051" s="4" t="str">
        <f>IFERROR(__xludf.DUMMYFUNCTION("""COMPUTED_VALUE"""),"echolink")</f>
        <v>echolink</v>
      </c>
      <c r="B4051" s="4" t="str">
        <f>IFERROR(__xludf.DUMMYFUNCTION("""COMPUTED_VALUE"""),"eko")</f>
        <v>eko</v>
      </c>
      <c r="C4051" s="4" t="str">
        <f>IFERROR(__xludf.DUMMYFUNCTION("""COMPUTED_VALUE"""),"EchoLink")</f>
        <v>EchoLink</v>
      </c>
    </row>
    <row r="4052">
      <c r="A4052" s="4" t="str">
        <f>IFERROR(__xludf.DUMMYFUNCTION("""COMPUTED_VALUE"""),"echo-of-the-horizon")</f>
        <v>echo-of-the-horizon</v>
      </c>
      <c r="B4052" s="4" t="str">
        <f>IFERROR(__xludf.DUMMYFUNCTION("""COMPUTED_VALUE"""),"eoth")</f>
        <v>eoth</v>
      </c>
      <c r="C4052" s="4" t="str">
        <f>IFERROR(__xludf.DUMMYFUNCTION("""COMPUTED_VALUE"""),"Echo Of The Horizon")</f>
        <v>Echo Of The Horizon</v>
      </c>
    </row>
    <row r="4053">
      <c r="A4053" s="4" t="str">
        <f>IFERROR(__xludf.DUMMYFUNCTION("""COMPUTED_VALUE"""),"echosoracoin")</f>
        <v>echosoracoin</v>
      </c>
      <c r="B4053" s="4" t="str">
        <f>IFERROR(__xludf.DUMMYFUNCTION("""COMPUTED_VALUE"""),"esrc")</f>
        <v>esrc</v>
      </c>
      <c r="C4053" s="4" t="str">
        <f>IFERROR(__xludf.DUMMYFUNCTION("""COMPUTED_VALUE"""),"EchoSoraCoin")</f>
        <v>EchoSoraCoin</v>
      </c>
    </row>
    <row r="4054">
      <c r="A4054" s="4" t="str">
        <f>IFERROR(__xludf.DUMMYFUNCTION("""COMPUTED_VALUE"""),"eclat")</f>
        <v>eclat</v>
      </c>
      <c r="B4054" s="4" t="str">
        <f>IFERROR(__xludf.DUMMYFUNCTION("""COMPUTED_VALUE"""),"elt")</f>
        <v>elt</v>
      </c>
      <c r="C4054" s="4" t="str">
        <f>IFERROR(__xludf.DUMMYFUNCTION("""COMPUTED_VALUE"""),"ECLAT")</f>
        <v>ECLAT</v>
      </c>
    </row>
    <row r="4055">
      <c r="A4055" s="4" t="str">
        <f>IFERROR(__xludf.DUMMYFUNCTION("""COMPUTED_VALUE"""),"eclipse-fi")</f>
        <v>eclipse-fi</v>
      </c>
      <c r="B4055" s="4" t="str">
        <f>IFERROR(__xludf.DUMMYFUNCTION("""COMPUTED_VALUE"""),"eclip")</f>
        <v>eclip</v>
      </c>
      <c r="C4055" s="4" t="str">
        <f>IFERROR(__xludf.DUMMYFUNCTION("""COMPUTED_VALUE"""),"Eclipse Fi")</f>
        <v>Eclipse Fi</v>
      </c>
    </row>
    <row r="4056">
      <c r="A4056" s="4" t="str">
        <f>IFERROR(__xludf.DUMMYFUNCTION("""COMPUTED_VALUE"""),"eco")</f>
        <v>eco</v>
      </c>
      <c r="B4056" s="4" t="str">
        <f>IFERROR(__xludf.DUMMYFUNCTION("""COMPUTED_VALUE"""),"eco")</f>
        <v>eco</v>
      </c>
      <c r="C4056" s="4" t="str">
        <f>IFERROR(__xludf.DUMMYFUNCTION("""COMPUTED_VALUE"""),"ECO")</f>
        <v>ECO</v>
      </c>
    </row>
    <row r="4057">
      <c r="A4057" s="4" t="str">
        <f>IFERROR(__xludf.DUMMYFUNCTION("""COMPUTED_VALUE"""),"ecochain-2")</f>
        <v>ecochain-2</v>
      </c>
      <c r="B4057" s="4" t="str">
        <f>IFERROR(__xludf.DUMMYFUNCTION("""COMPUTED_VALUE"""),"eco")</f>
        <v>eco</v>
      </c>
      <c r="C4057" s="4" t="str">
        <f>IFERROR(__xludf.DUMMYFUNCTION("""COMPUTED_VALUE"""),"Ecochain")</f>
        <v>Ecochain</v>
      </c>
    </row>
    <row r="4058">
      <c r="A4058" s="4" t="str">
        <f>IFERROR(__xludf.DUMMYFUNCTION("""COMPUTED_VALUE"""),"ecochain-token")</f>
        <v>ecochain-token</v>
      </c>
      <c r="B4058" s="4" t="str">
        <f>IFERROR(__xludf.DUMMYFUNCTION("""COMPUTED_VALUE"""),"ect")</f>
        <v>ect</v>
      </c>
      <c r="C4058" s="4" t="str">
        <f>IFERROR(__xludf.DUMMYFUNCTION("""COMPUTED_VALUE"""),"Ecochain Finance")</f>
        <v>Ecochain Finance</v>
      </c>
    </row>
    <row r="4059">
      <c r="A4059" s="4" t="str">
        <f>IFERROR(__xludf.DUMMYFUNCTION("""COMPUTED_VALUE"""),"ecocredit")</f>
        <v>ecocredit</v>
      </c>
      <c r="B4059" s="4" t="str">
        <f>IFERROR(__xludf.DUMMYFUNCTION("""COMPUTED_VALUE"""),"eco")</f>
        <v>eco</v>
      </c>
      <c r="C4059" s="4" t="str">
        <f>IFERROR(__xludf.DUMMYFUNCTION("""COMPUTED_VALUE"""),"EcoCREDIT")</f>
        <v>EcoCREDIT</v>
      </c>
    </row>
    <row r="4060">
      <c r="A4060" s="4" t="str">
        <f>IFERROR(__xludf.DUMMYFUNCTION("""COMPUTED_VALUE"""),"ecog9coin")</f>
        <v>ecog9coin</v>
      </c>
      <c r="B4060" s="4" t="str">
        <f>IFERROR(__xludf.DUMMYFUNCTION("""COMPUTED_VALUE"""),"egc")</f>
        <v>egc</v>
      </c>
      <c r="C4060" s="4" t="str">
        <f>IFERROR(__xludf.DUMMYFUNCTION("""COMPUTED_VALUE"""),"EcoG9coin")</f>
        <v>EcoG9coin</v>
      </c>
    </row>
    <row r="4061">
      <c r="A4061" s="4" t="str">
        <f>IFERROR(__xludf.DUMMYFUNCTION("""COMPUTED_VALUE"""),"ecoin-2")</f>
        <v>ecoin-2</v>
      </c>
      <c r="B4061" s="4" t="str">
        <f>IFERROR(__xludf.DUMMYFUNCTION("""COMPUTED_VALUE"""),"ecoin")</f>
        <v>ecoin</v>
      </c>
      <c r="C4061" s="4" t="str">
        <f>IFERROR(__xludf.DUMMYFUNCTION("""COMPUTED_VALUE"""),"Ecoin")</f>
        <v>Ecoin</v>
      </c>
    </row>
    <row r="4062">
      <c r="A4062" s="4" t="str">
        <f>IFERROR(__xludf.DUMMYFUNCTION("""COMPUTED_VALUE"""),"ecoin-finance")</f>
        <v>ecoin-finance</v>
      </c>
      <c r="B4062" s="4" t="str">
        <f>IFERROR(__xludf.DUMMYFUNCTION("""COMPUTED_VALUE"""),"ecoin")</f>
        <v>ecoin</v>
      </c>
      <c r="C4062" s="4" t="str">
        <f>IFERROR(__xludf.DUMMYFUNCTION("""COMPUTED_VALUE"""),"Ecoin Finance")</f>
        <v>Ecoin Finance</v>
      </c>
    </row>
    <row r="4063">
      <c r="A4063" s="4" t="str">
        <f>IFERROR(__xludf.DUMMYFUNCTION("""COMPUTED_VALUE"""),"ecomi")</f>
        <v>ecomi</v>
      </c>
      <c r="B4063" s="4" t="str">
        <f>IFERROR(__xludf.DUMMYFUNCTION("""COMPUTED_VALUE"""),"omi")</f>
        <v>omi</v>
      </c>
      <c r="C4063" s="4" t="str">
        <f>IFERROR(__xludf.DUMMYFUNCTION("""COMPUTED_VALUE"""),"ECOMI")</f>
        <v>ECOMI</v>
      </c>
    </row>
    <row r="4064">
      <c r="A4064" s="4" t="str">
        <f>IFERROR(__xludf.DUMMYFUNCTION("""COMPUTED_VALUE"""),"ecoreal-estate")</f>
        <v>ecoreal-estate</v>
      </c>
      <c r="B4064" s="4" t="str">
        <f>IFERROR(__xludf.DUMMYFUNCTION("""COMPUTED_VALUE"""),"ecoreal")</f>
        <v>ecoreal</v>
      </c>
      <c r="C4064" s="4" t="str">
        <f>IFERROR(__xludf.DUMMYFUNCTION("""COMPUTED_VALUE"""),"Ecoreal Estate")</f>
        <v>Ecoreal Estate</v>
      </c>
    </row>
    <row r="4065">
      <c r="A4065" s="4" t="str">
        <f>IFERROR(__xludf.DUMMYFUNCTION("""COMPUTED_VALUE"""),"ecoscu")</f>
        <v>ecoscu</v>
      </c>
      <c r="B4065" s="4" t="str">
        <f>IFERROR(__xludf.DUMMYFUNCTION("""COMPUTED_VALUE"""),"ecu")</f>
        <v>ecu</v>
      </c>
      <c r="C4065" s="4" t="str">
        <f>IFERROR(__xludf.DUMMYFUNCTION("""COMPUTED_VALUE"""),"ECOSC")</f>
        <v>ECOSC</v>
      </c>
    </row>
    <row r="4066">
      <c r="A4066" s="4" t="str">
        <f>IFERROR(__xludf.DUMMYFUNCTION("""COMPUTED_VALUE"""),"ecoterra")</f>
        <v>ecoterra</v>
      </c>
      <c r="B4066" s="4" t="str">
        <f>IFERROR(__xludf.DUMMYFUNCTION("""COMPUTED_VALUE"""),"ecoterra")</f>
        <v>ecoterra</v>
      </c>
      <c r="C4066" s="4" t="str">
        <f>IFERROR(__xludf.DUMMYFUNCTION("""COMPUTED_VALUE"""),"Ecoterra")</f>
        <v>Ecoterra</v>
      </c>
    </row>
    <row r="4067">
      <c r="A4067" s="4" t="str">
        <f>IFERROR(__xludf.DUMMYFUNCTION("""COMPUTED_VALUE"""),"ecox")</f>
        <v>ecox</v>
      </c>
      <c r="B4067" s="4" t="str">
        <f>IFERROR(__xludf.DUMMYFUNCTION("""COMPUTED_VALUE"""),"ecox")</f>
        <v>ecox</v>
      </c>
      <c r="C4067" s="4" t="str">
        <f>IFERROR(__xludf.DUMMYFUNCTION("""COMPUTED_VALUE"""),"ECOx")</f>
        <v>ECOx</v>
      </c>
    </row>
    <row r="4068">
      <c r="A4068" s="4" t="str">
        <f>IFERROR(__xludf.DUMMYFUNCTION("""COMPUTED_VALUE"""),"ecs-gold")</f>
        <v>ecs-gold</v>
      </c>
      <c r="B4068" s="4" t="str">
        <f>IFERROR(__xludf.DUMMYFUNCTION("""COMPUTED_VALUE"""),"ecg")</f>
        <v>ecg</v>
      </c>
      <c r="C4068" s="4" t="str">
        <f>IFERROR(__xludf.DUMMYFUNCTION("""COMPUTED_VALUE"""),"ECS Gold")</f>
        <v>ECS Gold</v>
      </c>
    </row>
    <row r="4069">
      <c r="A4069" s="4" t="str">
        <f>IFERROR(__xludf.DUMMYFUNCTION("""COMPUTED_VALUE"""),"e-c-vitoria-fan-token")</f>
        <v>e-c-vitoria-fan-token</v>
      </c>
      <c r="B4069" s="4" t="str">
        <f>IFERROR(__xludf.DUMMYFUNCTION("""COMPUTED_VALUE"""),"vtra")</f>
        <v>vtra</v>
      </c>
      <c r="C4069" s="4" t="str">
        <f>IFERROR(__xludf.DUMMYFUNCTION("""COMPUTED_VALUE"""),"E.C. Vitoria Fan Token")</f>
        <v>E.C. Vitoria Fan Token</v>
      </c>
    </row>
    <row r="4070">
      <c r="A4070" s="4" t="str">
        <f>IFERROR(__xludf.DUMMYFUNCTION("""COMPUTED_VALUE"""),"edain")</f>
        <v>edain</v>
      </c>
      <c r="B4070" s="4" t="str">
        <f>IFERROR(__xludf.DUMMYFUNCTION("""COMPUTED_VALUE"""),"eai")</f>
        <v>eai</v>
      </c>
      <c r="C4070" s="4" t="str">
        <f>IFERROR(__xludf.DUMMYFUNCTION("""COMPUTED_VALUE"""),"Edain")</f>
        <v>Edain</v>
      </c>
    </row>
    <row r="4071">
      <c r="A4071" s="4" t="str">
        <f>IFERROR(__xludf.DUMMYFUNCTION("""COMPUTED_VALUE"""),"eddaswap")</f>
        <v>eddaswap</v>
      </c>
      <c r="B4071" s="4" t="str">
        <f>IFERROR(__xludf.DUMMYFUNCTION("""COMPUTED_VALUE"""),"edda")</f>
        <v>edda</v>
      </c>
      <c r="C4071" s="4" t="str">
        <f>IFERROR(__xludf.DUMMYFUNCTION("""COMPUTED_VALUE"""),"EDDASwap")</f>
        <v>EDDASwap</v>
      </c>
    </row>
    <row r="4072">
      <c r="A4072" s="4" t="str">
        <f>IFERROR(__xludf.DUMMYFUNCTION("""COMPUTED_VALUE"""),"edelcoin")</f>
        <v>edelcoin</v>
      </c>
      <c r="B4072" s="4" t="str">
        <f>IFERROR(__xludf.DUMMYFUNCTION("""COMPUTED_VALUE"""),"edlc")</f>
        <v>edlc</v>
      </c>
      <c r="C4072" s="4" t="str">
        <f>IFERROR(__xludf.DUMMYFUNCTION("""COMPUTED_VALUE"""),"Edelcoin")</f>
        <v>Edelcoin</v>
      </c>
    </row>
    <row r="4073">
      <c r="A4073" s="4" t="str">
        <f>IFERROR(__xludf.DUMMYFUNCTION("""COMPUTED_VALUE"""),"eden")</f>
        <v>eden</v>
      </c>
      <c r="B4073" s="4" t="str">
        <f>IFERROR(__xludf.DUMMYFUNCTION("""COMPUTED_VALUE"""),"eden")</f>
        <v>eden</v>
      </c>
      <c r="C4073" s="4" t="str">
        <f>IFERROR(__xludf.DUMMYFUNCTION("""COMPUTED_VALUE"""),"EDEN")</f>
        <v>EDEN</v>
      </c>
    </row>
    <row r="4074">
      <c r="A4074" s="4" t="str">
        <f>IFERROR(__xludf.DUMMYFUNCTION("""COMPUTED_VALUE"""),"edge")</f>
        <v>edge</v>
      </c>
      <c r="B4074" s="4" t="str">
        <f>IFERROR(__xludf.DUMMYFUNCTION("""COMPUTED_VALUE"""),"edge")</f>
        <v>edge</v>
      </c>
      <c r="C4074" s="4" t="str">
        <f>IFERROR(__xludf.DUMMYFUNCTION("""COMPUTED_VALUE"""),"Edge")</f>
        <v>Edge</v>
      </c>
    </row>
    <row r="4075">
      <c r="A4075" s="4" t="str">
        <f>IFERROR(__xludf.DUMMYFUNCTION("""COMPUTED_VALUE"""),"edgecoin-2")</f>
        <v>edgecoin-2</v>
      </c>
      <c r="B4075" s="4" t="str">
        <f>IFERROR(__xludf.DUMMYFUNCTION("""COMPUTED_VALUE"""),"edgt")</f>
        <v>edgt</v>
      </c>
      <c r="C4075" s="4" t="str">
        <f>IFERROR(__xludf.DUMMYFUNCTION("""COMPUTED_VALUE"""),"Edgecoin")</f>
        <v>Edgecoin</v>
      </c>
    </row>
    <row r="4076">
      <c r="A4076" s="4" t="str">
        <f>IFERROR(__xludf.DUMMYFUNCTION("""COMPUTED_VALUE"""),"edgeless")</f>
        <v>edgeless</v>
      </c>
      <c r="B4076" s="4" t="str">
        <f>IFERROR(__xludf.DUMMYFUNCTION("""COMPUTED_VALUE"""),"edg")</f>
        <v>edg</v>
      </c>
      <c r="C4076" s="4" t="str">
        <f>IFERROR(__xludf.DUMMYFUNCTION("""COMPUTED_VALUE"""),"Edgeless")</f>
        <v>Edgeless</v>
      </c>
    </row>
    <row r="4077">
      <c r="A4077" s="4" t="str">
        <f>IFERROR(__xludf.DUMMYFUNCTION("""COMPUTED_VALUE"""),"edge-matrix-computing")</f>
        <v>edge-matrix-computing</v>
      </c>
      <c r="B4077" s="4" t="str">
        <f>IFERROR(__xludf.DUMMYFUNCTION("""COMPUTED_VALUE"""),"emc")</f>
        <v>emc</v>
      </c>
      <c r="C4077" s="4" t="str">
        <f>IFERROR(__xludf.DUMMYFUNCTION("""COMPUTED_VALUE"""),"Edge Matrix Computing")</f>
        <v>Edge Matrix Computing</v>
      </c>
    </row>
    <row r="4078">
      <c r="A4078" s="4" t="str">
        <f>IFERROR(__xludf.DUMMYFUNCTION("""COMPUTED_VALUE"""),"edgeswap")</f>
        <v>edgeswap</v>
      </c>
      <c r="B4078" s="4" t="str">
        <f>IFERROR(__xludf.DUMMYFUNCTION("""COMPUTED_VALUE"""),"egs")</f>
        <v>egs</v>
      </c>
      <c r="C4078" s="4" t="str">
        <f>IFERROR(__xludf.DUMMYFUNCTION("""COMPUTED_VALUE"""),"EdgeSwap")</f>
        <v>EdgeSwap</v>
      </c>
    </row>
    <row r="4079">
      <c r="A4079" s="4" t="str">
        <f>IFERROR(__xludf.DUMMYFUNCTION("""COMPUTED_VALUE"""),"edgevana-staked-sol")</f>
        <v>edgevana-staked-sol</v>
      </c>
      <c r="B4079" s="4" t="str">
        <f>IFERROR(__xludf.DUMMYFUNCTION("""COMPUTED_VALUE"""),"edgesol")</f>
        <v>edgesol</v>
      </c>
      <c r="C4079" s="4" t="str">
        <f>IFERROR(__xludf.DUMMYFUNCTION("""COMPUTED_VALUE"""),"Edgevana Staked SOL")</f>
        <v>Edgevana Staked SOL</v>
      </c>
    </row>
    <row r="4080">
      <c r="A4080" s="4" t="str">
        <f>IFERROR(__xludf.DUMMYFUNCTION("""COMPUTED_VALUE"""),"edgeware")</f>
        <v>edgeware</v>
      </c>
      <c r="B4080" s="4" t="str">
        <f>IFERROR(__xludf.DUMMYFUNCTION("""COMPUTED_VALUE"""),"edg")</f>
        <v>edg</v>
      </c>
      <c r="C4080" s="4" t="str">
        <f>IFERROR(__xludf.DUMMYFUNCTION("""COMPUTED_VALUE"""),"Edgeware")</f>
        <v>Edgeware</v>
      </c>
    </row>
    <row r="4081">
      <c r="A4081" s="4" t="str">
        <f>IFERROR(__xludf.DUMMYFUNCTION("""COMPUTED_VALUE"""),"edns-domains")</f>
        <v>edns-domains</v>
      </c>
      <c r="B4081" s="4" t="str">
        <f>IFERROR(__xludf.DUMMYFUNCTION("""COMPUTED_VALUE"""),"edns")</f>
        <v>edns</v>
      </c>
      <c r="C4081" s="4" t="str">
        <f>IFERROR(__xludf.DUMMYFUNCTION("""COMPUTED_VALUE"""),"EDNS Domains")</f>
        <v>EDNS Domains</v>
      </c>
    </row>
    <row r="4082">
      <c r="A4082" s="4" t="str">
        <f>IFERROR(__xludf.DUMMYFUNCTION("""COMPUTED_VALUE"""),"edoverse-zeni")</f>
        <v>edoverse-zeni</v>
      </c>
      <c r="B4082" s="4" t="str">
        <f>IFERROR(__xludf.DUMMYFUNCTION("""COMPUTED_VALUE"""),"zeni")</f>
        <v>zeni</v>
      </c>
      <c r="C4082" s="4" t="str">
        <f>IFERROR(__xludf.DUMMYFUNCTION("""COMPUTED_VALUE"""),"Edoverse Zeni")</f>
        <v>Edoverse Zeni</v>
      </c>
    </row>
    <row r="4083">
      <c r="A4083" s="4" t="str">
        <f>IFERROR(__xludf.DUMMYFUNCTION("""COMPUTED_VALUE"""),"edrivetoken")</f>
        <v>edrivetoken</v>
      </c>
      <c r="B4083" s="4" t="str">
        <f>IFERROR(__xludf.DUMMYFUNCTION("""COMPUTED_VALUE"""),"edt")</f>
        <v>edt</v>
      </c>
      <c r="C4083" s="4" t="str">
        <f>IFERROR(__xludf.DUMMYFUNCTION("""COMPUTED_VALUE"""),"EDriveToken")</f>
        <v>EDriveToken</v>
      </c>
    </row>
    <row r="4084">
      <c r="A4084" s="4" t="str">
        <f>IFERROR(__xludf.DUMMYFUNCTION("""COMPUTED_VALUE"""),"edu3labs")</f>
        <v>edu3labs</v>
      </c>
      <c r="B4084" s="4" t="str">
        <f>IFERROR(__xludf.DUMMYFUNCTION("""COMPUTED_VALUE"""),"nfe")</f>
        <v>nfe</v>
      </c>
      <c r="C4084" s="4" t="str">
        <f>IFERROR(__xludf.DUMMYFUNCTION("""COMPUTED_VALUE"""),"Edu3Labs")</f>
        <v>Edu3Labs</v>
      </c>
    </row>
    <row r="4085">
      <c r="A4085" s="4" t="str">
        <f>IFERROR(__xludf.DUMMYFUNCTION("""COMPUTED_VALUE"""),"edu-coin")</f>
        <v>edu-coin</v>
      </c>
      <c r="B4085" s="4" t="str">
        <f>IFERROR(__xludf.DUMMYFUNCTION("""COMPUTED_VALUE"""),"edu")</f>
        <v>edu</v>
      </c>
      <c r="C4085" s="4" t="str">
        <f>IFERROR(__xludf.DUMMYFUNCTION("""COMPUTED_VALUE"""),"Open Campus")</f>
        <v>Open Campus</v>
      </c>
    </row>
    <row r="4086">
      <c r="A4086" s="4" t="str">
        <f>IFERROR(__xludf.DUMMYFUNCTION("""COMPUTED_VALUE"""),"edufex")</f>
        <v>edufex</v>
      </c>
      <c r="B4086" s="4" t="str">
        <f>IFERROR(__xludf.DUMMYFUNCTION("""COMPUTED_VALUE"""),"edux")</f>
        <v>edux</v>
      </c>
      <c r="C4086" s="4" t="str">
        <f>IFERROR(__xludf.DUMMYFUNCTION("""COMPUTED_VALUE"""),"Edufex")</f>
        <v>Edufex</v>
      </c>
    </row>
    <row r="4087">
      <c r="A4087" s="4" t="str">
        <f>IFERROR(__xludf.DUMMYFUNCTION("""COMPUTED_VALUE"""),"edum")</f>
        <v>edum</v>
      </c>
      <c r="B4087" s="4" t="str">
        <f>IFERROR(__xludf.DUMMYFUNCTION("""COMPUTED_VALUE"""),"edum")</f>
        <v>edum</v>
      </c>
      <c r="C4087" s="4" t="str">
        <f>IFERROR(__xludf.DUMMYFUNCTION("""COMPUTED_VALUE"""),"EDUM")</f>
        <v>EDUM</v>
      </c>
    </row>
    <row r="4088">
      <c r="A4088" s="4" t="str">
        <f>IFERROR(__xludf.DUMMYFUNCTION("""COMPUTED_VALUE"""),"eeg")</f>
        <v>eeg</v>
      </c>
      <c r="B4088" s="4" t="str">
        <f>IFERROR(__xludf.DUMMYFUNCTION("""COMPUTED_VALUE"""),"eeg")</f>
        <v>eeg</v>
      </c>
      <c r="C4088" s="4" t="str">
        <f>IFERROR(__xludf.DUMMYFUNCTION("""COMPUTED_VALUE"""),"EEG")</f>
        <v>EEG</v>
      </c>
    </row>
    <row r="4089">
      <c r="A4089" s="4" t="str">
        <f>IFERROR(__xludf.DUMMYFUNCTION("""COMPUTED_VALUE"""),"eesee")</f>
        <v>eesee</v>
      </c>
      <c r="B4089" s="4" t="str">
        <f>IFERROR(__xludf.DUMMYFUNCTION("""COMPUTED_VALUE"""),"ese")</f>
        <v>ese</v>
      </c>
      <c r="C4089" s="4" t="str">
        <f>IFERROR(__xludf.DUMMYFUNCTION("""COMPUTED_VALUE"""),"Eesee")</f>
        <v>Eesee</v>
      </c>
    </row>
    <row r="4090">
      <c r="A4090" s="4" t="str">
        <f>IFERROR(__xludf.DUMMYFUNCTION("""COMPUTED_VALUE"""),"eeyor")</f>
        <v>eeyor</v>
      </c>
      <c r="B4090" s="4" t="str">
        <f>IFERROR(__xludf.DUMMYFUNCTION("""COMPUTED_VALUE"""),"eeyor")</f>
        <v>eeyor</v>
      </c>
      <c r="C4090" s="4" t="str">
        <f>IFERROR(__xludf.DUMMYFUNCTION("""COMPUTED_VALUE"""),"Eeyor")</f>
        <v>Eeyor</v>
      </c>
    </row>
    <row r="4091">
      <c r="A4091" s="4" t="str">
        <f>IFERROR(__xludf.DUMMYFUNCTION("""COMPUTED_VALUE"""),"effect-network")</f>
        <v>effect-network</v>
      </c>
      <c r="B4091" s="4" t="str">
        <f>IFERROR(__xludf.DUMMYFUNCTION("""COMPUTED_VALUE"""),"efx")</f>
        <v>efx</v>
      </c>
      <c r="C4091" s="4" t="str">
        <f>IFERROR(__xludf.DUMMYFUNCTION("""COMPUTED_VALUE"""),"Effect Network")</f>
        <v>Effect Network</v>
      </c>
    </row>
    <row r="4092">
      <c r="A4092" s="4" t="str">
        <f>IFERROR(__xludf.DUMMYFUNCTION("""COMPUTED_VALUE"""),"efin-decentralized")</f>
        <v>efin-decentralized</v>
      </c>
      <c r="B4092" s="4" t="str">
        <f>IFERROR(__xludf.DUMMYFUNCTION("""COMPUTED_VALUE"""),"wefin")</f>
        <v>wefin</v>
      </c>
      <c r="C4092" s="4" t="str">
        <f>IFERROR(__xludf.DUMMYFUNCTION("""COMPUTED_VALUE"""),"eFin Decentralized")</f>
        <v>eFin Decentralized</v>
      </c>
    </row>
    <row r="4093">
      <c r="A4093" s="4" t="str">
        <f>IFERROR(__xludf.DUMMYFUNCTION("""COMPUTED_VALUE"""),"efinity")</f>
        <v>efinity</v>
      </c>
      <c r="B4093" s="4" t="str">
        <f>IFERROR(__xludf.DUMMYFUNCTION("""COMPUTED_VALUE"""),"efi")</f>
        <v>efi</v>
      </c>
      <c r="C4093" s="4" t="str">
        <f>IFERROR(__xludf.DUMMYFUNCTION("""COMPUTED_VALUE"""),"Efinity")</f>
        <v>Efinity</v>
      </c>
    </row>
    <row r="4094">
      <c r="A4094" s="4" t="str">
        <f>IFERROR(__xludf.DUMMYFUNCTION("""COMPUTED_VALUE"""),"efk-token")</f>
        <v>efk-token</v>
      </c>
      <c r="B4094" s="4" t="str">
        <f>IFERROR(__xludf.DUMMYFUNCTION("""COMPUTED_VALUE"""),"efk")</f>
        <v>efk</v>
      </c>
      <c r="C4094" s="4" t="str">
        <f>IFERROR(__xludf.DUMMYFUNCTION("""COMPUTED_VALUE"""),"EFK Token")</f>
        <v>EFK Token</v>
      </c>
    </row>
    <row r="4095">
      <c r="A4095" s="4" t="str">
        <f>IFERROR(__xludf.DUMMYFUNCTION("""COMPUTED_VALUE"""),"eflancer")</f>
        <v>eflancer</v>
      </c>
      <c r="B4095" s="4" t="str">
        <f>IFERROR(__xludf.DUMMYFUNCTION("""COMPUTED_VALUE"""),"efcr")</f>
        <v>efcr</v>
      </c>
      <c r="C4095" s="4" t="str">
        <f>IFERROR(__xludf.DUMMYFUNCTION("""COMPUTED_VALUE"""),"EFLANCER")</f>
        <v>EFLANCER</v>
      </c>
    </row>
    <row r="4096">
      <c r="A4096" s="4" t="str">
        <f>IFERROR(__xludf.DUMMYFUNCTION("""COMPUTED_VALUE"""),"efun")</f>
        <v>efun</v>
      </c>
      <c r="B4096" s="4" t="str">
        <f>IFERROR(__xludf.DUMMYFUNCTION("""COMPUTED_VALUE"""),"efun")</f>
        <v>efun</v>
      </c>
      <c r="C4096" s="4" t="str">
        <f>IFERROR(__xludf.DUMMYFUNCTION("""COMPUTED_VALUE"""),"EFUN")</f>
        <v>EFUN</v>
      </c>
    </row>
    <row r="4097">
      <c r="A4097" s="4" t="str">
        <f>IFERROR(__xludf.DUMMYFUNCTION("""COMPUTED_VALUE"""),"egaz")</f>
        <v>egaz</v>
      </c>
      <c r="B4097" s="4" t="str">
        <f>IFERROR(__xludf.DUMMYFUNCTION("""COMPUTED_VALUE"""),"egaz")</f>
        <v>egaz</v>
      </c>
      <c r="C4097" s="4" t="str">
        <f>IFERROR(__xludf.DUMMYFUNCTION("""COMPUTED_VALUE"""),"EGAZ")</f>
        <v>EGAZ</v>
      </c>
    </row>
    <row r="4098">
      <c r="A4098" s="4" t="str">
        <f>IFERROR(__xludf.DUMMYFUNCTION("""COMPUTED_VALUE"""),"egg")</f>
        <v>egg</v>
      </c>
      <c r="B4098" s="4" t="str">
        <f>IFERROR(__xludf.DUMMYFUNCTION("""COMPUTED_VALUE"""),"egg")</f>
        <v>egg</v>
      </c>
      <c r="C4098" s="4" t="str">
        <f>IFERROR(__xludf.DUMMYFUNCTION("""COMPUTED_VALUE"""),"EGG")</f>
        <v>EGG</v>
      </c>
    </row>
    <row r="4099">
      <c r="A4099" s="4" t="str">
        <f>IFERROR(__xludf.DUMMYFUNCTION("""COMPUTED_VALUE"""),"eggdog")</f>
        <v>eggdog</v>
      </c>
      <c r="B4099" s="4" t="str">
        <f>IFERROR(__xludf.DUMMYFUNCTION("""COMPUTED_VALUE"""),"egg")</f>
        <v>egg</v>
      </c>
      <c r="C4099" s="4" t="str">
        <f>IFERROR(__xludf.DUMMYFUNCTION("""COMPUTED_VALUE"""),"Eggdog")</f>
        <v>Eggdog</v>
      </c>
    </row>
    <row r="4100">
      <c r="A4100" s="4" t="str">
        <f>IFERROR(__xludf.DUMMYFUNCTION("""COMPUTED_VALUE"""),"egg-eth")</f>
        <v>egg-eth</v>
      </c>
      <c r="B4100" s="4" t="str">
        <f>IFERROR(__xludf.DUMMYFUNCTION("""COMPUTED_VALUE"""),"egg")</f>
        <v>egg</v>
      </c>
      <c r="C4100" s="4" t="str">
        <f>IFERROR(__xludf.DUMMYFUNCTION("""COMPUTED_VALUE"""),"EGG ETH")</f>
        <v>EGG ETH</v>
      </c>
    </row>
    <row r="4101">
      <c r="A4101" s="4" t="str">
        <f>IFERROR(__xludf.DUMMYFUNCTION("""COMPUTED_VALUE"""),"egg-n-partners")</f>
        <v>egg-n-partners</v>
      </c>
      <c r="B4101" s="4" t="str">
        <f>IFERROR(__xludf.DUMMYFUNCTION("""COMPUTED_VALUE"""),"eggt")</f>
        <v>eggt</v>
      </c>
      <c r="C4101" s="4" t="str">
        <f>IFERROR(__xludf.DUMMYFUNCTION("""COMPUTED_VALUE"""),"Egg N Partners")</f>
        <v>Egg N Partners</v>
      </c>
    </row>
    <row r="4102">
      <c r="A4102" s="4" t="str">
        <f>IFERROR(__xludf.DUMMYFUNCTION("""COMPUTED_VALUE"""),"eggplant-finance")</f>
        <v>eggplant-finance</v>
      </c>
      <c r="B4102" s="4" t="str">
        <f>IFERROR(__xludf.DUMMYFUNCTION("""COMPUTED_VALUE"""),"eggp")</f>
        <v>eggp</v>
      </c>
      <c r="C4102" s="4" t="str">
        <f>IFERROR(__xludf.DUMMYFUNCTION("""COMPUTED_VALUE"""),"Eggplant Finance")</f>
        <v>Eggplant Finance</v>
      </c>
    </row>
    <row r="4103">
      <c r="A4103" s="4" t="str">
        <f>IFERROR(__xludf.DUMMYFUNCTION("""COMPUTED_VALUE"""),"eggs")</f>
        <v>eggs</v>
      </c>
      <c r="B4103" s="4" t="str">
        <f>IFERROR(__xludf.DUMMYFUNCTION("""COMPUTED_VALUE"""),"eggs")</f>
        <v>eggs</v>
      </c>
      <c r="C4103" s="4" t="str">
        <f>IFERROR(__xludf.DUMMYFUNCTION("""COMPUTED_VALUE"""),"Eggs")</f>
        <v>Eggs</v>
      </c>
    </row>
    <row r="4104">
      <c r="A4104" s="4" t="str">
        <f>IFERROR(__xludf.DUMMYFUNCTION("""COMPUTED_VALUE"""),"eggx")</f>
        <v>eggx</v>
      </c>
      <c r="B4104" s="4" t="str">
        <f>IFERROR(__xludf.DUMMYFUNCTION("""COMPUTED_VALUE"""),"eggx")</f>
        <v>eggx</v>
      </c>
      <c r="C4104" s="4" t="str">
        <f>IFERROR(__xludf.DUMMYFUNCTION("""COMPUTED_VALUE"""),"EGGX")</f>
        <v>EGGX</v>
      </c>
    </row>
    <row r="4105">
      <c r="A4105" s="4" t="str">
        <f>IFERROR(__xludf.DUMMYFUNCTION("""COMPUTED_VALUE"""),"eggy")</f>
        <v>eggy</v>
      </c>
      <c r="B4105" s="4" t="str">
        <f>IFERROR(__xludf.DUMMYFUNCTION("""COMPUTED_VALUE"""),"eggy")</f>
        <v>eggy</v>
      </c>
      <c r="C4105" s="4" t="str">
        <f>IFERROR(__xludf.DUMMYFUNCTION("""COMPUTED_VALUE"""),"Eggy")</f>
        <v>Eggy</v>
      </c>
    </row>
    <row r="4106">
      <c r="A4106" s="4" t="str">
        <f>IFERROR(__xludf.DUMMYFUNCTION("""COMPUTED_VALUE"""),"eggzomania")</f>
        <v>eggzomania</v>
      </c>
      <c r="B4106" s="4" t="str">
        <f>IFERROR(__xludf.DUMMYFUNCTION("""COMPUTED_VALUE"""),"egg")</f>
        <v>egg</v>
      </c>
      <c r="C4106" s="4" t="str">
        <f>IFERROR(__xludf.DUMMYFUNCTION("""COMPUTED_VALUE"""),"EggZomania")</f>
        <v>EggZomania</v>
      </c>
    </row>
    <row r="4107">
      <c r="A4107" s="4" t="str">
        <f>IFERROR(__xludf.DUMMYFUNCTION("""COMPUTED_VALUE"""),"ego-fitness")</f>
        <v>ego-fitness</v>
      </c>
      <c r="B4107" s="4" t="str">
        <f>IFERROR(__xludf.DUMMYFUNCTION("""COMPUTED_VALUE"""),"ego")</f>
        <v>ego</v>
      </c>
      <c r="C4107" s="4" t="str">
        <f>IFERROR(__xludf.DUMMYFUNCTION("""COMPUTED_VALUE"""),"EGO Fitness")</f>
        <v>EGO Fitness</v>
      </c>
    </row>
    <row r="4108">
      <c r="A4108" s="4" t="str">
        <f>IFERROR(__xludf.DUMMYFUNCTION("""COMPUTED_VALUE"""),"egold-project")</f>
        <v>egold-project</v>
      </c>
      <c r="B4108" s="4" t="str">
        <f>IFERROR(__xludf.DUMMYFUNCTION("""COMPUTED_VALUE"""),"egold")</f>
        <v>egold</v>
      </c>
      <c r="C4108" s="4" t="str">
        <f>IFERROR(__xludf.DUMMYFUNCTION("""COMPUTED_VALUE"""),"EGold Project (OLD)")</f>
        <v>EGold Project (OLD)</v>
      </c>
    </row>
    <row r="4109">
      <c r="A4109" s="4" t="str">
        <f>IFERROR(__xludf.DUMMYFUNCTION("""COMPUTED_VALUE"""),"egold-project-2")</f>
        <v>egold-project-2</v>
      </c>
      <c r="B4109" s="4" t="str">
        <f>IFERROR(__xludf.DUMMYFUNCTION("""COMPUTED_VALUE"""),"egold")</f>
        <v>egold</v>
      </c>
      <c r="C4109" s="4" t="str">
        <f>IFERROR(__xludf.DUMMYFUNCTION("""COMPUTED_VALUE"""),"EGold Project")</f>
        <v>EGold Project</v>
      </c>
    </row>
    <row r="4110">
      <c r="A4110" s="4" t="str">
        <f>IFERROR(__xludf.DUMMYFUNCTION("""COMPUTED_VALUE"""),"egoncoin")</f>
        <v>egoncoin</v>
      </c>
      <c r="B4110" s="4" t="str">
        <f>IFERROR(__xludf.DUMMYFUNCTION("""COMPUTED_VALUE"""),"egon")</f>
        <v>egon</v>
      </c>
      <c r="C4110" s="4" t="str">
        <f>IFERROR(__xludf.DUMMYFUNCTION("""COMPUTED_VALUE"""),"EgonCoin")</f>
        <v>EgonCoin</v>
      </c>
    </row>
    <row r="4111">
      <c r="A4111" s="4" t="str">
        <f>IFERROR(__xludf.DUMMYFUNCTION("""COMPUTED_VALUE"""),"egoras-credit")</f>
        <v>egoras-credit</v>
      </c>
      <c r="B4111" s="4" t="str">
        <f>IFERROR(__xludf.DUMMYFUNCTION("""COMPUTED_VALUE"""),"egc")</f>
        <v>egc</v>
      </c>
      <c r="C4111" s="4" t="str">
        <f>IFERROR(__xludf.DUMMYFUNCTION("""COMPUTED_VALUE"""),"Egoras Credit")</f>
        <v>Egoras Credit</v>
      </c>
    </row>
    <row r="4112">
      <c r="A4112" s="4" t="str">
        <f>IFERROR(__xludf.DUMMYFUNCTION("""COMPUTED_VALUE"""),"egostation")</f>
        <v>egostation</v>
      </c>
      <c r="B4112" s="4" t="str">
        <f>IFERROR(__xludf.DUMMYFUNCTION("""COMPUTED_VALUE"""),"esta")</f>
        <v>esta</v>
      </c>
      <c r="C4112" s="4" t="str">
        <f>IFERROR(__xludf.DUMMYFUNCTION("""COMPUTED_VALUE"""),"Egostation")</f>
        <v>Egostation</v>
      </c>
    </row>
    <row r="4113">
      <c r="A4113" s="4" t="str">
        <f>IFERROR(__xludf.DUMMYFUNCTION("""COMPUTED_VALUE"""),"eg-token")</f>
        <v>eg-token</v>
      </c>
      <c r="B4113" s="4" t="str">
        <f>IFERROR(__xludf.DUMMYFUNCTION("""COMPUTED_VALUE"""),"eg")</f>
        <v>eg</v>
      </c>
      <c r="C4113" s="4" t="str">
        <f>IFERROR(__xludf.DUMMYFUNCTION("""COMPUTED_VALUE"""),"EG Token")</f>
        <v>EG Token</v>
      </c>
    </row>
    <row r="4114">
      <c r="A4114" s="4" t="str">
        <f>IFERROR(__xludf.DUMMYFUNCTION("""COMPUTED_VALUE"""),"ehash")</f>
        <v>ehash</v>
      </c>
      <c r="B4114" s="4" t="str">
        <f>IFERROR(__xludf.DUMMYFUNCTION("""COMPUTED_VALUE"""),"ehash")</f>
        <v>ehash</v>
      </c>
      <c r="C4114" s="4" t="str">
        <f>IFERROR(__xludf.DUMMYFUNCTION("""COMPUTED_VALUE"""),"EHash")</f>
        <v>EHash</v>
      </c>
    </row>
    <row r="4115">
      <c r="A4115" s="4" t="str">
        <f>IFERROR(__xludf.DUMMYFUNCTION("""COMPUTED_VALUE"""),"einsteinium")</f>
        <v>einsteinium</v>
      </c>
      <c r="B4115" s="4" t="str">
        <f>IFERROR(__xludf.DUMMYFUNCTION("""COMPUTED_VALUE"""),"emc2")</f>
        <v>emc2</v>
      </c>
      <c r="C4115" s="4" t="str">
        <f>IFERROR(__xludf.DUMMYFUNCTION("""COMPUTED_VALUE"""),"Einsteinium")</f>
        <v>Einsteinium</v>
      </c>
    </row>
    <row r="4116">
      <c r="A4116" s="4" t="str">
        <f>IFERROR(__xludf.DUMMYFUNCTION("""COMPUTED_VALUE"""),"ekta-2")</f>
        <v>ekta-2</v>
      </c>
      <c r="B4116" s="4" t="str">
        <f>IFERROR(__xludf.DUMMYFUNCTION("""COMPUTED_VALUE"""),"ekta")</f>
        <v>ekta</v>
      </c>
      <c r="C4116" s="4" t="str">
        <f>IFERROR(__xludf.DUMMYFUNCTION("""COMPUTED_VALUE"""),"Ekta")</f>
        <v>Ekta</v>
      </c>
    </row>
    <row r="4117">
      <c r="A4117" s="4" t="str">
        <f>IFERROR(__xludf.DUMMYFUNCTION("""COMPUTED_VALUE"""),"elan")</f>
        <v>elan</v>
      </c>
      <c r="B4117" s="4" t="str">
        <f>IFERROR(__xludf.DUMMYFUNCTION("""COMPUTED_VALUE"""),"elan")</f>
        <v>elan</v>
      </c>
      <c r="C4117" s="4" t="str">
        <f>IFERROR(__xludf.DUMMYFUNCTION("""COMPUTED_VALUE"""),"Elan")</f>
        <v>Elan</v>
      </c>
    </row>
    <row r="4118">
      <c r="A4118" s="4" t="str">
        <f>IFERROR(__xludf.DUMMYFUNCTION("""COMPUTED_VALUE"""),"elastos")</f>
        <v>elastos</v>
      </c>
      <c r="B4118" s="4" t="str">
        <f>IFERROR(__xludf.DUMMYFUNCTION("""COMPUTED_VALUE"""),"ela")</f>
        <v>ela</v>
      </c>
      <c r="C4118" s="4" t="str">
        <f>IFERROR(__xludf.DUMMYFUNCTION("""COMPUTED_VALUE"""),"Elastos")</f>
        <v>Elastos</v>
      </c>
    </row>
    <row r="4119">
      <c r="A4119" s="4" t="str">
        <f>IFERROR(__xludf.DUMMYFUNCTION("""COMPUTED_VALUE"""),"eldarune")</f>
        <v>eldarune</v>
      </c>
      <c r="B4119" s="4" t="str">
        <f>IFERROR(__xludf.DUMMYFUNCTION("""COMPUTED_VALUE"""),"elda")</f>
        <v>elda</v>
      </c>
      <c r="C4119" s="4" t="str">
        <f>IFERROR(__xludf.DUMMYFUNCTION("""COMPUTED_VALUE"""),"Eldarune")</f>
        <v>Eldarune</v>
      </c>
    </row>
    <row r="4120">
      <c r="A4120" s="4" t="str">
        <f>IFERROR(__xludf.DUMMYFUNCTION("""COMPUTED_VALUE"""),"el-dorado-exchange-arb")</f>
        <v>el-dorado-exchange-arb</v>
      </c>
      <c r="B4120" s="4" t="str">
        <f>IFERROR(__xludf.DUMMYFUNCTION("""COMPUTED_VALUE"""),"ede")</f>
        <v>ede</v>
      </c>
      <c r="C4120" s="4" t="str">
        <f>IFERROR(__xludf.DUMMYFUNCTION("""COMPUTED_VALUE"""),"El Dorado Exchange (Arb)")</f>
        <v>El Dorado Exchange (Arb)</v>
      </c>
    </row>
    <row r="4121">
      <c r="A4121" s="4" t="str">
        <f>IFERROR(__xludf.DUMMYFUNCTION("""COMPUTED_VALUE"""),"el-dorado-exchange-base")</f>
        <v>el-dorado-exchange-base</v>
      </c>
      <c r="B4121" s="4" t="str">
        <f>IFERROR(__xludf.DUMMYFUNCTION("""COMPUTED_VALUE"""),"ede")</f>
        <v>ede</v>
      </c>
      <c r="C4121" s="4" t="str">
        <f>IFERROR(__xludf.DUMMYFUNCTION("""COMPUTED_VALUE"""),"El Dorado Exchange (Base)")</f>
        <v>El Dorado Exchange (Base)</v>
      </c>
    </row>
    <row r="4122">
      <c r="A4122" s="4" t="str">
        <f>IFERROR(__xludf.DUMMYFUNCTION("""COMPUTED_VALUE"""),"electra")</f>
        <v>electra</v>
      </c>
      <c r="B4122" s="4" t="str">
        <f>IFERROR(__xludf.DUMMYFUNCTION("""COMPUTED_VALUE"""),"eca")</f>
        <v>eca</v>
      </c>
      <c r="C4122" s="4" t="str">
        <f>IFERROR(__xludf.DUMMYFUNCTION("""COMPUTED_VALUE"""),"Electra")</f>
        <v>Electra</v>
      </c>
    </row>
    <row r="4123">
      <c r="A4123" s="4" t="str">
        <f>IFERROR(__xludf.DUMMYFUNCTION("""COMPUTED_VALUE"""),"electra-protocol")</f>
        <v>electra-protocol</v>
      </c>
      <c r="B4123" s="4" t="str">
        <f>IFERROR(__xludf.DUMMYFUNCTION("""COMPUTED_VALUE"""),"xep")</f>
        <v>xep</v>
      </c>
      <c r="C4123" s="4" t="str">
        <f>IFERROR(__xludf.DUMMYFUNCTION("""COMPUTED_VALUE"""),"Electra Protocol")</f>
        <v>Electra Protocol</v>
      </c>
    </row>
    <row r="4124">
      <c r="A4124" s="4" t="str">
        <f>IFERROR(__xludf.DUMMYFUNCTION("""COMPUTED_VALUE"""),"electric-cash")</f>
        <v>electric-cash</v>
      </c>
      <c r="B4124" s="4" t="str">
        <f>IFERROR(__xludf.DUMMYFUNCTION("""COMPUTED_VALUE"""),"elcash")</f>
        <v>elcash</v>
      </c>
      <c r="C4124" s="4" t="str">
        <f>IFERROR(__xludf.DUMMYFUNCTION("""COMPUTED_VALUE"""),"Electric Cash")</f>
        <v>Electric Cash</v>
      </c>
    </row>
    <row r="4125">
      <c r="A4125" s="4" t="str">
        <f>IFERROR(__xludf.DUMMYFUNCTION("""COMPUTED_VALUE"""),"electric-vehicle-direct-currency")</f>
        <v>electric-vehicle-direct-currency</v>
      </c>
      <c r="B4125" s="4" t="str">
        <f>IFERROR(__xludf.DUMMYFUNCTION("""COMPUTED_VALUE"""),"evdc")</f>
        <v>evdc</v>
      </c>
      <c r="C4125" s="4" t="str">
        <f>IFERROR(__xludf.DUMMYFUNCTION("""COMPUTED_VALUE"""),"Electric Vehicle Direct Currency")</f>
        <v>Electric Vehicle Direct Currency</v>
      </c>
    </row>
    <row r="4126">
      <c r="A4126" s="4" t="str">
        <f>IFERROR(__xludf.DUMMYFUNCTION("""COMPUTED_VALUE"""),"electric-vehicle-zone")</f>
        <v>electric-vehicle-zone</v>
      </c>
      <c r="B4126" s="4" t="str">
        <f>IFERROR(__xludf.DUMMYFUNCTION("""COMPUTED_VALUE"""),"evz")</f>
        <v>evz</v>
      </c>
      <c r="C4126" s="4" t="str">
        <f>IFERROR(__xludf.DUMMYFUNCTION("""COMPUTED_VALUE"""),"Electric Vehicle Zone")</f>
        <v>Electric Vehicle Zone</v>
      </c>
    </row>
    <row r="4127">
      <c r="A4127" s="4" t="str">
        <f>IFERROR(__xludf.DUMMYFUNCTION("""COMPUTED_VALUE"""),"electrify-asia")</f>
        <v>electrify-asia</v>
      </c>
      <c r="B4127" s="4" t="str">
        <f>IFERROR(__xludf.DUMMYFUNCTION("""COMPUTED_VALUE"""),"elec")</f>
        <v>elec</v>
      </c>
      <c r="C4127" s="4" t="str">
        <f>IFERROR(__xludf.DUMMYFUNCTION("""COMPUTED_VALUE"""),"Electrify.Asia")</f>
        <v>Electrify.Asia</v>
      </c>
    </row>
    <row r="4128">
      <c r="A4128" s="4" t="str">
        <f>IFERROR(__xludf.DUMMYFUNCTION("""COMPUTED_VALUE"""),"electron-arc-20")</f>
        <v>electron-arc-20</v>
      </c>
      <c r="B4128" s="4" t="str">
        <f>IFERROR(__xludf.DUMMYFUNCTION("""COMPUTED_VALUE"""),"electron")</f>
        <v>electron</v>
      </c>
      <c r="C4128" s="4" t="str">
        <f>IFERROR(__xludf.DUMMYFUNCTION("""COMPUTED_VALUE"""),"Electron (ARC-20)")</f>
        <v>Electron (ARC-20)</v>
      </c>
    </row>
    <row r="4129">
      <c r="A4129" s="4" t="str">
        <f>IFERROR(__xludf.DUMMYFUNCTION("""COMPUTED_VALUE"""),"electroneum")</f>
        <v>electroneum</v>
      </c>
      <c r="B4129" s="4" t="str">
        <f>IFERROR(__xludf.DUMMYFUNCTION("""COMPUTED_VALUE"""),"etn")</f>
        <v>etn</v>
      </c>
      <c r="C4129" s="4" t="str">
        <f>IFERROR(__xludf.DUMMYFUNCTION("""COMPUTED_VALUE"""),"Electroneum")</f>
        <v>Electroneum</v>
      </c>
    </row>
    <row r="4130">
      <c r="A4130" s="4" t="str">
        <f>IFERROR(__xludf.DUMMYFUNCTION("""COMPUTED_VALUE"""),"electronicgulden")</f>
        <v>electronicgulden</v>
      </c>
      <c r="B4130" s="4" t="str">
        <f>IFERROR(__xludf.DUMMYFUNCTION("""COMPUTED_VALUE"""),"efl")</f>
        <v>efl</v>
      </c>
      <c r="C4130" s="4" t="str">
        <f>IFERROR(__xludf.DUMMYFUNCTION("""COMPUTED_VALUE"""),"Electronic Gulden")</f>
        <v>Electronic Gulden</v>
      </c>
    </row>
    <row r="4131">
      <c r="A4131" s="4" t="str">
        <f>IFERROR(__xludf.DUMMYFUNCTION("""COMPUTED_VALUE"""),"electronic-usd")</f>
        <v>electronic-usd</v>
      </c>
      <c r="B4131" s="4" t="str">
        <f>IFERROR(__xludf.DUMMYFUNCTION("""COMPUTED_VALUE"""),"eusd")</f>
        <v>eusd</v>
      </c>
      <c r="C4131" s="4" t="str">
        <f>IFERROR(__xludf.DUMMYFUNCTION("""COMPUTED_VALUE"""),"Electronic USD")</f>
        <v>Electronic USD</v>
      </c>
    </row>
    <row r="4132">
      <c r="A4132" s="4" t="str">
        <f>IFERROR(__xludf.DUMMYFUNCTION("""COMPUTED_VALUE"""),"elefant")</f>
        <v>elefant</v>
      </c>
      <c r="B4132" s="4" t="str">
        <f>IFERROR(__xludf.DUMMYFUNCTION("""COMPUTED_VALUE"""),"ele")</f>
        <v>ele</v>
      </c>
      <c r="C4132" s="4" t="str">
        <f>IFERROR(__xludf.DUMMYFUNCTION("""COMPUTED_VALUE"""),"Elefant")</f>
        <v>Elefant</v>
      </c>
    </row>
    <row r="4133">
      <c r="A4133" s="4" t="str">
        <f>IFERROR(__xludf.DUMMYFUNCTION("""COMPUTED_VALUE"""),"element")</f>
        <v>element</v>
      </c>
      <c r="B4133" s="4" t="str">
        <f>IFERROR(__xludf.DUMMYFUNCTION("""COMPUTED_VALUE"""),"elmt")</f>
        <v>elmt</v>
      </c>
      <c r="C4133" s="4" t="str">
        <f>IFERROR(__xludf.DUMMYFUNCTION("""COMPUTED_VALUE"""),"Element")</f>
        <v>Element</v>
      </c>
    </row>
    <row r="4134">
      <c r="A4134" s="4" t="str">
        <f>IFERROR(__xludf.DUMMYFUNCTION("""COMPUTED_VALUE"""),"elemental-story")</f>
        <v>elemental-story</v>
      </c>
      <c r="B4134" s="4" t="str">
        <f>IFERROR(__xludf.DUMMYFUNCTION("""COMPUTED_VALUE"""),"pgt")</f>
        <v>pgt</v>
      </c>
      <c r="C4134" s="4" t="str">
        <f>IFERROR(__xludf.DUMMYFUNCTION("""COMPUTED_VALUE"""),"Elemental Story")</f>
        <v>Elemental Story</v>
      </c>
    </row>
    <row r="4135">
      <c r="A4135" s="4" t="str">
        <f>IFERROR(__xludf.DUMMYFUNCTION("""COMPUTED_VALUE"""),"element-black")</f>
        <v>element-black</v>
      </c>
      <c r="B4135" s="4" t="str">
        <f>IFERROR(__xludf.DUMMYFUNCTION("""COMPUTED_VALUE"""),"elt")</f>
        <v>elt</v>
      </c>
      <c r="C4135" s="4" t="str">
        <f>IFERROR(__xludf.DUMMYFUNCTION("""COMPUTED_VALUE"""),"Element Black")</f>
        <v>Element Black</v>
      </c>
    </row>
    <row r="4136">
      <c r="A4136" s="4" t="str">
        <f>IFERROR(__xludf.DUMMYFUNCTION("""COMPUTED_VALUE"""),"elementum")</f>
        <v>elementum</v>
      </c>
      <c r="B4136" s="4" t="str">
        <f>IFERROR(__xludf.DUMMYFUNCTION("""COMPUTED_VALUE"""),"ele")</f>
        <v>ele</v>
      </c>
      <c r="C4136" s="4" t="str">
        <f>IFERROR(__xludf.DUMMYFUNCTION("""COMPUTED_VALUE"""),"Elementum")</f>
        <v>Elementum</v>
      </c>
    </row>
    <row r="4137">
      <c r="A4137" s="4" t="str">
        <f>IFERROR(__xludf.DUMMYFUNCTION("""COMPUTED_VALUE"""),"elephant-money")</f>
        <v>elephant-money</v>
      </c>
      <c r="B4137" s="4" t="str">
        <f>IFERROR(__xludf.DUMMYFUNCTION("""COMPUTED_VALUE"""),"elephant")</f>
        <v>elephant</v>
      </c>
      <c r="C4137" s="4" t="str">
        <f>IFERROR(__xludf.DUMMYFUNCTION("""COMPUTED_VALUE"""),"Elephant Money")</f>
        <v>Elephant Money</v>
      </c>
    </row>
    <row r="4138">
      <c r="A4138" s="4" t="str">
        <f>IFERROR(__xludf.DUMMYFUNCTION("""COMPUTED_VALUE"""),"elephantpepe")</f>
        <v>elephantpepe</v>
      </c>
      <c r="B4138" s="4" t="str">
        <f>IFERROR(__xludf.DUMMYFUNCTION("""COMPUTED_VALUE"""),"elepepe")</f>
        <v>elepepe</v>
      </c>
      <c r="C4138" s="4" t="str">
        <f>IFERROR(__xludf.DUMMYFUNCTION("""COMPUTED_VALUE"""),"ElephantPepe")</f>
        <v>ElephantPepe</v>
      </c>
    </row>
    <row r="4139">
      <c r="A4139" s="4" t="str">
        <f>IFERROR(__xludf.DUMMYFUNCTION("""COMPUTED_VALUE"""),"elevate-token")</f>
        <v>elevate-token</v>
      </c>
      <c r="B4139" s="4" t="str">
        <f>IFERROR(__xludf.DUMMYFUNCTION("""COMPUTED_VALUE"""),"$elev")</f>
        <v>$elev</v>
      </c>
      <c r="C4139" s="4" t="str">
        <f>IFERROR(__xludf.DUMMYFUNCTION("""COMPUTED_VALUE"""),"Elevate Token")</f>
        <v>Elevate Token</v>
      </c>
    </row>
    <row r="4140">
      <c r="A4140" s="4" t="str">
        <f>IFERROR(__xludf.DUMMYFUNCTION("""COMPUTED_VALUE"""),"el-gato")</f>
        <v>el-gato</v>
      </c>
      <c r="B4140" s="4" t="str">
        <f>IFERROR(__xludf.DUMMYFUNCTION("""COMPUTED_VALUE"""),"elgato")</f>
        <v>elgato</v>
      </c>
      <c r="C4140" s="4" t="str">
        <f>IFERROR(__xludf.DUMMYFUNCTION("""COMPUTED_VALUE"""),"el gato")</f>
        <v>el gato</v>
      </c>
    </row>
    <row r="4141">
      <c r="A4141" s="4" t="str">
        <f>IFERROR(__xludf.DUMMYFUNCTION("""COMPUTED_VALUE"""),"el-gato-2")</f>
        <v>el-gato-2</v>
      </c>
      <c r="B4141" s="4" t="str">
        <f>IFERROR(__xludf.DUMMYFUNCTION("""COMPUTED_VALUE"""),"elgato")</f>
        <v>elgato</v>
      </c>
      <c r="C4141" s="4" t="str">
        <f>IFERROR(__xludf.DUMMYFUNCTION("""COMPUTED_VALUE"""),"EL GATO")</f>
        <v>EL GATO</v>
      </c>
    </row>
    <row r="4142">
      <c r="A4142" s="4" t="str">
        <f>IFERROR(__xludf.DUMMYFUNCTION("""COMPUTED_VALUE"""),"el-hippo")</f>
        <v>el-hippo</v>
      </c>
      <c r="B4142" s="4" t="str">
        <f>IFERROR(__xludf.DUMMYFUNCTION("""COMPUTED_VALUE"""),"hipp")</f>
        <v>hipp</v>
      </c>
      <c r="C4142" s="4" t="str">
        <f>IFERROR(__xludf.DUMMYFUNCTION("""COMPUTED_VALUE"""),"El Hippo")</f>
        <v>El Hippo</v>
      </c>
    </row>
    <row r="4143">
      <c r="A4143" s="4" t="str">
        <f>IFERROR(__xludf.DUMMYFUNCTION("""COMPUTED_VALUE"""),"eligma")</f>
        <v>eligma</v>
      </c>
      <c r="B4143" s="4" t="str">
        <f>IFERROR(__xludf.DUMMYFUNCTION("""COMPUTED_VALUE"""),"goc")</f>
        <v>goc</v>
      </c>
      <c r="C4143" s="4" t="str">
        <f>IFERROR(__xludf.DUMMYFUNCTION("""COMPUTED_VALUE"""),"GoCrypto")</f>
        <v>GoCrypto</v>
      </c>
    </row>
    <row r="4144">
      <c r="A4144" s="4" t="str">
        <f>IFERROR(__xludf.DUMMYFUNCTION("""COMPUTED_VALUE"""),"elis")</f>
        <v>elis</v>
      </c>
      <c r="B4144" s="4" t="str">
        <f>IFERROR(__xludf.DUMMYFUNCTION("""COMPUTED_VALUE"""),"xls")</f>
        <v>xls</v>
      </c>
      <c r="C4144" s="4" t="str">
        <f>IFERROR(__xludf.DUMMYFUNCTION("""COMPUTED_VALUE"""),"ELIS")</f>
        <v>ELIS</v>
      </c>
    </row>
    <row r="4145">
      <c r="A4145" s="4" t="str">
        <f>IFERROR(__xludf.DUMMYFUNCTION("""COMPUTED_VALUE"""),"elixir-finance")</f>
        <v>elixir-finance</v>
      </c>
      <c r="B4145" s="4" t="str">
        <f>IFERROR(__xludf.DUMMYFUNCTION("""COMPUTED_VALUE"""),"elxr")</f>
        <v>elxr</v>
      </c>
      <c r="C4145" s="4" t="str">
        <f>IFERROR(__xludf.DUMMYFUNCTION("""COMPUTED_VALUE"""),"Elixir")</f>
        <v>Elixir</v>
      </c>
    </row>
    <row r="4146">
      <c r="A4146" s="4" t="str">
        <f>IFERROR(__xludf.DUMMYFUNCTION("""COMPUTED_VALUE"""),"elixir-token")</f>
        <v>elixir-token</v>
      </c>
      <c r="B4146" s="4" t="str">
        <f>IFERROR(__xludf.DUMMYFUNCTION("""COMPUTED_VALUE"""),"elix")</f>
        <v>elix</v>
      </c>
      <c r="C4146" s="4" t="str">
        <f>IFERROR(__xludf.DUMMYFUNCTION("""COMPUTED_VALUE"""),"Elixir Token")</f>
        <v>Elixir Token</v>
      </c>
    </row>
    <row r="4147">
      <c r="A4147" s="4" t="str">
        <f>IFERROR(__xludf.DUMMYFUNCTION("""COMPUTED_VALUE"""),"elizabath-whoren")</f>
        <v>elizabath-whoren</v>
      </c>
      <c r="B4147" s="4" t="str">
        <f>IFERROR(__xludf.DUMMYFUNCTION("""COMPUTED_VALUE"""),"whoren")</f>
        <v>whoren</v>
      </c>
      <c r="C4147" s="4" t="str">
        <f>IFERROR(__xludf.DUMMYFUNCTION("""COMPUTED_VALUE"""),"elizabath whoren")</f>
        <v>elizabath whoren</v>
      </c>
    </row>
    <row r="4148">
      <c r="A4148" s="4" t="str">
        <f>IFERROR(__xludf.DUMMYFUNCTION("""COMPUTED_VALUE"""),"elk-finance")</f>
        <v>elk-finance</v>
      </c>
      <c r="B4148" s="4" t="str">
        <f>IFERROR(__xludf.DUMMYFUNCTION("""COMPUTED_VALUE"""),"elk")</f>
        <v>elk</v>
      </c>
      <c r="C4148" s="4" t="str">
        <f>IFERROR(__xludf.DUMMYFUNCTION("""COMPUTED_VALUE"""),"Elk Finance")</f>
        <v>Elk Finance</v>
      </c>
    </row>
    <row r="4149">
      <c r="A4149" s="4" t="str">
        <f>IFERROR(__xludf.DUMMYFUNCTION("""COMPUTED_VALUE"""),"ellerium")</f>
        <v>ellerium</v>
      </c>
      <c r="B4149" s="4" t="str">
        <f>IFERROR(__xludf.DUMMYFUNCTION("""COMPUTED_VALUE"""),"elm")</f>
        <v>elm</v>
      </c>
      <c r="C4149" s="4" t="str">
        <f>IFERROR(__xludf.DUMMYFUNCTION("""COMPUTED_VALUE"""),"ELLERIUM")</f>
        <v>ELLERIUM</v>
      </c>
    </row>
    <row r="4150">
      <c r="A4150" s="4" t="str">
        <f>IFERROR(__xludf.DUMMYFUNCTION("""COMPUTED_VALUE"""),"ellipsis")</f>
        <v>ellipsis</v>
      </c>
      <c r="B4150" s="4" t="str">
        <f>IFERROR(__xludf.DUMMYFUNCTION("""COMPUTED_VALUE"""),"eps")</f>
        <v>eps</v>
      </c>
      <c r="C4150" s="4" t="str">
        <f>IFERROR(__xludf.DUMMYFUNCTION("""COMPUTED_VALUE"""),"Ellipsis [OLD]")</f>
        <v>Ellipsis [OLD]</v>
      </c>
    </row>
    <row r="4151">
      <c r="A4151" s="4" t="str">
        <f>IFERROR(__xludf.DUMMYFUNCTION("""COMPUTED_VALUE"""),"ellipsis-x")</f>
        <v>ellipsis-x</v>
      </c>
      <c r="B4151" s="4" t="str">
        <f>IFERROR(__xludf.DUMMYFUNCTION("""COMPUTED_VALUE"""),"epx")</f>
        <v>epx</v>
      </c>
      <c r="C4151" s="4" t="str">
        <f>IFERROR(__xludf.DUMMYFUNCTION("""COMPUTED_VALUE"""),"Ellipsis X")</f>
        <v>Ellipsis X</v>
      </c>
    </row>
    <row r="4152">
      <c r="A4152" s="4" t="str">
        <f>IFERROR(__xludf.DUMMYFUNCTION("""COMPUTED_VALUE"""),"elmoerc")</f>
        <v>elmoerc</v>
      </c>
      <c r="B4152" s="4" t="str">
        <f>IFERROR(__xludf.DUMMYFUNCTION("""COMPUTED_VALUE"""),"elmo")</f>
        <v>elmo</v>
      </c>
      <c r="C4152" s="4" t="str">
        <f>IFERROR(__xludf.DUMMYFUNCTION("""COMPUTED_VALUE"""),"ElmoERC")</f>
        <v>ElmoERC</v>
      </c>
    </row>
    <row r="4153">
      <c r="A4153" s="4" t="str">
        <f>IFERROR(__xludf.DUMMYFUNCTION("""COMPUTED_VALUE"""),"eloin")</f>
        <v>eloin</v>
      </c>
      <c r="B4153" s="4" t="str">
        <f>IFERROR(__xludf.DUMMYFUNCTION("""COMPUTED_VALUE"""),"eloin")</f>
        <v>eloin</v>
      </c>
      <c r="C4153" s="4" t="str">
        <f>IFERROR(__xludf.DUMMYFUNCTION("""COMPUTED_VALUE"""),"Eloin")</f>
        <v>Eloin</v>
      </c>
    </row>
    <row r="4154">
      <c r="A4154" s="4" t="str">
        <f>IFERROR(__xludf.DUMMYFUNCTION("""COMPUTED_VALUE"""),"elo-inu")</f>
        <v>elo-inu</v>
      </c>
      <c r="B4154" s="4" t="str">
        <f>IFERROR(__xludf.DUMMYFUNCTION("""COMPUTED_VALUE"""),"elo inu")</f>
        <v>elo inu</v>
      </c>
      <c r="C4154" s="4" t="str">
        <f>IFERROR(__xludf.DUMMYFUNCTION("""COMPUTED_VALUE"""),"Elo Inu")</f>
        <v>Elo Inu</v>
      </c>
    </row>
    <row r="4155">
      <c r="A4155" s="4" t="str">
        <f>IFERROR(__xludf.DUMMYFUNCTION("""COMPUTED_VALUE"""),"elon-2024")</f>
        <v>elon-2024</v>
      </c>
      <c r="B4155" s="4" t="str">
        <f>IFERROR(__xludf.DUMMYFUNCTION("""COMPUTED_VALUE"""),"elon2024")</f>
        <v>elon2024</v>
      </c>
      <c r="C4155" s="4" t="str">
        <f>IFERROR(__xludf.DUMMYFUNCTION("""COMPUTED_VALUE"""),"ELON 2024")</f>
        <v>ELON 2024</v>
      </c>
    </row>
    <row r="4156">
      <c r="A4156" s="4" t="str">
        <f>IFERROR(__xludf.DUMMYFUNCTION("""COMPUTED_VALUE"""),"elon404")</f>
        <v>elon404</v>
      </c>
      <c r="B4156" s="4" t="str">
        <f>IFERROR(__xludf.DUMMYFUNCTION("""COMPUTED_VALUE"""),"elon404")</f>
        <v>elon404</v>
      </c>
      <c r="C4156" s="4" t="str">
        <f>IFERROR(__xludf.DUMMYFUNCTION("""COMPUTED_VALUE"""),"Elon404")</f>
        <v>Elon404</v>
      </c>
    </row>
    <row r="4157">
      <c r="A4157" s="4" t="str">
        <f>IFERROR(__xludf.DUMMYFUNCTION("""COMPUTED_VALUE"""),"elon-cat")</f>
        <v>elon-cat</v>
      </c>
      <c r="B4157" s="4" t="str">
        <f>IFERROR(__xludf.DUMMYFUNCTION("""COMPUTED_VALUE"""),"schrodinge")</f>
        <v>schrodinge</v>
      </c>
      <c r="C4157" s="4" t="str">
        <f>IFERROR(__xludf.DUMMYFUNCTION("""COMPUTED_VALUE"""),"Elon Cat")</f>
        <v>Elon Cat</v>
      </c>
    </row>
    <row r="4158">
      <c r="A4158" s="4" t="str">
        <f>IFERROR(__xludf.DUMMYFUNCTION("""COMPUTED_VALUE"""),"elon-cat-2")</f>
        <v>elon-cat-2</v>
      </c>
      <c r="B4158" s="4" t="str">
        <f>IFERROR(__xludf.DUMMYFUNCTION("""COMPUTED_VALUE"""),"eloncat")</f>
        <v>eloncat</v>
      </c>
      <c r="C4158" s="4" t="str">
        <f>IFERROR(__xludf.DUMMYFUNCTION("""COMPUTED_VALUE"""),"Elon Cat")</f>
        <v>Elon Cat</v>
      </c>
    </row>
    <row r="4159">
      <c r="A4159" s="4" t="str">
        <f>IFERROR(__xludf.DUMMYFUNCTION("""COMPUTED_VALUE"""),"elondoge-dao")</f>
        <v>elondoge-dao</v>
      </c>
      <c r="B4159" s="4" t="str">
        <f>IFERROR(__xludf.DUMMYFUNCTION("""COMPUTED_VALUE"""),"edao")</f>
        <v>edao</v>
      </c>
      <c r="C4159" s="4" t="str">
        <f>IFERROR(__xludf.DUMMYFUNCTION("""COMPUTED_VALUE"""),"ElonDoge DAO")</f>
        <v>ElonDoge DAO</v>
      </c>
    </row>
    <row r="4160">
      <c r="A4160" s="4" t="str">
        <f>IFERROR(__xludf.DUMMYFUNCTION("""COMPUTED_VALUE"""),"elon-doge-token")</f>
        <v>elon-doge-token</v>
      </c>
      <c r="B4160" s="4" t="str">
        <f>IFERROR(__xludf.DUMMYFUNCTION("""COMPUTED_VALUE"""),"edoge")</f>
        <v>edoge</v>
      </c>
      <c r="C4160" s="5" t="str">
        <f>IFERROR(__xludf.DUMMYFUNCTION("""COMPUTED_VALUE"""),"ElonDoge.io")</f>
        <v>ElonDoge.io</v>
      </c>
    </row>
    <row r="4161">
      <c r="A4161" s="4" t="str">
        <f>IFERROR(__xludf.DUMMYFUNCTION("""COMPUTED_VALUE"""),"elon-dragon")</f>
        <v>elon-dragon</v>
      </c>
      <c r="B4161" s="4" t="str">
        <f>IFERROR(__xludf.DUMMYFUNCTION("""COMPUTED_VALUE"""),"elondragon")</f>
        <v>elondragon</v>
      </c>
      <c r="C4161" s="4" t="str">
        <f>IFERROR(__xludf.DUMMYFUNCTION("""COMPUTED_VALUE"""),"ELON DRAGON")</f>
        <v>ELON DRAGON</v>
      </c>
    </row>
    <row r="4162">
      <c r="A4162" s="4" t="str">
        <f>IFERROR(__xludf.DUMMYFUNCTION("""COMPUTED_VALUE"""),"elongate-2")</f>
        <v>elongate-2</v>
      </c>
      <c r="B4162" s="4" t="str">
        <f>IFERROR(__xludf.DUMMYFUNCTION("""COMPUTED_VALUE"""),"elongate")</f>
        <v>elongate</v>
      </c>
      <c r="C4162" s="4" t="str">
        <f>IFERROR(__xludf.DUMMYFUNCTION("""COMPUTED_VALUE"""),"ELONGATE")</f>
        <v>ELONGATE</v>
      </c>
    </row>
    <row r="4163">
      <c r="A4163" s="4" t="str">
        <f>IFERROR(__xludf.DUMMYFUNCTION("""COMPUTED_VALUE"""),"elon-goat")</f>
        <v>elon-goat</v>
      </c>
      <c r="B4163" s="4" t="str">
        <f>IFERROR(__xludf.DUMMYFUNCTION("""COMPUTED_VALUE"""),"egt")</f>
        <v>egt</v>
      </c>
      <c r="C4163" s="4" t="str">
        <f>IFERROR(__xludf.DUMMYFUNCTION("""COMPUTED_VALUE"""),"Elon GOAT")</f>
        <v>Elon GOAT</v>
      </c>
    </row>
    <row r="4164">
      <c r="A4164" s="4" t="str">
        <f>IFERROR(__xludf.DUMMYFUNCTION("""COMPUTED_VALUE"""),"elonium")</f>
        <v>elonium</v>
      </c>
      <c r="B4164" s="4" t="str">
        <f>IFERROR(__xludf.DUMMYFUNCTION("""COMPUTED_VALUE"""),"elon")</f>
        <v>elon</v>
      </c>
      <c r="C4164" s="4" t="str">
        <f>IFERROR(__xludf.DUMMYFUNCTION("""COMPUTED_VALUE"""),"Elonium")</f>
        <v>Elonium</v>
      </c>
    </row>
    <row r="4165">
      <c r="A4165" s="4" t="str">
        <f>IFERROR(__xludf.DUMMYFUNCTION("""COMPUTED_VALUE"""),"elon-mars")</f>
        <v>elon-mars</v>
      </c>
      <c r="B4165" s="4" t="str">
        <f>IFERROR(__xludf.DUMMYFUNCTION("""COMPUTED_VALUE"""),"elonmars")</f>
        <v>elonmars</v>
      </c>
      <c r="C4165" s="4" t="str">
        <f>IFERROR(__xludf.DUMMYFUNCTION("""COMPUTED_VALUE"""),"Elon Mars")</f>
        <v>Elon Mars</v>
      </c>
    </row>
    <row r="4166">
      <c r="A4166" s="4" t="str">
        <f>IFERROR(__xludf.DUMMYFUNCTION("""COMPUTED_VALUE"""),"elon-musk-ceo")</f>
        <v>elon-musk-ceo</v>
      </c>
      <c r="B4166" s="4" t="str">
        <f>IFERROR(__xludf.DUMMYFUNCTION("""COMPUTED_VALUE"""),"elonmuskce")</f>
        <v>elonmuskce</v>
      </c>
      <c r="C4166" s="4" t="str">
        <f>IFERROR(__xludf.DUMMYFUNCTION("""COMPUTED_VALUE"""),"Elon Musk CEO")</f>
        <v>Elon Musk CEO</v>
      </c>
    </row>
    <row r="4167">
      <c r="A4167" s="4" t="str">
        <f>IFERROR(__xludf.DUMMYFUNCTION("""COMPUTED_VALUE"""),"elon-s-cat")</f>
        <v>elon-s-cat</v>
      </c>
      <c r="B4167" s="4" t="str">
        <f>IFERROR(__xludf.DUMMYFUNCTION("""COMPUTED_VALUE"""),"catme")</f>
        <v>catme</v>
      </c>
      <c r="C4167" s="4" t="str">
        <f>IFERROR(__xludf.DUMMYFUNCTION("""COMPUTED_VALUE"""),"Elon's Cat")</f>
        <v>Elon's Cat</v>
      </c>
    </row>
    <row r="4168">
      <c r="A4168" s="4" t="str">
        <f>IFERROR(__xludf.DUMMYFUNCTION("""COMPUTED_VALUE"""),"elonx")</f>
        <v>elonx</v>
      </c>
      <c r="B4168" s="4" t="str">
        <f>IFERROR(__xludf.DUMMYFUNCTION("""COMPUTED_VALUE"""),"elonx")</f>
        <v>elonx</v>
      </c>
      <c r="C4168" s="4" t="str">
        <f>IFERROR(__xludf.DUMMYFUNCTION("""COMPUTED_VALUE"""),"ELONX")</f>
        <v>ELONX</v>
      </c>
    </row>
    <row r="4169">
      <c r="A4169" s="4" t="str">
        <f>IFERROR(__xludf.DUMMYFUNCTION("""COMPUTED_VALUE"""),"elonxaidogemessi69pepeinu")</f>
        <v>elonxaidogemessi69pepeinu</v>
      </c>
      <c r="B4169" s="4" t="str">
        <f>IFERROR(__xludf.DUMMYFUNCTION("""COMPUTED_VALUE"""),"bitcoin")</f>
        <v>bitcoin</v>
      </c>
      <c r="C4169" s="4" t="str">
        <f>IFERROR(__xludf.DUMMYFUNCTION("""COMPUTED_VALUE"""),"ElonXAIDogeMessi69PepeInu")</f>
        <v>ElonXAIDogeMessi69PepeInu</v>
      </c>
    </row>
    <row r="4170">
      <c r="A4170" s="4" t="str">
        <f>IFERROR(__xludf.DUMMYFUNCTION("""COMPUTED_VALUE"""),"elon-xmas")</f>
        <v>elon-xmas</v>
      </c>
      <c r="B4170" s="4" t="str">
        <f>IFERROR(__xludf.DUMMYFUNCTION("""COMPUTED_VALUE"""),"xmas")</f>
        <v>xmas</v>
      </c>
      <c r="C4170" s="4" t="str">
        <f>IFERROR(__xludf.DUMMYFUNCTION("""COMPUTED_VALUE"""),"Elon Xmas")</f>
        <v>Elon Xmas</v>
      </c>
    </row>
    <row r="4171">
      <c r="A4171" s="4" t="str">
        <f>IFERROR(__xludf.DUMMYFUNCTION("""COMPUTED_VALUE"""),"elosys")</f>
        <v>elosys</v>
      </c>
      <c r="B4171" s="4" t="str">
        <f>IFERROR(__xludf.DUMMYFUNCTION("""COMPUTED_VALUE"""),"elo")</f>
        <v>elo</v>
      </c>
      <c r="C4171" s="4" t="str">
        <f>IFERROR(__xludf.DUMMYFUNCTION("""COMPUTED_VALUE"""),"Elosys")</f>
        <v>Elosys</v>
      </c>
    </row>
    <row r="4172">
      <c r="A4172" s="4" t="str">
        <f>IFERROR(__xludf.DUMMYFUNCTION("""COMPUTED_VALUE"""),"el-risitas")</f>
        <v>el-risitas</v>
      </c>
      <c r="B4172" s="4" t="str">
        <f>IFERROR(__xludf.DUMMYFUNCTION("""COMPUTED_VALUE"""),"kek")</f>
        <v>kek</v>
      </c>
      <c r="C4172" s="4" t="str">
        <f>IFERROR(__xludf.DUMMYFUNCTION("""COMPUTED_VALUE"""),"El Risitas")</f>
        <v>El Risitas</v>
      </c>
    </row>
    <row r="4173">
      <c r="A4173" s="4" t="str">
        <f>IFERROR(__xludf.DUMMYFUNCTION("""COMPUTED_VALUE"""),"elrond-erd-2")</f>
        <v>elrond-erd-2</v>
      </c>
      <c r="B4173" s="4" t="str">
        <f>IFERROR(__xludf.DUMMYFUNCTION("""COMPUTED_VALUE"""),"egld")</f>
        <v>egld</v>
      </c>
      <c r="C4173" s="4" t="str">
        <f>IFERROR(__xludf.DUMMYFUNCTION("""COMPUTED_VALUE"""),"MultiversX")</f>
        <v>MultiversX</v>
      </c>
    </row>
    <row r="4174">
      <c r="A4174" s="4" t="str">
        <f>IFERROR(__xludf.DUMMYFUNCTION("""COMPUTED_VALUE"""),"elsd-coin")</f>
        <v>elsd-coin</v>
      </c>
      <c r="B4174" s="4" t="str">
        <f>IFERROR(__xludf.DUMMYFUNCTION("""COMPUTED_VALUE"""),"elsd")</f>
        <v>elsd</v>
      </c>
      <c r="C4174" s="4" t="str">
        <f>IFERROR(__xludf.DUMMYFUNCTION("""COMPUTED_VALUE"""),"ELSD Coin")</f>
        <v>ELSD Coin</v>
      </c>
    </row>
    <row r="4175">
      <c r="A4175" s="4" t="str">
        <f>IFERROR(__xludf.DUMMYFUNCTION("""COMPUTED_VALUE"""),"elseverse-world")</f>
        <v>elseverse-world</v>
      </c>
      <c r="B4175" s="4" t="str">
        <f>IFERROR(__xludf.DUMMYFUNCTION("""COMPUTED_VALUE"""),"ells")</f>
        <v>ells</v>
      </c>
      <c r="C4175" s="4" t="str">
        <f>IFERROR(__xludf.DUMMYFUNCTION("""COMPUTED_VALUE"""),"ElseVerse World")</f>
        <v>ElseVerse World</v>
      </c>
    </row>
    <row r="4176">
      <c r="A4176" s="4" t="str">
        <f>IFERROR(__xludf.DUMMYFUNCTION("""COMPUTED_VALUE"""),"elucks")</f>
        <v>elucks</v>
      </c>
      <c r="B4176" s="4" t="str">
        <f>IFERROR(__xludf.DUMMYFUNCTION("""COMPUTED_VALUE"""),"elux")</f>
        <v>elux</v>
      </c>
      <c r="C4176" s="4" t="str">
        <f>IFERROR(__xludf.DUMMYFUNCTION("""COMPUTED_VALUE"""),"ELUCKS")</f>
        <v>ELUCKS</v>
      </c>
    </row>
    <row r="4177">
      <c r="A4177" s="4" t="str">
        <f>IFERROR(__xludf.DUMMYFUNCTION("""COMPUTED_VALUE"""),"elumia")</f>
        <v>elumia</v>
      </c>
      <c r="B4177" s="4" t="str">
        <f>IFERROR(__xludf.DUMMYFUNCTION("""COMPUTED_VALUE"""),"elu")</f>
        <v>elu</v>
      </c>
      <c r="C4177" s="4" t="str">
        <f>IFERROR(__xludf.DUMMYFUNCTION("""COMPUTED_VALUE"""),"Elumia")</f>
        <v>Elumia</v>
      </c>
    </row>
    <row r="4178">
      <c r="A4178" s="4" t="str">
        <f>IFERROR(__xludf.DUMMYFUNCTION("""COMPUTED_VALUE"""),"elvishmagic")</f>
        <v>elvishmagic</v>
      </c>
      <c r="B4178" s="4" t="str">
        <f>IFERROR(__xludf.DUMMYFUNCTION("""COMPUTED_VALUE"""),"emagic")</f>
        <v>emagic</v>
      </c>
      <c r="C4178" s="4" t="str">
        <f>IFERROR(__xludf.DUMMYFUNCTION("""COMPUTED_VALUE"""),"ElvishMagic")</f>
        <v>ElvishMagic</v>
      </c>
    </row>
    <row r="4179">
      <c r="A4179" s="4" t="str">
        <f>IFERROR(__xludf.DUMMYFUNCTION("""COMPUTED_VALUE"""),"elya")</f>
        <v>elya</v>
      </c>
      <c r="B4179" s="4" t="str">
        <f>IFERROR(__xludf.DUMMYFUNCTION("""COMPUTED_VALUE"""),"elya")</f>
        <v>elya</v>
      </c>
      <c r="C4179" s="4" t="str">
        <f>IFERROR(__xludf.DUMMYFUNCTION("""COMPUTED_VALUE"""),"Elya")</f>
        <v>Elya</v>
      </c>
    </row>
    <row r="4180">
      <c r="A4180" s="4" t="str">
        <f>IFERROR(__xludf.DUMMYFUNCTION("""COMPUTED_VALUE"""),"elyfi")</f>
        <v>elyfi</v>
      </c>
      <c r="B4180" s="4" t="str">
        <f>IFERROR(__xludf.DUMMYFUNCTION("""COMPUTED_VALUE"""),"elfi")</f>
        <v>elfi</v>
      </c>
      <c r="C4180" s="4" t="str">
        <f>IFERROR(__xludf.DUMMYFUNCTION("""COMPUTED_VALUE"""),"ELYFI")</f>
        <v>ELYFI</v>
      </c>
    </row>
    <row r="4181">
      <c r="A4181" s="4" t="str">
        <f>IFERROR(__xludf.DUMMYFUNCTION("""COMPUTED_VALUE"""),"elysia")</f>
        <v>elysia</v>
      </c>
      <c r="B4181" s="4" t="str">
        <f>IFERROR(__xludf.DUMMYFUNCTION("""COMPUTED_VALUE"""),"el")</f>
        <v>el</v>
      </c>
      <c r="C4181" s="4" t="str">
        <f>IFERROR(__xludf.DUMMYFUNCTION("""COMPUTED_VALUE"""),"ELYSIA")</f>
        <v>ELYSIA</v>
      </c>
    </row>
    <row r="4182">
      <c r="A4182" s="4" t="str">
        <f>IFERROR(__xludf.DUMMYFUNCTION("""COMPUTED_VALUE"""),"elysiant-token")</f>
        <v>elysiant-token</v>
      </c>
      <c r="B4182" s="4" t="str">
        <f>IFERROR(__xludf.DUMMYFUNCTION("""COMPUTED_VALUE"""),"els")</f>
        <v>els</v>
      </c>
      <c r="C4182" s="4" t="str">
        <f>IFERROR(__xludf.DUMMYFUNCTION("""COMPUTED_VALUE"""),"Elysian ELS")</f>
        <v>Elysian ELS</v>
      </c>
    </row>
    <row r="4183">
      <c r="A4183" s="4" t="str">
        <f>IFERROR(__xludf.DUMMYFUNCTION("""COMPUTED_VALUE"""),"elysiumg")</f>
        <v>elysiumg</v>
      </c>
      <c r="B4183" s="4" t="str">
        <f>IFERROR(__xludf.DUMMYFUNCTION("""COMPUTED_VALUE"""),"lcmg")</f>
        <v>lcmg</v>
      </c>
      <c r="C4183" s="4" t="str">
        <f>IFERROR(__xludf.DUMMYFUNCTION("""COMPUTED_VALUE"""),"ElysiumG")</f>
        <v>ElysiumG</v>
      </c>
    </row>
    <row r="4184">
      <c r="A4184" s="4" t="str">
        <f>IFERROR(__xludf.DUMMYFUNCTION("""COMPUTED_VALUE"""),"elysium-royale")</f>
        <v>elysium-royale</v>
      </c>
      <c r="B4184" s="4" t="str">
        <f>IFERROR(__xludf.DUMMYFUNCTION("""COMPUTED_VALUE"""),"royal")</f>
        <v>royal</v>
      </c>
      <c r="C4184" s="4" t="str">
        <f>IFERROR(__xludf.DUMMYFUNCTION("""COMPUTED_VALUE"""),"Elysium Royale")</f>
        <v>Elysium Royale</v>
      </c>
    </row>
    <row r="4185">
      <c r="A4185" s="4" t="str">
        <f>IFERROR(__xludf.DUMMYFUNCTION("""COMPUTED_VALUE"""),"elysium-token")</f>
        <v>elysium-token</v>
      </c>
      <c r="B4185" s="4" t="str">
        <f>IFERROR(__xludf.DUMMYFUNCTION("""COMPUTED_VALUE"""),"elys")</f>
        <v>elys</v>
      </c>
      <c r="C4185" s="4" t="str">
        <f>IFERROR(__xludf.DUMMYFUNCTION("""COMPUTED_VALUE"""),"Elysium Token")</f>
        <v>Elysium Token</v>
      </c>
    </row>
    <row r="4186">
      <c r="A4186" s="4" t="str">
        <f>IFERROR(__xludf.DUMMYFUNCTION("""COMPUTED_VALUE"""),"elys-network")</f>
        <v>elys-network</v>
      </c>
      <c r="B4186" s="4" t="str">
        <f>IFERROR(__xludf.DUMMYFUNCTION("""COMPUTED_VALUE"""),"elys")</f>
        <v>elys</v>
      </c>
      <c r="C4186" s="4" t="str">
        <f>IFERROR(__xludf.DUMMYFUNCTION("""COMPUTED_VALUE"""),"Elys Network")</f>
        <v>Elys Network</v>
      </c>
    </row>
    <row r="4187">
      <c r="A4187" s="4" t="str">
        <f>IFERROR(__xludf.DUMMYFUNCTION("""COMPUTED_VALUE"""),"elyssa")</f>
        <v>elyssa</v>
      </c>
      <c r="B4187" s="4" t="str">
        <f>IFERROR(__xludf.DUMMYFUNCTION("""COMPUTED_VALUE"""),"ely")</f>
        <v>ely</v>
      </c>
      <c r="C4187" s="4" t="str">
        <f>IFERROR(__xludf.DUMMYFUNCTION("""COMPUTED_VALUE"""),"Elyssa")</f>
        <v>Elyssa</v>
      </c>
    </row>
    <row r="4188">
      <c r="A4188" s="4" t="str">
        <f>IFERROR(__xludf.DUMMYFUNCTION("""COMPUTED_VALUE"""),"ember")</f>
        <v>ember</v>
      </c>
      <c r="B4188" s="4" t="str">
        <f>IFERROR(__xludf.DUMMYFUNCTION("""COMPUTED_VALUE"""),"ember")</f>
        <v>ember</v>
      </c>
      <c r="C4188" s="4" t="str">
        <f>IFERROR(__xludf.DUMMYFUNCTION("""COMPUTED_VALUE"""),"Ember")</f>
        <v>Ember</v>
      </c>
    </row>
    <row r="4189">
      <c r="A4189" s="4" t="str">
        <f>IFERROR(__xludf.DUMMYFUNCTION("""COMPUTED_VALUE"""),"embr")</f>
        <v>embr</v>
      </c>
      <c r="B4189" s="4" t="str">
        <f>IFERROR(__xludf.DUMMYFUNCTION("""COMPUTED_VALUE"""),"embr")</f>
        <v>embr</v>
      </c>
      <c r="C4189" s="4" t="str">
        <f>IFERROR(__xludf.DUMMYFUNCTION("""COMPUTED_VALUE"""),"Embr")</f>
        <v>Embr</v>
      </c>
    </row>
    <row r="4190">
      <c r="A4190" s="4" t="str">
        <f>IFERROR(__xludf.DUMMYFUNCTION("""COMPUTED_VALUE"""),"emdx")</f>
        <v>emdx</v>
      </c>
      <c r="B4190" s="4" t="str">
        <f>IFERROR(__xludf.DUMMYFUNCTION("""COMPUTED_VALUE"""),"emdx")</f>
        <v>emdx</v>
      </c>
      <c r="C4190" s="4" t="str">
        <f>IFERROR(__xludf.DUMMYFUNCTION("""COMPUTED_VALUE"""),"EMDX")</f>
        <v>EMDX</v>
      </c>
    </row>
    <row r="4191">
      <c r="A4191" s="4" t="str">
        <f>IFERROR(__xludf.DUMMYFUNCTION("""COMPUTED_VALUE"""),"emercoin")</f>
        <v>emercoin</v>
      </c>
      <c r="B4191" s="4" t="str">
        <f>IFERROR(__xludf.DUMMYFUNCTION("""COMPUTED_VALUE"""),"emc")</f>
        <v>emc</v>
      </c>
      <c r="C4191" s="4" t="str">
        <f>IFERROR(__xludf.DUMMYFUNCTION("""COMPUTED_VALUE"""),"EmerCoin")</f>
        <v>EmerCoin</v>
      </c>
    </row>
    <row r="4192">
      <c r="A4192" s="4" t="str">
        <f>IFERROR(__xludf.DUMMYFUNCTION("""COMPUTED_VALUE"""),"emerging-assets-group")</f>
        <v>emerging-assets-group</v>
      </c>
      <c r="B4192" s="4" t="str">
        <f>IFERROR(__xludf.DUMMYFUNCTION("""COMPUTED_VALUE"""),"eag")</f>
        <v>eag</v>
      </c>
      <c r="C4192" s="4" t="str">
        <f>IFERROR(__xludf.DUMMYFUNCTION("""COMPUTED_VALUE"""),"Emerging Assets Group")</f>
        <v>Emerging Assets Group</v>
      </c>
    </row>
    <row r="4193">
      <c r="A4193" s="4" t="str">
        <f>IFERROR(__xludf.DUMMYFUNCTION("""COMPUTED_VALUE"""),"eminer")</f>
        <v>eminer</v>
      </c>
      <c r="B4193" s="4" t="str">
        <f>IFERROR(__xludf.DUMMYFUNCTION("""COMPUTED_VALUE"""),"em")</f>
        <v>em</v>
      </c>
      <c r="C4193" s="4" t="str">
        <f>IFERROR(__xludf.DUMMYFUNCTION("""COMPUTED_VALUE"""),"Eminer")</f>
        <v>Eminer</v>
      </c>
    </row>
    <row r="4194">
      <c r="A4194" s="4" t="str">
        <f>IFERROR(__xludf.DUMMYFUNCTION("""COMPUTED_VALUE"""),"emingunsirer")</f>
        <v>emingunsirer</v>
      </c>
      <c r="B4194" s="4" t="str">
        <f>IFERROR(__xludf.DUMMYFUNCTION("""COMPUTED_VALUE"""),"egs")</f>
        <v>egs</v>
      </c>
      <c r="C4194" s="4" t="str">
        <f>IFERROR(__xludf.DUMMYFUNCTION("""COMPUTED_VALUE"""),"EminGunSirer")</f>
        <v>EminGunSirer</v>
      </c>
    </row>
    <row r="4195">
      <c r="A4195" s="4" t="str">
        <f>IFERROR(__xludf.DUMMYFUNCTION("""COMPUTED_VALUE"""),"eml-protocol")</f>
        <v>eml-protocol</v>
      </c>
      <c r="B4195" s="4" t="str">
        <f>IFERROR(__xludf.DUMMYFUNCTION("""COMPUTED_VALUE"""),"eml")</f>
        <v>eml</v>
      </c>
      <c r="C4195" s="4" t="str">
        <f>IFERROR(__xludf.DUMMYFUNCTION("""COMPUTED_VALUE"""),"EML Protocol")</f>
        <v>EML Protocol</v>
      </c>
    </row>
    <row r="4196">
      <c r="A4196" s="4" t="str">
        <f>IFERROR(__xludf.DUMMYFUNCTION("""COMPUTED_VALUE"""),"emmi-gg")</f>
        <v>emmi-gg</v>
      </c>
      <c r="B4196" s="4" t="str">
        <f>IFERROR(__xludf.DUMMYFUNCTION("""COMPUTED_VALUE"""),"emmi")</f>
        <v>emmi</v>
      </c>
      <c r="C4196" s="4" t="str">
        <f>IFERROR(__xludf.DUMMYFUNCTION("""COMPUTED_VALUE"""),"EMMI GG")</f>
        <v>EMMI GG</v>
      </c>
    </row>
    <row r="4197">
      <c r="A4197" s="4" t="str">
        <f>IFERROR(__xludf.DUMMYFUNCTION("""COMPUTED_VALUE"""),"emmy")</f>
        <v>emmy</v>
      </c>
      <c r="B4197" s="4" t="str">
        <f>IFERROR(__xludf.DUMMYFUNCTION("""COMPUTED_VALUE"""),"emmy")</f>
        <v>emmy</v>
      </c>
      <c r="C4197" s="4" t="str">
        <f>IFERROR(__xludf.DUMMYFUNCTION("""COMPUTED_VALUE"""),"Emmy")</f>
        <v>Emmy</v>
      </c>
    </row>
    <row r="4198">
      <c r="A4198" s="4" t="str">
        <f>IFERROR(__xludf.DUMMYFUNCTION("""COMPUTED_VALUE"""),"emoji-erc20")</f>
        <v>emoji-erc20</v>
      </c>
      <c r="B4198" s="4" t="str">
        <f>IFERROR(__xludf.DUMMYFUNCTION("""COMPUTED_VALUE"""),"$emoji")</f>
        <v>$emoji</v>
      </c>
      <c r="C4198" s="4" t="str">
        <f>IFERROR(__xludf.DUMMYFUNCTION("""COMPUTED_VALUE"""),"emoji ERC20")</f>
        <v>emoji ERC20</v>
      </c>
    </row>
    <row r="4199">
      <c r="A4199" s="4" t="str">
        <f>IFERROR(__xludf.DUMMYFUNCTION("""COMPUTED_VALUE"""),"e-money")</f>
        <v>e-money</v>
      </c>
      <c r="B4199" s="4" t="str">
        <f>IFERROR(__xludf.DUMMYFUNCTION("""COMPUTED_VALUE"""),"ngm")</f>
        <v>ngm</v>
      </c>
      <c r="C4199" s="4" t="str">
        <f>IFERROR(__xludf.DUMMYFUNCTION("""COMPUTED_VALUE"""),"e-Money")</f>
        <v>e-Money</v>
      </c>
    </row>
    <row r="4200">
      <c r="A4200" s="4" t="str">
        <f>IFERROR(__xludf.DUMMYFUNCTION("""COMPUTED_VALUE"""),"e-money-eur")</f>
        <v>e-money-eur</v>
      </c>
      <c r="B4200" s="4" t="str">
        <f>IFERROR(__xludf.DUMMYFUNCTION("""COMPUTED_VALUE"""),"eeur")</f>
        <v>eeur</v>
      </c>
      <c r="C4200" s="4" t="str">
        <f>IFERROR(__xludf.DUMMYFUNCTION("""COMPUTED_VALUE"""),"e-Money EUR")</f>
        <v>e-Money EUR</v>
      </c>
    </row>
    <row r="4201">
      <c r="A4201" s="4" t="str">
        <f>IFERROR(__xludf.DUMMYFUNCTION("""COMPUTED_VALUE"""),"emorya-finance")</f>
        <v>emorya-finance</v>
      </c>
      <c r="B4201" s="4" t="str">
        <f>IFERROR(__xludf.DUMMYFUNCTION("""COMPUTED_VALUE"""),"emr")</f>
        <v>emr</v>
      </c>
      <c r="C4201" s="4" t="str">
        <f>IFERROR(__xludf.DUMMYFUNCTION("""COMPUTED_VALUE"""),"Emorya Finance")</f>
        <v>Emorya Finance</v>
      </c>
    </row>
    <row r="4202">
      <c r="A4202" s="4" t="str">
        <f>IFERROR(__xludf.DUMMYFUNCTION("""COMPUTED_VALUE"""),"emotech")</f>
        <v>emotech</v>
      </c>
      <c r="B4202" s="4" t="str">
        <f>IFERROR(__xludf.DUMMYFUNCTION("""COMPUTED_VALUE"""),"emt")</f>
        <v>emt</v>
      </c>
      <c r="C4202" s="4" t="str">
        <f>IFERROR(__xludf.DUMMYFUNCTION("""COMPUTED_VALUE"""),"EmoTech")</f>
        <v>EmoTech</v>
      </c>
    </row>
    <row r="4203">
      <c r="A4203" s="4" t="str">
        <f>IFERROR(__xludf.DUMMYFUNCTION("""COMPUTED_VALUE"""),"emoticoin")</f>
        <v>emoticoin</v>
      </c>
      <c r="B4203" s="4" t="str">
        <f>IFERROR(__xludf.DUMMYFUNCTION("""COMPUTED_VALUE"""),"emoti")</f>
        <v>emoti</v>
      </c>
      <c r="C4203" s="4" t="str">
        <f>IFERROR(__xludf.DUMMYFUNCTION("""COMPUTED_VALUE"""),"EmotiCoin")</f>
        <v>EmotiCoin</v>
      </c>
    </row>
    <row r="4204">
      <c r="A4204" s="4" t="str">
        <f>IFERROR(__xludf.DUMMYFUNCTION("""COMPUTED_VALUE"""),"empire-token")</f>
        <v>empire-token</v>
      </c>
      <c r="B4204" s="4" t="str">
        <f>IFERROR(__xludf.DUMMYFUNCTION("""COMPUTED_VALUE"""),"empire")</f>
        <v>empire</v>
      </c>
      <c r="C4204" s="4" t="str">
        <f>IFERROR(__xludf.DUMMYFUNCTION("""COMPUTED_VALUE"""),"Empire")</f>
        <v>Empire</v>
      </c>
    </row>
    <row r="4205">
      <c r="A4205" s="4" t="str">
        <f>IFERROR(__xludf.DUMMYFUNCTION("""COMPUTED_VALUE"""),"emp-money")</f>
        <v>emp-money</v>
      </c>
      <c r="B4205" s="4" t="str">
        <f>IFERROR(__xludf.DUMMYFUNCTION("""COMPUTED_VALUE"""),"emp")</f>
        <v>emp</v>
      </c>
      <c r="C4205" s="4" t="str">
        <f>IFERROR(__xludf.DUMMYFUNCTION("""COMPUTED_VALUE"""),"Emp Money")</f>
        <v>Emp Money</v>
      </c>
    </row>
    <row r="4206">
      <c r="A4206" s="4" t="str">
        <f>IFERROR(__xludf.DUMMYFUNCTION("""COMPUTED_VALUE"""),"empowa")</f>
        <v>empowa</v>
      </c>
      <c r="B4206" s="4" t="str">
        <f>IFERROR(__xludf.DUMMYFUNCTION("""COMPUTED_VALUE"""),"emp")</f>
        <v>emp</v>
      </c>
      <c r="C4206" s="4" t="str">
        <f>IFERROR(__xludf.DUMMYFUNCTION("""COMPUTED_VALUE"""),"Empowa")</f>
        <v>Empowa</v>
      </c>
    </row>
    <row r="4207">
      <c r="A4207" s="4" t="str">
        <f>IFERROR(__xludf.DUMMYFUNCTION("""COMPUTED_VALUE"""),"emp-shares-v2")</f>
        <v>emp-shares-v2</v>
      </c>
      <c r="B4207" s="4" t="str">
        <f>IFERROR(__xludf.DUMMYFUNCTION("""COMPUTED_VALUE"""),"eshare v2")</f>
        <v>eshare v2</v>
      </c>
      <c r="C4207" s="4" t="str">
        <f>IFERROR(__xludf.DUMMYFUNCTION("""COMPUTED_VALUE"""),"EMP Shares")</f>
        <v>EMP Shares</v>
      </c>
    </row>
    <row r="4208">
      <c r="A4208" s="4" t="str">
        <f>IFERROR(__xludf.DUMMYFUNCTION("""COMPUTED_VALUE"""),"empyreal")</f>
        <v>empyreal</v>
      </c>
      <c r="B4208" s="4" t="str">
        <f>IFERROR(__xludf.DUMMYFUNCTION("""COMPUTED_VALUE"""),"emp")</f>
        <v>emp</v>
      </c>
      <c r="C4208" s="4" t="str">
        <f>IFERROR(__xludf.DUMMYFUNCTION("""COMPUTED_VALUE"""),"Empyreal")</f>
        <v>Empyreal</v>
      </c>
    </row>
    <row r="4209">
      <c r="A4209" s="4" t="str">
        <f>IFERROR(__xludf.DUMMYFUNCTION("""COMPUTED_VALUE"""),"encoins")</f>
        <v>encoins</v>
      </c>
      <c r="B4209" s="4" t="str">
        <f>IFERROR(__xludf.DUMMYFUNCTION("""COMPUTED_VALUE"""),"encs")</f>
        <v>encs</v>
      </c>
      <c r="C4209" s="4" t="str">
        <f>IFERROR(__xludf.DUMMYFUNCTION("""COMPUTED_VALUE"""),"Encoins")</f>
        <v>Encoins</v>
      </c>
    </row>
    <row r="4210">
      <c r="A4210" s="4" t="str">
        <f>IFERROR(__xludf.DUMMYFUNCTION("""COMPUTED_VALUE"""),"encrypgen")</f>
        <v>encrypgen</v>
      </c>
      <c r="B4210" s="4" t="str">
        <f>IFERROR(__xludf.DUMMYFUNCTION("""COMPUTED_VALUE"""),"dna")</f>
        <v>dna</v>
      </c>
      <c r="C4210" s="4" t="str">
        <f>IFERROR(__xludf.DUMMYFUNCTION("""COMPUTED_VALUE"""),"EncrypGen")</f>
        <v>EncrypGen</v>
      </c>
    </row>
    <row r="4211">
      <c r="A4211" s="4" t="str">
        <f>IFERROR(__xludf.DUMMYFUNCTION("""COMPUTED_VALUE"""),"encrypt")</f>
        <v>encrypt</v>
      </c>
      <c r="B4211" s="4" t="str">
        <f>IFERROR(__xludf.DUMMYFUNCTION("""COMPUTED_VALUE"""),"$encr")</f>
        <v>$encr</v>
      </c>
      <c r="C4211" s="4" t="str">
        <f>IFERROR(__xludf.DUMMYFUNCTION("""COMPUTED_VALUE"""),"ENCRYPT")</f>
        <v>ENCRYPT</v>
      </c>
    </row>
    <row r="4212">
      <c r="A4212" s="4" t="str">
        <f>IFERROR(__xludf.DUMMYFUNCTION("""COMPUTED_VALUE"""),"endblock")</f>
        <v>endblock</v>
      </c>
      <c r="B4212" s="4" t="str">
        <f>IFERROR(__xludf.DUMMYFUNCTION("""COMPUTED_VALUE"""),"end")</f>
        <v>end</v>
      </c>
      <c r="C4212" s="4" t="str">
        <f>IFERROR(__xludf.DUMMYFUNCTION("""COMPUTED_VALUE"""),"Endblock")</f>
        <v>Endblock</v>
      </c>
    </row>
    <row r="4213">
      <c r="A4213" s="4" t="str">
        <f>IFERROR(__xludf.DUMMYFUNCTION("""COMPUTED_VALUE"""),"endless-battlefield")</f>
        <v>endless-battlefield</v>
      </c>
      <c r="B4213" s="4" t="str">
        <f>IFERROR(__xludf.DUMMYFUNCTION("""COMPUTED_VALUE"""),"eng")</f>
        <v>eng</v>
      </c>
      <c r="C4213" s="4" t="str">
        <f>IFERROR(__xludf.DUMMYFUNCTION("""COMPUTED_VALUE"""),"Endless Board Game")</f>
        <v>Endless Board Game</v>
      </c>
    </row>
    <row r="4214">
      <c r="A4214" s="4" t="str">
        <f>IFERROR(__xludf.DUMMYFUNCTION("""COMPUTED_VALUE"""),"endlesswebworlds")</f>
        <v>endlesswebworlds</v>
      </c>
      <c r="B4214" s="4" t="str">
        <f>IFERROR(__xludf.DUMMYFUNCTION("""COMPUTED_VALUE"""),"eww")</f>
        <v>eww</v>
      </c>
      <c r="C4214" s="4" t="str">
        <f>IFERROR(__xludf.DUMMYFUNCTION("""COMPUTED_VALUE"""),"EndlessWebWorlds")</f>
        <v>EndlessWebWorlds</v>
      </c>
    </row>
    <row r="4215">
      <c r="A4215" s="4" t="str">
        <f>IFERROR(__xludf.DUMMYFUNCTION("""COMPUTED_VALUE"""),"endpoint-cex-fan-token")</f>
        <v>endpoint-cex-fan-token</v>
      </c>
      <c r="B4215" s="4" t="str">
        <f>IFERROR(__xludf.DUMMYFUNCTION("""COMPUTED_VALUE"""),"endcex")</f>
        <v>endcex</v>
      </c>
      <c r="C4215" s="4" t="str">
        <f>IFERROR(__xludf.DUMMYFUNCTION("""COMPUTED_VALUE"""),"Endpoint Cex Fan Token")</f>
        <v>Endpoint Cex Fan Token</v>
      </c>
    </row>
    <row r="4216">
      <c r="A4216" s="4" t="str">
        <f>IFERROR(__xludf.DUMMYFUNCTION("""COMPUTED_VALUE"""),"endurance")</f>
        <v>endurance</v>
      </c>
      <c r="B4216" s="4" t="str">
        <f>IFERROR(__xludf.DUMMYFUNCTION("""COMPUTED_VALUE"""),"ace")</f>
        <v>ace</v>
      </c>
      <c r="C4216" s="4" t="str">
        <f>IFERROR(__xludf.DUMMYFUNCTION("""COMPUTED_VALUE"""),"Fusionist")</f>
        <v>Fusionist</v>
      </c>
    </row>
    <row r="4217">
      <c r="A4217" s="4" t="str">
        <f>IFERROR(__xludf.DUMMYFUNCTION("""COMPUTED_VALUE"""),"eneftor")</f>
        <v>eneftor</v>
      </c>
      <c r="B4217" s="4" t="str">
        <f>IFERROR(__xludf.DUMMYFUNCTION("""COMPUTED_VALUE"""),"eftr")</f>
        <v>eftr</v>
      </c>
      <c r="C4217" s="4" t="str">
        <f>IFERROR(__xludf.DUMMYFUNCTION("""COMPUTED_VALUE"""),"Eneftor")</f>
        <v>Eneftor</v>
      </c>
    </row>
    <row r="4218">
      <c r="A4218" s="4" t="str">
        <f>IFERROR(__xludf.DUMMYFUNCTION("""COMPUTED_VALUE"""),"enegra")</f>
        <v>enegra</v>
      </c>
      <c r="B4218" s="4" t="str">
        <f>IFERROR(__xludf.DUMMYFUNCTION("""COMPUTED_VALUE"""),"egx")</f>
        <v>egx</v>
      </c>
      <c r="C4218" s="4" t="str">
        <f>IFERROR(__xludf.DUMMYFUNCTION("""COMPUTED_VALUE"""),"Enegra")</f>
        <v>Enegra</v>
      </c>
    </row>
    <row r="4219">
      <c r="A4219" s="4" t="str">
        <f>IFERROR(__xludf.DUMMYFUNCTION("""COMPUTED_VALUE"""),"energi")</f>
        <v>energi</v>
      </c>
      <c r="B4219" s="4" t="str">
        <f>IFERROR(__xludf.DUMMYFUNCTION("""COMPUTED_VALUE"""),"nrg")</f>
        <v>nrg</v>
      </c>
      <c r="C4219" s="4" t="str">
        <f>IFERROR(__xludf.DUMMYFUNCTION("""COMPUTED_VALUE"""),"Energi")</f>
        <v>Energi</v>
      </c>
    </row>
    <row r="4220">
      <c r="A4220" s="4" t="str">
        <f>IFERROR(__xludf.DUMMYFUNCTION("""COMPUTED_VALUE"""),"energi-bridged-usdc-energi")</f>
        <v>energi-bridged-usdc-energi</v>
      </c>
      <c r="B4220" s="4" t="str">
        <f>IFERROR(__xludf.DUMMYFUNCTION("""COMPUTED_VALUE"""),"usdc")</f>
        <v>usdc</v>
      </c>
      <c r="C4220" s="4" t="str">
        <f>IFERROR(__xludf.DUMMYFUNCTION("""COMPUTED_VALUE"""),"Energi Bridged USDC (Energi)")</f>
        <v>Energi Bridged USDC (Energi)</v>
      </c>
    </row>
    <row r="4221">
      <c r="A4221" s="4" t="str">
        <f>IFERROR(__xludf.DUMMYFUNCTION("""COMPUTED_VALUE"""),"energi-dollar")</f>
        <v>energi-dollar</v>
      </c>
      <c r="B4221" s="4" t="str">
        <f>IFERROR(__xludf.DUMMYFUNCTION("""COMPUTED_VALUE"""),"usde")</f>
        <v>usde</v>
      </c>
      <c r="C4221" s="4" t="str">
        <f>IFERROR(__xludf.DUMMYFUNCTION("""COMPUTED_VALUE"""),"Energi Dollar")</f>
        <v>Energi Dollar</v>
      </c>
    </row>
    <row r="4222">
      <c r="A4222" s="4" t="str">
        <f>IFERROR(__xludf.DUMMYFUNCTION("""COMPUTED_VALUE"""),"energo")</f>
        <v>energo</v>
      </c>
      <c r="B4222" s="4" t="str">
        <f>IFERROR(__xludf.DUMMYFUNCTION("""COMPUTED_VALUE"""),"tsl")</f>
        <v>tsl</v>
      </c>
      <c r="C4222" s="4" t="str">
        <f>IFERROR(__xludf.DUMMYFUNCTION("""COMPUTED_VALUE"""),"Tesla TSL")</f>
        <v>Tesla TSL</v>
      </c>
    </row>
    <row r="4223">
      <c r="A4223" s="4" t="str">
        <f>IFERROR(__xludf.DUMMYFUNCTION("""COMPUTED_VALUE"""),"energreen")</f>
        <v>energreen</v>
      </c>
      <c r="B4223" s="4" t="str">
        <f>IFERROR(__xludf.DUMMYFUNCTION("""COMPUTED_VALUE"""),"egrn")</f>
        <v>egrn</v>
      </c>
      <c r="C4223" s="4" t="str">
        <f>IFERROR(__xludf.DUMMYFUNCTION("""COMPUTED_VALUE"""),"Energreen")</f>
        <v>Energreen</v>
      </c>
    </row>
    <row r="4224">
      <c r="A4224" s="4" t="str">
        <f>IFERROR(__xludf.DUMMYFUNCTION("""COMPUTED_VALUE"""),"energy8")</f>
        <v>energy8</v>
      </c>
      <c r="B4224" s="4" t="str">
        <f>IFERROR(__xludf.DUMMYFUNCTION("""COMPUTED_VALUE"""),"e8")</f>
        <v>e8</v>
      </c>
      <c r="C4224" s="4" t="str">
        <f>IFERROR(__xludf.DUMMYFUNCTION("""COMPUTED_VALUE"""),"Energy8")</f>
        <v>Energy8</v>
      </c>
    </row>
    <row r="4225">
      <c r="A4225" s="4" t="str">
        <f>IFERROR(__xludf.DUMMYFUNCTION("""COMPUTED_VALUE"""),"energy-efficient-mortgage-tokenized-stock-defichain")</f>
        <v>energy-efficient-mortgage-tokenized-stock-defichain</v>
      </c>
      <c r="B4225" s="4" t="str">
        <f>IFERROR(__xludf.DUMMYFUNCTION("""COMPUTED_VALUE"""),"deem")</f>
        <v>deem</v>
      </c>
      <c r="C4225" s="4" t="str">
        <f>IFERROR(__xludf.DUMMYFUNCTION("""COMPUTED_VALUE"""),"iShares MSCI Emerging Markets ETF Defichain")</f>
        <v>iShares MSCI Emerging Markets ETF Defichain</v>
      </c>
    </row>
    <row r="4226">
      <c r="A4226" s="4" t="str">
        <f>IFERROR(__xludf.DUMMYFUNCTION("""COMPUTED_VALUE"""),"energyfi")</f>
        <v>energyfi</v>
      </c>
      <c r="B4226" s="4" t="str">
        <f>IFERROR(__xludf.DUMMYFUNCTION("""COMPUTED_VALUE"""),"eft")</f>
        <v>eft</v>
      </c>
      <c r="C4226" s="4" t="str">
        <f>IFERROR(__xludf.DUMMYFUNCTION("""COMPUTED_VALUE"""),"Energyfi")</f>
        <v>Energyfi</v>
      </c>
    </row>
    <row r="4227">
      <c r="A4227" s="4" t="str">
        <f>IFERROR(__xludf.DUMMYFUNCTION("""COMPUTED_VALUE"""),"energy-token")</f>
        <v>energy-token</v>
      </c>
      <c r="B4227" s="4" t="str">
        <f>IFERROR(__xludf.DUMMYFUNCTION("""COMPUTED_VALUE"""),"nrg")</f>
        <v>nrg</v>
      </c>
      <c r="C4227" s="4" t="str">
        <f>IFERROR(__xludf.DUMMYFUNCTION("""COMPUTED_VALUE"""),"Energy Token")</f>
        <v>Energy Token</v>
      </c>
    </row>
    <row r="4228">
      <c r="A4228" s="4" t="str">
        <f>IFERROR(__xludf.DUMMYFUNCTION("""COMPUTED_VALUE"""),"energytrade-token")</f>
        <v>energytrade-token</v>
      </c>
      <c r="B4228" s="4" t="str">
        <f>IFERROR(__xludf.DUMMYFUNCTION("""COMPUTED_VALUE"""),"ett")</f>
        <v>ett</v>
      </c>
      <c r="C4228" s="4" t="str">
        <f>IFERROR(__xludf.DUMMYFUNCTION("""COMPUTED_VALUE"""),"EnergyTrade Token")</f>
        <v>EnergyTrade Token</v>
      </c>
    </row>
    <row r="4229">
      <c r="A4229" s="4" t="str">
        <f>IFERROR(__xludf.DUMMYFUNCTION("""COMPUTED_VALUE"""),"energy-web-token")</f>
        <v>energy-web-token</v>
      </c>
      <c r="B4229" s="4" t="str">
        <f>IFERROR(__xludf.DUMMYFUNCTION("""COMPUTED_VALUE"""),"ewt")</f>
        <v>ewt</v>
      </c>
      <c r="C4229" s="4" t="str">
        <f>IFERROR(__xludf.DUMMYFUNCTION("""COMPUTED_VALUE"""),"Energy Web")</f>
        <v>Energy Web</v>
      </c>
    </row>
    <row r="4230">
      <c r="A4230" s="4" t="str">
        <f>IFERROR(__xludf.DUMMYFUNCTION("""COMPUTED_VALUE"""),"eng-crypto")</f>
        <v>eng-crypto</v>
      </c>
      <c r="B4230" s="4" t="str">
        <f>IFERROR(__xludf.DUMMYFUNCTION("""COMPUTED_VALUE"""),"eng")</f>
        <v>eng</v>
      </c>
      <c r="C4230" s="4" t="str">
        <f>IFERROR(__xludf.DUMMYFUNCTION("""COMPUTED_VALUE"""),"Eng Crypto")</f>
        <v>Eng Crypto</v>
      </c>
    </row>
    <row r="4231">
      <c r="A4231" s="4" t="str">
        <f>IFERROR(__xludf.DUMMYFUNCTION("""COMPUTED_VALUE"""),"enigma")</f>
        <v>enigma</v>
      </c>
      <c r="B4231" s="4" t="str">
        <f>IFERROR(__xludf.DUMMYFUNCTION("""COMPUTED_VALUE"""),"eng")</f>
        <v>eng</v>
      </c>
      <c r="C4231" s="4" t="str">
        <f>IFERROR(__xludf.DUMMYFUNCTION("""COMPUTED_VALUE"""),"Enigma")</f>
        <v>Enigma</v>
      </c>
    </row>
    <row r="4232">
      <c r="A4232" s="4" t="str">
        <f>IFERROR(__xludf.DUMMYFUNCTION("""COMPUTED_VALUE"""),"enigma-gaming")</f>
        <v>enigma-gaming</v>
      </c>
      <c r="B4232" s="4" t="str">
        <f>IFERROR(__xludf.DUMMYFUNCTION("""COMPUTED_VALUE"""),"eng")</f>
        <v>eng</v>
      </c>
      <c r="C4232" s="4" t="str">
        <f>IFERROR(__xludf.DUMMYFUNCTION("""COMPUTED_VALUE"""),"Enigma Gaming")</f>
        <v>Enigma Gaming</v>
      </c>
    </row>
    <row r="4233">
      <c r="A4233" s="4" t="str">
        <f>IFERROR(__xludf.DUMMYFUNCTION("""COMPUTED_VALUE"""),"enjincoin")</f>
        <v>enjincoin</v>
      </c>
      <c r="B4233" s="4" t="str">
        <f>IFERROR(__xludf.DUMMYFUNCTION("""COMPUTED_VALUE"""),"enj")</f>
        <v>enj</v>
      </c>
      <c r="C4233" s="4" t="str">
        <f>IFERROR(__xludf.DUMMYFUNCTION("""COMPUTED_VALUE"""),"Enjin Coin")</f>
        <v>Enjin Coin</v>
      </c>
    </row>
    <row r="4234">
      <c r="A4234" s="4" t="str">
        <f>IFERROR(__xludf.DUMMYFUNCTION("""COMPUTED_VALUE"""),"enjinstarter")</f>
        <v>enjinstarter</v>
      </c>
      <c r="B4234" s="4" t="str">
        <f>IFERROR(__xludf.DUMMYFUNCTION("""COMPUTED_VALUE"""),"ejs")</f>
        <v>ejs</v>
      </c>
      <c r="C4234" s="4" t="str">
        <f>IFERROR(__xludf.DUMMYFUNCTION("""COMPUTED_VALUE"""),"Enjinstarter")</f>
        <v>Enjinstarter</v>
      </c>
    </row>
    <row r="4235">
      <c r="A4235" s="4" t="str">
        <f>IFERROR(__xludf.DUMMYFUNCTION("""COMPUTED_VALUE"""),"enjoy")</f>
        <v>enjoy</v>
      </c>
      <c r="B4235" s="4" t="str">
        <f>IFERROR(__xludf.DUMMYFUNCTION("""COMPUTED_VALUE"""),"enjoy")</f>
        <v>enjoy</v>
      </c>
      <c r="C4235" s="4" t="str">
        <f>IFERROR(__xludf.DUMMYFUNCTION("""COMPUTED_VALUE"""),"Enjoy")</f>
        <v>Enjoy</v>
      </c>
    </row>
    <row r="4236">
      <c r="A4236" s="4" t="str">
        <f>IFERROR(__xludf.DUMMYFUNCTION("""COMPUTED_VALUE"""),"enjoy-network")</f>
        <v>enjoy-network</v>
      </c>
      <c r="B4236" s="4" t="str">
        <f>IFERROR(__xludf.DUMMYFUNCTION("""COMPUTED_VALUE"""),"eyn")</f>
        <v>eyn</v>
      </c>
      <c r="C4236" s="4" t="str">
        <f>IFERROR(__xludf.DUMMYFUNCTION("""COMPUTED_VALUE"""),"Enjoy Network")</f>
        <v>Enjoy Network</v>
      </c>
    </row>
    <row r="4237">
      <c r="A4237" s="4" t="str">
        <f>IFERROR(__xludf.DUMMYFUNCTION("""COMPUTED_VALUE"""),"enno-cash")</f>
        <v>enno-cash</v>
      </c>
      <c r="B4237" s="4" t="str">
        <f>IFERROR(__xludf.DUMMYFUNCTION("""COMPUTED_VALUE"""),"enno")</f>
        <v>enno</v>
      </c>
      <c r="C4237" s="4" t="str">
        <f>IFERROR(__xludf.DUMMYFUNCTION("""COMPUTED_VALUE"""),"ENNO Cash")</f>
        <v>ENNO Cash</v>
      </c>
    </row>
    <row r="4238">
      <c r="A4238" s="4" t="str">
        <f>IFERROR(__xludf.DUMMYFUNCTION("""COMPUTED_VALUE"""),"eno")</f>
        <v>eno</v>
      </c>
      <c r="B4238" s="4" t="str">
        <f>IFERROR(__xludf.DUMMYFUNCTION("""COMPUTED_VALUE"""),"eno")</f>
        <v>eno</v>
      </c>
      <c r="C4238" s="4" t="str">
        <f>IFERROR(__xludf.DUMMYFUNCTION("""COMPUTED_VALUE"""),"ENO")</f>
        <v>ENO</v>
      </c>
    </row>
    <row r="4239">
      <c r="A4239" s="4" t="str">
        <f>IFERROR(__xludf.DUMMYFUNCTION("""COMPUTED_VALUE"""),"enoch")</f>
        <v>enoch</v>
      </c>
      <c r="B4239" s="4" t="str">
        <f>IFERROR(__xludf.DUMMYFUNCTION("""COMPUTED_VALUE"""),"enoch")</f>
        <v>enoch</v>
      </c>
      <c r="C4239" s="4" t="str">
        <f>IFERROR(__xludf.DUMMYFUNCTION("""COMPUTED_VALUE"""),"Enoch")</f>
        <v>Enoch</v>
      </c>
    </row>
    <row r="4240">
      <c r="A4240" s="4" t="str">
        <f>IFERROR(__xludf.DUMMYFUNCTION("""COMPUTED_VALUE"""),"enosys")</f>
        <v>enosys</v>
      </c>
      <c r="B4240" s="4" t="str">
        <f>IFERROR(__xludf.DUMMYFUNCTION("""COMPUTED_VALUE"""),"hln")</f>
        <v>hln</v>
      </c>
      <c r="C4240" s="4" t="str">
        <f>IFERROR(__xludf.DUMMYFUNCTION("""COMPUTED_VALUE"""),"Ēnosys")</f>
        <v>Ēnosys</v>
      </c>
    </row>
    <row r="4241">
      <c r="A4241" s="4" t="str">
        <f>IFERROR(__xludf.DUMMYFUNCTION("""COMPUTED_VALUE"""),"enosys-usdt")</f>
        <v>enosys-usdt</v>
      </c>
      <c r="B4241" s="4" t="str">
        <f>IFERROR(__xludf.DUMMYFUNCTION("""COMPUTED_VALUE"""),"eusdt")</f>
        <v>eusdt</v>
      </c>
      <c r="C4241" s="4" t="str">
        <f>IFERROR(__xludf.DUMMYFUNCTION("""COMPUTED_VALUE"""),"Enosys USDT")</f>
        <v>Enosys USDT</v>
      </c>
    </row>
    <row r="4242">
      <c r="A4242" s="4" t="str">
        <f>IFERROR(__xludf.DUMMYFUNCTION("""COMPUTED_VALUE"""),"enq-enecuum")</f>
        <v>enq-enecuum</v>
      </c>
      <c r="B4242" s="4" t="str">
        <f>IFERROR(__xludf.DUMMYFUNCTION("""COMPUTED_VALUE"""),"enq")</f>
        <v>enq</v>
      </c>
      <c r="C4242" s="4" t="str">
        <f>IFERROR(__xludf.DUMMYFUNCTION("""COMPUTED_VALUE"""),"Enecuum")</f>
        <v>Enecuum</v>
      </c>
    </row>
    <row r="4243">
      <c r="A4243" s="4" t="str">
        <f>IFERROR(__xludf.DUMMYFUNCTION("""COMPUTED_VALUE"""),"enreachdao")</f>
        <v>enreachdao</v>
      </c>
      <c r="B4243" s="4" t="str">
        <f>IFERROR(__xludf.DUMMYFUNCTION("""COMPUTED_VALUE"""),"nrch")</f>
        <v>nrch</v>
      </c>
      <c r="C4243" s="4" t="str">
        <f>IFERROR(__xludf.DUMMYFUNCTION("""COMPUTED_VALUE"""),"Enreach")</f>
        <v>Enreach</v>
      </c>
    </row>
    <row r="4244">
      <c r="A4244" s="4" t="str">
        <f>IFERROR(__xludf.DUMMYFUNCTION("""COMPUTED_VALUE"""),"enrex")</f>
        <v>enrex</v>
      </c>
      <c r="B4244" s="4" t="str">
        <f>IFERROR(__xludf.DUMMYFUNCTION("""COMPUTED_VALUE"""),"enrx")</f>
        <v>enrx</v>
      </c>
      <c r="C4244" s="4" t="str">
        <f>IFERROR(__xludf.DUMMYFUNCTION("""COMPUTED_VALUE"""),"Enrex")</f>
        <v>Enrex</v>
      </c>
    </row>
    <row r="4245">
      <c r="A4245" s="4" t="str">
        <f>IFERROR(__xludf.DUMMYFUNCTION("""COMPUTED_VALUE"""),"ensue")</f>
        <v>ensue</v>
      </c>
      <c r="B4245" s="4" t="str">
        <f>IFERROR(__xludf.DUMMYFUNCTION("""COMPUTED_VALUE"""),"ensue")</f>
        <v>ensue</v>
      </c>
      <c r="C4245" s="4" t="str">
        <f>IFERROR(__xludf.DUMMYFUNCTION("""COMPUTED_VALUE"""),"Ensue")</f>
        <v>Ensue</v>
      </c>
    </row>
    <row r="4246">
      <c r="A4246" s="4" t="str">
        <f>IFERROR(__xludf.DUMMYFUNCTION("""COMPUTED_VALUE"""),"entangle")</f>
        <v>entangle</v>
      </c>
      <c r="B4246" s="4" t="str">
        <f>IFERROR(__xludf.DUMMYFUNCTION("""COMPUTED_VALUE"""),"ngl")</f>
        <v>ngl</v>
      </c>
      <c r="C4246" s="4" t="str">
        <f>IFERROR(__xludf.DUMMYFUNCTION("""COMPUTED_VALUE"""),"Entangle")</f>
        <v>Entangle</v>
      </c>
    </row>
    <row r="4247">
      <c r="A4247" s="4" t="str">
        <f>IFERROR(__xludf.DUMMYFUNCTION("""COMPUTED_VALUE"""),"enter")</f>
        <v>enter</v>
      </c>
      <c r="B4247" s="4" t="str">
        <f>IFERROR(__xludf.DUMMYFUNCTION("""COMPUTED_VALUE"""),"enter")</f>
        <v>enter</v>
      </c>
      <c r="C4247" s="4" t="str">
        <f>IFERROR(__xludf.DUMMYFUNCTION("""COMPUTED_VALUE"""),"ENTER")</f>
        <v>ENTER</v>
      </c>
    </row>
    <row r="4248">
      <c r="A4248" s="4" t="str">
        <f>IFERROR(__xludf.DUMMYFUNCTION("""COMPUTED_VALUE"""),"enterbutton")</f>
        <v>enterbutton</v>
      </c>
      <c r="B4248" s="4" t="str">
        <f>IFERROR(__xludf.DUMMYFUNCTION("""COMPUTED_VALUE"""),"entc")</f>
        <v>entc</v>
      </c>
      <c r="C4248" s="4" t="str">
        <f>IFERROR(__xludf.DUMMYFUNCTION("""COMPUTED_VALUE"""),"EnterButton")</f>
        <v>EnterButton</v>
      </c>
    </row>
    <row r="4249">
      <c r="A4249" s="4" t="str">
        <f>IFERROR(__xludf.DUMMYFUNCTION("""COMPUTED_VALUE"""),"enterdao")</f>
        <v>enterdao</v>
      </c>
      <c r="B4249" s="4" t="str">
        <f>IFERROR(__xludf.DUMMYFUNCTION("""COMPUTED_VALUE"""),"entr")</f>
        <v>entr</v>
      </c>
      <c r="C4249" s="4" t="str">
        <f>IFERROR(__xludf.DUMMYFUNCTION("""COMPUTED_VALUE"""),"EnterDAO")</f>
        <v>EnterDAO</v>
      </c>
    </row>
    <row r="4250">
      <c r="A4250" s="4" t="str">
        <f>IFERROR(__xludf.DUMMYFUNCTION("""COMPUTED_VALUE"""),"entropy")</f>
        <v>entropy</v>
      </c>
      <c r="B4250" s="4" t="str">
        <f>IFERROR(__xludf.DUMMYFUNCTION("""COMPUTED_VALUE"""),"ent")</f>
        <v>ent</v>
      </c>
      <c r="C4250" s="4" t="str">
        <f>IFERROR(__xludf.DUMMYFUNCTION("""COMPUTED_VALUE"""),"Entropy")</f>
        <v>Entropy</v>
      </c>
    </row>
    <row r="4251">
      <c r="A4251" s="4" t="str">
        <f>IFERROR(__xludf.DUMMYFUNCTION("""COMPUTED_VALUE"""),"ents")</f>
        <v>ents</v>
      </c>
      <c r="B4251" s="4" t="str">
        <f>IFERROR(__xludf.DUMMYFUNCTION("""COMPUTED_VALUE"""),"ents")</f>
        <v>ents</v>
      </c>
      <c r="C4251" s="4" t="str">
        <f>IFERROR(__xludf.DUMMYFUNCTION("""COMPUTED_VALUE"""),"Ents")</f>
        <v>Ents</v>
      </c>
    </row>
    <row r="4252">
      <c r="A4252" s="4" t="str">
        <f>IFERROR(__xludf.DUMMYFUNCTION("""COMPUTED_VALUE"""),"envida")</f>
        <v>envida</v>
      </c>
      <c r="B4252" s="4" t="str">
        <f>IFERROR(__xludf.DUMMYFUNCTION("""COMPUTED_VALUE"""),"edat")</f>
        <v>edat</v>
      </c>
      <c r="C4252" s="4" t="str">
        <f>IFERROR(__xludf.DUMMYFUNCTION("""COMPUTED_VALUE"""),"EnviDa")</f>
        <v>EnviDa</v>
      </c>
    </row>
    <row r="4253">
      <c r="A4253" s="4" t="str">
        <f>IFERROR(__xludf.DUMMYFUNCTION("""COMPUTED_VALUE"""),"envi-foundation")</f>
        <v>envi-foundation</v>
      </c>
      <c r="B4253" s="4" t="str">
        <f>IFERROR(__xludf.DUMMYFUNCTION("""COMPUTED_VALUE"""),"envi")</f>
        <v>envi</v>
      </c>
      <c r="C4253" s="4" t="str">
        <f>IFERROR(__xludf.DUMMYFUNCTION("""COMPUTED_VALUE"""),"Envi Coin")</f>
        <v>Envi Coin</v>
      </c>
    </row>
    <row r="4254">
      <c r="A4254" s="4" t="str">
        <f>IFERROR(__xludf.DUMMYFUNCTION("""COMPUTED_VALUE"""),"envision")</f>
        <v>envision</v>
      </c>
      <c r="B4254" s="4" t="str">
        <f>IFERROR(__xludf.DUMMYFUNCTION("""COMPUTED_VALUE"""),"vis")</f>
        <v>vis</v>
      </c>
      <c r="C4254" s="4" t="str">
        <f>IFERROR(__xludf.DUMMYFUNCTION("""COMPUTED_VALUE"""),"Envision")</f>
        <v>Envision</v>
      </c>
    </row>
    <row r="4255">
      <c r="A4255" s="4" t="str">
        <f>IFERROR(__xludf.DUMMYFUNCTION("""COMPUTED_VALUE"""),"envoy-network")</f>
        <v>envoy-network</v>
      </c>
      <c r="B4255" s="4" t="str">
        <f>IFERROR(__xludf.DUMMYFUNCTION("""COMPUTED_VALUE"""),"env")</f>
        <v>env</v>
      </c>
      <c r="C4255" s="4" t="str">
        <f>IFERROR(__xludf.DUMMYFUNCTION("""COMPUTED_VALUE"""),"Envoy")</f>
        <v>Envoy</v>
      </c>
    </row>
    <row r="4256">
      <c r="A4256" s="4" t="str">
        <f>IFERROR(__xludf.DUMMYFUNCTION("""COMPUTED_VALUE"""),"eos")</f>
        <v>eos</v>
      </c>
      <c r="B4256" s="4" t="str">
        <f>IFERROR(__xludf.DUMMYFUNCTION("""COMPUTED_VALUE"""),"eos")</f>
        <v>eos</v>
      </c>
      <c r="C4256" s="4" t="str">
        <f>IFERROR(__xludf.DUMMYFUNCTION("""COMPUTED_VALUE"""),"EOS")</f>
        <v>EOS</v>
      </c>
    </row>
    <row r="4257">
      <c r="A4257" s="4" t="str">
        <f>IFERROR(__xludf.DUMMYFUNCTION("""COMPUTED_VALUE"""),"eosdac")</f>
        <v>eosdac</v>
      </c>
      <c r="B4257" s="4" t="str">
        <f>IFERROR(__xludf.DUMMYFUNCTION("""COMPUTED_VALUE"""),"eosdac")</f>
        <v>eosdac</v>
      </c>
      <c r="C4257" s="4" t="str">
        <f>IFERROR(__xludf.DUMMYFUNCTION("""COMPUTED_VALUE"""),"eosDAC")</f>
        <v>eosDAC</v>
      </c>
    </row>
    <row r="4258">
      <c r="A4258" s="4" t="str">
        <f>IFERROR(__xludf.DUMMYFUNCTION("""COMPUTED_VALUE"""),"eosforce")</f>
        <v>eosforce</v>
      </c>
      <c r="B4258" s="4" t="str">
        <f>IFERROR(__xludf.DUMMYFUNCTION("""COMPUTED_VALUE"""),"eosc")</f>
        <v>eosc</v>
      </c>
      <c r="C4258" s="4" t="str">
        <f>IFERROR(__xludf.DUMMYFUNCTION("""COMPUTED_VALUE"""),"EOSForce")</f>
        <v>EOSForce</v>
      </c>
    </row>
    <row r="4259">
      <c r="A4259" s="4" t="str">
        <f>IFERROR(__xludf.DUMMYFUNCTION("""COMPUTED_VALUE"""),"epep")</f>
        <v>epep</v>
      </c>
      <c r="B4259" s="4" t="str">
        <f>IFERROR(__xludf.DUMMYFUNCTION("""COMPUTED_VALUE"""),"epep")</f>
        <v>epep</v>
      </c>
      <c r="C4259" s="4" t="str">
        <f>IFERROR(__xludf.DUMMYFUNCTION("""COMPUTED_VALUE"""),"Epep")</f>
        <v>Epep</v>
      </c>
    </row>
    <row r="4260">
      <c r="A4260" s="4" t="str">
        <f>IFERROR(__xludf.DUMMYFUNCTION("""COMPUTED_VALUE"""),"epicbots")</f>
        <v>epicbots</v>
      </c>
      <c r="B4260" s="4" t="str">
        <f>IFERROR(__xludf.DUMMYFUNCTION("""COMPUTED_VALUE"""),"epic")</f>
        <v>epic</v>
      </c>
      <c r="C4260" s="4" t="str">
        <f>IFERROR(__xludf.DUMMYFUNCTION("""COMPUTED_VALUE"""),"EPICBOTS")</f>
        <v>EPICBOTS</v>
      </c>
    </row>
    <row r="4261">
      <c r="A4261" s="4" t="str">
        <f>IFERROR(__xludf.DUMMYFUNCTION("""COMPUTED_VALUE"""),"epic-cash")</f>
        <v>epic-cash</v>
      </c>
      <c r="B4261" s="4" t="str">
        <f>IFERROR(__xludf.DUMMYFUNCTION("""COMPUTED_VALUE"""),"epic")</f>
        <v>epic</v>
      </c>
      <c r="C4261" s="4" t="str">
        <f>IFERROR(__xludf.DUMMYFUNCTION("""COMPUTED_VALUE"""),"Epic Cash")</f>
        <v>Epic Cash</v>
      </c>
    </row>
    <row r="4262">
      <c r="A4262" s="4" t="str">
        <f>IFERROR(__xludf.DUMMYFUNCTION("""COMPUTED_VALUE"""),"epic-league")</f>
        <v>epic-league</v>
      </c>
      <c r="B4262" s="4" t="str">
        <f>IFERROR(__xludf.DUMMYFUNCTION("""COMPUTED_VALUE"""),"epl")</f>
        <v>epl</v>
      </c>
      <c r="C4262" s="4" t="str">
        <f>IFERROR(__xludf.DUMMYFUNCTION("""COMPUTED_VALUE"""),"Epic League")</f>
        <v>Epic League</v>
      </c>
    </row>
    <row r="4263">
      <c r="A4263" s="4" t="str">
        <f>IFERROR(__xludf.DUMMYFUNCTION("""COMPUTED_VALUE"""),"epics-token")</f>
        <v>epics-token</v>
      </c>
      <c r="B4263" s="4" t="str">
        <f>IFERROR(__xludf.DUMMYFUNCTION("""COMPUTED_VALUE"""),"epct")</f>
        <v>epct</v>
      </c>
      <c r="C4263" s="4" t="str">
        <f>IFERROR(__xludf.DUMMYFUNCTION("""COMPUTED_VALUE"""),"Epics Token")</f>
        <v>Epics Token</v>
      </c>
    </row>
    <row r="4264">
      <c r="A4264" s="4" t="str">
        <f>IFERROR(__xludf.DUMMYFUNCTION("""COMPUTED_VALUE"""),"epiko")</f>
        <v>epiko</v>
      </c>
      <c r="B4264" s="4" t="str">
        <f>IFERROR(__xludf.DUMMYFUNCTION("""COMPUTED_VALUE"""),"epiko")</f>
        <v>epiko</v>
      </c>
      <c r="C4264" s="4" t="str">
        <f>IFERROR(__xludf.DUMMYFUNCTION("""COMPUTED_VALUE"""),"Epiko")</f>
        <v>Epiko</v>
      </c>
    </row>
    <row r="4265">
      <c r="A4265" s="4" t="str">
        <f>IFERROR(__xludf.DUMMYFUNCTION("""COMPUTED_VALUE"""),"epik-prime")</f>
        <v>epik-prime</v>
      </c>
      <c r="B4265" s="4" t="str">
        <f>IFERROR(__xludf.DUMMYFUNCTION("""COMPUTED_VALUE"""),"epik")</f>
        <v>epik</v>
      </c>
      <c r="C4265" s="4" t="str">
        <f>IFERROR(__xludf.DUMMYFUNCTION("""COMPUTED_VALUE"""),"Epik Prime")</f>
        <v>Epik Prime</v>
      </c>
    </row>
    <row r="4266">
      <c r="A4266" s="4" t="str">
        <f>IFERROR(__xludf.DUMMYFUNCTION("""COMPUTED_VALUE"""),"epik-protocol")</f>
        <v>epik-protocol</v>
      </c>
      <c r="B4266" s="4" t="str">
        <f>IFERROR(__xludf.DUMMYFUNCTION("""COMPUTED_VALUE"""),"aiepk")</f>
        <v>aiepk</v>
      </c>
      <c r="C4266" s="4" t="str">
        <f>IFERROR(__xludf.DUMMYFUNCTION("""COMPUTED_VALUE"""),"EpiK Protocol")</f>
        <v>EpiK Protocol</v>
      </c>
    </row>
    <row r="4267">
      <c r="A4267" s="4" t="str">
        <f>IFERROR(__xludf.DUMMYFUNCTION("""COMPUTED_VALUE"""),"epillo")</f>
        <v>epillo</v>
      </c>
      <c r="B4267" s="4" t="str">
        <f>IFERROR(__xludf.DUMMYFUNCTION("""COMPUTED_VALUE"""),"epillo")</f>
        <v>epillo</v>
      </c>
      <c r="C4267" s="4" t="str">
        <f>IFERROR(__xludf.DUMMYFUNCTION("""COMPUTED_VALUE"""),"Epillo")</f>
        <v>Epillo</v>
      </c>
    </row>
    <row r="4268">
      <c r="A4268" s="4" t="str">
        <f>IFERROR(__xludf.DUMMYFUNCTION("""COMPUTED_VALUE"""),"epoch-island")</f>
        <v>epoch-island</v>
      </c>
      <c r="B4268" s="4" t="str">
        <f>IFERROR(__xludf.DUMMYFUNCTION("""COMPUTED_VALUE"""),"epoch")</f>
        <v>epoch</v>
      </c>
      <c r="C4268" s="4" t="str">
        <f>IFERROR(__xludf.DUMMYFUNCTION("""COMPUTED_VALUE"""),"Epoch Island")</f>
        <v>Epoch Island</v>
      </c>
    </row>
    <row r="4269">
      <c r="A4269" s="4" t="str">
        <f>IFERROR(__xludf.DUMMYFUNCTION("""COMPUTED_VALUE"""),"eq9")</f>
        <v>eq9</v>
      </c>
      <c r="B4269" s="4" t="str">
        <f>IFERROR(__xludf.DUMMYFUNCTION("""COMPUTED_VALUE"""),"eq9")</f>
        <v>eq9</v>
      </c>
      <c r="C4269" s="4" t="str">
        <f>IFERROR(__xludf.DUMMYFUNCTION("""COMPUTED_VALUE"""),"Equals9")</f>
        <v>Equals9</v>
      </c>
    </row>
    <row r="4270">
      <c r="A4270" s="4" t="str">
        <f>IFERROR(__xludf.DUMMYFUNCTION("""COMPUTED_VALUE"""),"eqifi")</f>
        <v>eqifi</v>
      </c>
      <c r="B4270" s="4" t="str">
        <f>IFERROR(__xludf.DUMMYFUNCTION("""COMPUTED_VALUE"""),"eqx")</f>
        <v>eqx</v>
      </c>
      <c r="C4270" s="4" t="str">
        <f>IFERROR(__xludf.DUMMYFUNCTION("""COMPUTED_VALUE"""),"EQIFi")</f>
        <v>EQIFi</v>
      </c>
    </row>
    <row r="4271">
      <c r="A4271" s="4" t="str">
        <f>IFERROR(__xludf.DUMMYFUNCTION("""COMPUTED_VALUE"""),"equalizer")</f>
        <v>equalizer</v>
      </c>
      <c r="B4271" s="4" t="str">
        <f>IFERROR(__xludf.DUMMYFUNCTION("""COMPUTED_VALUE"""),"eqz")</f>
        <v>eqz</v>
      </c>
      <c r="C4271" s="4" t="str">
        <f>IFERROR(__xludf.DUMMYFUNCTION("""COMPUTED_VALUE"""),"Equalizer")</f>
        <v>Equalizer</v>
      </c>
    </row>
    <row r="4272">
      <c r="A4272" s="4" t="str">
        <f>IFERROR(__xludf.DUMMYFUNCTION("""COMPUTED_VALUE"""),"equalizer-base")</f>
        <v>equalizer-base</v>
      </c>
      <c r="B4272" s="4" t="str">
        <f>IFERROR(__xludf.DUMMYFUNCTION("""COMPUTED_VALUE"""),"scale")</f>
        <v>scale</v>
      </c>
      <c r="C4272" s="4" t="str">
        <f>IFERROR(__xludf.DUMMYFUNCTION("""COMPUTED_VALUE"""),"Equalizer (BASE)")</f>
        <v>Equalizer (BASE)</v>
      </c>
    </row>
    <row r="4273">
      <c r="A4273" s="4" t="str">
        <f>IFERROR(__xludf.DUMMYFUNCTION("""COMPUTED_VALUE"""),"equalizer-dex")</f>
        <v>equalizer-dex</v>
      </c>
      <c r="B4273" s="4" t="str">
        <f>IFERROR(__xludf.DUMMYFUNCTION("""COMPUTED_VALUE"""),"equal")</f>
        <v>equal</v>
      </c>
      <c r="C4273" s="4" t="str">
        <f>IFERROR(__xludf.DUMMYFUNCTION("""COMPUTED_VALUE"""),"Equalizer DEX")</f>
        <v>Equalizer DEX</v>
      </c>
    </row>
    <row r="4274">
      <c r="A4274" s="4" t="str">
        <f>IFERROR(__xludf.DUMMYFUNCTION("""COMPUTED_VALUE"""),"equation")</f>
        <v>equation</v>
      </c>
      <c r="B4274" s="4" t="str">
        <f>IFERROR(__xludf.DUMMYFUNCTION("""COMPUTED_VALUE"""),"equ")</f>
        <v>equ</v>
      </c>
      <c r="C4274" s="4" t="str">
        <f>IFERROR(__xludf.DUMMYFUNCTION("""COMPUTED_VALUE"""),"Equation")</f>
        <v>Equation</v>
      </c>
    </row>
    <row r="4275">
      <c r="A4275" s="4" t="str">
        <f>IFERROR(__xludf.DUMMYFUNCTION("""COMPUTED_VALUE"""),"equilibre")</f>
        <v>equilibre</v>
      </c>
      <c r="B4275" s="4" t="str">
        <f>IFERROR(__xludf.DUMMYFUNCTION("""COMPUTED_VALUE"""),"vara")</f>
        <v>vara</v>
      </c>
      <c r="C4275" s="4" t="str">
        <f>IFERROR(__xludf.DUMMYFUNCTION("""COMPUTED_VALUE"""),"Equilibre")</f>
        <v>Equilibre</v>
      </c>
    </row>
    <row r="4276">
      <c r="A4276" s="4" t="str">
        <f>IFERROR(__xludf.DUMMYFUNCTION("""COMPUTED_VALUE"""),"equilibria-finance")</f>
        <v>equilibria-finance</v>
      </c>
      <c r="B4276" s="4" t="str">
        <f>IFERROR(__xludf.DUMMYFUNCTION("""COMPUTED_VALUE"""),"eqb")</f>
        <v>eqb</v>
      </c>
      <c r="C4276" s="4" t="str">
        <f>IFERROR(__xludf.DUMMYFUNCTION("""COMPUTED_VALUE"""),"Equilibria Finance")</f>
        <v>Equilibria Finance</v>
      </c>
    </row>
    <row r="4277">
      <c r="A4277" s="4" t="str">
        <f>IFERROR(__xludf.DUMMYFUNCTION("""COMPUTED_VALUE"""),"equilibria-finance-ependle")</f>
        <v>equilibria-finance-ependle</v>
      </c>
      <c r="B4277" s="4" t="str">
        <f>IFERROR(__xludf.DUMMYFUNCTION("""COMPUTED_VALUE"""),"ependle")</f>
        <v>ependle</v>
      </c>
      <c r="C4277" s="4" t="str">
        <f>IFERROR(__xludf.DUMMYFUNCTION("""COMPUTED_VALUE"""),"Equilibria Finance ePENDLE")</f>
        <v>Equilibria Finance ePENDLE</v>
      </c>
    </row>
    <row r="4278">
      <c r="A4278" s="4" t="str">
        <f>IFERROR(__xludf.DUMMYFUNCTION("""COMPUTED_VALUE"""),"equilibrium")</f>
        <v>equilibrium</v>
      </c>
      <c r="B4278" s="4" t="str">
        <f>IFERROR(__xludf.DUMMYFUNCTION("""COMPUTED_VALUE"""),"eq")</f>
        <v>eq</v>
      </c>
      <c r="C4278" s="4" t="str">
        <f>IFERROR(__xludf.DUMMYFUNCTION("""COMPUTED_VALUE"""),"Equilibrium Games")</f>
        <v>Equilibrium Games</v>
      </c>
    </row>
    <row r="4279">
      <c r="A4279" s="4" t="str">
        <f>IFERROR(__xludf.DUMMYFUNCTION("""COMPUTED_VALUE"""),"equilibrium-eosdt")</f>
        <v>equilibrium-eosdt</v>
      </c>
      <c r="B4279" s="4" t="str">
        <f>IFERROR(__xludf.DUMMYFUNCTION("""COMPUTED_VALUE"""),"eosdt")</f>
        <v>eosdt</v>
      </c>
      <c r="C4279" s="4" t="str">
        <f>IFERROR(__xludf.DUMMYFUNCTION("""COMPUTED_VALUE"""),"Equilibrium EOSDT")</f>
        <v>Equilibrium EOSDT</v>
      </c>
    </row>
    <row r="4280">
      <c r="A4280" s="4" t="str">
        <f>IFERROR(__xludf.DUMMYFUNCTION("""COMPUTED_VALUE"""),"equilibrium-exchange")</f>
        <v>equilibrium-exchange</v>
      </c>
      <c r="B4280" s="4" t="str">
        <f>IFERROR(__xludf.DUMMYFUNCTION("""COMPUTED_VALUE"""),"edx")</f>
        <v>edx</v>
      </c>
      <c r="C4280" s="4" t="str">
        <f>IFERROR(__xludf.DUMMYFUNCTION("""COMPUTED_VALUE"""),"Equilibrium Exchange")</f>
        <v>Equilibrium Exchange</v>
      </c>
    </row>
    <row r="4281">
      <c r="A4281" s="4" t="str">
        <f>IFERROR(__xludf.DUMMYFUNCTION("""COMPUTED_VALUE"""),"equilibrium-token")</f>
        <v>equilibrium-token</v>
      </c>
      <c r="B4281" s="4" t="str">
        <f>IFERROR(__xludf.DUMMYFUNCTION("""COMPUTED_VALUE"""),"eq")</f>
        <v>eq</v>
      </c>
      <c r="C4281" s="4" t="str">
        <f>IFERROR(__xludf.DUMMYFUNCTION("""COMPUTED_VALUE"""),"Equilibrium")</f>
        <v>Equilibrium</v>
      </c>
    </row>
    <row r="4282">
      <c r="A4282" s="4" t="str">
        <f>IFERROR(__xludf.DUMMYFUNCTION("""COMPUTED_VALUE"""),"equinox-ecosystem")</f>
        <v>equinox-ecosystem</v>
      </c>
      <c r="B4282" s="4" t="str">
        <f>IFERROR(__xludf.DUMMYFUNCTION("""COMPUTED_VALUE"""),"nox")</f>
        <v>nox</v>
      </c>
      <c r="C4282" s="4" t="str">
        <f>IFERROR(__xludf.DUMMYFUNCTION("""COMPUTED_VALUE"""),"Equinox Ecosystem")</f>
        <v>Equinox Ecosystem</v>
      </c>
    </row>
    <row r="4283">
      <c r="A4283" s="4" t="str">
        <f>IFERROR(__xludf.DUMMYFUNCTION("""COMPUTED_VALUE"""),"equitypay")</f>
        <v>equitypay</v>
      </c>
      <c r="B4283" s="4" t="str">
        <f>IFERROR(__xludf.DUMMYFUNCTION("""COMPUTED_VALUE"""),"eqpay")</f>
        <v>eqpay</v>
      </c>
      <c r="C4283" s="4" t="str">
        <f>IFERROR(__xludf.DUMMYFUNCTION("""COMPUTED_VALUE"""),"EquityPay")</f>
        <v>EquityPay</v>
      </c>
    </row>
    <row r="4284">
      <c r="A4284" s="4" t="str">
        <f>IFERROR(__xludf.DUMMYFUNCTION("""COMPUTED_VALUE"""),"era7")</f>
        <v>era7</v>
      </c>
      <c r="B4284" s="4" t="str">
        <f>IFERROR(__xludf.DUMMYFUNCTION("""COMPUTED_VALUE"""),"era")</f>
        <v>era</v>
      </c>
      <c r="C4284" s="4" t="str">
        <f>IFERROR(__xludf.DUMMYFUNCTION("""COMPUTED_VALUE"""),"Era7")</f>
        <v>Era7</v>
      </c>
    </row>
    <row r="4285">
      <c r="A4285" s="4" t="str">
        <f>IFERROR(__xludf.DUMMYFUNCTION("""COMPUTED_VALUE"""),"eraape")</f>
        <v>eraape</v>
      </c>
      <c r="B4285" s="4" t="str">
        <f>IFERROR(__xludf.DUMMYFUNCTION("""COMPUTED_VALUE"""),"eape")</f>
        <v>eape</v>
      </c>
      <c r="C4285" s="4" t="str">
        <f>IFERROR(__xludf.DUMMYFUNCTION("""COMPUTED_VALUE"""),"EraApe")</f>
        <v>EraApe</v>
      </c>
    </row>
    <row r="4286">
      <c r="A4286" s="4" t="str">
        <f>IFERROR(__xludf.DUMMYFUNCTION("""COMPUTED_VALUE"""),"e-radix")</f>
        <v>e-radix</v>
      </c>
      <c r="B4286" s="4" t="str">
        <f>IFERROR(__xludf.DUMMYFUNCTION("""COMPUTED_VALUE"""),"exrd")</f>
        <v>exrd</v>
      </c>
      <c r="C4286" s="4" t="str">
        <f>IFERROR(__xludf.DUMMYFUNCTION("""COMPUTED_VALUE"""),"e-Radix")</f>
        <v>e-Radix</v>
      </c>
    </row>
    <row r="4287">
      <c r="A4287" s="4" t="str">
        <f>IFERROR(__xludf.DUMMYFUNCTION("""COMPUTED_VALUE"""),"era-name-service")</f>
        <v>era-name-service</v>
      </c>
      <c r="B4287" s="4" t="str">
        <f>IFERROR(__xludf.DUMMYFUNCTION("""COMPUTED_VALUE"""),"era")</f>
        <v>era</v>
      </c>
      <c r="C4287" s="4" t="str">
        <f>IFERROR(__xludf.DUMMYFUNCTION("""COMPUTED_VALUE"""),"Era Name Service")</f>
        <v>Era Name Service</v>
      </c>
    </row>
    <row r="4288">
      <c r="A4288" s="4" t="str">
        <f>IFERROR(__xludf.DUMMYFUNCTION("""COMPUTED_VALUE"""),"era-swap-token")</f>
        <v>era-swap-token</v>
      </c>
      <c r="B4288" s="4" t="str">
        <f>IFERROR(__xludf.DUMMYFUNCTION("""COMPUTED_VALUE"""),"es")</f>
        <v>es</v>
      </c>
      <c r="C4288" s="4" t="str">
        <f>IFERROR(__xludf.DUMMYFUNCTION("""COMPUTED_VALUE"""),"Era Swap")</f>
        <v>Era Swap</v>
      </c>
    </row>
    <row r="4289">
      <c r="A4289" s="4" t="str">
        <f>IFERROR(__xludf.DUMMYFUNCTION("""COMPUTED_VALUE"""),"ergo")</f>
        <v>ergo</v>
      </c>
      <c r="B4289" s="4" t="str">
        <f>IFERROR(__xludf.DUMMYFUNCTION("""COMPUTED_VALUE"""),"erg")</f>
        <v>erg</v>
      </c>
      <c r="C4289" s="4" t="str">
        <f>IFERROR(__xludf.DUMMYFUNCTION("""COMPUTED_VALUE"""),"Ergo")</f>
        <v>Ergo</v>
      </c>
    </row>
    <row r="4290">
      <c r="A4290" s="4" t="str">
        <f>IFERROR(__xludf.DUMMYFUNCTION("""COMPUTED_VALUE"""),"ergone")</f>
        <v>ergone</v>
      </c>
      <c r="B4290" s="4" t="str">
        <f>IFERROR(__xludf.DUMMYFUNCTION("""COMPUTED_VALUE"""),"ergone")</f>
        <v>ergone</v>
      </c>
      <c r="C4290" s="4" t="str">
        <f>IFERROR(__xludf.DUMMYFUNCTION("""COMPUTED_VALUE"""),"ErgOne")</f>
        <v>ErgOne</v>
      </c>
    </row>
    <row r="4291">
      <c r="A4291" s="4" t="str">
        <f>IFERROR(__xludf.DUMMYFUNCTION("""COMPUTED_VALUE"""),"ergopad")</f>
        <v>ergopad</v>
      </c>
      <c r="B4291" s="4" t="str">
        <f>IFERROR(__xludf.DUMMYFUNCTION("""COMPUTED_VALUE"""),"ergopad")</f>
        <v>ergopad</v>
      </c>
      <c r="C4291" s="4" t="str">
        <f>IFERROR(__xludf.DUMMYFUNCTION("""COMPUTED_VALUE"""),"Ergopad")</f>
        <v>Ergopad</v>
      </c>
    </row>
    <row r="4292">
      <c r="A4292" s="4" t="str">
        <f>IFERROR(__xludf.DUMMYFUNCTION("""COMPUTED_VALUE"""),"eris-amplified-huahua")</f>
        <v>eris-amplified-huahua</v>
      </c>
      <c r="B4292" s="4" t="str">
        <f>IFERROR(__xludf.DUMMYFUNCTION("""COMPUTED_VALUE"""),"amphuahua")</f>
        <v>amphuahua</v>
      </c>
      <c r="C4292" s="4" t="str">
        <f>IFERROR(__xludf.DUMMYFUNCTION("""COMPUTED_VALUE"""),"Eris Amplified HUAHUA")</f>
        <v>Eris Amplified HUAHUA</v>
      </c>
    </row>
    <row r="4293">
      <c r="A4293" s="4" t="str">
        <f>IFERROR(__xludf.DUMMYFUNCTION("""COMPUTED_VALUE"""),"eris-amplified-juno")</f>
        <v>eris-amplified-juno</v>
      </c>
      <c r="B4293" s="4" t="str">
        <f>IFERROR(__xludf.DUMMYFUNCTION("""COMPUTED_VALUE"""),"ampjuno")</f>
        <v>ampjuno</v>
      </c>
      <c r="C4293" s="4" t="str">
        <f>IFERROR(__xludf.DUMMYFUNCTION("""COMPUTED_VALUE"""),"Eris Amplified JUNO")</f>
        <v>Eris Amplified JUNO</v>
      </c>
    </row>
    <row r="4294">
      <c r="A4294" s="4" t="str">
        <f>IFERROR(__xludf.DUMMYFUNCTION("""COMPUTED_VALUE"""),"eris-amplified-luna")</f>
        <v>eris-amplified-luna</v>
      </c>
      <c r="B4294" s="4" t="str">
        <f>IFERROR(__xludf.DUMMYFUNCTION("""COMPUTED_VALUE"""),"ampluna")</f>
        <v>ampluna</v>
      </c>
      <c r="C4294" s="4" t="str">
        <f>IFERROR(__xludf.DUMMYFUNCTION("""COMPUTED_VALUE"""),"Eris Amplified Luna")</f>
        <v>Eris Amplified Luna</v>
      </c>
    </row>
    <row r="4295">
      <c r="A4295" s="4" t="str">
        <f>IFERROR(__xludf.DUMMYFUNCTION("""COMPUTED_VALUE"""),"eris-amplified-mnta")</f>
        <v>eris-amplified-mnta</v>
      </c>
      <c r="B4295" s="4" t="str">
        <f>IFERROR(__xludf.DUMMYFUNCTION("""COMPUTED_VALUE"""),"ampmnta")</f>
        <v>ampmnta</v>
      </c>
      <c r="C4295" s="4" t="str">
        <f>IFERROR(__xludf.DUMMYFUNCTION("""COMPUTED_VALUE"""),"Eris Amplified MNTA")</f>
        <v>Eris Amplified MNTA</v>
      </c>
    </row>
    <row r="4296">
      <c r="A4296" s="4" t="str">
        <f>IFERROR(__xludf.DUMMYFUNCTION("""COMPUTED_VALUE"""),"eris-amplified-osmo")</f>
        <v>eris-amplified-osmo</v>
      </c>
      <c r="B4296" s="4" t="str">
        <f>IFERROR(__xludf.DUMMYFUNCTION("""COMPUTED_VALUE"""),"amposmo")</f>
        <v>amposmo</v>
      </c>
      <c r="C4296" s="4" t="str">
        <f>IFERROR(__xludf.DUMMYFUNCTION("""COMPUTED_VALUE"""),"Eris amplified OSMO")</f>
        <v>Eris amplified OSMO</v>
      </c>
    </row>
    <row r="4297">
      <c r="A4297" s="4" t="str">
        <f>IFERROR(__xludf.DUMMYFUNCTION("""COMPUTED_VALUE"""),"eris-amplified-whale")</f>
        <v>eris-amplified-whale</v>
      </c>
      <c r="B4297" s="4" t="str">
        <f>IFERROR(__xludf.DUMMYFUNCTION("""COMPUTED_VALUE"""),"ampwhale")</f>
        <v>ampwhale</v>
      </c>
      <c r="C4297" s="4" t="str">
        <f>IFERROR(__xludf.DUMMYFUNCTION("""COMPUTED_VALUE"""),"Eris Amplified WHALE")</f>
        <v>Eris Amplified WHALE</v>
      </c>
    </row>
    <row r="4298">
      <c r="A4298" s="4" t="str">
        <f>IFERROR(__xludf.DUMMYFUNCTION("""COMPUTED_VALUE"""),"eris-staked-kuji")</f>
        <v>eris-staked-kuji</v>
      </c>
      <c r="B4298" s="4" t="str">
        <f>IFERROR(__xludf.DUMMYFUNCTION("""COMPUTED_VALUE"""),"ampkuji")</f>
        <v>ampkuji</v>
      </c>
      <c r="C4298" s="4" t="str">
        <f>IFERROR(__xludf.DUMMYFUNCTION("""COMPUTED_VALUE"""),"Eris Staked Kuji")</f>
        <v>Eris Staked Kuji</v>
      </c>
    </row>
    <row r="4299">
      <c r="A4299" s="4" t="str">
        <f>IFERROR(__xludf.DUMMYFUNCTION("""COMPUTED_VALUE"""),"eris-staked-mnta")</f>
        <v>eris-staked-mnta</v>
      </c>
      <c r="B4299" s="4" t="str">
        <f>IFERROR(__xludf.DUMMYFUNCTION("""COMPUTED_VALUE"""),"ampmnta")</f>
        <v>ampmnta</v>
      </c>
      <c r="C4299" s="4" t="str">
        <f>IFERROR(__xludf.DUMMYFUNCTION("""COMPUTED_VALUE"""),"Eris Staked Mnta")</f>
        <v>Eris Staked Mnta</v>
      </c>
    </row>
    <row r="4300">
      <c r="A4300" s="4" t="str">
        <f>IFERROR(__xludf.DUMMYFUNCTION("""COMPUTED_VALUE"""),"error404")</f>
        <v>error404</v>
      </c>
      <c r="B4300" s="4" t="str">
        <f>IFERROR(__xludf.DUMMYFUNCTION("""COMPUTED_VALUE"""),"pnf")</f>
        <v>pnf</v>
      </c>
      <c r="C4300" s="4" t="str">
        <f>IFERROR(__xludf.DUMMYFUNCTION("""COMPUTED_VALUE"""),"ERROR404")</f>
        <v>ERROR404</v>
      </c>
    </row>
    <row r="4301">
      <c r="A4301" s="4" t="str">
        <f>IFERROR(__xludf.DUMMYFUNCTION("""COMPUTED_VALUE"""),"error-404")</f>
        <v>error-404</v>
      </c>
      <c r="B4301" s="4" t="str">
        <f>IFERROR(__xludf.DUMMYFUNCTION("""COMPUTED_VALUE"""),"$err")</f>
        <v>$err</v>
      </c>
      <c r="C4301" s="4" t="str">
        <f>IFERROR(__xludf.DUMMYFUNCTION("""COMPUTED_VALUE"""),"Error 404")</f>
        <v>Error 404</v>
      </c>
    </row>
    <row r="4302">
      <c r="A4302" s="4" t="str">
        <f>IFERROR(__xludf.DUMMYFUNCTION("""COMPUTED_VALUE"""),"ertha")</f>
        <v>ertha</v>
      </c>
      <c r="B4302" s="4" t="str">
        <f>IFERROR(__xludf.DUMMYFUNCTION("""COMPUTED_VALUE"""),"ertha")</f>
        <v>ertha</v>
      </c>
      <c r="C4302" s="4" t="str">
        <f>IFERROR(__xludf.DUMMYFUNCTION("""COMPUTED_VALUE"""),"Ertha")</f>
        <v>Ertha</v>
      </c>
    </row>
    <row r="4303">
      <c r="A4303" s="4" t="str">
        <f>IFERROR(__xludf.DUMMYFUNCTION("""COMPUTED_VALUE"""),"erth-point")</f>
        <v>erth-point</v>
      </c>
      <c r="B4303" s="4" t="str">
        <f>IFERROR(__xludf.DUMMYFUNCTION("""COMPUTED_VALUE"""),"erth")</f>
        <v>erth</v>
      </c>
      <c r="C4303" s="4" t="str">
        <f>IFERROR(__xludf.DUMMYFUNCTION("""COMPUTED_VALUE"""),"Erth Point")</f>
        <v>Erth Point</v>
      </c>
    </row>
    <row r="4304">
      <c r="A4304" s="4" t="str">
        <f>IFERROR(__xludf.DUMMYFUNCTION("""COMPUTED_VALUE"""),"esab")</f>
        <v>esab</v>
      </c>
      <c r="B4304" s="4" t="str">
        <f>IFERROR(__xludf.DUMMYFUNCTION("""COMPUTED_VALUE"""),"$esab")</f>
        <v>$esab</v>
      </c>
      <c r="C4304" s="4" t="str">
        <f>IFERROR(__xludf.DUMMYFUNCTION("""COMPUTED_VALUE"""),"ESAB")</f>
        <v>ESAB</v>
      </c>
    </row>
    <row r="4305">
      <c r="A4305" s="4" t="str">
        <f>IFERROR(__xludf.DUMMYFUNCTION("""COMPUTED_VALUE"""),"esco-coin")</f>
        <v>esco-coin</v>
      </c>
      <c r="B4305" s="4" t="str">
        <f>IFERROR(__xludf.DUMMYFUNCTION("""COMPUTED_VALUE"""),"esco")</f>
        <v>esco</v>
      </c>
      <c r="C4305" s="4" t="str">
        <f>IFERROR(__xludf.DUMMYFUNCTION("""COMPUTED_VALUE"""),"Esco Coin")</f>
        <v>Esco Coin</v>
      </c>
    </row>
    <row r="4306">
      <c r="A4306" s="4" t="str">
        <f>IFERROR(__xludf.DUMMYFUNCTION("""COMPUTED_VALUE"""),"escoin-token")</f>
        <v>escoin-token</v>
      </c>
      <c r="B4306" s="4" t="str">
        <f>IFERROR(__xludf.DUMMYFUNCTION("""COMPUTED_VALUE"""),"elg")</f>
        <v>elg</v>
      </c>
      <c r="C4306" s="4" t="str">
        <f>IFERROR(__xludf.DUMMYFUNCTION("""COMPUTED_VALUE"""),"Escoin")</f>
        <v>Escoin</v>
      </c>
    </row>
    <row r="4307">
      <c r="A4307" s="4" t="str">
        <f>IFERROR(__xludf.DUMMYFUNCTION("""COMPUTED_VALUE"""),"escrowed-illuvium-2")</f>
        <v>escrowed-illuvium-2</v>
      </c>
      <c r="B4307" s="4" t="str">
        <f>IFERROR(__xludf.DUMMYFUNCTION("""COMPUTED_VALUE"""),"silv2")</f>
        <v>silv2</v>
      </c>
      <c r="C4307" s="4" t="str">
        <f>IFERROR(__xludf.DUMMYFUNCTION("""COMPUTED_VALUE"""),"Escrowed Illuvium 2")</f>
        <v>Escrowed Illuvium 2</v>
      </c>
    </row>
    <row r="4308">
      <c r="A4308" s="4" t="str">
        <f>IFERROR(__xludf.DUMMYFUNCTION("""COMPUTED_VALUE"""),"escrowed-lbr")</f>
        <v>escrowed-lbr</v>
      </c>
      <c r="B4308" s="4" t="str">
        <f>IFERROR(__xludf.DUMMYFUNCTION("""COMPUTED_VALUE"""),"eslbr")</f>
        <v>eslbr</v>
      </c>
      <c r="C4308" s="4" t="str">
        <f>IFERROR(__xludf.DUMMYFUNCTION("""COMPUTED_VALUE"""),"Escrowed LBR")</f>
        <v>Escrowed LBR</v>
      </c>
    </row>
    <row r="4309">
      <c r="A4309" s="4" t="str">
        <f>IFERROR(__xludf.DUMMYFUNCTION("""COMPUTED_VALUE"""),"escrowed-prf")</f>
        <v>escrowed-prf</v>
      </c>
      <c r="B4309" s="4" t="str">
        <f>IFERROR(__xludf.DUMMYFUNCTION("""COMPUTED_VALUE"""),"esprf")</f>
        <v>esprf</v>
      </c>
      <c r="C4309" s="4" t="str">
        <f>IFERROR(__xludf.DUMMYFUNCTION("""COMPUTED_VALUE"""),"escrowed PRF")</f>
        <v>escrowed PRF</v>
      </c>
    </row>
    <row r="4310">
      <c r="A4310" s="4" t="str">
        <f>IFERROR(__xludf.DUMMYFUNCTION("""COMPUTED_VALUE"""),"esg")</f>
        <v>esg</v>
      </c>
      <c r="B4310" s="4" t="str">
        <f>IFERROR(__xludf.DUMMYFUNCTION("""COMPUTED_VALUE"""),"esg")</f>
        <v>esg</v>
      </c>
      <c r="C4310" s="4" t="str">
        <f>IFERROR(__xludf.DUMMYFUNCTION("""COMPUTED_VALUE"""),"ESG")</f>
        <v>ESG</v>
      </c>
    </row>
    <row r="4311">
      <c r="A4311" s="4" t="str">
        <f>IFERROR(__xludf.DUMMYFUNCTION("""COMPUTED_VALUE"""),"esg-chain")</f>
        <v>esg-chain</v>
      </c>
      <c r="B4311" s="4" t="str">
        <f>IFERROR(__xludf.DUMMYFUNCTION("""COMPUTED_VALUE"""),"esgc")</f>
        <v>esgc</v>
      </c>
      <c r="C4311" s="4" t="str">
        <f>IFERROR(__xludf.DUMMYFUNCTION("""COMPUTED_VALUE"""),"ESG Chain")</f>
        <v>ESG Chain</v>
      </c>
    </row>
    <row r="4312">
      <c r="A4312" s="4" t="str">
        <f>IFERROR(__xludf.DUMMYFUNCTION("""COMPUTED_VALUE"""),"eska")</f>
        <v>eska</v>
      </c>
      <c r="B4312" s="4" t="str">
        <f>IFERROR(__xludf.DUMMYFUNCTION("""COMPUTED_VALUE"""),"esk")</f>
        <v>esk</v>
      </c>
      <c r="C4312" s="4" t="str">
        <f>IFERROR(__xludf.DUMMYFUNCTION("""COMPUTED_VALUE"""),"Eska")</f>
        <v>Eska</v>
      </c>
    </row>
    <row r="4313">
      <c r="A4313" s="4" t="str">
        <f>IFERROR(__xludf.DUMMYFUNCTION("""COMPUTED_VALUE"""),"eskisehir-fan-token")</f>
        <v>eskisehir-fan-token</v>
      </c>
      <c r="B4313" s="4" t="str">
        <f>IFERROR(__xludf.DUMMYFUNCTION("""COMPUTED_VALUE"""),"eses")</f>
        <v>eses</v>
      </c>
      <c r="C4313" s="4" t="str">
        <f>IFERROR(__xludf.DUMMYFUNCTION("""COMPUTED_VALUE"""),"Eskişehir Fan Token")</f>
        <v>Eskişehir Fan Token</v>
      </c>
    </row>
    <row r="4314">
      <c r="A4314" s="4" t="str">
        <f>IFERROR(__xludf.DUMMYFUNCTION("""COMPUTED_VALUE"""),"espento")</f>
        <v>espento</v>
      </c>
      <c r="B4314" s="4" t="str">
        <f>IFERROR(__xludf.DUMMYFUNCTION("""COMPUTED_VALUE"""),"spent")</f>
        <v>spent</v>
      </c>
      <c r="C4314" s="4" t="str">
        <f>IFERROR(__xludf.DUMMYFUNCTION("""COMPUTED_VALUE"""),"Espento")</f>
        <v>Espento</v>
      </c>
    </row>
    <row r="4315">
      <c r="A4315" s="4" t="str">
        <f>IFERROR(__xludf.DUMMYFUNCTION("""COMPUTED_VALUE"""),"espento-usd")</f>
        <v>espento-usd</v>
      </c>
      <c r="B4315" s="4" t="str">
        <f>IFERROR(__xludf.DUMMYFUNCTION("""COMPUTED_VALUE"""),"eusd")</f>
        <v>eusd</v>
      </c>
      <c r="C4315" s="4" t="str">
        <f>IFERROR(__xludf.DUMMYFUNCTION("""COMPUTED_VALUE"""),"Espento USD")</f>
        <v>Espento USD</v>
      </c>
    </row>
    <row r="4316">
      <c r="A4316" s="4" t="str">
        <f>IFERROR(__xludf.DUMMYFUNCTION("""COMPUTED_VALUE"""),"espl-arena")</f>
        <v>espl-arena</v>
      </c>
      <c r="B4316" s="4" t="str">
        <f>IFERROR(__xludf.DUMMYFUNCTION("""COMPUTED_VALUE"""),"arena")</f>
        <v>arena</v>
      </c>
      <c r="C4316" s="4" t="str">
        <f>IFERROR(__xludf.DUMMYFUNCTION("""COMPUTED_VALUE"""),"ESPL Arena")</f>
        <v>ESPL Arena</v>
      </c>
    </row>
    <row r="4317">
      <c r="A4317" s="4" t="str">
        <f>IFERROR(__xludf.DUMMYFUNCTION("""COMPUTED_VALUE"""),"esport")</f>
        <v>esport</v>
      </c>
      <c r="B4317" s="4" t="str">
        <f>IFERROR(__xludf.DUMMYFUNCTION("""COMPUTED_VALUE"""),"espt")</f>
        <v>espt</v>
      </c>
      <c r="C4317" s="4" t="str">
        <f>IFERROR(__xludf.DUMMYFUNCTION("""COMPUTED_VALUE"""),"Esport")</f>
        <v>Esport</v>
      </c>
    </row>
    <row r="4318">
      <c r="A4318" s="4" t="str">
        <f>IFERROR(__xludf.DUMMYFUNCTION("""COMPUTED_VALUE"""),"esporte-clube-bahia-fan-token")</f>
        <v>esporte-clube-bahia-fan-token</v>
      </c>
      <c r="B4318" s="4" t="str">
        <f>IFERROR(__xludf.DUMMYFUNCTION("""COMPUTED_VALUE"""),"bahia")</f>
        <v>bahia</v>
      </c>
      <c r="C4318" s="4" t="str">
        <f>IFERROR(__xludf.DUMMYFUNCTION("""COMPUTED_VALUE"""),"Esporte Clube Bahia Fan Token")</f>
        <v>Esporte Clube Bahia Fan Token</v>
      </c>
    </row>
    <row r="4319">
      <c r="A4319" s="4" t="str">
        <f>IFERROR(__xludf.DUMMYFUNCTION("""COMPUTED_VALUE"""),"espresso-bot")</f>
        <v>espresso-bot</v>
      </c>
      <c r="B4319" s="4" t="str">
        <f>IFERROR(__xludf.DUMMYFUNCTION("""COMPUTED_VALUE"""),"espr")</f>
        <v>espr</v>
      </c>
      <c r="C4319" s="4" t="str">
        <f>IFERROR(__xludf.DUMMYFUNCTION("""COMPUTED_VALUE"""),"Espresso Bot")</f>
        <v>Espresso Bot</v>
      </c>
    </row>
    <row r="4320">
      <c r="A4320" s="4" t="str">
        <f>IFERROR(__xludf.DUMMYFUNCTION("""COMPUTED_VALUE"""),"essentia")</f>
        <v>essentia</v>
      </c>
      <c r="B4320" s="4" t="str">
        <f>IFERROR(__xludf.DUMMYFUNCTION("""COMPUTED_VALUE"""),"ess")</f>
        <v>ess</v>
      </c>
      <c r="C4320" s="4" t="str">
        <f>IFERROR(__xludf.DUMMYFUNCTION("""COMPUTED_VALUE"""),"Essentia")</f>
        <v>Essentia</v>
      </c>
    </row>
    <row r="4321">
      <c r="A4321" s="4" t="str">
        <f>IFERROR(__xludf.DUMMYFUNCTION("""COMPUTED_VALUE"""),"etcpow")</f>
        <v>etcpow</v>
      </c>
      <c r="B4321" s="4" t="str">
        <f>IFERROR(__xludf.DUMMYFUNCTION("""COMPUTED_VALUE"""),"etcpow")</f>
        <v>etcpow</v>
      </c>
      <c r="C4321" s="4" t="str">
        <f>IFERROR(__xludf.DUMMYFUNCTION("""COMPUTED_VALUE"""),"ETCPOW")</f>
        <v>ETCPOW</v>
      </c>
    </row>
    <row r="4322">
      <c r="A4322" s="4" t="str">
        <f>IFERROR(__xludf.DUMMYFUNCTION("""COMPUTED_VALUE"""),"eternal-ai")</f>
        <v>eternal-ai</v>
      </c>
      <c r="B4322" s="4" t="str">
        <f>IFERROR(__xludf.DUMMYFUNCTION("""COMPUTED_VALUE"""),"mind")</f>
        <v>mind</v>
      </c>
      <c r="C4322" s="4" t="str">
        <f>IFERROR(__xludf.DUMMYFUNCTION("""COMPUTED_VALUE"""),"Eternal AI")</f>
        <v>Eternal AI</v>
      </c>
    </row>
    <row r="4323">
      <c r="A4323" s="4" t="str">
        <f>IFERROR(__xludf.DUMMYFUNCTION("""COMPUTED_VALUE"""),"eternalflow")</f>
        <v>eternalflow</v>
      </c>
      <c r="B4323" s="4" t="str">
        <f>IFERROR(__xludf.DUMMYFUNCTION("""COMPUTED_VALUE"""),"eft")</f>
        <v>eft</v>
      </c>
      <c r="C4323" s="4" t="str">
        <f>IFERROR(__xludf.DUMMYFUNCTION("""COMPUTED_VALUE"""),"EternalFlow")</f>
        <v>EternalFlow</v>
      </c>
    </row>
    <row r="4324">
      <c r="A4324" s="4" t="str">
        <f>IFERROR(__xludf.DUMMYFUNCTION("""COMPUTED_VALUE"""),"eternity-glory-token")</f>
        <v>eternity-glory-token</v>
      </c>
      <c r="B4324" s="4" t="str">
        <f>IFERROR(__xludf.DUMMYFUNCTION("""COMPUTED_VALUE"""),"$glory")</f>
        <v>$glory</v>
      </c>
      <c r="C4324" s="4" t="str">
        <f>IFERROR(__xludf.DUMMYFUNCTION("""COMPUTED_VALUE"""),"Eternity GLORY Token")</f>
        <v>Eternity GLORY Token</v>
      </c>
    </row>
    <row r="4325">
      <c r="A4325" s="4" t="str">
        <f>IFERROR(__xludf.DUMMYFUNCTION("""COMPUTED_VALUE"""),"etf-rocks")</f>
        <v>etf-rocks</v>
      </c>
      <c r="B4325" s="4" t="str">
        <f>IFERROR(__xludf.DUMMYFUNCTION("""COMPUTED_VALUE"""),"etf")</f>
        <v>etf</v>
      </c>
      <c r="C4325" s="4" t="str">
        <f>IFERROR(__xludf.DUMMYFUNCTION("""COMPUTED_VALUE"""),"ETF Rocks")</f>
        <v>ETF Rocks</v>
      </c>
    </row>
    <row r="4326">
      <c r="A4326" s="4" t="str">
        <f>IFERROR(__xludf.DUMMYFUNCTION("""COMPUTED_VALUE"""),"etfsol2024")</f>
        <v>etfsol2024</v>
      </c>
      <c r="B4326" s="4" t="str">
        <f>IFERROR(__xludf.DUMMYFUNCTION("""COMPUTED_VALUE"""),"etf")</f>
        <v>etf</v>
      </c>
      <c r="C4326" s="4" t="str">
        <f>IFERROR(__xludf.DUMMYFUNCTION("""COMPUTED_VALUE"""),"ETFSOL2024")</f>
        <v>ETFSOL2024</v>
      </c>
    </row>
    <row r="4327">
      <c r="A4327" s="4" t="str">
        <f>IFERROR(__xludf.DUMMYFUNCTION("""COMPUTED_VALUE"""),"etf-the-token")</f>
        <v>etf-the-token</v>
      </c>
      <c r="B4327" s="4" t="str">
        <f>IFERROR(__xludf.DUMMYFUNCTION("""COMPUTED_VALUE"""),"etf")</f>
        <v>etf</v>
      </c>
      <c r="C4327" s="4" t="str">
        <f>IFERROR(__xludf.DUMMYFUNCTION("""COMPUTED_VALUE"""),"ETF The Token")</f>
        <v>ETF The Token</v>
      </c>
    </row>
    <row r="4328">
      <c r="A4328" s="4" t="str">
        <f>IFERROR(__xludf.DUMMYFUNCTION("""COMPUTED_VALUE"""),"etgm-ordinals")</f>
        <v>etgm-ordinals</v>
      </c>
      <c r="B4328" s="4" t="str">
        <f>IFERROR(__xludf.DUMMYFUNCTION("""COMPUTED_VALUE"""),"etgm")</f>
        <v>etgm</v>
      </c>
      <c r="C4328" s="4" t="str">
        <f>IFERROR(__xludf.DUMMYFUNCTION("""COMPUTED_VALUE"""),"ETGM (Ordinals)")</f>
        <v>ETGM (Ordinals)</v>
      </c>
    </row>
    <row r="4329">
      <c r="A4329" s="4" t="str">
        <f>IFERROR(__xludf.DUMMYFUNCTION("""COMPUTED_VALUE"""),"eth-2-0")</f>
        <v>eth-2-0</v>
      </c>
      <c r="B4329" s="4" t="str">
        <f>IFERROR(__xludf.DUMMYFUNCTION("""COMPUTED_VALUE"""),"eth 2.0")</f>
        <v>eth 2.0</v>
      </c>
      <c r="C4329" s="4" t="str">
        <f>IFERROR(__xludf.DUMMYFUNCTION("""COMPUTED_VALUE"""),"ETH 2.0")</f>
        <v>ETH 2.0</v>
      </c>
    </row>
    <row r="4330">
      <c r="A4330" s="4" t="str">
        <f>IFERROR(__xludf.DUMMYFUNCTION("""COMPUTED_VALUE"""),"eth2-staking-by-poolx")</f>
        <v>eth2-staking-by-poolx</v>
      </c>
      <c r="B4330" s="4" t="str">
        <f>IFERROR(__xludf.DUMMYFUNCTION("""COMPUTED_VALUE"""),"eth2")</f>
        <v>eth2</v>
      </c>
      <c r="C4330" s="4" t="str">
        <f>IFERROR(__xludf.DUMMYFUNCTION("""COMPUTED_VALUE"""),"Eth 2.0 Staking by Pool-X")</f>
        <v>Eth 2.0 Staking by Pool-X</v>
      </c>
    </row>
    <row r="4331">
      <c r="A4331" s="4" t="str">
        <f>IFERROR(__xludf.DUMMYFUNCTION("""COMPUTED_VALUE"""),"eth-2x-flexible-leverage-index")</f>
        <v>eth-2x-flexible-leverage-index</v>
      </c>
      <c r="B4331" s="4" t="str">
        <f>IFERROR(__xludf.DUMMYFUNCTION("""COMPUTED_VALUE"""),"eth2x-fli")</f>
        <v>eth2x-fli</v>
      </c>
      <c r="C4331" s="4" t="str">
        <f>IFERROR(__xludf.DUMMYFUNCTION("""COMPUTED_VALUE"""),"Index Coop - ETH 2x Flexible Leverage Index")</f>
        <v>Index Coop - ETH 2x Flexible Leverage Index</v>
      </c>
    </row>
    <row r="4332">
      <c r="A4332" s="4" t="str">
        <f>IFERROR(__xludf.DUMMYFUNCTION("""COMPUTED_VALUE"""),"eth3s")</f>
        <v>eth3s</v>
      </c>
      <c r="B4332" s="4" t="str">
        <f>IFERROR(__xludf.DUMMYFUNCTION("""COMPUTED_VALUE"""),"eth3s")</f>
        <v>eth3s</v>
      </c>
      <c r="C4332" s="4" t="str">
        <f>IFERROR(__xludf.DUMMYFUNCTION("""COMPUTED_VALUE"""),"ETH3S")</f>
        <v>ETH3S</v>
      </c>
    </row>
    <row r="4333">
      <c r="A4333" s="4" t="str">
        <f>IFERROR(__xludf.DUMMYFUNCTION("""COMPUTED_VALUE"""),"etha-lend")</f>
        <v>etha-lend</v>
      </c>
      <c r="B4333" s="4" t="str">
        <f>IFERROR(__xludf.DUMMYFUNCTION("""COMPUTED_VALUE"""),"etha")</f>
        <v>etha</v>
      </c>
      <c r="C4333" s="4" t="str">
        <f>IFERROR(__xludf.DUMMYFUNCTION("""COMPUTED_VALUE"""),"ETHA Lend")</f>
        <v>ETHA Lend</v>
      </c>
    </row>
    <row r="4334">
      <c r="A4334" s="4" t="str">
        <f>IFERROR(__xludf.DUMMYFUNCTION("""COMPUTED_VALUE"""),"ethane")</f>
        <v>ethane</v>
      </c>
      <c r="B4334" s="4" t="str">
        <f>IFERROR(__xludf.DUMMYFUNCTION("""COMPUTED_VALUE"""),"c2h6")</f>
        <v>c2h6</v>
      </c>
      <c r="C4334" s="4" t="str">
        <f>IFERROR(__xludf.DUMMYFUNCTION("""COMPUTED_VALUE"""),"Ethane")</f>
        <v>Ethane</v>
      </c>
    </row>
    <row r="4335">
      <c r="A4335" s="4" t="str">
        <f>IFERROR(__xludf.DUMMYFUNCTION("""COMPUTED_VALUE"""),"ethax")</f>
        <v>ethax</v>
      </c>
      <c r="B4335" s="4" t="str">
        <f>IFERROR(__xludf.DUMMYFUNCTION("""COMPUTED_VALUE"""),"ethax")</f>
        <v>ethax</v>
      </c>
      <c r="C4335" s="4" t="str">
        <f>IFERROR(__xludf.DUMMYFUNCTION("""COMPUTED_VALUE"""),"ETHAX")</f>
        <v>ETHAX</v>
      </c>
    </row>
    <row r="4336">
      <c r="A4336" s="4" t="str">
        <f>IFERROR(__xludf.DUMMYFUNCTION("""COMPUTED_VALUE"""),"eth-coin-mori-finance")</f>
        <v>eth-coin-mori-finance</v>
      </c>
      <c r="B4336" s="4" t="str">
        <f>IFERROR(__xludf.DUMMYFUNCTION("""COMPUTED_VALUE"""),"ethc")</f>
        <v>ethc</v>
      </c>
      <c r="C4336" s="4" t="str">
        <f>IFERROR(__xludf.DUMMYFUNCTION("""COMPUTED_VALUE"""),"ETH Coin")</f>
        <v>ETH Coin</v>
      </c>
    </row>
    <row r="4337">
      <c r="A4337" s="4" t="str">
        <f>IFERROR(__xludf.DUMMYFUNCTION("""COMPUTED_VALUE"""),"ethdown")</f>
        <v>ethdown</v>
      </c>
      <c r="B4337" s="4" t="str">
        <f>IFERROR(__xludf.DUMMYFUNCTION("""COMPUTED_VALUE"""),"ethdown")</f>
        <v>ethdown</v>
      </c>
      <c r="C4337" s="4" t="str">
        <f>IFERROR(__xludf.DUMMYFUNCTION("""COMPUTED_VALUE"""),"ETHDOWN")</f>
        <v>ETHDOWN</v>
      </c>
    </row>
    <row r="4338">
      <c r="A4338" s="4" t="str">
        <f>IFERROR(__xludf.DUMMYFUNCTION("""COMPUTED_VALUE"""),"ethena")</f>
        <v>ethena</v>
      </c>
      <c r="B4338" s="4" t="str">
        <f>IFERROR(__xludf.DUMMYFUNCTION("""COMPUTED_VALUE"""),"ena")</f>
        <v>ena</v>
      </c>
      <c r="C4338" s="4" t="str">
        <f>IFERROR(__xludf.DUMMYFUNCTION("""COMPUTED_VALUE"""),"Ethena")</f>
        <v>Ethena</v>
      </c>
    </row>
    <row r="4339">
      <c r="A4339" s="4" t="str">
        <f>IFERROR(__xludf.DUMMYFUNCTION("""COMPUTED_VALUE"""),"ethena-staked-usde")</f>
        <v>ethena-staked-usde</v>
      </c>
      <c r="B4339" s="4" t="str">
        <f>IFERROR(__xludf.DUMMYFUNCTION("""COMPUTED_VALUE"""),"susde")</f>
        <v>susde</v>
      </c>
      <c r="C4339" s="4" t="str">
        <f>IFERROR(__xludf.DUMMYFUNCTION("""COMPUTED_VALUE"""),"Ethena Staked USDe")</f>
        <v>Ethena Staked USDe</v>
      </c>
    </row>
    <row r="4340">
      <c r="A4340" s="4" t="str">
        <f>IFERROR(__xludf.DUMMYFUNCTION("""COMPUTED_VALUE"""),"ethena-usde")</f>
        <v>ethena-usde</v>
      </c>
      <c r="B4340" s="4" t="str">
        <f>IFERROR(__xludf.DUMMYFUNCTION("""COMPUTED_VALUE"""),"usde")</f>
        <v>usde</v>
      </c>
      <c r="C4340" s="4" t="str">
        <f>IFERROR(__xludf.DUMMYFUNCTION("""COMPUTED_VALUE"""),"Ethena USDe")</f>
        <v>Ethena USDe</v>
      </c>
    </row>
    <row r="4341">
      <c r="A4341" s="4" t="str">
        <f>IFERROR(__xludf.DUMMYFUNCTION("""COMPUTED_VALUE"""),"ether-1")</f>
        <v>ether-1</v>
      </c>
      <c r="B4341" s="4" t="str">
        <f>IFERROR(__xludf.DUMMYFUNCTION("""COMPUTED_VALUE"""),"etho")</f>
        <v>etho</v>
      </c>
      <c r="C4341" s="4" t="str">
        <f>IFERROR(__xludf.DUMMYFUNCTION("""COMPUTED_VALUE"""),"Etho Protocol")</f>
        <v>Etho Protocol</v>
      </c>
    </row>
    <row r="4342">
      <c r="A4342" s="4" t="str">
        <f>IFERROR(__xludf.DUMMYFUNCTION("""COMPUTED_VALUE"""),"etherdoge")</f>
        <v>etherdoge</v>
      </c>
      <c r="B4342" s="4" t="str">
        <f>IFERROR(__xludf.DUMMYFUNCTION("""COMPUTED_VALUE"""),"edoge")</f>
        <v>edoge</v>
      </c>
      <c r="C4342" s="4" t="str">
        <f>IFERROR(__xludf.DUMMYFUNCTION("""COMPUTED_VALUE"""),"EtherDoge")</f>
        <v>EtherDoge</v>
      </c>
    </row>
    <row r="4343">
      <c r="A4343" s="4" t="str">
        <f>IFERROR(__xludf.DUMMYFUNCTION("""COMPUTED_VALUE"""),"ethereans")</f>
        <v>ethereans</v>
      </c>
      <c r="B4343" s="4" t="str">
        <f>IFERROR(__xludf.DUMMYFUNCTION("""COMPUTED_VALUE"""),"os")</f>
        <v>os</v>
      </c>
      <c r="C4343" s="4" t="str">
        <f>IFERROR(__xludf.DUMMYFUNCTION("""COMPUTED_VALUE"""),"Ethereans")</f>
        <v>Ethereans</v>
      </c>
    </row>
    <row r="4344">
      <c r="A4344" s="4" t="str">
        <f>IFERROR(__xludf.DUMMYFUNCTION("""COMPUTED_VALUE"""),"etherempires")</f>
        <v>etherempires</v>
      </c>
      <c r="B4344" s="4" t="str">
        <f>IFERROR(__xludf.DUMMYFUNCTION("""COMPUTED_VALUE"""),"ete")</f>
        <v>ete</v>
      </c>
      <c r="C4344" s="4" t="str">
        <f>IFERROR(__xludf.DUMMYFUNCTION("""COMPUTED_VALUE"""),"Etherempires")</f>
        <v>Etherempires</v>
      </c>
    </row>
    <row r="4345">
      <c r="A4345" s="4" t="str">
        <f>IFERROR(__xludf.DUMMYFUNCTION("""COMPUTED_VALUE"""),"ethereum")</f>
        <v>ethereum</v>
      </c>
      <c r="B4345" s="4" t="str">
        <f>IFERROR(__xludf.DUMMYFUNCTION("""COMPUTED_VALUE"""),"eth")</f>
        <v>eth</v>
      </c>
      <c r="C4345" s="4" t="str">
        <f>IFERROR(__xludf.DUMMYFUNCTION("""COMPUTED_VALUE"""),"Ethereum")</f>
        <v>Ethereum</v>
      </c>
    </row>
    <row r="4346">
      <c r="A4346" s="4" t="str">
        <f>IFERROR(__xludf.DUMMYFUNCTION("""COMPUTED_VALUE"""),"ethereum-classic")</f>
        <v>ethereum-classic</v>
      </c>
      <c r="B4346" s="4" t="str">
        <f>IFERROR(__xludf.DUMMYFUNCTION("""COMPUTED_VALUE"""),"etc")</f>
        <v>etc</v>
      </c>
      <c r="C4346" s="4" t="str">
        <f>IFERROR(__xludf.DUMMYFUNCTION("""COMPUTED_VALUE"""),"Ethereum Classic")</f>
        <v>Ethereum Classic</v>
      </c>
    </row>
    <row r="4347">
      <c r="A4347" s="4" t="str">
        <f>IFERROR(__xludf.DUMMYFUNCTION("""COMPUTED_VALUE"""),"ethereum-express")</f>
        <v>ethereum-express</v>
      </c>
      <c r="B4347" s="4" t="str">
        <f>IFERROR(__xludf.DUMMYFUNCTION("""COMPUTED_VALUE"""),"ete")</f>
        <v>ete</v>
      </c>
      <c r="C4347" s="4" t="str">
        <f>IFERROR(__xludf.DUMMYFUNCTION("""COMPUTED_VALUE"""),"Ethereum Express")</f>
        <v>Ethereum Express</v>
      </c>
    </row>
    <row r="4348">
      <c r="A4348" s="4" t="str">
        <f>IFERROR(__xludf.DUMMYFUNCTION("""COMPUTED_VALUE"""),"ethereumfair")</f>
        <v>ethereumfair</v>
      </c>
      <c r="B4348" s="4" t="str">
        <f>IFERROR(__xludf.DUMMYFUNCTION("""COMPUTED_VALUE"""),"dis")</f>
        <v>dis</v>
      </c>
      <c r="C4348" s="4" t="str">
        <f>IFERROR(__xludf.DUMMYFUNCTION("""COMPUTED_VALUE"""),"DisChain")</f>
        <v>DisChain</v>
      </c>
    </row>
    <row r="4349">
      <c r="A4349" s="4" t="str">
        <f>IFERROR(__xludf.DUMMYFUNCTION("""COMPUTED_VALUE"""),"ethereum-gold-2")</f>
        <v>ethereum-gold-2</v>
      </c>
      <c r="B4349" s="4" t="str">
        <f>IFERROR(__xludf.DUMMYFUNCTION("""COMPUTED_VALUE"""),"ethg")</f>
        <v>ethg</v>
      </c>
      <c r="C4349" s="4" t="str">
        <f>IFERROR(__xludf.DUMMYFUNCTION("""COMPUTED_VALUE"""),"Ethereum Gold")</f>
        <v>Ethereum Gold</v>
      </c>
    </row>
    <row r="4350">
      <c r="A4350" s="4" t="str">
        <f>IFERROR(__xludf.DUMMYFUNCTION("""COMPUTED_VALUE"""),"ethereum-inu")</f>
        <v>ethereum-inu</v>
      </c>
      <c r="B4350" s="4" t="str">
        <f>IFERROR(__xludf.DUMMYFUNCTION("""COMPUTED_VALUE"""),"ethinu")</f>
        <v>ethinu</v>
      </c>
      <c r="C4350" s="4" t="str">
        <f>IFERROR(__xludf.DUMMYFUNCTION("""COMPUTED_VALUE"""),"Ethereum Inu")</f>
        <v>Ethereum Inu</v>
      </c>
    </row>
    <row r="4351">
      <c r="A4351" s="4" t="str">
        <f>IFERROR(__xludf.DUMMYFUNCTION("""COMPUTED_VALUE"""),"ethereummax")</f>
        <v>ethereummax</v>
      </c>
      <c r="B4351" s="4" t="str">
        <f>IFERROR(__xludf.DUMMYFUNCTION("""COMPUTED_VALUE"""),"emax")</f>
        <v>emax</v>
      </c>
      <c r="C4351" s="4" t="str">
        <f>IFERROR(__xludf.DUMMYFUNCTION("""COMPUTED_VALUE"""),"EthereumMax")</f>
        <v>EthereumMax</v>
      </c>
    </row>
    <row r="4352">
      <c r="A4352" s="4" t="str">
        <f>IFERROR(__xludf.DUMMYFUNCTION("""COMPUTED_VALUE"""),"ethereum-message-service")</f>
        <v>ethereum-message-service</v>
      </c>
      <c r="B4352" s="4" t="str">
        <f>IFERROR(__xludf.DUMMYFUNCTION("""COMPUTED_VALUE"""),"ems")</f>
        <v>ems</v>
      </c>
      <c r="C4352" s="4" t="str">
        <f>IFERROR(__xludf.DUMMYFUNCTION("""COMPUTED_VALUE"""),"Ethereum Message Service")</f>
        <v>Ethereum Message Service</v>
      </c>
    </row>
    <row r="4353">
      <c r="A4353" s="4" t="str">
        <f>IFERROR(__xludf.DUMMYFUNCTION("""COMPUTED_VALUE"""),"ethereum-meta")</f>
        <v>ethereum-meta</v>
      </c>
      <c r="B4353" s="4" t="str">
        <f>IFERROR(__xludf.DUMMYFUNCTION("""COMPUTED_VALUE"""),"ethm")</f>
        <v>ethm</v>
      </c>
      <c r="C4353" s="4" t="str">
        <f>IFERROR(__xludf.DUMMYFUNCTION("""COMPUTED_VALUE"""),"Ethereum Meta")</f>
        <v>Ethereum Meta</v>
      </c>
    </row>
    <row r="4354">
      <c r="A4354" s="4" t="str">
        <f>IFERROR(__xludf.DUMMYFUNCTION("""COMPUTED_VALUE"""),"ethereum-name-service")</f>
        <v>ethereum-name-service</v>
      </c>
      <c r="B4354" s="4" t="str">
        <f>IFERROR(__xludf.DUMMYFUNCTION("""COMPUTED_VALUE"""),"ens")</f>
        <v>ens</v>
      </c>
      <c r="C4354" s="4" t="str">
        <f>IFERROR(__xludf.DUMMYFUNCTION("""COMPUTED_VALUE"""),"Ethereum Name Service")</f>
        <v>Ethereum Name Service</v>
      </c>
    </row>
    <row r="4355">
      <c r="A4355" s="4" t="str">
        <f>IFERROR(__xludf.DUMMYFUNCTION("""COMPUTED_VALUE"""),"ethereum-overnight")</f>
        <v>ethereum-overnight</v>
      </c>
      <c r="B4355" s="4" t="str">
        <f>IFERROR(__xludf.DUMMYFUNCTION("""COMPUTED_VALUE"""),"eth+")</f>
        <v>eth+</v>
      </c>
      <c r="C4355" s="4" t="str">
        <f>IFERROR(__xludf.DUMMYFUNCTION("""COMPUTED_VALUE"""),"Ethereum+ (Overnight)")</f>
        <v>Ethereum+ (Overnight)</v>
      </c>
    </row>
    <row r="4356">
      <c r="A4356" s="4" t="str">
        <f>IFERROR(__xludf.DUMMYFUNCTION("""COMPUTED_VALUE"""),"ethereum-pow-iou")</f>
        <v>ethereum-pow-iou</v>
      </c>
      <c r="B4356" s="4" t="str">
        <f>IFERROR(__xludf.DUMMYFUNCTION("""COMPUTED_VALUE"""),"ethw")</f>
        <v>ethw</v>
      </c>
      <c r="C4356" s="4" t="str">
        <f>IFERROR(__xludf.DUMMYFUNCTION("""COMPUTED_VALUE"""),"EthereumPoW")</f>
        <v>EthereumPoW</v>
      </c>
    </row>
    <row r="4357">
      <c r="A4357" s="4" t="str">
        <f>IFERROR(__xludf.DUMMYFUNCTION("""COMPUTED_VALUE"""),"ethereum-push-notification-service")</f>
        <v>ethereum-push-notification-service</v>
      </c>
      <c r="B4357" s="4" t="str">
        <f>IFERROR(__xludf.DUMMYFUNCTION("""COMPUTED_VALUE"""),"push")</f>
        <v>push</v>
      </c>
      <c r="C4357" s="4" t="str">
        <f>IFERROR(__xludf.DUMMYFUNCTION("""COMPUTED_VALUE"""),"Push Protocol")</f>
        <v>Push Protocol</v>
      </c>
    </row>
    <row r="4358">
      <c r="A4358" s="4" t="str">
        <f>IFERROR(__xludf.DUMMYFUNCTION("""COMPUTED_VALUE"""),"ethereum-reserve-dollar-usde")</f>
        <v>ethereum-reserve-dollar-usde</v>
      </c>
      <c r="B4358" s="4" t="str">
        <f>IFERROR(__xludf.DUMMYFUNCTION("""COMPUTED_VALUE"""),"usde")</f>
        <v>usde</v>
      </c>
      <c r="C4358" s="4" t="str">
        <f>IFERROR(__xludf.DUMMYFUNCTION("""COMPUTED_VALUE"""),"Ethereum Reserve Dollar USDE")</f>
        <v>Ethereum Reserve Dollar USDE</v>
      </c>
    </row>
    <row r="4359">
      <c r="A4359" s="4" t="str">
        <f>IFERROR(__xludf.DUMMYFUNCTION("""COMPUTED_VALUE"""),"ethereum-volatility-index-token")</f>
        <v>ethereum-volatility-index-token</v>
      </c>
      <c r="B4359" s="4" t="str">
        <f>IFERROR(__xludf.DUMMYFUNCTION("""COMPUTED_VALUE"""),"ethv")</f>
        <v>ethv</v>
      </c>
      <c r="C4359" s="4" t="str">
        <f>IFERROR(__xludf.DUMMYFUNCTION("""COMPUTED_VALUE"""),"Ethereum Volatility Index Token")</f>
        <v>Ethereum Volatility Index Token</v>
      </c>
    </row>
    <row r="4360">
      <c r="A4360" s="4" t="str">
        <f>IFERROR(__xludf.DUMMYFUNCTION("""COMPUTED_VALUE"""),"ethereum-wormhole")</f>
        <v>ethereum-wormhole</v>
      </c>
      <c r="B4360" s="4" t="str">
        <f>IFERROR(__xludf.DUMMYFUNCTION("""COMPUTED_VALUE"""),"eth")</f>
        <v>eth</v>
      </c>
      <c r="C4360" s="4" t="str">
        <f>IFERROR(__xludf.DUMMYFUNCTION("""COMPUTED_VALUE"""),"Ethereum (Wormhole)")</f>
        <v>Ethereum (Wormhole)</v>
      </c>
    </row>
    <row r="4361">
      <c r="A4361" s="4" t="str">
        <f>IFERROR(__xludf.DUMMYFUNCTION("""COMPUTED_VALUE"""),"ethereumx")</f>
        <v>ethereumx</v>
      </c>
      <c r="B4361" s="4" t="str">
        <f>IFERROR(__xludf.DUMMYFUNCTION("""COMPUTED_VALUE"""),"etx")</f>
        <v>etx</v>
      </c>
      <c r="C4361" s="4" t="str">
        <f>IFERROR(__xludf.DUMMYFUNCTION("""COMPUTED_VALUE"""),"EthereumX")</f>
        <v>EthereumX</v>
      </c>
    </row>
    <row r="4362">
      <c r="A4362" s="4" t="str">
        <f>IFERROR(__xludf.DUMMYFUNCTION("""COMPUTED_VALUE"""),"ether-fi")</f>
        <v>ether-fi</v>
      </c>
      <c r="B4362" s="4" t="str">
        <f>IFERROR(__xludf.DUMMYFUNCTION("""COMPUTED_VALUE"""),"ethfi")</f>
        <v>ethfi</v>
      </c>
      <c r="C4362" s="5" t="str">
        <f>IFERROR(__xludf.DUMMYFUNCTION("""COMPUTED_VALUE"""),"Ether.fi")</f>
        <v>Ether.fi</v>
      </c>
    </row>
    <row r="4363">
      <c r="A4363" s="4" t="str">
        <f>IFERROR(__xludf.DUMMYFUNCTION("""COMPUTED_VALUE"""),"ether-fi-staked-eth")</f>
        <v>ether-fi-staked-eth</v>
      </c>
      <c r="B4363" s="4" t="str">
        <f>IFERROR(__xludf.DUMMYFUNCTION("""COMPUTED_VALUE"""),"eeth")</f>
        <v>eeth</v>
      </c>
      <c r="C4363" s="4" t="str">
        <f>IFERROR(__xludf.DUMMYFUNCTION("""COMPUTED_VALUE"""),"ether.fi Staked ETH")</f>
        <v>ether.fi Staked ETH</v>
      </c>
    </row>
    <row r="4364">
      <c r="A4364" s="4" t="str">
        <f>IFERROR(__xludf.DUMMYFUNCTION("""COMPUTED_VALUE"""),"ethergem")</f>
        <v>ethergem</v>
      </c>
      <c r="B4364" s="4" t="str">
        <f>IFERROR(__xludf.DUMMYFUNCTION("""COMPUTED_VALUE"""),"egem")</f>
        <v>egem</v>
      </c>
      <c r="C4364" s="4" t="str">
        <f>IFERROR(__xludf.DUMMYFUNCTION("""COMPUTED_VALUE"""),"EtherGem")</f>
        <v>EtherGem</v>
      </c>
    </row>
    <row r="4365">
      <c r="A4365" s="4" t="str">
        <f>IFERROR(__xludf.DUMMYFUNCTION("""COMPUTED_VALUE"""),"etherisc")</f>
        <v>etherisc</v>
      </c>
      <c r="B4365" s="4" t="str">
        <f>IFERROR(__xludf.DUMMYFUNCTION("""COMPUTED_VALUE"""),"dip")</f>
        <v>dip</v>
      </c>
      <c r="C4365" s="4" t="str">
        <f>IFERROR(__xludf.DUMMYFUNCTION("""COMPUTED_VALUE"""),"Etherisc DIP")</f>
        <v>Etherisc DIP</v>
      </c>
    </row>
    <row r="4366">
      <c r="A4366" s="4" t="str">
        <f>IFERROR(__xludf.DUMMYFUNCTION("""COMPUTED_VALUE"""),"etherland")</f>
        <v>etherland</v>
      </c>
      <c r="B4366" s="4" t="str">
        <f>IFERROR(__xludf.DUMMYFUNCTION("""COMPUTED_VALUE"""),"eland")</f>
        <v>eland</v>
      </c>
      <c r="C4366" s="4" t="str">
        <f>IFERROR(__xludf.DUMMYFUNCTION("""COMPUTED_VALUE"""),"Etherland")</f>
        <v>Etherland</v>
      </c>
    </row>
    <row r="4367">
      <c r="A4367" s="4" t="str">
        <f>IFERROR(__xludf.DUMMYFUNCTION("""COMPUTED_VALUE"""),"etherlite-2")</f>
        <v>etherlite-2</v>
      </c>
      <c r="B4367" s="4" t="str">
        <f>IFERROR(__xludf.DUMMYFUNCTION("""COMPUTED_VALUE"""),"etl")</f>
        <v>etl</v>
      </c>
      <c r="C4367" s="4" t="str">
        <f>IFERROR(__xludf.DUMMYFUNCTION("""COMPUTED_VALUE"""),"EtherLite")</f>
        <v>EtherLite</v>
      </c>
    </row>
    <row r="4368">
      <c r="A4368" s="4" t="str">
        <f>IFERROR(__xludf.DUMMYFUNCTION("""COMPUTED_VALUE"""),"ethermon")</f>
        <v>ethermon</v>
      </c>
      <c r="B4368" s="4" t="str">
        <f>IFERROR(__xludf.DUMMYFUNCTION("""COMPUTED_VALUE"""),"emon")</f>
        <v>emon</v>
      </c>
      <c r="C4368" s="4" t="str">
        <f>IFERROR(__xludf.DUMMYFUNCTION("""COMPUTED_VALUE"""),"Ethermon")</f>
        <v>Ethermon</v>
      </c>
    </row>
    <row r="4369">
      <c r="A4369" s="4" t="str">
        <f>IFERROR(__xludf.DUMMYFUNCTION("""COMPUTED_VALUE"""),"ethernal-finance")</f>
        <v>ethernal-finance</v>
      </c>
      <c r="B4369" s="4" t="str">
        <f>IFERROR(__xludf.DUMMYFUNCTION("""COMPUTED_VALUE"""),"ethfin")</f>
        <v>ethfin</v>
      </c>
      <c r="C4369" s="4" t="str">
        <f>IFERROR(__xludf.DUMMYFUNCTION("""COMPUTED_VALUE"""),"Ethernal Finance")</f>
        <v>Ethernal Finance</v>
      </c>
    </row>
    <row r="4370">
      <c r="A4370" s="4" t="str">
        <f>IFERROR(__xludf.DUMMYFUNCTION("""COMPUTED_VALUE"""),"ethernexus")</f>
        <v>ethernexus</v>
      </c>
      <c r="B4370" s="4" t="str">
        <f>IFERROR(__xludf.DUMMYFUNCTION("""COMPUTED_VALUE"""),"enxs")</f>
        <v>enxs</v>
      </c>
      <c r="C4370" s="4" t="str">
        <f>IFERROR(__xludf.DUMMYFUNCTION("""COMPUTED_VALUE"""),"EtherNexus")</f>
        <v>EtherNexus</v>
      </c>
    </row>
    <row r="4371">
      <c r="A4371" s="4" t="str">
        <f>IFERROR(__xludf.DUMMYFUNCTION("""COMPUTED_VALUE"""),"ethernity-chain")</f>
        <v>ethernity-chain</v>
      </c>
      <c r="B4371" s="4" t="str">
        <f>IFERROR(__xludf.DUMMYFUNCTION("""COMPUTED_VALUE"""),"ern")</f>
        <v>ern</v>
      </c>
      <c r="C4371" s="4" t="str">
        <f>IFERROR(__xludf.DUMMYFUNCTION("""COMPUTED_VALUE"""),"Ethernity Chain")</f>
        <v>Ethernity Chain</v>
      </c>
    </row>
    <row r="4372">
      <c r="A4372" s="4" t="str">
        <f>IFERROR(__xludf.DUMMYFUNCTION("""COMPUTED_VALUE"""),"ethernity-cloud")</f>
        <v>ethernity-cloud</v>
      </c>
      <c r="B4372" s="4" t="str">
        <f>IFERROR(__xludf.DUMMYFUNCTION("""COMPUTED_VALUE"""),"ecld")</f>
        <v>ecld</v>
      </c>
      <c r="C4372" s="4" t="str">
        <f>IFERROR(__xludf.DUMMYFUNCTION("""COMPUTED_VALUE"""),"Ethernity Cloud")</f>
        <v>Ethernity Cloud</v>
      </c>
    </row>
    <row r="4373">
      <c r="A4373" s="4" t="str">
        <f>IFERROR(__xludf.DUMMYFUNCTION("""COMPUTED_VALUE"""),"ether-orb")</f>
        <v>ether-orb</v>
      </c>
      <c r="B4373" s="4" t="str">
        <f>IFERROR(__xludf.DUMMYFUNCTION("""COMPUTED_VALUE"""),"orb")</f>
        <v>orb</v>
      </c>
      <c r="C4373" s="4" t="str">
        <f>IFERROR(__xludf.DUMMYFUNCTION("""COMPUTED_VALUE"""),"Ether ORB")</f>
        <v>Ether ORB</v>
      </c>
    </row>
    <row r="4374">
      <c r="A4374" s="4" t="str">
        <f>IFERROR(__xludf.DUMMYFUNCTION("""COMPUTED_VALUE"""),"etherparty")</f>
        <v>etherparty</v>
      </c>
      <c r="B4374" s="4" t="str">
        <f>IFERROR(__xludf.DUMMYFUNCTION("""COMPUTED_VALUE"""),"fuel")</f>
        <v>fuel</v>
      </c>
      <c r="C4374" s="4" t="str">
        <f>IFERROR(__xludf.DUMMYFUNCTION("""COMPUTED_VALUE"""),"Etherparty")</f>
        <v>Etherparty</v>
      </c>
    </row>
    <row r="4375">
      <c r="A4375" s="4" t="str">
        <f>IFERROR(__xludf.DUMMYFUNCTION("""COMPUTED_VALUE"""),"etherpets")</f>
        <v>etherpets</v>
      </c>
      <c r="B4375" s="4" t="str">
        <f>IFERROR(__xludf.DUMMYFUNCTION("""COMPUTED_VALUE"""),"epets")</f>
        <v>epets</v>
      </c>
      <c r="C4375" s="4" t="str">
        <f>IFERROR(__xludf.DUMMYFUNCTION("""COMPUTED_VALUE"""),"Etherpets")</f>
        <v>Etherpets</v>
      </c>
    </row>
    <row r="4376">
      <c r="A4376" s="4" t="str">
        <f>IFERROR(__xludf.DUMMYFUNCTION("""COMPUTED_VALUE"""),"etherpos")</f>
        <v>etherpos</v>
      </c>
      <c r="B4376" s="4" t="str">
        <f>IFERROR(__xludf.DUMMYFUNCTION("""COMPUTED_VALUE"""),"etpos")</f>
        <v>etpos</v>
      </c>
      <c r="C4376" s="4" t="str">
        <f>IFERROR(__xludf.DUMMYFUNCTION("""COMPUTED_VALUE"""),"EtherPoS")</f>
        <v>EtherPoS</v>
      </c>
    </row>
    <row r="4377">
      <c r="A4377" s="4" t="str">
        <f>IFERROR(__xludf.DUMMYFUNCTION("""COMPUTED_VALUE"""),"etherscape")</f>
        <v>etherscape</v>
      </c>
      <c r="B4377" s="4" t="str">
        <f>IFERROR(__xludf.DUMMYFUNCTION("""COMPUTED_VALUE"""),"scape")</f>
        <v>scape</v>
      </c>
      <c r="C4377" s="4" t="str">
        <f>IFERROR(__xludf.DUMMYFUNCTION("""COMPUTED_VALUE"""),"Etherscape")</f>
        <v>Etherscape</v>
      </c>
    </row>
    <row r="4378">
      <c r="A4378" s="4" t="str">
        <f>IFERROR(__xludf.DUMMYFUNCTION("""COMPUTED_VALUE"""),"ether-wars")</f>
        <v>ether-wars</v>
      </c>
      <c r="B4378" s="4" t="str">
        <f>IFERROR(__xludf.DUMMYFUNCTION("""COMPUTED_VALUE"""),"war")</f>
        <v>war</v>
      </c>
      <c r="C4378" s="4" t="str">
        <f>IFERROR(__xludf.DUMMYFUNCTION("""COMPUTED_VALUE"""),"Ether Wars")</f>
        <v>Ether Wars</v>
      </c>
    </row>
    <row r="4379">
      <c r="A4379" s="4" t="str">
        <f>IFERROR(__xludf.DUMMYFUNCTION("""COMPUTED_VALUE"""),"ethetf")</f>
        <v>ethetf</v>
      </c>
      <c r="B4379" s="4" t="str">
        <f>IFERROR(__xludf.DUMMYFUNCTION("""COMPUTED_VALUE"""),"ethetf")</f>
        <v>ethetf</v>
      </c>
      <c r="C4379" s="4" t="str">
        <f>IFERROR(__xludf.DUMMYFUNCTION("""COMPUTED_VALUE"""),"ETHETF")</f>
        <v>ETHETF</v>
      </c>
    </row>
    <row r="4380">
      <c r="A4380" s="4" t="str">
        <f>IFERROR(__xludf.DUMMYFUNCTION("""COMPUTED_VALUE"""),"eth-fan-token")</f>
        <v>eth-fan-token</v>
      </c>
      <c r="B4380" s="4" t="str">
        <f>IFERROR(__xludf.DUMMYFUNCTION("""COMPUTED_VALUE"""),"eft")</f>
        <v>eft</v>
      </c>
      <c r="C4380" s="4" t="str">
        <f>IFERROR(__xludf.DUMMYFUNCTION("""COMPUTED_VALUE"""),"ETH Fan Token Ecosystem")</f>
        <v>ETH Fan Token Ecosystem</v>
      </c>
    </row>
    <row r="4381">
      <c r="A4381" s="4" t="str">
        <f>IFERROR(__xludf.DUMMYFUNCTION("""COMPUTED_VALUE"""),"ethforestai")</f>
        <v>ethforestai</v>
      </c>
      <c r="B4381" s="4" t="str">
        <f>IFERROR(__xludf.DUMMYFUNCTION("""COMPUTED_VALUE"""),"ethfai")</f>
        <v>ethfai</v>
      </c>
      <c r="C4381" s="4" t="str">
        <f>IFERROR(__xludf.DUMMYFUNCTION("""COMPUTED_VALUE"""),"ETHforestAI")</f>
        <v>ETHforestAI</v>
      </c>
    </row>
    <row r="4382">
      <c r="A4382" s="4" t="str">
        <f>IFERROR(__xludf.DUMMYFUNCTION("""COMPUTED_VALUE"""),"ethichub")</f>
        <v>ethichub</v>
      </c>
      <c r="B4382" s="4" t="str">
        <f>IFERROR(__xludf.DUMMYFUNCTION("""COMPUTED_VALUE"""),"ethix")</f>
        <v>ethix</v>
      </c>
      <c r="C4382" s="4" t="str">
        <f>IFERROR(__xludf.DUMMYFUNCTION("""COMPUTED_VALUE"""),"Ethix")</f>
        <v>Ethix</v>
      </c>
    </row>
    <row r="4383">
      <c r="A4383" s="4" t="str">
        <f>IFERROR(__xludf.DUMMYFUNCTION("""COMPUTED_VALUE"""),"ethlas")</f>
        <v>ethlas</v>
      </c>
      <c r="B4383" s="4" t="str">
        <f>IFERROR(__xludf.DUMMYFUNCTION("""COMPUTED_VALUE"""),"els")</f>
        <v>els</v>
      </c>
      <c r="C4383" s="4" t="str">
        <f>IFERROR(__xludf.DUMMYFUNCTION("""COMPUTED_VALUE"""),"Ethlas")</f>
        <v>Ethlas</v>
      </c>
    </row>
    <row r="4384">
      <c r="A4384" s="4" t="str">
        <f>IFERROR(__xludf.DUMMYFUNCTION("""COMPUTED_VALUE"""),"ethlend")</f>
        <v>ethlend</v>
      </c>
      <c r="B4384" s="4" t="str">
        <f>IFERROR(__xludf.DUMMYFUNCTION("""COMPUTED_VALUE"""),"lend")</f>
        <v>lend</v>
      </c>
      <c r="C4384" s="4" t="str">
        <f>IFERROR(__xludf.DUMMYFUNCTION("""COMPUTED_VALUE"""),"Aave [OLD]")</f>
        <v>Aave [OLD]</v>
      </c>
    </row>
    <row r="4385">
      <c r="A4385" s="4" t="str">
        <f>IFERROR(__xludf.DUMMYFUNCTION("""COMPUTED_VALUE"""),"ethos")</f>
        <v>ethos</v>
      </c>
      <c r="B4385" s="4" t="str">
        <f>IFERROR(__xludf.DUMMYFUNCTION("""COMPUTED_VALUE"""),"vgx")</f>
        <v>vgx</v>
      </c>
      <c r="C4385" s="4" t="str">
        <f>IFERROR(__xludf.DUMMYFUNCTION("""COMPUTED_VALUE"""),"Voyager VGX")</f>
        <v>Voyager VGX</v>
      </c>
    </row>
    <row r="4386">
      <c r="A4386" s="4" t="str">
        <f>IFERROR(__xludf.DUMMYFUNCTION("""COMPUTED_VALUE"""),"ethos-2")</f>
        <v>ethos-2</v>
      </c>
      <c r="B4386" s="4" t="str">
        <f>IFERROR(__xludf.DUMMYFUNCTION("""COMPUTED_VALUE"""),"3th")</f>
        <v>3th</v>
      </c>
      <c r="C4386" s="4" t="str">
        <f>IFERROR(__xludf.DUMMYFUNCTION("""COMPUTED_VALUE"""),"Ethos")</f>
        <v>Ethos</v>
      </c>
    </row>
    <row r="4387">
      <c r="A4387" s="4" t="str">
        <f>IFERROR(__xludf.DUMMYFUNCTION("""COMPUTED_VALUE"""),"ethos-reserve-note")</f>
        <v>ethos-reserve-note</v>
      </c>
      <c r="B4387" s="4" t="str">
        <f>IFERROR(__xludf.DUMMYFUNCTION("""COMPUTED_VALUE"""),"ern")</f>
        <v>ern</v>
      </c>
      <c r="C4387" s="4" t="str">
        <f>IFERROR(__xludf.DUMMYFUNCTION("""COMPUTED_VALUE"""),"Ethos Reserve Note")</f>
        <v>Ethos Reserve Note</v>
      </c>
    </row>
    <row r="4388">
      <c r="A4388" s="4" t="str">
        <f>IFERROR(__xludf.DUMMYFUNCTION("""COMPUTED_VALUE"""),"ethpad")</f>
        <v>ethpad</v>
      </c>
      <c r="B4388" s="4" t="str">
        <f>IFERROR(__xludf.DUMMYFUNCTION("""COMPUTED_VALUE"""),"ethpad")</f>
        <v>ethpad</v>
      </c>
      <c r="C4388" s="4" t="str">
        <f>IFERROR(__xludf.DUMMYFUNCTION("""COMPUTED_VALUE"""),"ETHPad")</f>
        <v>ETHPad</v>
      </c>
    </row>
    <row r="4389">
      <c r="A4389" s="4" t="str">
        <f>IFERROR(__xludf.DUMMYFUNCTION("""COMPUTED_VALUE"""),"ethrix")</f>
        <v>ethrix</v>
      </c>
      <c r="B4389" s="4" t="str">
        <f>IFERROR(__xludf.DUMMYFUNCTION("""COMPUTED_VALUE"""),"etx")</f>
        <v>etx</v>
      </c>
      <c r="C4389" s="4" t="str">
        <f>IFERROR(__xludf.DUMMYFUNCTION("""COMPUTED_VALUE"""),"Ethrix")</f>
        <v>Ethrix</v>
      </c>
    </row>
    <row r="4390">
      <c r="A4390" s="4" t="str">
        <f>IFERROR(__xludf.DUMMYFUNCTION("""COMPUTED_VALUE"""),"eth-rock-erc404")</f>
        <v>eth-rock-erc404</v>
      </c>
      <c r="B4390" s="4" t="str">
        <f>IFERROR(__xludf.DUMMYFUNCTION("""COMPUTED_VALUE"""),"$rock")</f>
        <v>$rock</v>
      </c>
      <c r="C4390" s="4" t="str">
        <f>IFERROR(__xludf.DUMMYFUNCTION("""COMPUTED_VALUE"""),"EtherRock404")</f>
        <v>EtherRock404</v>
      </c>
    </row>
    <row r="4391">
      <c r="A4391" s="4" t="str">
        <f>IFERROR(__xludf.DUMMYFUNCTION("""COMPUTED_VALUE"""),"ethscriptions")</f>
        <v>ethscriptions</v>
      </c>
      <c r="B4391" s="4" t="str">
        <f>IFERROR(__xludf.DUMMYFUNCTION("""COMPUTED_VALUE"""),"eths")</f>
        <v>eths</v>
      </c>
      <c r="C4391" s="4" t="str">
        <f>IFERROR(__xludf.DUMMYFUNCTION("""COMPUTED_VALUE"""),"Ethscriptions")</f>
        <v>Ethscriptions</v>
      </c>
    </row>
    <row r="4392">
      <c r="A4392" s="4" t="str">
        <f>IFERROR(__xludf.DUMMYFUNCTION("""COMPUTED_VALUE"""),"eth-stable-mori-finance")</f>
        <v>eth-stable-mori-finance</v>
      </c>
      <c r="B4392" s="4" t="str">
        <f>IFERROR(__xludf.DUMMYFUNCTION("""COMPUTED_VALUE"""),"eths")</f>
        <v>eths</v>
      </c>
      <c r="C4392" s="4" t="str">
        <f>IFERROR(__xludf.DUMMYFUNCTION("""COMPUTED_VALUE"""),"ETH Stable")</f>
        <v>ETH Stable</v>
      </c>
    </row>
    <row r="4393">
      <c r="A4393" s="4" t="str">
        <f>IFERROR(__xludf.DUMMYFUNCTION("""COMPUTED_VALUE"""),"ethtez")</f>
        <v>ethtez</v>
      </c>
      <c r="B4393" s="4" t="str">
        <f>IFERROR(__xludf.DUMMYFUNCTION("""COMPUTED_VALUE"""),"ethtz")</f>
        <v>ethtz</v>
      </c>
      <c r="C4393" s="4" t="str">
        <f>IFERROR(__xludf.DUMMYFUNCTION("""COMPUTED_VALUE"""),"ETHtez")</f>
        <v>ETHtez</v>
      </c>
    </row>
    <row r="4394">
      <c r="A4394" s="4" t="str">
        <f>IFERROR(__xludf.DUMMYFUNCTION("""COMPUTED_VALUE"""),"ethup")</f>
        <v>ethup</v>
      </c>
      <c r="B4394" s="4" t="str">
        <f>IFERROR(__xludf.DUMMYFUNCTION("""COMPUTED_VALUE"""),"ethup")</f>
        <v>ethup</v>
      </c>
      <c r="C4394" s="4" t="str">
        <f>IFERROR(__xludf.DUMMYFUNCTION("""COMPUTED_VALUE"""),"ETHUP")</f>
        <v>ETHUP</v>
      </c>
    </row>
    <row r="4395">
      <c r="A4395" s="4" t="str">
        <f>IFERROR(__xludf.DUMMYFUNCTION("""COMPUTED_VALUE"""),"etica")</f>
        <v>etica</v>
      </c>
      <c r="B4395" s="4" t="str">
        <f>IFERROR(__xludf.DUMMYFUNCTION("""COMPUTED_VALUE"""),"eti")</f>
        <v>eti</v>
      </c>
      <c r="C4395" s="4" t="str">
        <f>IFERROR(__xludf.DUMMYFUNCTION("""COMPUTED_VALUE"""),"Etica")</f>
        <v>Etica</v>
      </c>
    </row>
    <row r="4396">
      <c r="A4396" s="4" t="str">
        <f>IFERROR(__xludf.DUMMYFUNCTION("""COMPUTED_VALUE"""),"etuktuk")</f>
        <v>etuktuk</v>
      </c>
      <c r="B4396" s="4" t="str">
        <f>IFERROR(__xludf.DUMMYFUNCTION("""COMPUTED_VALUE"""),"tuk")</f>
        <v>tuk</v>
      </c>
      <c r="C4396" s="4" t="str">
        <f>IFERROR(__xludf.DUMMYFUNCTION("""COMPUTED_VALUE"""),"eTukTuk")</f>
        <v>eTukTuk</v>
      </c>
    </row>
    <row r="4397">
      <c r="A4397" s="4" t="str">
        <f>IFERROR(__xludf.DUMMYFUNCTION("""COMPUTED_VALUE"""),"etwinfinity")</f>
        <v>etwinfinity</v>
      </c>
      <c r="B4397" s="4" t="str">
        <f>IFERROR(__xludf.DUMMYFUNCTION("""COMPUTED_VALUE"""),"etw")</f>
        <v>etw</v>
      </c>
      <c r="C4397" s="4" t="str">
        <f>IFERROR(__xludf.DUMMYFUNCTION("""COMPUTED_VALUE"""),"ETWInfinity")</f>
        <v>ETWInfinity</v>
      </c>
    </row>
    <row r="4398">
      <c r="A4398" s="4" t="str">
        <f>IFERROR(__xludf.DUMMYFUNCTION("""COMPUTED_VALUE"""),"euler")</f>
        <v>euler</v>
      </c>
      <c r="B4398" s="4" t="str">
        <f>IFERROR(__xludf.DUMMYFUNCTION("""COMPUTED_VALUE"""),"eul")</f>
        <v>eul</v>
      </c>
      <c r="C4398" s="4" t="str">
        <f>IFERROR(__xludf.DUMMYFUNCTION("""COMPUTED_VALUE"""),"Euler")</f>
        <v>Euler</v>
      </c>
    </row>
    <row r="4399">
      <c r="A4399" s="4" t="str">
        <f>IFERROR(__xludf.DUMMYFUNCTION("""COMPUTED_VALUE"""),"euno")</f>
        <v>euno</v>
      </c>
      <c r="B4399" s="4" t="str">
        <f>IFERROR(__xludf.DUMMYFUNCTION("""COMPUTED_VALUE"""),"euno")</f>
        <v>euno</v>
      </c>
      <c r="C4399" s="4" t="str">
        <f>IFERROR(__xludf.DUMMYFUNCTION("""COMPUTED_VALUE"""),"EUNO")</f>
        <v>EUNO</v>
      </c>
    </row>
    <row r="4400">
      <c r="A4400" s="4" t="str">
        <f>IFERROR(__xludf.DUMMYFUNCTION("""COMPUTED_VALUE"""),"eurc-wormhole")</f>
        <v>eurc-wormhole</v>
      </c>
      <c r="B4400" s="4" t="str">
        <f>IFERROR(__xludf.DUMMYFUNCTION("""COMPUTED_VALUE"""),"eurc")</f>
        <v>eurc</v>
      </c>
      <c r="C4400" s="4" t="str">
        <f>IFERROR(__xludf.DUMMYFUNCTION("""COMPUTED_VALUE"""),"EURC (Wormhole)")</f>
        <v>EURC (Wormhole)</v>
      </c>
    </row>
    <row r="4401">
      <c r="A4401" s="4" t="str">
        <f>IFERROR(__xludf.DUMMYFUNCTION("""COMPUTED_VALUE"""),"eurk")</f>
        <v>eurk</v>
      </c>
      <c r="B4401" s="4" t="str">
        <f>IFERROR(__xludf.DUMMYFUNCTION("""COMPUTED_VALUE"""),"eurk")</f>
        <v>eurk</v>
      </c>
      <c r="C4401" s="4" t="str">
        <f>IFERROR(__xludf.DUMMYFUNCTION("""COMPUTED_VALUE"""),"EURK")</f>
        <v>EURK</v>
      </c>
    </row>
    <row r="4402">
      <c r="A4402" s="4" t="str">
        <f>IFERROR(__xludf.DUMMYFUNCTION("""COMPUTED_VALUE"""),"euro3")</f>
        <v>euro3</v>
      </c>
      <c r="B4402" s="4" t="str">
        <f>IFERROR(__xludf.DUMMYFUNCTION("""COMPUTED_VALUE"""),"euro3")</f>
        <v>euro3</v>
      </c>
      <c r="C4402" s="4" t="str">
        <f>IFERROR(__xludf.DUMMYFUNCTION("""COMPUTED_VALUE"""),"EURO3")</f>
        <v>EURO3</v>
      </c>
    </row>
    <row r="4403">
      <c r="A4403" s="4" t="str">
        <f>IFERROR(__xludf.DUMMYFUNCTION("""COMPUTED_VALUE"""),"euro-coin")</f>
        <v>euro-coin</v>
      </c>
      <c r="B4403" s="4" t="str">
        <f>IFERROR(__xludf.DUMMYFUNCTION("""COMPUTED_VALUE"""),"eurc")</f>
        <v>eurc</v>
      </c>
      <c r="C4403" s="4" t="str">
        <f>IFERROR(__xludf.DUMMYFUNCTION("""COMPUTED_VALUE"""),"EURC")</f>
        <v>EURC</v>
      </c>
    </row>
    <row r="4404">
      <c r="A4404" s="4" t="str">
        <f>IFERROR(__xludf.DUMMYFUNCTION("""COMPUTED_VALUE"""),"eurocoinpay")</f>
        <v>eurocoinpay</v>
      </c>
      <c r="B4404" s="4" t="str">
        <f>IFERROR(__xludf.DUMMYFUNCTION("""COMPUTED_VALUE"""),"ecte")</f>
        <v>ecte</v>
      </c>
      <c r="C4404" s="4" t="str">
        <f>IFERROR(__xludf.DUMMYFUNCTION("""COMPUTED_VALUE"""),"EurocoinToken")</f>
        <v>EurocoinToken</v>
      </c>
    </row>
    <row r="4405">
      <c r="A4405" s="4" t="str">
        <f>IFERROR(__xludf.DUMMYFUNCTION("""COMPUTED_VALUE"""),"euro-coinvertible")</f>
        <v>euro-coinvertible</v>
      </c>
      <c r="B4405" s="4" t="str">
        <f>IFERROR(__xludf.DUMMYFUNCTION("""COMPUTED_VALUE"""),"eur-c")</f>
        <v>eur-c</v>
      </c>
      <c r="C4405" s="4" t="str">
        <f>IFERROR(__xludf.DUMMYFUNCTION("""COMPUTED_VALUE"""),"Euro Coinvertible")</f>
        <v>Euro Coinvertible</v>
      </c>
    </row>
    <row r="4406">
      <c r="A4406" s="4" t="str">
        <f>IFERROR(__xludf.DUMMYFUNCTION("""COMPUTED_VALUE"""),"euroe-stablecoin")</f>
        <v>euroe-stablecoin</v>
      </c>
      <c r="B4406" s="4" t="str">
        <f>IFERROR(__xludf.DUMMYFUNCTION("""COMPUTED_VALUE"""),"euroe")</f>
        <v>euroe</v>
      </c>
      <c r="C4406" s="4" t="str">
        <f>IFERROR(__xludf.DUMMYFUNCTION("""COMPUTED_VALUE"""),"EUROe Stablecoin")</f>
        <v>EUROe Stablecoin</v>
      </c>
    </row>
    <row r="4407">
      <c r="A4407" s="4" t="str">
        <f>IFERROR(__xludf.DUMMYFUNCTION("""COMPUTED_VALUE"""),"eusd-27a558b0-8b5b-4225-a614-63539da936f4")</f>
        <v>eusd-27a558b0-8b5b-4225-a614-63539da936f4</v>
      </c>
      <c r="B4407" s="4" t="str">
        <f>IFERROR(__xludf.DUMMYFUNCTION("""COMPUTED_VALUE"""),"eusd")</f>
        <v>eusd</v>
      </c>
      <c r="C4407" s="4" t="str">
        <f>IFERROR(__xludf.DUMMYFUNCTION("""COMPUTED_VALUE"""),"eUSD (OLD)")</f>
        <v>eUSD (OLD)</v>
      </c>
    </row>
    <row r="4408">
      <c r="A4408" s="4" t="str">
        <f>IFERROR(__xludf.DUMMYFUNCTION("""COMPUTED_VALUE"""),"eusd-new")</f>
        <v>eusd-new</v>
      </c>
      <c r="B4408" s="4" t="str">
        <f>IFERROR(__xludf.DUMMYFUNCTION("""COMPUTED_VALUE"""),"eusd")</f>
        <v>eusd</v>
      </c>
      <c r="C4408" s="4" t="str">
        <f>IFERROR(__xludf.DUMMYFUNCTION("""COMPUTED_VALUE"""),"eUSD")</f>
        <v>eUSD</v>
      </c>
    </row>
    <row r="4409">
      <c r="A4409" s="4" t="str">
        <f>IFERROR(__xludf.DUMMYFUNCTION("""COMPUTED_VALUE"""),"evadore")</f>
        <v>evadore</v>
      </c>
      <c r="B4409" s="4" t="str">
        <f>IFERROR(__xludf.DUMMYFUNCTION("""COMPUTED_VALUE"""),"eva")</f>
        <v>eva</v>
      </c>
      <c r="C4409" s="4" t="str">
        <f>IFERROR(__xludf.DUMMYFUNCTION("""COMPUTED_VALUE"""),"Evadore")</f>
        <v>Evadore</v>
      </c>
    </row>
    <row r="4410">
      <c r="A4410" s="4" t="str">
        <f>IFERROR(__xludf.DUMMYFUNCTION("""COMPUTED_VALUE"""),"evai-2")</f>
        <v>evai-2</v>
      </c>
      <c r="B4410" s="4" t="str">
        <f>IFERROR(__xludf.DUMMYFUNCTION("""COMPUTED_VALUE"""),"ev")</f>
        <v>ev</v>
      </c>
      <c r="C4410" s="4" t="str">
        <f>IFERROR(__xludf.DUMMYFUNCTION("""COMPUTED_VALUE"""),"Evai")</f>
        <v>Evai</v>
      </c>
    </row>
    <row r="4411">
      <c r="A4411" s="4" t="str">
        <f>IFERROR(__xludf.DUMMYFUNCTION("""COMPUTED_VALUE"""),"evanesco-network")</f>
        <v>evanesco-network</v>
      </c>
      <c r="B4411" s="4" t="str">
        <f>IFERROR(__xludf.DUMMYFUNCTION("""COMPUTED_VALUE"""),"eva")</f>
        <v>eva</v>
      </c>
      <c r="C4411" s="4" t="str">
        <f>IFERROR(__xludf.DUMMYFUNCTION("""COMPUTED_VALUE"""),"Evanesco Network")</f>
        <v>Evanesco Network</v>
      </c>
    </row>
    <row r="4412">
      <c r="A4412" s="4" t="str">
        <f>IFERROR(__xludf.DUMMYFUNCTION("""COMPUTED_VALUE"""),"evany")</f>
        <v>evany</v>
      </c>
      <c r="B4412" s="4" t="str">
        <f>IFERROR(__xludf.DUMMYFUNCTION("""COMPUTED_VALUE"""),"evy")</f>
        <v>evy</v>
      </c>
      <c r="C4412" s="4" t="str">
        <f>IFERROR(__xludf.DUMMYFUNCTION("""COMPUTED_VALUE"""),"EVANY")</f>
        <v>EVANY</v>
      </c>
    </row>
    <row r="4413">
      <c r="A4413" s="4" t="str">
        <f>IFERROR(__xludf.DUMMYFUNCTION("""COMPUTED_VALUE"""),"eve")</f>
        <v>eve</v>
      </c>
      <c r="B4413" s="4" t="str">
        <f>IFERROR(__xludf.DUMMYFUNCTION("""COMPUTED_VALUE"""),"eve the cat")</f>
        <v>eve the cat</v>
      </c>
      <c r="C4413" s="4" t="str">
        <f>IFERROR(__xludf.DUMMYFUNCTION("""COMPUTED_VALUE"""),"EVE")</f>
        <v>EVE</v>
      </c>
    </row>
    <row r="4414">
      <c r="A4414" s="4" t="str">
        <f>IFERROR(__xludf.DUMMYFUNCTION("""COMPUTED_VALUE"""),"eve-ai")</f>
        <v>eve-ai</v>
      </c>
      <c r="B4414" s="4" t="str">
        <f>IFERROR(__xludf.DUMMYFUNCTION("""COMPUTED_VALUE"""),"eveai")</f>
        <v>eveai</v>
      </c>
      <c r="C4414" s="4" t="str">
        <f>IFERROR(__xludf.DUMMYFUNCTION("""COMPUTED_VALUE"""),"Eve AI")</f>
        <v>Eve AI</v>
      </c>
    </row>
    <row r="4415">
      <c r="A4415" s="4" t="str">
        <f>IFERROR(__xludf.DUMMYFUNCTION("""COMPUTED_VALUE"""),"evedo")</f>
        <v>evedo</v>
      </c>
      <c r="B4415" s="4" t="str">
        <f>IFERROR(__xludf.DUMMYFUNCTION("""COMPUTED_VALUE"""),"eved")</f>
        <v>eved</v>
      </c>
      <c r="C4415" s="4" t="str">
        <f>IFERROR(__xludf.DUMMYFUNCTION("""COMPUTED_VALUE"""),"Evedo")</f>
        <v>Evedo</v>
      </c>
    </row>
    <row r="4416">
      <c r="A4416" s="4" t="str">
        <f>IFERROR(__xludf.DUMMYFUNCTION("""COMPUTED_VALUE"""),"eve-exchange")</f>
        <v>eve-exchange</v>
      </c>
      <c r="B4416" s="4" t="str">
        <f>IFERROR(__xludf.DUMMYFUNCTION("""COMPUTED_VALUE"""),"eve")</f>
        <v>eve</v>
      </c>
      <c r="C4416" s="4" t="str">
        <f>IFERROR(__xludf.DUMMYFUNCTION("""COMPUTED_VALUE"""),"EVE")</f>
        <v>EVE</v>
      </c>
    </row>
    <row r="4417">
      <c r="A4417" s="4" t="str">
        <f>IFERROR(__xludf.DUMMYFUNCTION("""COMPUTED_VALUE"""),"eventsx")</f>
        <v>eventsx</v>
      </c>
      <c r="B4417" s="4" t="str">
        <f>IFERROR(__xludf.DUMMYFUNCTION("""COMPUTED_VALUE"""),"evex")</f>
        <v>evex</v>
      </c>
      <c r="C4417" s="4" t="str">
        <f>IFERROR(__xludf.DUMMYFUNCTION("""COMPUTED_VALUE"""),"EventsX")</f>
        <v>EventsX</v>
      </c>
    </row>
    <row r="4418">
      <c r="A4418" s="4" t="str">
        <f>IFERROR(__xludf.DUMMYFUNCTION("""COMPUTED_VALUE"""),"everdome")</f>
        <v>everdome</v>
      </c>
      <c r="B4418" s="4" t="str">
        <f>IFERROR(__xludf.DUMMYFUNCTION("""COMPUTED_VALUE"""),"dome")</f>
        <v>dome</v>
      </c>
      <c r="C4418" s="4" t="str">
        <f>IFERROR(__xludf.DUMMYFUNCTION("""COMPUTED_VALUE"""),"Everdome")</f>
        <v>Everdome</v>
      </c>
    </row>
    <row r="4419">
      <c r="A4419" s="4" t="str">
        <f>IFERROR(__xludf.DUMMYFUNCTION("""COMPUTED_VALUE"""),"evereth")</f>
        <v>evereth</v>
      </c>
      <c r="B4419" s="4" t="str">
        <f>IFERROR(__xludf.DUMMYFUNCTION("""COMPUTED_VALUE"""),"evereth")</f>
        <v>evereth</v>
      </c>
      <c r="C4419" s="4" t="str">
        <f>IFERROR(__xludf.DUMMYFUNCTION("""COMPUTED_VALUE"""),"EverETH Reflect")</f>
        <v>EverETH Reflect</v>
      </c>
    </row>
    <row r="4420">
      <c r="A4420" s="4" t="str">
        <f>IFERROR(__xludf.DUMMYFUNCTION("""COMPUTED_VALUE"""),"evereth-2")</f>
        <v>evereth-2</v>
      </c>
      <c r="B4420" s="4" t="str">
        <f>IFERROR(__xludf.DUMMYFUNCTION("""COMPUTED_VALUE"""),"eeth")</f>
        <v>eeth</v>
      </c>
      <c r="C4420" s="4" t="str">
        <f>IFERROR(__xludf.DUMMYFUNCTION("""COMPUTED_VALUE"""),"EverETH")</f>
        <v>EverETH</v>
      </c>
    </row>
    <row r="4421">
      <c r="A4421" s="4" t="str">
        <f>IFERROR(__xludf.DUMMYFUNCTION("""COMPUTED_VALUE"""),"everex")</f>
        <v>everex</v>
      </c>
      <c r="B4421" s="4" t="str">
        <f>IFERROR(__xludf.DUMMYFUNCTION("""COMPUTED_VALUE"""),"evx")</f>
        <v>evx</v>
      </c>
      <c r="C4421" s="4" t="str">
        <f>IFERROR(__xludf.DUMMYFUNCTION("""COMPUTED_VALUE"""),"Everex")</f>
        <v>Everex</v>
      </c>
    </row>
    <row r="4422">
      <c r="A4422" s="4" t="str">
        <f>IFERROR(__xludf.DUMMYFUNCTION("""COMPUTED_VALUE"""),"everflow-token")</f>
        <v>everflow-token</v>
      </c>
      <c r="B4422" s="4" t="str">
        <f>IFERROR(__xludf.DUMMYFUNCTION("""COMPUTED_VALUE"""),"eft")</f>
        <v>eft</v>
      </c>
      <c r="C4422" s="4" t="str">
        <f>IFERROR(__xludf.DUMMYFUNCTION("""COMPUTED_VALUE"""),"Everflow Token")</f>
        <v>Everflow Token</v>
      </c>
    </row>
    <row r="4423">
      <c r="A4423" s="4" t="str">
        <f>IFERROR(__xludf.DUMMYFUNCTION("""COMPUTED_VALUE"""),"evergrowcoin")</f>
        <v>evergrowcoin</v>
      </c>
      <c r="B4423" s="4" t="str">
        <f>IFERROR(__xludf.DUMMYFUNCTION("""COMPUTED_VALUE"""),"egc")</f>
        <v>egc</v>
      </c>
      <c r="C4423" s="4" t="str">
        <f>IFERROR(__xludf.DUMMYFUNCTION("""COMPUTED_VALUE"""),"EverGrow Coin")</f>
        <v>EverGrow Coin</v>
      </c>
    </row>
    <row r="4424">
      <c r="A4424" s="4" t="str">
        <f>IFERROR(__xludf.DUMMYFUNCTION("""COMPUTED_VALUE"""),"everid")</f>
        <v>everid</v>
      </c>
      <c r="B4424" s="4" t="str">
        <f>IFERROR(__xludf.DUMMYFUNCTION("""COMPUTED_VALUE"""),"id")</f>
        <v>id</v>
      </c>
      <c r="C4424" s="4" t="str">
        <f>IFERROR(__xludf.DUMMYFUNCTION("""COMPUTED_VALUE"""),"Everest")</f>
        <v>Everest</v>
      </c>
    </row>
    <row r="4425">
      <c r="A4425" s="4" t="str">
        <f>IFERROR(__xludf.DUMMYFUNCTION("""COMPUTED_VALUE"""),"everipedia")</f>
        <v>everipedia</v>
      </c>
      <c r="B4425" s="4" t="str">
        <f>IFERROR(__xludf.DUMMYFUNCTION("""COMPUTED_VALUE"""),"iq")</f>
        <v>iq</v>
      </c>
      <c r="C4425" s="4" t="str">
        <f>IFERROR(__xludf.DUMMYFUNCTION("""COMPUTED_VALUE"""),"IQ")</f>
        <v>IQ</v>
      </c>
    </row>
    <row r="4426">
      <c r="A4426" s="4" t="str">
        <f>IFERROR(__xludf.DUMMYFUNCTION("""COMPUTED_VALUE"""),"everlodge")</f>
        <v>everlodge</v>
      </c>
      <c r="B4426" s="4" t="str">
        <f>IFERROR(__xludf.DUMMYFUNCTION("""COMPUTED_VALUE"""),"eldg")</f>
        <v>eldg</v>
      </c>
      <c r="C4426" s="4" t="str">
        <f>IFERROR(__xludf.DUMMYFUNCTION("""COMPUTED_VALUE"""),"Everlodge")</f>
        <v>Everlodge</v>
      </c>
    </row>
    <row r="4427">
      <c r="A4427" s="4" t="str">
        <f>IFERROR(__xludf.DUMMYFUNCTION("""COMPUTED_VALUE"""),"evermoon-erc")</f>
        <v>evermoon-erc</v>
      </c>
      <c r="B4427" s="4" t="str">
        <f>IFERROR(__xludf.DUMMYFUNCTION("""COMPUTED_VALUE"""),"evermoon")</f>
        <v>evermoon</v>
      </c>
      <c r="C4427" s="4" t="str">
        <f>IFERROR(__xludf.DUMMYFUNCTION("""COMPUTED_VALUE"""),"EverMoon ERC")</f>
        <v>EverMoon ERC</v>
      </c>
    </row>
    <row r="4428">
      <c r="A4428" s="4" t="str">
        <f>IFERROR(__xludf.DUMMYFUNCTION("""COMPUTED_VALUE"""),"evermoon-sol")</f>
        <v>evermoon-sol</v>
      </c>
      <c r="B4428" s="4" t="str">
        <f>IFERROR(__xludf.DUMMYFUNCTION("""COMPUTED_VALUE"""),"evermoon")</f>
        <v>evermoon</v>
      </c>
      <c r="C4428" s="4" t="str">
        <f>IFERROR(__xludf.DUMMYFUNCTION("""COMPUTED_VALUE"""),"EVERMOON SOL")</f>
        <v>EVERMOON SOL</v>
      </c>
    </row>
    <row r="4429">
      <c r="A4429" s="4" t="str">
        <f>IFERROR(__xludf.DUMMYFUNCTION("""COMPUTED_VALUE"""),"evernode")</f>
        <v>evernode</v>
      </c>
      <c r="B4429" s="4" t="str">
        <f>IFERROR(__xludf.DUMMYFUNCTION("""COMPUTED_VALUE"""),"evr")</f>
        <v>evr</v>
      </c>
      <c r="C4429" s="4" t="str">
        <f>IFERROR(__xludf.DUMMYFUNCTION("""COMPUTED_VALUE"""),"Evernode")</f>
        <v>Evernode</v>
      </c>
    </row>
    <row r="4430">
      <c r="A4430" s="4" t="str">
        <f>IFERROR(__xludf.DUMMYFUNCTION("""COMPUTED_VALUE"""),"everreflect")</f>
        <v>everreflect</v>
      </c>
      <c r="B4430" s="4" t="str">
        <f>IFERROR(__xludf.DUMMYFUNCTION("""COMPUTED_VALUE"""),"evrf")</f>
        <v>evrf</v>
      </c>
      <c r="C4430" s="4" t="str">
        <f>IFERROR(__xludf.DUMMYFUNCTION("""COMPUTED_VALUE"""),"EverReflect")</f>
        <v>EverReflect</v>
      </c>
    </row>
    <row r="4431">
      <c r="A4431" s="4" t="str">
        <f>IFERROR(__xludf.DUMMYFUNCTION("""COMPUTED_VALUE"""),"everrise")</f>
        <v>everrise</v>
      </c>
      <c r="B4431" s="4" t="str">
        <f>IFERROR(__xludf.DUMMYFUNCTION("""COMPUTED_VALUE"""),"rise")</f>
        <v>rise</v>
      </c>
      <c r="C4431" s="4" t="str">
        <f>IFERROR(__xludf.DUMMYFUNCTION("""COMPUTED_VALUE"""),"EverRise")</f>
        <v>EverRise</v>
      </c>
    </row>
    <row r="4432">
      <c r="A4432" s="4" t="str">
        <f>IFERROR(__xludf.DUMMYFUNCTION("""COMPUTED_VALUE"""),"everrise-sol")</f>
        <v>everrise-sol</v>
      </c>
      <c r="B4432" s="4" t="str">
        <f>IFERROR(__xludf.DUMMYFUNCTION("""COMPUTED_VALUE"""),"rise")</f>
        <v>rise</v>
      </c>
      <c r="C4432" s="4" t="str">
        <f>IFERROR(__xludf.DUMMYFUNCTION("""COMPUTED_VALUE"""),"EverRise SOL")</f>
        <v>EverRise SOL</v>
      </c>
    </row>
    <row r="4433">
      <c r="A4433" s="4" t="str">
        <f>IFERROR(__xludf.DUMMYFUNCTION("""COMPUTED_VALUE"""),"everscale")</f>
        <v>everscale</v>
      </c>
      <c r="B4433" s="4" t="str">
        <f>IFERROR(__xludf.DUMMYFUNCTION("""COMPUTED_VALUE"""),"ever")</f>
        <v>ever</v>
      </c>
      <c r="C4433" s="4" t="str">
        <f>IFERROR(__xludf.DUMMYFUNCTION("""COMPUTED_VALUE"""),"Everscale")</f>
        <v>Everscale</v>
      </c>
    </row>
    <row r="4434">
      <c r="A4434" s="4" t="str">
        <f>IFERROR(__xludf.DUMMYFUNCTION("""COMPUTED_VALUE"""),"ever-sol")</f>
        <v>ever-sol</v>
      </c>
      <c r="B4434" s="4" t="str">
        <f>IFERROR(__xludf.DUMMYFUNCTION("""COMPUTED_VALUE"""),"ever")</f>
        <v>ever</v>
      </c>
      <c r="C4434" s="4" t="str">
        <f>IFERROR(__xludf.DUMMYFUNCTION("""COMPUTED_VALUE"""),"Ever Sol")</f>
        <v>Ever Sol</v>
      </c>
    </row>
    <row r="4435">
      <c r="A4435" s="4" t="str">
        <f>IFERROR(__xludf.DUMMYFUNCTION("""COMPUTED_VALUE"""),"everton-fan-token")</f>
        <v>everton-fan-token</v>
      </c>
      <c r="B4435" s="4" t="str">
        <f>IFERROR(__xludf.DUMMYFUNCTION("""COMPUTED_VALUE"""),"efc")</f>
        <v>efc</v>
      </c>
      <c r="C4435" s="4" t="str">
        <f>IFERROR(__xludf.DUMMYFUNCTION("""COMPUTED_VALUE"""),"Everton Fan Token")</f>
        <v>Everton Fan Token</v>
      </c>
    </row>
    <row r="4436">
      <c r="A4436" s="4" t="str">
        <f>IFERROR(__xludf.DUMMYFUNCTION("""COMPUTED_VALUE"""),"everybody")</f>
        <v>everybody</v>
      </c>
      <c r="B4436" s="4" t="str">
        <f>IFERROR(__xludf.DUMMYFUNCTION("""COMPUTED_VALUE"""),"hold")</f>
        <v>hold</v>
      </c>
      <c r="C4436" s="4" t="str">
        <f>IFERROR(__xludf.DUMMYFUNCTION("""COMPUTED_VALUE"""),"Everybody")</f>
        <v>Everybody</v>
      </c>
    </row>
    <row r="4437">
      <c r="A4437" s="4" t="str">
        <f>IFERROR(__xludf.DUMMYFUNCTION("""COMPUTED_VALUE"""),"everycoin")</f>
        <v>everycoin</v>
      </c>
      <c r="B4437" s="4" t="str">
        <f>IFERROR(__xludf.DUMMYFUNCTION("""COMPUTED_VALUE"""),"evy")</f>
        <v>evy</v>
      </c>
      <c r="C4437" s="4" t="str">
        <f>IFERROR(__xludf.DUMMYFUNCTION("""COMPUTED_VALUE"""),"EveryCoin")</f>
        <v>EveryCoin</v>
      </c>
    </row>
    <row r="4438">
      <c r="A4438" s="4" t="str">
        <f>IFERROR(__xludf.DUMMYFUNCTION("""COMPUTED_VALUE"""),"every-game")</f>
        <v>every-game</v>
      </c>
      <c r="B4438" s="4" t="str">
        <f>IFERROR(__xludf.DUMMYFUNCTION("""COMPUTED_VALUE"""),"egame")</f>
        <v>egame</v>
      </c>
      <c r="C4438" s="4" t="str">
        <f>IFERROR(__xludf.DUMMYFUNCTION("""COMPUTED_VALUE"""),"Every Game")</f>
        <v>Every Game</v>
      </c>
    </row>
    <row r="4439">
      <c r="A4439" s="4" t="str">
        <f>IFERROR(__xludf.DUMMYFUNCTION("""COMPUTED_VALUE"""),"everyworld")</f>
        <v>everyworld</v>
      </c>
      <c r="B4439" s="4" t="str">
        <f>IFERROR(__xludf.DUMMYFUNCTION("""COMPUTED_VALUE"""),"every")</f>
        <v>every</v>
      </c>
      <c r="C4439" s="4" t="str">
        <f>IFERROR(__xludf.DUMMYFUNCTION("""COMPUTED_VALUE"""),"Everyworld")</f>
        <v>Everyworld</v>
      </c>
    </row>
    <row r="4440">
      <c r="A4440" s="4" t="str">
        <f>IFERROR(__xludf.DUMMYFUNCTION("""COMPUTED_VALUE"""),"evil-pepe")</f>
        <v>evil-pepe</v>
      </c>
      <c r="B4440" s="4" t="str">
        <f>IFERROR(__xludf.DUMMYFUNCTION("""COMPUTED_VALUE"""),"evilpepe")</f>
        <v>evilpepe</v>
      </c>
      <c r="C4440" s="4" t="str">
        <f>IFERROR(__xludf.DUMMYFUNCTION("""COMPUTED_VALUE"""),"Evil Pepe")</f>
        <v>Evil Pepe</v>
      </c>
    </row>
    <row r="4441">
      <c r="A4441" s="4" t="str">
        <f>IFERROR(__xludf.DUMMYFUNCTION("""COMPUTED_VALUE"""),"evmos")</f>
        <v>evmos</v>
      </c>
      <c r="B4441" s="4" t="str">
        <f>IFERROR(__xludf.DUMMYFUNCTION("""COMPUTED_VALUE"""),"evmos")</f>
        <v>evmos</v>
      </c>
      <c r="C4441" s="4" t="str">
        <f>IFERROR(__xludf.DUMMYFUNCTION("""COMPUTED_VALUE"""),"Evmos")</f>
        <v>Evmos</v>
      </c>
    </row>
    <row r="4442">
      <c r="A4442" s="4" t="str">
        <f>IFERROR(__xludf.DUMMYFUNCTION("""COMPUTED_VALUE"""),"evmos-domains")</f>
        <v>evmos-domains</v>
      </c>
      <c r="B4442" s="4" t="str">
        <f>IFERROR(__xludf.DUMMYFUNCTION("""COMPUTED_VALUE"""),"evd")</f>
        <v>evd</v>
      </c>
      <c r="C4442" s="4" t="str">
        <f>IFERROR(__xludf.DUMMYFUNCTION("""COMPUTED_VALUE"""),"Evmos Domains")</f>
        <v>Evmos Domains</v>
      </c>
    </row>
    <row r="4443">
      <c r="A4443" s="4" t="str">
        <f>IFERROR(__xludf.DUMMYFUNCTION("""COMPUTED_VALUE"""),"evoload")</f>
        <v>evoload</v>
      </c>
      <c r="B4443" s="4" t="str">
        <f>IFERROR(__xludf.DUMMYFUNCTION("""COMPUTED_VALUE"""),"evld")</f>
        <v>evld</v>
      </c>
      <c r="C4443" s="4" t="str">
        <f>IFERROR(__xludf.DUMMYFUNCTION("""COMPUTED_VALUE"""),"Evoload")</f>
        <v>Evoload</v>
      </c>
    </row>
    <row r="4444">
      <c r="A4444" s="4" t="str">
        <f>IFERROR(__xludf.DUMMYFUNCTION("""COMPUTED_VALUE"""),"evolva")</f>
        <v>evolva</v>
      </c>
      <c r="B4444" s="4" t="str">
        <f>IFERROR(__xludf.DUMMYFUNCTION("""COMPUTED_VALUE"""),"eva")</f>
        <v>eva</v>
      </c>
      <c r="C4444" s="4" t="str">
        <f>IFERROR(__xludf.DUMMYFUNCTION("""COMPUTED_VALUE"""),"Evolva")</f>
        <v>Evolva</v>
      </c>
    </row>
    <row r="4445">
      <c r="A4445" s="4" t="str">
        <f>IFERROR(__xludf.DUMMYFUNCTION("""COMPUTED_VALUE"""),"evolve")</f>
        <v>evolve</v>
      </c>
      <c r="B4445" s="4" t="str">
        <f>IFERROR(__xludf.DUMMYFUNCTION("""COMPUTED_VALUE"""),"$evol")</f>
        <v>$evol</v>
      </c>
      <c r="C4445" s="4" t="str">
        <f>IFERROR(__xludf.DUMMYFUNCTION("""COMPUTED_VALUE"""),"Evolve")</f>
        <v>Evolve</v>
      </c>
    </row>
    <row r="4446">
      <c r="A4446" s="4" t="str">
        <f>IFERROR(__xludf.DUMMYFUNCTION("""COMPUTED_VALUE"""),"evoverses")</f>
        <v>evoverses</v>
      </c>
      <c r="B4446" s="4" t="str">
        <f>IFERROR(__xludf.DUMMYFUNCTION("""COMPUTED_VALUE"""),"evo")</f>
        <v>evo</v>
      </c>
      <c r="C4446" s="4" t="str">
        <f>IFERROR(__xludf.DUMMYFUNCTION("""COMPUTED_VALUE"""),"EvoVerses")</f>
        <v>EvoVerses</v>
      </c>
    </row>
    <row r="4447">
      <c r="A4447" s="4" t="str">
        <f>IFERROR(__xludf.DUMMYFUNCTION("""COMPUTED_VALUE"""),"evrynet")</f>
        <v>evrynet</v>
      </c>
      <c r="B4447" s="4" t="str">
        <f>IFERROR(__xludf.DUMMYFUNCTION("""COMPUTED_VALUE"""),"evry")</f>
        <v>evry</v>
      </c>
      <c r="C4447" s="4" t="str">
        <f>IFERROR(__xludf.DUMMYFUNCTION("""COMPUTED_VALUE"""),"Evrynet")</f>
        <v>Evrynet</v>
      </c>
    </row>
    <row r="4448">
      <c r="A4448" s="4" t="str">
        <f>IFERROR(__xludf.DUMMYFUNCTION("""COMPUTED_VALUE"""),"evulus")</f>
        <v>evulus</v>
      </c>
      <c r="B4448" s="4" t="str">
        <f>IFERROR(__xludf.DUMMYFUNCTION("""COMPUTED_VALUE"""),"evu")</f>
        <v>evu</v>
      </c>
      <c r="C4448" s="4" t="str">
        <f>IFERROR(__xludf.DUMMYFUNCTION("""COMPUTED_VALUE"""),"Evulus")</f>
        <v>Evulus</v>
      </c>
    </row>
    <row r="4449">
      <c r="A4449" s="4" t="str">
        <f>IFERROR(__xludf.DUMMYFUNCTION("""COMPUTED_VALUE"""),"exa")</f>
        <v>exa</v>
      </c>
      <c r="B4449" s="4" t="str">
        <f>IFERROR(__xludf.DUMMYFUNCTION("""COMPUTED_VALUE"""),"exa")</f>
        <v>exa</v>
      </c>
      <c r="C4449" s="4" t="str">
        <f>IFERROR(__xludf.DUMMYFUNCTION("""COMPUTED_VALUE"""),"Exactly Token")</f>
        <v>Exactly Token</v>
      </c>
    </row>
    <row r="4450">
      <c r="A4450" s="4" t="str">
        <f>IFERROR(__xludf.DUMMYFUNCTION("""COMPUTED_VALUE"""),"exactly-op")</f>
        <v>exactly-op</v>
      </c>
      <c r="B4450" s="4" t="str">
        <f>IFERROR(__xludf.DUMMYFUNCTION("""COMPUTED_VALUE"""),"exaop")</f>
        <v>exaop</v>
      </c>
      <c r="C4450" s="4" t="str">
        <f>IFERROR(__xludf.DUMMYFUNCTION("""COMPUTED_VALUE"""),"Exactly Optimism")</f>
        <v>Exactly Optimism</v>
      </c>
    </row>
    <row r="4451">
      <c r="A4451" s="4" t="str">
        <f>IFERROR(__xludf.DUMMYFUNCTION("""COMPUTED_VALUE"""),"exactly-usdc")</f>
        <v>exactly-usdc</v>
      </c>
      <c r="B4451" s="4" t="str">
        <f>IFERROR(__xludf.DUMMYFUNCTION("""COMPUTED_VALUE"""),"exausdc")</f>
        <v>exausdc</v>
      </c>
      <c r="C4451" s="4" t="str">
        <f>IFERROR(__xludf.DUMMYFUNCTION("""COMPUTED_VALUE"""),"Exactly USD Coin")</f>
        <v>Exactly USD Coin</v>
      </c>
    </row>
    <row r="4452">
      <c r="A4452" s="4" t="str">
        <f>IFERROR(__xludf.DUMMYFUNCTION("""COMPUTED_VALUE"""),"exactly-wbtc")</f>
        <v>exactly-wbtc</v>
      </c>
      <c r="B4452" s="4" t="str">
        <f>IFERROR(__xludf.DUMMYFUNCTION("""COMPUTED_VALUE"""),"exawbtc")</f>
        <v>exawbtc</v>
      </c>
      <c r="C4452" s="4" t="str">
        <f>IFERROR(__xludf.DUMMYFUNCTION("""COMPUTED_VALUE"""),"Exactly WBTC")</f>
        <v>Exactly WBTC</v>
      </c>
    </row>
    <row r="4453">
      <c r="A4453" s="4" t="str">
        <f>IFERROR(__xludf.DUMMYFUNCTION("""COMPUTED_VALUE"""),"exactly-weth")</f>
        <v>exactly-weth</v>
      </c>
      <c r="B4453" s="4" t="str">
        <f>IFERROR(__xludf.DUMMYFUNCTION("""COMPUTED_VALUE"""),"exaweth")</f>
        <v>exaweth</v>
      </c>
      <c r="C4453" s="4" t="str">
        <f>IFERROR(__xludf.DUMMYFUNCTION("""COMPUTED_VALUE"""),"Exactly Wrapped Ether")</f>
        <v>Exactly Wrapped Ether</v>
      </c>
    </row>
    <row r="4454">
      <c r="A4454" s="4" t="str">
        <f>IFERROR(__xludf.DUMMYFUNCTION("""COMPUTED_VALUE"""),"exactly-wsteth")</f>
        <v>exactly-wsteth</v>
      </c>
      <c r="B4454" s="4" t="str">
        <f>IFERROR(__xludf.DUMMYFUNCTION("""COMPUTED_VALUE"""),"exawsteth")</f>
        <v>exawsteth</v>
      </c>
      <c r="C4454" s="4" t="str">
        <f>IFERROR(__xludf.DUMMYFUNCTION("""COMPUTED_VALUE"""),"Exactly Wrapped stETH")</f>
        <v>Exactly Wrapped stETH</v>
      </c>
    </row>
    <row r="4455">
      <c r="A4455" s="4" t="str">
        <f>IFERROR(__xludf.DUMMYFUNCTION("""COMPUTED_VALUE"""),"exatech")</f>
        <v>exatech</v>
      </c>
      <c r="B4455" s="4" t="str">
        <f>IFERROR(__xludf.DUMMYFUNCTION("""COMPUTED_VALUE"""),"ext")</f>
        <v>ext</v>
      </c>
      <c r="C4455" s="4" t="str">
        <f>IFERROR(__xludf.DUMMYFUNCTION("""COMPUTED_VALUE"""),"Exatech")</f>
        <v>Exatech</v>
      </c>
    </row>
    <row r="4456">
      <c r="A4456" s="4" t="str">
        <f>IFERROR(__xludf.DUMMYFUNCTION("""COMPUTED_VALUE"""),"excalibur")</f>
        <v>excalibur</v>
      </c>
      <c r="B4456" s="4" t="str">
        <f>IFERROR(__xludf.DUMMYFUNCTION("""COMPUTED_VALUE"""),"exc")</f>
        <v>exc</v>
      </c>
      <c r="C4456" s="4" t="str">
        <f>IFERROR(__xludf.DUMMYFUNCTION("""COMPUTED_VALUE"""),"Excalibur")</f>
        <v>Excalibur</v>
      </c>
    </row>
    <row r="4457">
      <c r="A4457" s="4" t="str">
        <f>IFERROR(__xludf.DUMMYFUNCTION("""COMPUTED_VALUE"""),"excelon")</f>
        <v>excelon</v>
      </c>
      <c r="B4457" s="4" t="str">
        <f>IFERROR(__xludf.DUMMYFUNCTION("""COMPUTED_VALUE"""),"xlon")</f>
        <v>xlon</v>
      </c>
      <c r="C4457" s="4" t="str">
        <f>IFERROR(__xludf.DUMMYFUNCTION("""COMPUTED_VALUE"""),"Excelon")</f>
        <v>Excelon</v>
      </c>
    </row>
    <row r="4458">
      <c r="A4458" s="4" t="str">
        <f>IFERROR(__xludf.DUMMYFUNCTION("""COMPUTED_VALUE"""),"exchangecoin")</f>
        <v>exchangecoin</v>
      </c>
      <c r="B4458" s="4" t="str">
        <f>IFERROR(__xludf.DUMMYFUNCTION("""COMPUTED_VALUE"""),"excc")</f>
        <v>excc</v>
      </c>
      <c r="C4458" s="4" t="str">
        <f>IFERROR(__xludf.DUMMYFUNCTION("""COMPUTED_VALUE"""),"ExchangeCoin")</f>
        <v>ExchangeCoin</v>
      </c>
    </row>
    <row r="4459">
      <c r="A4459" s="4" t="str">
        <f>IFERROR(__xludf.DUMMYFUNCTION("""COMPUTED_VALUE"""),"exchange-genesis-ethlas-medium")</f>
        <v>exchange-genesis-ethlas-medium</v>
      </c>
      <c r="B4459" s="4" t="str">
        <f>IFERROR(__xludf.DUMMYFUNCTION("""COMPUTED_VALUE"""),"xgem")</f>
        <v>xgem</v>
      </c>
      <c r="C4459" s="4" t="str">
        <f>IFERROR(__xludf.DUMMYFUNCTION("""COMPUTED_VALUE"""),"Exchange Genesis Ethlas Medium")</f>
        <v>Exchange Genesis Ethlas Medium</v>
      </c>
    </row>
    <row r="4460">
      <c r="A4460" s="4" t="str">
        <f>IFERROR(__xludf.DUMMYFUNCTION("""COMPUTED_VALUE"""),"exciting-japan-coin")</f>
        <v>exciting-japan-coin</v>
      </c>
      <c r="B4460" s="4" t="str">
        <f>IFERROR(__xludf.DUMMYFUNCTION("""COMPUTED_VALUE"""),"xjp")</f>
        <v>xjp</v>
      </c>
      <c r="C4460" s="4" t="str">
        <f>IFERROR(__xludf.DUMMYFUNCTION("""COMPUTED_VALUE"""),"eXciting Japan Coin")</f>
        <v>eXciting Japan Coin</v>
      </c>
    </row>
    <row r="4461">
      <c r="A4461" s="4" t="str">
        <f>IFERROR(__xludf.DUMMYFUNCTION("""COMPUTED_VALUE"""),"exeedme")</f>
        <v>exeedme</v>
      </c>
      <c r="B4461" s="4" t="str">
        <f>IFERROR(__xludf.DUMMYFUNCTION("""COMPUTED_VALUE"""),"xed")</f>
        <v>xed</v>
      </c>
      <c r="C4461" s="4" t="str">
        <f>IFERROR(__xludf.DUMMYFUNCTION("""COMPUTED_VALUE"""),"Exeedme")</f>
        <v>Exeedme</v>
      </c>
    </row>
    <row r="4462">
      <c r="A4462" s="4" t="str">
        <f>IFERROR(__xludf.DUMMYFUNCTION("""COMPUTED_VALUE"""),"exgo")</f>
        <v>exgo</v>
      </c>
      <c r="B4462" s="4" t="str">
        <f>IFERROR(__xludf.DUMMYFUNCTION("""COMPUTED_VALUE"""),"exgo")</f>
        <v>exgo</v>
      </c>
      <c r="C4462" s="4" t="str">
        <f>IFERROR(__xludf.DUMMYFUNCTION("""COMPUTED_VALUE"""),"Exgoland")</f>
        <v>Exgoland</v>
      </c>
    </row>
    <row r="4463">
      <c r="A4463" s="4" t="str">
        <f>IFERROR(__xludf.DUMMYFUNCTION("""COMPUTED_VALUE"""),"exmo-coin")</f>
        <v>exmo-coin</v>
      </c>
      <c r="B4463" s="4" t="str">
        <f>IFERROR(__xludf.DUMMYFUNCTION("""COMPUTED_VALUE"""),"exm")</f>
        <v>exm</v>
      </c>
      <c r="C4463" s="4" t="str">
        <f>IFERROR(__xludf.DUMMYFUNCTION("""COMPUTED_VALUE"""),"EXMO Coin")</f>
        <v>EXMO Coin</v>
      </c>
    </row>
    <row r="4464">
      <c r="A4464" s="4" t="str">
        <f>IFERROR(__xludf.DUMMYFUNCTION("""COMPUTED_VALUE"""),"exnetwork-token")</f>
        <v>exnetwork-token</v>
      </c>
      <c r="B4464" s="4" t="str">
        <f>IFERROR(__xludf.DUMMYFUNCTION("""COMPUTED_VALUE"""),"exnt")</f>
        <v>exnt</v>
      </c>
      <c r="C4464" s="4" t="str">
        <f>IFERROR(__xludf.DUMMYFUNCTION("""COMPUTED_VALUE"""),"ExNetwork")</f>
        <v>ExNetwork</v>
      </c>
    </row>
    <row r="4465">
      <c r="A4465" s="4" t="str">
        <f>IFERROR(__xludf.DUMMYFUNCTION("""COMPUTED_VALUE"""),"exohood")</f>
        <v>exohood</v>
      </c>
      <c r="B4465" s="4" t="str">
        <f>IFERROR(__xludf.DUMMYFUNCTION("""COMPUTED_VALUE"""),"exo")</f>
        <v>exo</v>
      </c>
      <c r="C4465" s="4" t="str">
        <f>IFERROR(__xludf.DUMMYFUNCTION("""COMPUTED_VALUE"""),"Exohood")</f>
        <v>Exohood</v>
      </c>
    </row>
    <row r="4466">
      <c r="A4466" s="4" t="str">
        <f>IFERROR(__xludf.DUMMYFUNCTION("""COMPUTED_VALUE"""),"exorde")</f>
        <v>exorde</v>
      </c>
      <c r="B4466" s="4" t="str">
        <f>IFERROR(__xludf.DUMMYFUNCTION("""COMPUTED_VALUE"""),"exd")</f>
        <v>exd</v>
      </c>
      <c r="C4466" s="4" t="str">
        <f>IFERROR(__xludf.DUMMYFUNCTION("""COMPUTED_VALUE"""),"Exorde")</f>
        <v>Exorde</v>
      </c>
    </row>
    <row r="4467">
      <c r="A4467" s="4" t="str">
        <f>IFERROR(__xludf.DUMMYFUNCTION("""COMPUTED_VALUE"""),"exosama-network")</f>
        <v>exosama-network</v>
      </c>
      <c r="B4467" s="4" t="str">
        <f>IFERROR(__xludf.DUMMYFUNCTION("""COMPUTED_VALUE"""),"sama")</f>
        <v>sama</v>
      </c>
      <c r="C4467" s="4" t="str">
        <f>IFERROR(__xludf.DUMMYFUNCTION("""COMPUTED_VALUE"""),"Moonsama")</f>
        <v>Moonsama</v>
      </c>
    </row>
    <row r="4468">
      <c r="A4468" s="4" t="str">
        <f>IFERROR(__xludf.DUMMYFUNCTION("""COMPUTED_VALUE"""),"expanse")</f>
        <v>expanse</v>
      </c>
      <c r="B4468" s="4" t="str">
        <f>IFERROR(__xludf.DUMMYFUNCTION("""COMPUTED_VALUE"""),"exp")</f>
        <v>exp</v>
      </c>
      <c r="C4468" s="4" t="str">
        <f>IFERROR(__xludf.DUMMYFUNCTION("""COMPUTED_VALUE"""),"Expanse")</f>
        <v>Expanse</v>
      </c>
    </row>
    <row r="4469">
      <c r="A4469" s="4" t="str">
        <f>IFERROR(__xludf.DUMMYFUNCTION("""COMPUTED_VALUE"""),"experience-chain")</f>
        <v>experience-chain</v>
      </c>
      <c r="B4469" s="4" t="str">
        <f>IFERROR(__xludf.DUMMYFUNCTION("""COMPUTED_VALUE"""),"xpc")</f>
        <v>xpc</v>
      </c>
      <c r="C4469" s="4" t="str">
        <f>IFERROR(__xludf.DUMMYFUNCTION("""COMPUTED_VALUE"""),"eXPerience Chain")</f>
        <v>eXPerience Chain</v>
      </c>
    </row>
    <row r="4470">
      <c r="A4470" s="4" t="str">
        <f>IFERROR(__xludf.DUMMYFUNCTION("""COMPUTED_VALUE"""),"experty-wisdom-token")</f>
        <v>experty-wisdom-token</v>
      </c>
      <c r="B4470" s="4" t="str">
        <f>IFERROR(__xludf.DUMMYFUNCTION("""COMPUTED_VALUE"""),"wis")</f>
        <v>wis</v>
      </c>
      <c r="C4470" s="4" t="str">
        <f>IFERROR(__xludf.DUMMYFUNCTION("""COMPUTED_VALUE"""),"Experty Wisdom")</f>
        <v>Experty Wisdom</v>
      </c>
    </row>
    <row r="4471">
      <c r="A4471" s="4" t="str">
        <f>IFERROR(__xludf.DUMMYFUNCTION("""COMPUTED_VALUE"""),"exponential-capital-2")</f>
        <v>exponential-capital-2</v>
      </c>
      <c r="B4471" s="4" t="str">
        <f>IFERROR(__xludf.DUMMYFUNCTION("""COMPUTED_VALUE"""),"expo")</f>
        <v>expo</v>
      </c>
      <c r="C4471" s="4" t="str">
        <f>IFERROR(__xludf.DUMMYFUNCTION("""COMPUTED_VALUE"""),"Exponential Capital")</f>
        <v>Exponential Capital</v>
      </c>
    </row>
    <row r="4472">
      <c r="A4472" s="4" t="str">
        <f>IFERROR(__xludf.DUMMYFUNCTION("""COMPUTED_VALUE"""),"export-mortos-platform")</f>
        <v>export-mortos-platform</v>
      </c>
      <c r="B4472" s="4" t="str">
        <f>IFERROR(__xludf.DUMMYFUNCTION("""COMPUTED_VALUE"""),"emp")</f>
        <v>emp</v>
      </c>
      <c r="C4472" s="4" t="str">
        <f>IFERROR(__xludf.DUMMYFUNCTION("""COMPUTED_VALUE"""),"Export Motors Platform")</f>
        <v>Export Motors Platform</v>
      </c>
    </row>
    <row r="4473">
      <c r="A4473" s="4" t="str">
        <f>IFERROR(__xludf.DUMMYFUNCTION("""COMPUTED_VALUE"""),"extradna")</f>
        <v>extradna</v>
      </c>
      <c r="B4473" s="4" t="str">
        <f>IFERROR(__xludf.DUMMYFUNCTION("""COMPUTED_VALUE"""),"xdna")</f>
        <v>xdna</v>
      </c>
      <c r="C4473" s="4" t="str">
        <f>IFERROR(__xludf.DUMMYFUNCTION("""COMPUTED_VALUE"""),"extraDNA")</f>
        <v>extraDNA</v>
      </c>
    </row>
    <row r="4474">
      <c r="A4474" s="4" t="str">
        <f>IFERROR(__xludf.DUMMYFUNCTION("""COMPUTED_VALUE"""),"extra-finance")</f>
        <v>extra-finance</v>
      </c>
      <c r="B4474" s="4" t="str">
        <f>IFERROR(__xludf.DUMMYFUNCTION("""COMPUTED_VALUE"""),"extra")</f>
        <v>extra</v>
      </c>
      <c r="C4474" s="4" t="str">
        <f>IFERROR(__xludf.DUMMYFUNCTION("""COMPUTED_VALUE"""),"Extra Finance")</f>
        <v>Extra Finance</v>
      </c>
    </row>
    <row r="4475">
      <c r="A4475" s="4" t="str">
        <f>IFERROR(__xludf.DUMMYFUNCTION("""COMPUTED_VALUE"""),"extreme")</f>
        <v>extreme</v>
      </c>
      <c r="B4475" s="4" t="str">
        <f>IFERROR(__xludf.DUMMYFUNCTION("""COMPUTED_VALUE"""),"xtrm")</f>
        <v>xtrm</v>
      </c>
      <c r="C4475" s="4" t="str">
        <f>IFERROR(__xludf.DUMMYFUNCTION("""COMPUTED_VALUE"""),"Extreme")</f>
        <v>Extreme</v>
      </c>
    </row>
    <row r="4476">
      <c r="A4476" s="4" t="str">
        <f>IFERROR(__xludf.DUMMYFUNCTION("""COMPUTED_VALUE"""),"extropic-ai")</f>
        <v>extropic-ai</v>
      </c>
      <c r="B4476" s="4" t="str">
        <f>IFERROR(__xludf.DUMMYFUNCTION("""COMPUTED_VALUE"""),"extropic")</f>
        <v>extropic</v>
      </c>
      <c r="C4476" s="4" t="str">
        <f>IFERROR(__xludf.DUMMYFUNCTION("""COMPUTED_VALUE"""),"Extropic AI")</f>
        <v>Extropic AI</v>
      </c>
    </row>
    <row r="4477">
      <c r="A4477" s="4" t="str">
        <f>IFERROR(__xludf.DUMMYFUNCTION("""COMPUTED_VALUE"""),"exverse")</f>
        <v>exverse</v>
      </c>
      <c r="B4477" s="4" t="str">
        <f>IFERROR(__xludf.DUMMYFUNCTION("""COMPUTED_VALUE"""),"exvg")</f>
        <v>exvg</v>
      </c>
      <c r="C4477" s="4" t="str">
        <f>IFERROR(__xludf.DUMMYFUNCTION("""COMPUTED_VALUE"""),"Exverse")</f>
        <v>Exverse</v>
      </c>
    </row>
    <row r="4478">
      <c r="A4478" s="4" t="str">
        <f>IFERROR(__xludf.DUMMYFUNCTION("""COMPUTED_VALUE"""),"exynos-protocol")</f>
        <v>exynos-protocol</v>
      </c>
      <c r="B4478" s="4" t="str">
        <f>IFERROR(__xludf.DUMMYFUNCTION("""COMPUTED_VALUE"""),"xyn")</f>
        <v>xyn</v>
      </c>
      <c r="C4478" s="4" t="str">
        <f>IFERROR(__xludf.DUMMYFUNCTION("""COMPUTED_VALUE"""),"Exynos Protocol")</f>
        <v>Exynos Protocol</v>
      </c>
    </row>
    <row r="4479">
      <c r="A4479" s="4" t="str">
        <f>IFERROR(__xludf.DUMMYFUNCTION("""COMPUTED_VALUE"""),"eyebot")</f>
        <v>eyebot</v>
      </c>
      <c r="B4479" s="4" t="str">
        <f>IFERROR(__xludf.DUMMYFUNCTION("""COMPUTED_VALUE"""),"eyebot")</f>
        <v>eyebot</v>
      </c>
      <c r="C4479" s="4" t="str">
        <f>IFERROR(__xludf.DUMMYFUNCTION("""COMPUTED_VALUE"""),"Eyebot")</f>
        <v>Eyebot</v>
      </c>
    </row>
    <row r="4480">
      <c r="A4480" s="4" t="str">
        <f>IFERROR(__xludf.DUMMYFUNCTION("""COMPUTED_VALUE"""),"eye-earn")</f>
        <v>eye-earn</v>
      </c>
      <c r="B4480" s="4" t="str">
        <f>IFERROR(__xludf.DUMMYFUNCTION("""COMPUTED_VALUE"""),"smilek")</f>
        <v>smilek</v>
      </c>
      <c r="C4480" s="4" t="str">
        <f>IFERROR(__xludf.DUMMYFUNCTION("""COMPUTED_VALUE"""),"Smilek")</f>
        <v>Smilek</v>
      </c>
    </row>
    <row r="4481">
      <c r="A4481" s="4" t="str">
        <f>IFERROR(__xludf.DUMMYFUNCTION("""COMPUTED_VALUE"""),"eyes-protocol")</f>
        <v>eyes-protocol</v>
      </c>
      <c r="B4481" s="4" t="str">
        <f>IFERROR(__xludf.DUMMYFUNCTION("""COMPUTED_VALUE"""),"eyes")</f>
        <v>eyes</v>
      </c>
      <c r="C4481" s="4" t="str">
        <f>IFERROR(__xludf.DUMMYFUNCTION("""COMPUTED_VALUE"""),"EYES Protocol")</f>
        <v>EYES Protocol</v>
      </c>
    </row>
    <row r="4482">
      <c r="A4482" s="4" t="str">
        <f>IFERROR(__xludf.DUMMYFUNCTION("""COMPUTED_VALUE"""),"eyeverse")</f>
        <v>eyeverse</v>
      </c>
      <c r="B4482" s="4" t="str">
        <f>IFERROR(__xludf.DUMMYFUNCTION("""COMPUTED_VALUE"""),"eye")</f>
        <v>eye</v>
      </c>
      <c r="C4482" s="4" t="str">
        <f>IFERROR(__xludf.DUMMYFUNCTION("""COMPUTED_VALUE"""),"Eyeverse")</f>
        <v>Eyeverse</v>
      </c>
    </row>
    <row r="4483">
      <c r="A4483" s="4" t="str">
        <f>IFERROR(__xludf.DUMMYFUNCTION("""COMPUTED_VALUE"""),"ezillion")</f>
        <v>ezillion</v>
      </c>
      <c r="B4483" s="4" t="str">
        <f>IFERROR(__xludf.DUMMYFUNCTION("""COMPUTED_VALUE"""),"ezi")</f>
        <v>ezi</v>
      </c>
      <c r="C4483" s="4" t="str">
        <f>IFERROR(__xludf.DUMMYFUNCTION("""COMPUTED_VALUE"""),"Ezillion")</f>
        <v>Ezillion</v>
      </c>
    </row>
    <row r="4484">
      <c r="A4484" s="4" t="str">
        <f>IFERROR(__xludf.DUMMYFUNCTION("""COMPUTED_VALUE"""),"ezkalibur")</f>
        <v>ezkalibur</v>
      </c>
      <c r="B4484" s="4" t="str">
        <f>IFERROR(__xludf.DUMMYFUNCTION("""COMPUTED_VALUE"""),"sword")</f>
        <v>sword</v>
      </c>
      <c r="C4484" s="4" t="str">
        <f>IFERROR(__xludf.DUMMYFUNCTION("""COMPUTED_VALUE"""),"eZKalibur")</f>
        <v>eZKalibur</v>
      </c>
    </row>
    <row r="4485">
      <c r="A4485" s="4" t="str">
        <f>IFERROR(__xludf.DUMMYFUNCTION("""COMPUTED_VALUE"""),"ezswap-protocol")</f>
        <v>ezswap-protocol</v>
      </c>
      <c r="B4485" s="4" t="str">
        <f>IFERROR(__xludf.DUMMYFUNCTION("""COMPUTED_VALUE"""),"ezswap")</f>
        <v>ezswap</v>
      </c>
      <c r="C4485" s="4" t="str">
        <f>IFERROR(__xludf.DUMMYFUNCTION("""COMPUTED_VALUE"""),"EZswap Protocol")</f>
        <v>EZswap Protocol</v>
      </c>
    </row>
    <row r="4486">
      <c r="A4486" s="4" t="str">
        <f>IFERROR(__xludf.DUMMYFUNCTION("""COMPUTED_VALUE"""),"ezzy-game-2")</f>
        <v>ezzy-game-2</v>
      </c>
      <c r="B4486" s="4" t="str">
        <f>IFERROR(__xludf.DUMMYFUNCTION("""COMPUTED_VALUE"""),"gezy")</f>
        <v>gezy</v>
      </c>
      <c r="C4486" s="4" t="str">
        <f>IFERROR(__xludf.DUMMYFUNCTION("""COMPUTED_VALUE"""),"EZZY Game")</f>
        <v>EZZY Game</v>
      </c>
    </row>
    <row r="4487">
      <c r="A4487" s="4" t="str">
        <f>IFERROR(__xludf.DUMMYFUNCTION("""COMPUTED_VALUE"""),"fable-of-the-dragon")</f>
        <v>fable-of-the-dragon</v>
      </c>
      <c r="B4487" s="4" t="str">
        <f>IFERROR(__xludf.DUMMYFUNCTION("""COMPUTED_VALUE"""),"tyrant")</f>
        <v>tyrant</v>
      </c>
      <c r="C4487" s="4" t="str">
        <f>IFERROR(__xludf.DUMMYFUNCTION("""COMPUTED_VALUE"""),"Fable Of The Dragon")</f>
        <v>Fable Of The Dragon</v>
      </c>
    </row>
    <row r="4488">
      <c r="A4488" s="4" t="str">
        <f>IFERROR(__xludf.DUMMYFUNCTION("""COMPUTED_VALUE"""),"fabric")</f>
        <v>fabric</v>
      </c>
      <c r="B4488" s="4" t="str">
        <f>IFERROR(__xludf.DUMMYFUNCTION("""COMPUTED_VALUE"""),"fab")</f>
        <v>fab</v>
      </c>
      <c r="C4488" s="4" t="str">
        <f>IFERROR(__xludf.DUMMYFUNCTION("""COMPUTED_VALUE"""),"Fabric")</f>
        <v>Fabric</v>
      </c>
    </row>
    <row r="4489">
      <c r="A4489" s="4" t="str">
        <f>IFERROR(__xludf.DUMMYFUNCTION("""COMPUTED_VALUE"""),"fabs")</f>
        <v>fabs</v>
      </c>
      <c r="B4489" s="4" t="str">
        <f>IFERROR(__xludf.DUMMYFUNCTION("""COMPUTED_VALUE"""),"fabs")</f>
        <v>fabs</v>
      </c>
      <c r="C4489" s="4" t="str">
        <f>IFERROR(__xludf.DUMMYFUNCTION("""COMPUTED_VALUE"""),"Fabs")</f>
        <v>Fabs</v>
      </c>
    </row>
    <row r="4490">
      <c r="A4490" s="4" t="str">
        <f>IFERROR(__xludf.DUMMYFUNCTION("""COMPUTED_VALUE"""),"fabwelt")</f>
        <v>fabwelt</v>
      </c>
      <c r="B4490" s="4" t="str">
        <f>IFERROR(__xludf.DUMMYFUNCTION("""COMPUTED_VALUE"""),"welt")</f>
        <v>welt</v>
      </c>
      <c r="C4490" s="4" t="str">
        <f>IFERROR(__xludf.DUMMYFUNCTION("""COMPUTED_VALUE"""),"Fabwelt")</f>
        <v>Fabwelt</v>
      </c>
    </row>
    <row r="4491">
      <c r="A4491" s="4" t="str">
        <f>IFERROR(__xludf.DUMMYFUNCTION("""COMPUTED_VALUE"""),"facebook-tokenized-stock-defichain")</f>
        <v>facebook-tokenized-stock-defichain</v>
      </c>
      <c r="B4491" s="4" t="str">
        <f>IFERROR(__xludf.DUMMYFUNCTION("""COMPUTED_VALUE"""),"dfb")</f>
        <v>dfb</v>
      </c>
      <c r="C4491" s="4" t="str">
        <f>IFERROR(__xludf.DUMMYFUNCTION("""COMPUTED_VALUE"""),"Facebook Tokenized Stock Defichain")</f>
        <v>Facebook Tokenized Stock Defichain</v>
      </c>
    </row>
    <row r="4492">
      <c r="A4492" s="4" t="str">
        <f>IFERROR(__xludf.DUMMYFUNCTION("""COMPUTED_VALUE"""),"facedao")</f>
        <v>facedao</v>
      </c>
      <c r="B4492" s="4" t="str">
        <f>IFERROR(__xludf.DUMMYFUNCTION("""COMPUTED_VALUE"""),"face")</f>
        <v>face</v>
      </c>
      <c r="C4492" s="4" t="str">
        <f>IFERROR(__xludf.DUMMYFUNCTION("""COMPUTED_VALUE"""),"FaceDAO")</f>
        <v>FaceDAO</v>
      </c>
    </row>
    <row r="4493">
      <c r="A4493" s="4" t="str">
        <f>IFERROR(__xludf.DUMMYFUNCTION("""COMPUTED_VALUE"""),"facet")</f>
        <v>facet</v>
      </c>
      <c r="B4493" s="4" t="str">
        <f>IFERROR(__xludf.DUMMYFUNCTION("""COMPUTED_VALUE"""),"facet")</f>
        <v>facet</v>
      </c>
      <c r="C4493" s="4" t="str">
        <f>IFERROR(__xludf.DUMMYFUNCTION("""COMPUTED_VALUE"""),"FACET")</f>
        <v>FACET</v>
      </c>
    </row>
    <row r="4494">
      <c r="A4494" s="4" t="str">
        <f>IFERROR(__xludf.DUMMYFUNCTION("""COMPUTED_VALUE"""),"fact0rn")</f>
        <v>fact0rn</v>
      </c>
      <c r="B4494" s="4" t="str">
        <f>IFERROR(__xludf.DUMMYFUNCTION("""COMPUTED_VALUE"""),"fact")</f>
        <v>fact</v>
      </c>
      <c r="C4494" s="4" t="str">
        <f>IFERROR(__xludf.DUMMYFUNCTION("""COMPUTED_VALUE"""),"Fact0rn")</f>
        <v>Fact0rn</v>
      </c>
    </row>
    <row r="4495">
      <c r="A4495" s="4" t="str">
        <f>IFERROR(__xludf.DUMMYFUNCTION("""COMPUTED_VALUE"""),"factor")</f>
        <v>factor</v>
      </c>
      <c r="B4495" s="4" t="str">
        <f>IFERROR(__xludf.DUMMYFUNCTION("""COMPUTED_VALUE"""),"fctr")</f>
        <v>fctr</v>
      </c>
      <c r="C4495" s="4" t="str">
        <f>IFERROR(__xludf.DUMMYFUNCTION("""COMPUTED_VALUE"""),"FactorDAO")</f>
        <v>FactorDAO</v>
      </c>
    </row>
    <row r="4496">
      <c r="A4496" s="4" t="str">
        <f>IFERROR(__xludf.DUMMYFUNCTION("""COMPUTED_VALUE"""),"facts")</f>
        <v>facts</v>
      </c>
      <c r="B4496" s="4" t="str">
        <f>IFERROR(__xludf.DUMMYFUNCTION("""COMPUTED_VALUE"""),"bkc")</f>
        <v>bkc</v>
      </c>
      <c r="C4496" s="4" t="str">
        <f>IFERROR(__xludf.DUMMYFUNCTION("""COMPUTED_VALUE"""),"FACTS")</f>
        <v>FACTS</v>
      </c>
    </row>
    <row r="4497">
      <c r="A4497" s="4" t="str">
        <f>IFERROR(__xludf.DUMMYFUNCTION("""COMPUTED_VALUE"""),"fade")</f>
        <v>fade</v>
      </c>
      <c r="B4497" s="4" t="str">
        <f>IFERROR(__xludf.DUMMYFUNCTION("""COMPUTED_VALUE"""),"fade")</f>
        <v>fade</v>
      </c>
      <c r="C4497" s="4" t="str">
        <f>IFERROR(__xludf.DUMMYFUNCTION("""COMPUTED_VALUE"""),"Fade")</f>
        <v>Fade</v>
      </c>
    </row>
    <row r="4498">
      <c r="A4498" s="4" t="str">
        <f>IFERROR(__xludf.DUMMYFUNCTION("""COMPUTED_VALUE"""),"fafy-token")</f>
        <v>fafy-token</v>
      </c>
      <c r="B4498" s="4" t="str">
        <f>IFERROR(__xludf.DUMMYFUNCTION("""COMPUTED_VALUE"""),"fafy")</f>
        <v>fafy</v>
      </c>
      <c r="C4498" s="4" t="str">
        <f>IFERROR(__xludf.DUMMYFUNCTION("""COMPUTED_VALUE"""),"Fafy Token")</f>
        <v>Fafy Token</v>
      </c>
    </row>
    <row r="4499">
      <c r="A4499" s="4" t="str">
        <f>IFERROR(__xludf.DUMMYFUNCTION("""COMPUTED_VALUE"""),"fair-berc20")</f>
        <v>fair-berc20</v>
      </c>
      <c r="B4499" s="4" t="str">
        <f>IFERROR(__xludf.DUMMYFUNCTION("""COMPUTED_VALUE"""),"berc")</f>
        <v>berc</v>
      </c>
      <c r="C4499" s="4" t="str">
        <f>IFERROR(__xludf.DUMMYFUNCTION("""COMPUTED_VALUE"""),"Fair BERC20")</f>
        <v>Fair BERC20</v>
      </c>
    </row>
    <row r="4500">
      <c r="A4500" s="4" t="str">
        <f>IFERROR(__xludf.DUMMYFUNCTION("""COMPUTED_VALUE"""),"fairerc20")</f>
        <v>fairerc20</v>
      </c>
      <c r="B4500" s="4" t="str">
        <f>IFERROR(__xludf.DUMMYFUNCTION("""COMPUTED_VALUE"""),"ferc")</f>
        <v>ferc</v>
      </c>
      <c r="C4500" s="4" t="str">
        <f>IFERROR(__xludf.DUMMYFUNCTION("""COMPUTED_VALUE"""),"FairERC20")</f>
        <v>FairERC20</v>
      </c>
    </row>
    <row r="4501">
      <c r="A4501" s="4" t="str">
        <f>IFERROR(__xludf.DUMMYFUNCTION("""COMPUTED_VALUE"""),"fairlight")</f>
        <v>fairlight</v>
      </c>
      <c r="B4501" s="4" t="str">
        <f>IFERROR(__xludf.DUMMYFUNCTION("""COMPUTED_VALUE"""),"fcdp")</f>
        <v>fcdp</v>
      </c>
      <c r="C4501" s="4" t="str">
        <f>IFERROR(__xludf.DUMMYFUNCTION("""COMPUTED_VALUE"""),"FairLight")</f>
        <v>FairLight</v>
      </c>
    </row>
    <row r="4502">
      <c r="A4502" s="4" t="str">
        <f>IFERROR(__xludf.DUMMYFUNCTION("""COMPUTED_VALUE"""),"fairspin")</f>
        <v>fairspin</v>
      </c>
      <c r="B4502" s="4" t="str">
        <f>IFERROR(__xludf.DUMMYFUNCTION("""COMPUTED_VALUE"""),"tfs")</f>
        <v>tfs</v>
      </c>
      <c r="C4502" s="4" t="str">
        <f>IFERROR(__xludf.DUMMYFUNCTION("""COMPUTED_VALUE"""),"FairSpin")</f>
        <v>FairSpin</v>
      </c>
    </row>
    <row r="4503">
      <c r="A4503" s="4" t="str">
        <f>IFERROR(__xludf.DUMMYFUNCTION("""COMPUTED_VALUE"""),"fairum")</f>
        <v>fairum</v>
      </c>
      <c r="B4503" s="4" t="str">
        <f>IFERROR(__xludf.DUMMYFUNCTION("""COMPUTED_VALUE"""),"fai")</f>
        <v>fai</v>
      </c>
      <c r="C4503" s="4" t="str">
        <f>IFERROR(__xludf.DUMMYFUNCTION("""COMPUTED_VALUE"""),"Fairum")</f>
        <v>Fairum</v>
      </c>
    </row>
    <row r="4504">
      <c r="A4504" s="4" t="str">
        <f>IFERROR(__xludf.DUMMYFUNCTION("""COMPUTED_VALUE"""),"faith-tribe")</f>
        <v>faith-tribe</v>
      </c>
      <c r="B4504" s="4" t="str">
        <f>IFERROR(__xludf.DUMMYFUNCTION("""COMPUTED_VALUE"""),"ftrb")</f>
        <v>ftrb</v>
      </c>
      <c r="C4504" s="4" t="str">
        <f>IFERROR(__xludf.DUMMYFUNCTION("""COMPUTED_VALUE"""),"Faith Tribe")</f>
        <v>Faith Tribe</v>
      </c>
    </row>
    <row r="4505">
      <c r="A4505" s="4" t="str">
        <f>IFERROR(__xludf.DUMMYFUNCTION("""COMPUTED_VALUE"""),"falcon-nine")</f>
        <v>falcon-nine</v>
      </c>
      <c r="B4505" s="4" t="str">
        <f>IFERROR(__xludf.DUMMYFUNCTION("""COMPUTED_VALUE"""),"f9")</f>
        <v>f9</v>
      </c>
      <c r="C4505" s="4" t="str">
        <f>IFERROR(__xludf.DUMMYFUNCTION("""COMPUTED_VALUE"""),"Falcon Nine")</f>
        <v>Falcon Nine</v>
      </c>
    </row>
    <row r="4506">
      <c r="A4506" s="4" t="str">
        <f>IFERROR(__xludf.DUMMYFUNCTION("""COMPUTED_VALUE"""),"falcon-token")</f>
        <v>falcon-token</v>
      </c>
      <c r="B4506" s="4" t="str">
        <f>IFERROR(__xludf.DUMMYFUNCTION("""COMPUTED_VALUE"""),"fnt")</f>
        <v>fnt</v>
      </c>
      <c r="C4506" s="4" t="str">
        <f>IFERROR(__xludf.DUMMYFUNCTION("""COMPUTED_VALUE"""),"Falcon Project")</f>
        <v>Falcon Project</v>
      </c>
    </row>
    <row r="4507">
      <c r="A4507" s="4" t="str">
        <f>IFERROR(__xludf.DUMMYFUNCTION("""COMPUTED_VALUE"""),"fame-ai")</f>
        <v>fame-ai</v>
      </c>
      <c r="B4507" s="4" t="str">
        <f>IFERROR(__xludf.DUMMYFUNCTION("""COMPUTED_VALUE"""),"$fmc")</f>
        <v>$fmc</v>
      </c>
      <c r="C4507" s="4" t="str">
        <f>IFERROR(__xludf.DUMMYFUNCTION("""COMPUTED_VALUE"""),"FAME AI")</f>
        <v>FAME AI</v>
      </c>
    </row>
    <row r="4508">
      <c r="A4508" s="4" t="str">
        <f>IFERROR(__xludf.DUMMYFUNCTION("""COMPUTED_VALUE"""),"fame-mma")</f>
        <v>fame-mma</v>
      </c>
      <c r="B4508" s="4" t="str">
        <f>IFERROR(__xludf.DUMMYFUNCTION("""COMPUTED_VALUE"""),"fame")</f>
        <v>fame</v>
      </c>
      <c r="C4508" s="4" t="str">
        <f>IFERROR(__xludf.DUMMYFUNCTION("""COMPUTED_VALUE"""),"Fame MMA")</f>
        <v>Fame MMA</v>
      </c>
    </row>
    <row r="4509">
      <c r="A4509" s="4" t="str">
        <f>IFERROR(__xludf.DUMMYFUNCTION("""COMPUTED_VALUE"""),"fame-reward-plus")</f>
        <v>fame-reward-plus</v>
      </c>
      <c r="B4509" s="4" t="str">
        <f>IFERROR(__xludf.DUMMYFUNCTION("""COMPUTED_VALUE"""),"frp")</f>
        <v>frp</v>
      </c>
      <c r="C4509" s="4" t="str">
        <f>IFERROR(__xludf.DUMMYFUNCTION("""COMPUTED_VALUE"""),"Fame Reward Plus")</f>
        <v>Fame Reward Plus</v>
      </c>
    </row>
    <row r="4510">
      <c r="A4510" s="4" t="str">
        <f>IFERROR(__xludf.DUMMYFUNCTION("""COMPUTED_VALUE"""),"family-2")</f>
        <v>family-2</v>
      </c>
      <c r="B4510" s="4" t="str">
        <f>IFERROR(__xludf.DUMMYFUNCTION("""COMPUTED_VALUE"""),"fam")</f>
        <v>fam</v>
      </c>
      <c r="C4510" s="4" t="str">
        <f>IFERROR(__xludf.DUMMYFUNCTION("""COMPUTED_VALUE"""),"Family")</f>
        <v>Family</v>
      </c>
    </row>
    <row r="4511">
      <c r="A4511" s="4" t="str">
        <f>IFERROR(__xludf.DUMMYFUNCTION("""COMPUTED_VALUE"""),"family-guy")</f>
        <v>family-guy</v>
      </c>
      <c r="B4511" s="4" t="str">
        <f>IFERROR(__xludf.DUMMYFUNCTION("""COMPUTED_VALUE"""),"guy")</f>
        <v>guy</v>
      </c>
      <c r="C4511" s="4" t="str">
        <f>IFERROR(__xludf.DUMMYFUNCTION("""COMPUTED_VALUE"""),"Family Guy")</f>
        <v>Family Guy</v>
      </c>
    </row>
    <row r="4512">
      <c r="A4512" s="4" t="str">
        <f>IFERROR(__xludf.DUMMYFUNCTION("""COMPUTED_VALUE"""),"family-over-everything")</f>
        <v>family-over-everything</v>
      </c>
      <c r="B4512" s="4" t="str">
        <f>IFERROR(__xludf.DUMMYFUNCTION("""COMPUTED_VALUE"""),"foe")</f>
        <v>foe</v>
      </c>
      <c r="C4512" s="4" t="str">
        <f>IFERROR(__xludf.DUMMYFUNCTION("""COMPUTED_VALUE"""),"Family Over Everything")</f>
        <v>Family Over Everything</v>
      </c>
    </row>
    <row r="4513">
      <c r="A4513" s="4" t="str">
        <f>IFERROR(__xludf.DUMMYFUNCTION("""COMPUTED_VALUE"""),"famous-fox-federation")</f>
        <v>famous-fox-federation</v>
      </c>
      <c r="B4513" s="4" t="str">
        <f>IFERROR(__xludf.DUMMYFUNCTION("""COMPUTED_VALUE"""),"foxy")</f>
        <v>foxy</v>
      </c>
      <c r="C4513" s="4" t="str">
        <f>IFERROR(__xludf.DUMMYFUNCTION("""COMPUTED_VALUE"""),"Famous Fox Federation")</f>
        <v>Famous Fox Federation</v>
      </c>
    </row>
    <row r="4514">
      <c r="A4514" s="4" t="str">
        <f>IFERROR(__xludf.DUMMYFUNCTION("""COMPUTED_VALUE"""),"famous-fox-federation-floor-index")</f>
        <v>famous-fox-federation-floor-index</v>
      </c>
      <c r="B4514" s="4" t="str">
        <f>IFERROR(__xludf.DUMMYFUNCTION("""COMPUTED_VALUE"""),"foxes")</f>
        <v>foxes</v>
      </c>
      <c r="C4514" s="4" t="str">
        <f>IFERROR(__xludf.DUMMYFUNCTION("""COMPUTED_VALUE"""),"Famous Fox Federation Floor Index")</f>
        <v>Famous Fox Federation Floor Index</v>
      </c>
    </row>
    <row r="4515">
      <c r="A4515" s="4" t="str">
        <f>IFERROR(__xludf.DUMMYFUNCTION("""COMPUTED_VALUE"""),"fanadise")</f>
        <v>fanadise</v>
      </c>
      <c r="B4515" s="4" t="str">
        <f>IFERROR(__xludf.DUMMYFUNCTION("""COMPUTED_VALUE"""),"fan")</f>
        <v>fan</v>
      </c>
      <c r="C4515" s="4" t="str">
        <f>IFERROR(__xludf.DUMMYFUNCTION("""COMPUTED_VALUE"""),"Fanadise")</f>
        <v>Fanadise</v>
      </c>
    </row>
    <row r="4516">
      <c r="A4516" s="4" t="str">
        <f>IFERROR(__xludf.DUMMYFUNCTION("""COMPUTED_VALUE"""),"fanbase")</f>
        <v>fanbase</v>
      </c>
      <c r="B4516" s="4" t="str">
        <f>IFERROR(__xludf.DUMMYFUNCTION("""COMPUTED_VALUE"""),"wfnb")</f>
        <v>wfnb</v>
      </c>
      <c r="C4516" s="4" t="str">
        <f>IFERROR(__xludf.DUMMYFUNCTION("""COMPUTED_VALUE"""),"Fanbase")</f>
        <v>Fanbase</v>
      </c>
    </row>
    <row r="4517">
      <c r="A4517" s="4" t="str">
        <f>IFERROR(__xludf.DUMMYFUNCTION("""COMPUTED_VALUE"""),"fanc")</f>
        <v>fanc</v>
      </c>
      <c r="B4517" s="4" t="str">
        <f>IFERROR(__xludf.DUMMYFUNCTION("""COMPUTED_VALUE"""),"fanc")</f>
        <v>fanc</v>
      </c>
      <c r="C4517" s="4" t="str">
        <f>IFERROR(__xludf.DUMMYFUNCTION("""COMPUTED_VALUE"""),"fanC")</f>
        <v>fanC</v>
      </c>
    </row>
    <row r="4518">
      <c r="A4518" s="4" t="str">
        <f>IFERROR(__xludf.DUMMYFUNCTION("""COMPUTED_VALUE"""),"fancy-games")</f>
        <v>fancy-games</v>
      </c>
      <c r="B4518" s="4" t="str">
        <f>IFERROR(__xludf.DUMMYFUNCTION("""COMPUTED_VALUE"""),"fnc")</f>
        <v>fnc</v>
      </c>
      <c r="C4518" s="4" t="str">
        <f>IFERROR(__xludf.DUMMYFUNCTION("""COMPUTED_VALUE"""),"Fancy Games")</f>
        <v>Fancy Games</v>
      </c>
    </row>
    <row r="4519">
      <c r="A4519" s="4" t="str">
        <f>IFERROR(__xludf.DUMMYFUNCTION("""COMPUTED_VALUE"""),"fandomdao")</f>
        <v>fandomdao</v>
      </c>
      <c r="B4519" s="4" t="str">
        <f>IFERROR(__xludf.DUMMYFUNCTION("""COMPUTED_VALUE"""),"fand")</f>
        <v>fand</v>
      </c>
      <c r="C4519" s="4" t="str">
        <f>IFERROR(__xludf.DUMMYFUNCTION("""COMPUTED_VALUE"""),"Fandomdao")</f>
        <v>Fandomdao</v>
      </c>
    </row>
    <row r="4520">
      <c r="A4520" s="4" t="str">
        <f>IFERROR(__xludf.DUMMYFUNCTION("""COMPUTED_VALUE"""),"fanfury")</f>
        <v>fanfury</v>
      </c>
      <c r="B4520" s="4" t="str">
        <f>IFERROR(__xludf.DUMMYFUNCTION("""COMPUTED_VALUE"""),"fury")</f>
        <v>fury</v>
      </c>
      <c r="C4520" s="4" t="str">
        <f>IFERROR(__xludf.DUMMYFUNCTION("""COMPUTED_VALUE"""),"FURY")</f>
        <v>FURY</v>
      </c>
    </row>
    <row r="4521">
      <c r="A4521" s="4" t="str">
        <f>IFERROR(__xludf.DUMMYFUNCTION("""COMPUTED_VALUE"""),"fang-token")</f>
        <v>fang-token</v>
      </c>
      <c r="B4521" s="4" t="str">
        <f>IFERROR(__xludf.DUMMYFUNCTION("""COMPUTED_VALUE"""),"fang")</f>
        <v>fang</v>
      </c>
      <c r="C4521" s="4" t="str">
        <f>IFERROR(__xludf.DUMMYFUNCTION("""COMPUTED_VALUE"""),"FANG")</f>
        <v>FANG</v>
      </c>
    </row>
    <row r="4522">
      <c r="A4522" s="4" t="str">
        <f>IFERROR(__xludf.DUMMYFUNCTION("""COMPUTED_VALUE"""),"fanstime")</f>
        <v>fanstime</v>
      </c>
      <c r="B4522" s="4" t="str">
        <f>IFERROR(__xludf.DUMMYFUNCTION("""COMPUTED_VALUE"""),"fti")</f>
        <v>fti</v>
      </c>
      <c r="C4522" s="4" t="str">
        <f>IFERROR(__xludf.DUMMYFUNCTION("""COMPUTED_VALUE"""),"FansTime")</f>
        <v>FansTime</v>
      </c>
    </row>
    <row r="4523">
      <c r="A4523" s="4" t="str">
        <f>IFERROR(__xludf.DUMMYFUNCTION("""COMPUTED_VALUE"""),"fantacoin")</f>
        <v>fantacoin</v>
      </c>
      <c r="B4523" s="4" t="str">
        <f>IFERROR(__xludf.DUMMYFUNCTION("""COMPUTED_VALUE"""),"ftc")</f>
        <v>ftc</v>
      </c>
      <c r="C4523" s="4" t="str">
        <f>IFERROR(__xludf.DUMMYFUNCTION("""COMPUTED_VALUE"""),"FANTACOIN")</f>
        <v>FANTACOIN</v>
      </c>
    </row>
    <row r="4524">
      <c r="A4524" s="4" t="str">
        <f>IFERROR(__xludf.DUMMYFUNCTION("""COMPUTED_VALUE"""),"fantaverse")</f>
        <v>fantaverse</v>
      </c>
      <c r="B4524" s="4" t="str">
        <f>IFERROR(__xludf.DUMMYFUNCTION("""COMPUTED_VALUE"""),"ut")</f>
        <v>ut</v>
      </c>
      <c r="C4524" s="4" t="str">
        <f>IFERROR(__xludf.DUMMYFUNCTION("""COMPUTED_VALUE"""),"Fantaverse")</f>
        <v>Fantaverse</v>
      </c>
    </row>
    <row r="4525">
      <c r="A4525" s="4" t="str">
        <f>IFERROR(__xludf.DUMMYFUNCTION("""COMPUTED_VALUE"""),"fan-token")</f>
        <v>fan-token</v>
      </c>
      <c r="B4525" s="4" t="str">
        <f>IFERROR(__xludf.DUMMYFUNCTION("""COMPUTED_VALUE"""),"fan")</f>
        <v>fan</v>
      </c>
      <c r="C4525" s="4" t="str">
        <f>IFERROR(__xludf.DUMMYFUNCTION("""COMPUTED_VALUE"""),"Fan Token")</f>
        <v>Fan Token</v>
      </c>
    </row>
    <row r="4526">
      <c r="A4526" s="4" t="str">
        <f>IFERROR(__xludf.DUMMYFUNCTION("""COMPUTED_VALUE"""),"fantom")</f>
        <v>fantom</v>
      </c>
      <c r="B4526" s="4" t="str">
        <f>IFERROR(__xludf.DUMMYFUNCTION("""COMPUTED_VALUE"""),"ftm")</f>
        <v>ftm</v>
      </c>
      <c r="C4526" s="4" t="str">
        <f>IFERROR(__xludf.DUMMYFUNCTION("""COMPUTED_VALUE"""),"Fantom")</f>
        <v>Fantom</v>
      </c>
    </row>
    <row r="4527">
      <c r="A4527" s="4" t="str">
        <f>IFERROR(__xludf.DUMMYFUNCTION("""COMPUTED_VALUE"""),"fantom-doge")</f>
        <v>fantom-doge</v>
      </c>
      <c r="B4527" s="4" t="str">
        <f>IFERROR(__xludf.DUMMYFUNCTION("""COMPUTED_VALUE"""),"rip")</f>
        <v>rip</v>
      </c>
      <c r="C4527" s="4" t="str">
        <f>IFERROR(__xludf.DUMMYFUNCTION("""COMPUTED_VALUE"""),"Fantom Doge")</f>
        <v>Fantom Doge</v>
      </c>
    </row>
    <row r="4528">
      <c r="A4528" s="4" t="str">
        <f>IFERROR(__xludf.DUMMYFUNCTION("""COMPUTED_VALUE"""),"fantomgo")</f>
        <v>fantomgo</v>
      </c>
      <c r="B4528" s="4" t="str">
        <f>IFERROR(__xludf.DUMMYFUNCTION("""COMPUTED_VALUE"""),"ftg")</f>
        <v>ftg</v>
      </c>
      <c r="C4528" s="4" t="str">
        <f>IFERROR(__xludf.DUMMYFUNCTION("""COMPUTED_VALUE"""),"OnGo")</f>
        <v>OnGo</v>
      </c>
    </row>
    <row r="4529">
      <c r="A4529" s="4" t="str">
        <f>IFERROR(__xludf.DUMMYFUNCTION("""COMPUTED_VALUE"""),"fantom-libero-financial")</f>
        <v>fantom-libero-financial</v>
      </c>
      <c r="B4529" s="4" t="str">
        <f>IFERROR(__xludf.DUMMYFUNCTION("""COMPUTED_VALUE"""),"flibero")</f>
        <v>flibero</v>
      </c>
      <c r="C4529" s="4" t="str">
        <f>IFERROR(__xludf.DUMMYFUNCTION("""COMPUTED_VALUE"""),"Fantom Libero Financial")</f>
        <v>Fantom Libero Financial</v>
      </c>
    </row>
    <row r="4530">
      <c r="A4530" s="4" t="str">
        <f>IFERROR(__xludf.DUMMYFUNCTION("""COMPUTED_VALUE"""),"fantom-maker")</f>
        <v>fantom-maker</v>
      </c>
      <c r="B4530" s="4" t="str">
        <f>IFERROR(__xludf.DUMMYFUNCTION("""COMPUTED_VALUE"""),"fame")</f>
        <v>fame</v>
      </c>
      <c r="C4530" s="4" t="str">
        <f>IFERROR(__xludf.DUMMYFUNCTION("""COMPUTED_VALUE"""),"Fantom Maker")</f>
        <v>Fantom Maker</v>
      </c>
    </row>
    <row r="4531">
      <c r="A4531" s="4" t="str">
        <f>IFERROR(__xludf.DUMMYFUNCTION("""COMPUTED_VALUE"""),"fantom-money-market")</f>
        <v>fantom-money-market</v>
      </c>
      <c r="B4531" s="4" t="str">
        <f>IFERROR(__xludf.DUMMYFUNCTION("""COMPUTED_VALUE"""),"fbux")</f>
        <v>fbux</v>
      </c>
      <c r="C4531" s="4" t="str">
        <f>IFERROR(__xludf.DUMMYFUNCTION("""COMPUTED_VALUE"""),"Fantom Money Market")</f>
        <v>Fantom Money Market</v>
      </c>
    </row>
    <row r="4532">
      <c r="A4532" s="4" t="str">
        <f>IFERROR(__xludf.DUMMYFUNCTION("""COMPUTED_VALUE"""),"fantom-oasis")</f>
        <v>fantom-oasis</v>
      </c>
      <c r="B4532" s="4" t="str">
        <f>IFERROR(__xludf.DUMMYFUNCTION("""COMPUTED_VALUE"""),"ftmo")</f>
        <v>ftmo</v>
      </c>
      <c r="C4532" s="4" t="str">
        <f>IFERROR(__xludf.DUMMYFUNCTION("""COMPUTED_VALUE"""),"Fantom Oasis")</f>
        <v>Fantom Oasis</v>
      </c>
    </row>
    <row r="4533">
      <c r="A4533" s="4" t="str">
        <f>IFERROR(__xludf.DUMMYFUNCTION("""COMPUTED_VALUE"""),"fantomsonicinu")</f>
        <v>fantomsonicinu</v>
      </c>
      <c r="B4533" s="4" t="str">
        <f>IFERROR(__xludf.DUMMYFUNCTION("""COMPUTED_VALUE"""),"fsonic")</f>
        <v>fsonic</v>
      </c>
      <c r="C4533" s="4" t="str">
        <f>IFERROR(__xludf.DUMMYFUNCTION("""COMPUTED_VALUE"""),"Fantomsonicinu")</f>
        <v>Fantomsonicinu</v>
      </c>
    </row>
    <row r="4534">
      <c r="A4534" s="4" t="str">
        <f>IFERROR(__xludf.DUMMYFUNCTION("""COMPUTED_VALUE"""),"fantomstarter")</f>
        <v>fantomstarter</v>
      </c>
      <c r="B4534" s="4" t="str">
        <f>IFERROR(__xludf.DUMMYFUNCTION("""COMPUTED_VALUE"""),"fs")</f>
        <v>fs</v>
      </c>
      <c r="C4534" s="4" t="str">
        <f>IFERROR(__xludf.DUMMYFUNCTION("""COMPUTED_VALUE"""),"FantomStarter")</f>
        <v>FantomStarter</v>
      </c>
    </row>
    <row r="4535">
      <c r="A4535" s="4" t="str">
        <f>IFERROR(__xludf.DUMMYFUNCTION("""COMPUTED_VALUE"""),"fantom-usd")</f>
        <v>fantom-usd</v>
      </c>
      <c r="B4535" s="4" t="str">
        <f>IFERROR(__xludf.DUMMYFUNCTION("""COMPUTED_VALUE"""),"fusd")</f>
        <v>fusd</v>
      </c>
      <c r="C4535" s="4" t="str">
        <f>IFERROR(__xludf.DUMMYFUNCTION("""COMPUTED_VALUE"""),"Fantom USD")</f>
        <v>Fantom USD</v>
      </c>
    </row>
    <row r="4536">
      <c r="A4536" s="4" t="str">
        <f>IFERROR(__xludf.DUMMYFUNCTION("""COMPUTED_VALUE"""),"fantom-velocimeter")</f>
        <v>fantom-velocimeter</v>
      </c>
      <c r="B4536" s="4" t="str">
        <f>IFERROR(__xludf.DUMMYFUNCTION("""COMPUTED_VALUE"""),"fvm")</f>
        <v>fvm</v>
      </c>
      <c r="C4536" s="4" t="str">
        <f>IFERROR(__xludf.DUMMYFUNCTION("""COMPUTED_VALUE"""),"Fantom Velocimeter")</f>
        <v>Fantom Velocimeter</v>
      </c>
    </row>
    <row r="4537">
      <c r="A4537" s="4" t="str">
        <f>IFERROR(__xludf.DUMMYFUNCTION("""COMPUTED_VALUE"""),"fanzee-token")</f>
        <v>fanzee-token</v>
      </c>
      <c r="B4537" s="4" t="str">
        <f>IFERROR(__xludf.DUMMYFUNCTION("""COMPUTED_VALUE"""),"fnz")</f>
        <v>fnz</v>
      </c>
      <c r="C4537" s="4" t="str">
        <f>IFERROR(__xludf.DUMMYFUNCTION("""COMPUTED_VALUE"""),"Fanzee Token")</f>
        <v>Fanzee Token</v>
      </c>
    </row>
    <row r="4538">
      <c r="A4538" s="4" t="str">
        <f>IFERROR(__xludf.DUMMYFUNCTION("""COMPUTED_VALUE"""),"faraland")</f>
        <v>faraland</v>
      </c>
      <c r="B4538" s="4" t="str">
        <f>IFERROR(__xludf.DUMMYFUNCTION("""COMPUTED_VALUE"""),"fara")</f>
        <v>fara</v>
      </c>
      <c r="C4538" s="4" t="str">
        <f>IFERROR(__xludf.DUMMYFUNCTION("""COMPUTED_VALUE"""),"FaraLand")</f>
        <v>FaraLand</v>
      </c>
    </row>
    <row r="4539">
      <c r="A4539" s="4" t="str">
        <f>IFERROR(__xludf.DUMMYFUNCTION("""COMPUTED_VALUE"""),"farcana")</f>
        <v>farcana</v>
      </c>
      <c r="B4539" s="4" t="str">
        <f>IFERROR(__xludf.DUMMYFUNCTION("""COMPUTED_VALUE"""),"far")</f>
        <v>far</v>
      </c>
      <c r="C4539" s="4" t="str">
        <f>IFERROR(__xludf.DUMMYFUNCTION("""COMPUTED_VALUE"""),"FARCANA")</f>
        <v>FARCANA</v>
      </c>
    </row>
    <row r="4540">
      <c r="A4540" s="4" t="str">
        <f>IFERROR(__xludf.DUMMYFUNCTION("""COMPUTED_VALUE"""),"farlaunch")</f>
        <v>farlaunch</v>
      </c>
      <c r="B4540" s="4" t="str">
        <f>IFERROR(__xludf.DUMMYFUNCTION("""COMPUTED_VALUE"""),"far")</f>
        <v>far</v>
      </c>
      <c r="C4540" s="4" t="str">
        <f>IFERROR(__xludf.DUMMYFUNCTION("""COMPUTED_VALUE"""),"FarLaunch")</f>
        <v>FarLaunch</v>
      </c>
    </row>
    <row r="4541">
      <c r="A4541" s="4" t="str">
        <f>IFERROR(__xludf.DUMMYFUNCTION("""COMPUTED_VALUE"""),"farmbot")</f>
        <v>farmbot</v>
      </c>
      <c r="B4541" s="4" t="str">
        <f>IFERROR(__xludf.DUMMYFUNCTION("""COMPUTED_VALUE"""),"farm")</f>
        <v>farm</v>
      </c>
      <c r="C4541" s="4" t="str">
        <f>IFERROR(__xludf.DUMMYFUNCTION("""COMPUTED_VALUE"""),"FarmBot")</f>
        <v>FarmBot</v>
      </c>
    </row>
    <row r="4542">
      <c r="A4542" s="4" t="str">
        <f>IFERROR(__xludf.DUMMYFUNCTION("""COMPUTED_VALUE"""),"farmer-friends")</f>
        <v>farmer-friends</v>
      </c>
      <c r="B4542" s="4" t="str">
        <f>IFERROR(__xludf.DUMMYFUNCTION("""COMPUTED_VALUE"""),"frens")</f>
        <v>frens</v>
      </c>
      <c r="C4542" s="4" t="str">
        <f>IFERROR(__xludf.DUMMYFUNCTION("""COMPUTED_VALUE"""),"Farmer Friends")</f>
        <v>Farmer Friends</v>
      </c>
    </row>
    <row r="4543">
      <c r="A4543" s="4" t="str">
        <f>IFERROR(__xludf.DUMMYFUNCTION("""COMPUTED_VALUE"""),"farmers-only")</f>
        <v>farmers-only</v>
      </c>
      <c r="B4543" s="4" t="str">
        <f>IFERROR(__xludf.DUMMYFUNCTION("""COMPUTED_VALUE"""),"fox")</f>
        <v>fox</v>
      </c>
      <c r="C4543" s="4" t="str">
        <f>IFERROR(__xludf.DUMMYFUNCTION("""COMPUTED_VALUE"""),"FoxSwap")</f>
        <v>FoxSwap</v>
      </c>
    </row>
    <row r="4544">
      <c r="A4544" s="4" t="str">
        <f>IFERROR(__xludf.DUMMYFUNCTION("""COMPUTED_VALUE"""),"farmers-world-wood")</f>
        <v>farmers-world-wood</v>
      </c>
      <c r="B4544" s="4" t="str">
        <f>IFERROR(__xludf.DUMMYFUNCTION("""COMPUTED_VALUE"""),"fww")</f>
        <v>fww</v>
      </c>
      <c r="C4544" s="4" t="str">
        <f>IFERROR(__xludf.DUMMYFUNCTION("""COMPUTED_VALUE"""),"Farmers World Wood")</f>
        <v>Farmers World Wood</v>
      </c>
    </row>
    <row r="4545">
      <c r="A4545" s="4" t="str">
        <f>IFERROR(__xludf.DUMMYFUNCTION("""COMPUTED_VALUE"""),"farmland-protocol")</f>
        <v>farmland-protocol</v>
      </c>
      <c r="B4545" s="4" t="str">
        <f>IFERROR(__xludf.DUMMYFUNCTION("""COMPUTED_VALUE"""),"far")</f>
        <v>far</v>
      </c>
      <c r="C4545" s="4" t="str">
        <f>IFERROR(__xludf.DUMMYFUNCTION("""COMPUTED_VALUE"""),"Farmland Protocol")</f>
        <v>Farmland Protocol</v>
      </c>
    </row>
    <row r="4546">
      <c r="A4546" s="4" t="str">
        <f>IFERROR(__xludf.DUMMYFUNCTION("""COMPUTED_VALUE"""),"farmsent")</f>
        <v>farmsent</v>
      </c>
      <c r="B4546" s="4" t="str">
        <f>IFERROR(__xludf.DUMMYFUNCTION("""COMPUTED_VALUE"""),"farms")</f>
        <v>farms</v>
      </c>
      <c r="C4546" s="4" t="str">
        <f>IFERROR(__xludf.DUMMYFUNCTION("""COMPUTED_VALUE"""),"Farmsent")</f>
        <v>Farmsent</v>
      </c>
    </row>
    <row r="4547">
      <c r="A4547" s="4" t="str">
        <f>IFERROR(__xludf.DUMMYFUNCTION("""COMPUTED_VALUE"""),"fart-coin")</f>
        <v>fart-coin</v>
      </c>
      <c r="B4547" s="4" t="str">
        <f>IFERROR(__xludf.DUMMYFUNCTION("""COMPUTED_VALUE"""),"frtc")</f>
        <v>frtc</v>
      </c>
      <c r="C4547" s="4" t="str">
        <f>IFERROR(__xludf.DUMMYFUNCTION("""COMPUTED_VALUE"""),"FART COIN")</f>
        <v>FART COIN</v>
      </c>
    </row>
    <row r="4548">
      <c r="A4548" s="4" t="str">
        <f>IFERROR(__xludf.DUMMYFUNCTION("""COMPUTED_VALUE"""),"fastlane")</f>
        <v>fastlane</v>
      </c>
      <c r="B4548" s="4" t="str">
        <f>IFERROR(__xludf.DUMMYFUNCTION("""COMPUTED_VALUE"""),"lane")</f>
        <v>lane</v>
      </c>
      <c r="C4548" s="4" t="str">
        <f>IFERROR(__xludf.DUMMYFUNCTION("""COMPUTED_VALUE"""),"Fastlane")</f>
        <v>Fastlane</v>
      </c>
    </row>
    <row r="4549">
      <c r="A4549" s="4" t="str">
        <f>IFERROR(__xludf.DUMMYFUNCTION("""COMPUTED_VALUE"""),"fastswap-bsc-2")</f>
        <v>fastswap-bsc-2</v>
      </c>
      <c r="B4549" s="4" t="str">
        <f>IFERROR(__xludf.DUMMYFUNCTION("""COMPUTED_VALUE"""),"fast")</f>
        <v>fast</v>
      </c>
      <c r="C4549" s="4" t="str">
        <f>IFERROR(__xludf.DUMMYFUNCTION("""COMPUTED_VALUE"""),"Fastswap (BSC)")</f>
        <v>Fastswap (BSC)</v>
      </c>
    </row>
    <row r="4550">
      <c r="A4550" s="4" t="str">
        <f>IFERROR(__xludf.DUMMYFUNCTION("""COMPUTED_VALUE"""),"fasttoken")</f>
        <v>fasttoken</v>
      </c>
      <c r="B4550" s="4" t="str">
        <f>IFERROR(__xludf.DUMMYFUNCTION("""COMPUTED_VALUE"""),"ftn")</f>
        <v>ftn</v>
      </c>
      <c r="C4550" s="4" t="str">
        <f>IFERROR(__xludf.DUMMYFUNCTION("""COMPUTED_VALUE"""),"Fasttoken")</f>
        <v>Fasttoken</v>
      </c>
    </row>
    <row r="4551">
      <c r="A4551" s="4" t="str">
        <f>IFERROR(__xludf.DUMMYFUNCTION("""COMPUTED_VALUE"""),"fatality-coin")</f>
        <v>fatality-coin</v>
      </c>
      <c r="B4551" s="4" t="str">
        <f>IFERROR(__xludf.DUMMYFUNCTION("""COMPUTED_VALUE"""),"fatality")</f>
        <v>fatality</v>
      </c>
      <c r="C4551" s="4" t="str">
        <f>IFERROR(__xludf.DUMMYFUNCTION("""COMPUTED_VALUE"""),"Fatality Coin")</f>
        <v>Fatality Coin</v>
      </c>
    </row>
    <row r="4552">
      <c r="A4552" s="4" t="str">
        <f>IFERROR(__xludf.DUMMYFUNCTION("""COMPUTED_VALUE"""),"fat-cat")</f>
        <v>fat-cat</v>
      </c>
      <c r="B4552" s="4" t="str">
        <f>IFERROR(__xludf.DUMMYFUNCTION("""COMPUTED_VALUE"""),"fatcat")</f>
        <v>fatcat</v>
      </c>
      <c r="C4552" s="4" t="str">
        <f>IFERROR(__xludf.DUMMYFUNCTION("""COMPUTED_VALUE"""),"FAT CAT")</f>
        <v>FAT CAT</v>
      </c>
    </row>
    <row r="4553">
      <c r="A4553" s="4" t="str">
        <f>IFERROR(__xludf.DUMMYFUNCTION("""COMPUTED_VALUE"""),"fat-cat-2")</f>
        <v>fat-cat-2</v>
      </c>
      <c r="B4553" s="4" t="str">
        <f>IFERROR(__xludf.DUMMYFUNCTION("""COMPUTED_VALUE"""),"fcat")</f>
        <v>fcat</v>
      </c>
      <c r="C4553" s="4" t="str">
        <f>IFERROR(__xludf.DUMMYFUNCTION("""COMPUTED_VALUE"""),"Fat Cat")</f>
        <v>Fat Cat</v>
      </c>
    </row>
    <row r="4554">
      <c r="A4554" s="4" t="str">
        <f>IFERROR(__xludf.DUMMYFUNCTION("""COMPUTED_VALUE"""),"fathom")</f>
        <v>fathom</v>
      </c>
      <c r="B4554" s="4" t="str">
        <f>IFERROR(__xludf.DUMMYFUNCTION("""COMPUTED_VALUE"""),"$fathom")</f>
        <v>$fathom</v>
      </c>
      <c r="C4554" s="4" t="str">
        <f>IFERROR(__xludf.DUMMYFUNCTION("""COMPUTED_VALUE"""),"Fathom")</f>
        <v>Fathom</v>
      </c>
    </row>
    <row r="4555">
      <c r="A4555" s="4" t="str">
        <f>IFERROR(__xludf.DUMMYFUNCTION("""COMPUTED_VALUE"""),"fathom-dollar")</f>
        <v>fathom-dollar</v>
      </c>
      <c r="B4555" s="4" t="str">
        <f>IFERROR(__xludf.DUMMYFUNCTION("""COMPUTED_VALUE"""),"fxd")</f>
        <v>fxd</v>
      </c>
      <c r="C4555" s="4" t="str">
        <f>IFERROR(__xludf.DUMMYFUNCTION("""COMPUTED_VALUE"""),"Fathom Dollar")</f>
        <v>Fathom Dollar</v>
      </c>
    </row>
    <row r="4556">
      <c r="A4556" s="4" t="str">
        <f>IFERROR(__xludf.DUMMYFUNCTION("""COMPUTED_VALUE"""),"fathom-protocol")</f>
        <v>fathom-protocol</v>
      </c>
      <c r="B4556" s="4" t="str">
        <f>IFERROR(__xludf.DUMMYFUNCTION("""COMPUTED_VALUE"""),"fthm")</f>
        <v>fthm</v>
      </c>
      <c r="C4556" s="4" t="str">
        <f>IFERROR(__xludf.DUMMYFUNCTION("""COMPUTED_VALUE"""),"Fathom Protocol")</f>
        <v>Fathom Protocol</v>
      </c>
    </row>
    <row r="4557">
      <c r="A4557" s="4" t="str">
        <f>IFERROR(__xludf.DUMMYFUNCTION("""COMPUTED_VALUE"""),"fatih-karagumruk-sk-fan-token")</f>
        <v>fatih-karagumruk-sk-fan-token</v>
      </c>
      <c r="B4557" s="4" t="str">
        <f>IFERROR(__xludf.DUMMYFUNCTION("""COMPUTED_VALUE"""),"fksk")</f>
        <v>fksk</v>
      </c>
      <c r="C4557" s="4" t="str">
        <f>IFERROR(__xludf.DUMMYFUNCTION("""COMPUTED_VALUE"""),"Fatih Karagümrük SK Fan Token")</f>
        <v>Fatih Karagümrük SK Fan Token</v>
      </c>
    </row>
    <row r="4558">
      <c r="A4558" s="4" t="str">
        <f>IFERROR(__xludf.DUMMYFUNCTION("""COMPUTED_VALUE"""),"favor")</f>
        <v>favor</v>
      </c>
      <c r="B4558" s="4" t="str">
        <f>IFERROR(__xludf.DUMMYFUNCTION("""COMPUTED_VALUE"""),"favr")</f>
        <v>favr</v>
      </c>
      <c r="C4558" s="4" t="str">
        <f>IFERROR(__xludf.DUMMYFUNCTION("""COMPUTED_VALUE"""),"Favor")</f>
        <v>Favor</v>
      </c>
    </row>
    <row r="4559">
      <c r="A4559" s="4" t="str">
        <f>IFERROR(__xludf.DUMMYFUNCTION("""COMPUTED_VALUE"""),"faya")</f>
        <v>faya</v>
      </c>
      <c r="B4559" s="4" t="str">
        <f>IFERROR(__xludf.DUMMYFUNCTION("""COMPUTED_VALUE"""),"faya")</f>
        <v>faya</v>
      </c>
      <c r="C4559" s="4" t="str">
        <f>IFERROR(__xludf.DUMMYFUNCTION("""COMPUTED_VALUE"""),"FAYA")</f>
        <v>FAYA</v>
      </c>
    </row>
    <row r="4560">
      <c r="A4560" s="4" t="str">
        <f>IFERROR(__xludf.DUMMYFUNCTION("""COMPUTED_VALUE"""),"fayda-games")</f>
        <v>fayda-games</v>
      </c>
      <c r="B4560" s="4" t="str">
        <f>IFERROR(__xludf.DUMMYFUNCTION("""COMPUTED_VALUE"""),"fayd")</f>
        <v>fayd</v>
      </c>
      <c r="C4560" s="4" t="str">
        <f>IFERROR(__xludf.DUMMYFUNCTION("""COMPUTED_VALUE"""),"Fayda Games")</f>
        <v>Fayda Games</v>
      </c>
    </row>
    <row r="4561">
      <c r="A4561" s="4" t="str">
        <f>IFERROR(__xludf.DUMMYFUNCTION("""COMPUTED_VALUE"""),"fbomb")</f>
        <v>fbomb</v>
      </c>
      <c r="B4561" s="4" t="str">
        <f>IFERROR(__xludf.DUMMYFUNCTION("""COMPUTED_VALUE"""),"bomb")</f>
        <v>bomb</v>
      </c>
      <c r="C4561" s="4" t="str">
        <f>IFERROR(__xludf.DUMMYFUNCTION("""COMPUTED_VALUE"""),"Fantom Bomb")</f>
        <v>Fantom Bomb</v>
      </c>
    </row>
    <row r="4562">
      <c r="A4562" s="4" t="str">
        <f>IFERROR(__xludf.DUMMYFUNCTION("""COMPUTED_VALUE"""),"fc-barcelona-fan-token")</f>
        <v>fc-barcelona-fan-token</v>
      </c>
      <c r="B4562" s="4" t="str">
        <f>IFERROR(__xludf.DUMMYFUNCTION("""COMPUTED_VALUE"""),"bar")</f>
        <v>bar</v>
      </c>
      <c r="C4562" s="4" t="str">
        <f>IFERROR(__xludf.DUMMYFUNCTION("""COMPUTED_VALUE"""),"FC Barcelona Fan Token")</f>
        <v>FC Barcelona Fan Token</v>
      </c>
    </row>
    <row r="4563">
      <c r="A4563" s="4" t="str">
        <f>IFERROR(__xludf.DUMMYFUNCTION("""COMPUTED_VALUE"""),"fc-porto")</f>
        <v>fc-porto</v>
      </c>
      <c r="B4563" s="4" t="str">
        <f>IFERROR(__xludf.DUMMYFUNCTION("""COMPUTED_VALUE"""),"porto")</f>
        <v>porto</v>
      </c>
      <c r="C4563" s="4" t="str">
        <f>IFERROR(__xludf.DUMMYFUNCTION("""COMPUTED_VALUE"""),"FC Porto")</f>
        <v>FC Porto</v>
      </c>
    </row>
    <row r="4564">
      <c r="A4564" s="4" t="str">
        <f>IFERROR(__xludf.DUMMYFUNCTION("""COMPUTED_VALUE"""),"fcr-coin")</f>
        <v>fcr-coin</v>
      </c>
      <c r="B4564" s="4" t="str">
        <f>IFERROR(__xludf.DUMMYFUNCTION("""COMPUTED_VALUE"""),"fcr")</f>
        <v>fcr</v>
      </c>
      <c r="C4564" s="4" t="str">
        <f>IFERROR(__xludf.DUMMYFUNCTION("""COMPUTED_VALUE"""),"FCR Coin")</f>
        <v>FCR Coin</v>
      </c>
    </row>
    <row r="4565">
      <c r="A4565" s="4" t="str">
        <f>IFERROR(__xludf.DUMMYFUNCTION("""COMPUTED_VALUE"""),"fc-sion-fan-token")</f>
        <v>fc-sion-fan-token</v>
      </c>
      <c r="B4565" s="4" t="str">
        <f>IFERROR(__xludf.DUMMYFUNCTION("""COMPUTED_VALUE"""),"sion")</f>
        <v>sion</v>
      </c>
      <c r="C4565" s="4" t="str">
        <f>IFERROR(__xludf.DUMMYFUNCTION("""COMPUTED_VALUE"""),"FC Sion Fan Token")</f>
        <v>FC Sion Fan Token</v>
      </c>
    </row>
    <row r="4566">
      <c r="A4566" s="4" t="str">
        <f>IFERROR(__xludf.DUMMYFUNCTION("""COMPUTED_VALUE"""),"fcuk")</f>
        <v>fcuk</v>
      </c>
      <c r="B4566" s="4" t="str">
        <f>IFERROR(__xludf.DUMMYFUNCTION("""COMPUTED_VALUE"""),"fcuk")</f>
        <v>fcuk</v>
      </c>
      <c r="C4566" s="4" t="str">
        <f>IFERROR(__xludf.DUMMYFUNCTION("""COMPUTED_VALUE"""),"FCUK")</f>
        <v>FCUK</v>
      </c>
    </row>
    <row r="4567">
      <c r="A4567" s="4" t="str">
        <f>IFERROR(__xludf.DUMMYFUNCTION("""COMPUTED_VALUE"""),"fear")</f>
        <v>fear</v>
      </c>
      <c r="B4567" s="4" t="str">
        <f>IFERROR(__xludf.DUMMYFUNCTION("""COMPUTED_VALUE"""),"fear")</f>
        <v>fear</v>
      </c>
      <c r="C4567" s="4" t="str">
        <f>IFERROR(__xludf.DUMMYFUNCTION("""COMPUTED_VALUE"""),"FEAR")</f>
        <v>FEAR</v>
      </c>
    </row>
    <row r="4568">
      <c r="A4568" s="4" t="str">
        <f>IFERROR(__xludf.DUMMYFUNCTION("""COMPUTED_VALUE"""),"feathercoin")</f>
        <v>feathercoin</v>
      </c>
      <c r="B4568" s="4" t="str">
        <f>IFERROR(__xludf.DUMMYFUNCTION("""COMPUTED_VALUE"""),"ftc")</f>
        <v>ftc</v>
      </c>
      <c r="C4568" s="4" t="str">
        <f>IFERROR(__xludf.DUMMYFUNCTION("""COMPUTED_VALUE"""),"Feathercoin")</f>
        <v>Feathercoin</v>
      </c>
    </row>
    <row r="4569">
      <c r="A4569" s="4" t="str">
        <f>IFERROR(__xludf.DUMMYFUNCTION("""COMPUTED_VALUE"""),"federal-ai")</f>
        <v>federal-ai</v>
      </c>
      <c r="B4569" s="4" t="str">
        <f>IFERROR(__xludf.DUMMYFUNCTION("""COMPUTED_VALUE"""),"fedai")</f>
        <v>fedai</v>
      </c>
      <c r="C4569" s="4" t="str">
        <f>IFERROR(__xludf.DUMMYFUNCTION("""COMPUTED_VALUE"""),"Federal AI")</f>
        <v>Federal AI</v>
      </c>
    </row>
    <row r="4570">
      <c r="A4570" s="4" t="str">
        <f>IFERROR(__xludf.DUMMYFUNCTION("""COMPUTED_VALUE"""),"federal-gold-coin")</f>
        <v>federal-gold-coin</v>
      </c>
      <c r="B4570" s="4" t="str">
        <f>IFERROR(__xludf.DUMMYFUNCTION("""COMPUTED_VALUE"""),"fgc")</f>
        <v>fgc</v>
      </c>
      <c r="C4570" s="4" t="str">
        <f>IFERROR(__xludf.DUMMYFUNCTION("""COMPUTED_VALUE"""),"Federal Gold Coin")</f>
        <v>Federal Gold Coin</v>
      </c>
    </row>
    <row r="4571">
      <c r="A4571" s="4" t="str">
        <f>IFERROR(__xludf.DUMMYFUNCTION("""COMPUTED_VALUE"""),"fedoracoin")</f>
        <v>fedoracoin</v>
      </c>
      <c r="B4571" s="4" t="str">
        <f>IFERROR(__xludf.DUMMYFUNCTION("""COMPUTED_VALUE"""),"tips")</f>
        <v>tips</v>
      </c>
      <c r="C4571" s="4" t="str">
        <f>IFERROR(__xludf.DUMMYFUNCTION("""COMPUTED_VALUE"""),"Fedoracoin")</f>
        <v>Fedoracoin</v>
      </c>
    </row>
    <row r="4572">
      <c r="A4572" s="4" t="str">
        <f>IFERROR(__xludf.DUMMYFUNCTION("""COMPUTED_VALUE"""),"feeder-finance")</f>
        <v>feeder-finance</v>
      </c>
      <c r="B4572" s="4" t="str">
        <f>IFERROR(__xludf.DUMMYFUNCTION("""COMPUTED_VALUE"""),"feed")</f>
        <v>feed</v>
      </c>
      <c r="C4572" s="4" t="str">
        <f>IFERROR(__xludf.DUMMYFUNCTION("""COMPUTED_VALUE"""),"Feeder Finance")</f>
        <v>Feeder Finance</v>
      </c>
    </row>
    <row r="4573">
      <c r="A4573" s="4" t="str">
        <f>IFERROR(__xludf.DUMMYFUNCTION("""COMPUTED_VALUE"""),"feed-on-acf-game")</f>
        <v>feed-on-acf-game</v>
      </c>
      <c r="B4573" s="4" t="str">
        <f>IFERROR(__xludf.DUMMYFUNCTION("""COMPUTED_VALUE"""),"feed")</f>
        <v>feed</v>
      </c>
      <c r="C4573" s="4" t="str">
        <f>IFERROR(__xludf.DUMMYFUNCTION("""COMPUTED_VALUE"""),"FEED on ACF Game")</f>
        <v>FEED on ACF Game</v>
      </c>
    </row>
    <row r="4574">
      <c r="A4574" s="4" t="str">
        <f>IFERROR(__xludf.DUMMYFUNCTION("""COMPUTED_VALUE"""),"feels-good-man")</f>
        <v>feels-good-man</v>
      </c>
      <c r="B4574" s="4" t="str">
        <f>IFERROR(__xludf.DUMMYFUNCTION("""COMPUTED_VALUE"""),"good")</f>
        <v>good</v>
      </c>
      <c r="C4574" s="4" t="str">
        <f>IFERROR(__xludf.DUMMYFUNCTION("""COMPUTED_VALUE"""),"Feels Good Man")</f>
        <v>Feels Good Man</v>
      </c>
    </row>
    <row r="4575">
      <c r="A4575" s="4" t="str">
        <f>IFERROR(__xludf.DUMMYFUNCTION("""COMPUTED_VALUE"""),"feg-bsc")</f>
        <v>feg-bsc</v>
      </c>
      <c r="B4575" s="4" t="str">
        <f>IFERROR(__xludf.DUMMYFUNCTION("""COMPUTED_VALUE"""),"feg")</f>
        <v>feg</v>
      </c>
      <c r="C4575" s="4" t="str">
        <f>IFERROR(__xludf.DUMMYFUNCTION("""COMPUTED_VALUE"""),"FEG BSC")</f>
        <v>FEG BSC</v>
      </c>
    </row>
    <row r="4576">
      <c r="A4576" s="4" t="str">
        <f>IFERROR(__xludf.DUMMYFUNCTION("""COMPUTED_VALUE"""),"feg-token")</f>
        <v>feg-token</v>
      </c>
      <c r="B4576" s="4" t="str">
        <f>IFERROR(__xludf.DUMMYFUNCTION("""COMPUTED_VALUE"""),"feg")</f>
        <v>feg</v>
      </c>
      <c r="C4576" s="4" t="str">
        <f>IFERROR(__xludf.DUMMYFUNCTION("""COMPUTED_VALUE"""),"FEG (OLD)")</f>
        <v>FEG (OLD)</v>
      </c>
    </row>
    <row r="4577">
      <c r="A4577" s="4" t="str">
        <f>IFERROR(__xludf.DUMMYFUNCTION("""COMPUTED_VALUE"""),"feg-token-2")</f>
        <v>feg-token-2</v>
      </c>
      <c r="B4577" s="4" t="str">
        <f>IFERROR(__xludf.DUMMYFUNCTION("""COMPUTED_VALUE"""),"feg")</f>
        <v>feg</v>
      </c>
      <c r="C4577" s="4" t="str">
        <f>IFERROR(__xludf.DUMMYFUNCTION("""COMPUTED_VALUE"""),"FEG ETH")</f>
        <v>FEG ETH</v>
      </c>
    </row>
    <row r="4578">
      <c r="A4578" s="4" t="str">
        <f>IFERROR(__xludf.DUMMYFUNCTION("""COMPUTED_VALUE"""),"feg-token-bsc")</f>
        <v>feg-token-bsc</v>
      </c>
      <c r="B4578" s="4" t="str">
        <f>IFERROR(__xludf.DUMMYFUNCTION("""COMPUTED_VALUE"""),"feg")</f>
        <v>feg</v>
      </c>
      <c r="C4578" s="4" t="str">
        <f>IFERROR(__xludf.DUMMYFUNCTION("""COMPUTED_VALUE"""),"FEG BSC (OLD)")</f>
        <v>FEG BSC (OLD)</v>
      </c>
    </row>
    <row r="4579">
      <c r="A4579" s="4" t="str">
        <f>IFERROR(__xludf.DUMMYFUNCTION("""COMPUTED_VALUE"""),"feichang-niu")</f>
        <v>feichang-niu</v>
      </c>
      <c r="B4579" s="4" t="str">
        <f>IFERROR(__xludf.DUMMYFUNCTION("""COMPUTED_VALUE"""),"fcn")</f>
        <v>fcn</v>
      </c>
      <c r="C4579" s="4" t="str">
        <f>IFERROR(__xludf.DUMMYFUNCTION("""COMPUTED_VALUE"""),"Feichang Niu")</f>
        <v>Feichang Niu</v>
      </c>
    </row>
    <row r="4580">
      <c r="A4580" s="4" t="str">
        <f>IFERROR(__xludf.DUMMYFUNCTION("""COMPUTED_VALUE"""),"feisty-doge-nft")</f>
        <v>feisty-doge-nft</v>
      </c>
      <c r="B4580" s="4" t="str">
        <f>IFERROR(__xludf.DUMMYFUNCTION("""COMPUTED_VALUE"""),"nfd")</f>
        <v>nfd</v>
      </c>
      <c r="C4580" s="4" t="str">
        <f>IFERROR(__xludf.DUMMYFUNCTION("""COMPUTED_VALUE"""),"Feisty Doge NFT")</f>
        <v>Feisty Doge NFT</v>
      </c>
    </row>
    <row r="4581">
      <c r="A4581" s="4" t="str">
        <f>IFERROR(__xludf.DUMMYFUNCTION("""COMPUTED_VALUE"""),"fei-usd")</f>
        <v>fei-usd</v>
      </c>
      <c r="B4581" s="4" t="str">
        <f>IFERROR(__xludf.DUMMYFUNCTION("""COMPUTED_VALUE"""),"fei")</f>
        <v>fei</v>
      </c>
      <c r="C4581" s="4" t="str">
        <f>IFERROR(__xludf.DUMMYFUNCTION("""COMPUTED_VALUE"""),"Fei USD")</f>
        <v>Fei USD</v>
      </c>
    </row>
    <row r="4582">
      <c r="A4582" s="4" t="str">
        <f>IFERROR(__xludf.DUMMYFUNCTION("""COMPUTED_VALUE"""),"felicette-the-space-cat")</f>
        <v>felicette-the-space-cat</v>
      </c>
      <c r="B4582" s="4" t="str">
        <f>IFERROR(__xludf.DUMMYFUNCTION("""COMPUTED_VALUE"""),"felicette")</f>
        <v>felicette</v>
      </c>
      <c r="C4582" s="4" t="str">
        <f>IFERROR(__xludf.DUMMYFUNCTION("""COMPUTED_VALUE"""),"felicette the space cat")</f>
        <v>felicette the space cat</v>
      </c>
    </row>
    <row r="4583">
      <c r="A4583" s="4" t="str">
        <f>IFERROR(__xludf.DUMMYFUNCTION("""COMPUTED_VALUE"""),"felix")</f>
        <v>felix</v>
      </c>
      <c r="B4583" s="4" t="str">
        <f>IFERROR(__xludf.DUMMYFUNCTION("""COMPUTED_VALUE"""),"flx")</f>
        <v>flx</v>
      </c>
      <c r="C4583" s="4" t="str">
        <f>IFERROR(__xludf.DUMMYFUNCTION("""COMPUTED_VALUE"""),"Felix")</f>
        <v>Felix</v>
      </c>
    </row>
    <row r="4584">
      <c r="A4584" s="4" t="str">
        <f>IFERROR(__xludf.DUMMYFUNCTION("""COMPUTED_VALUE"""),"felix-2")</f>
        <v>felix-2</v>
      </c>
      <c r="B4584" s="4" t="str">
        <f>IFERROR(__xludf.DUMMYFUNCTION("""COMPUTED_VALUE"""),"felix")</f>
        <v>felix</v>
      </c>
      <c r="C4584" s="4" t="str">
        <f>IFERROR(__xludf.DUMMYFUNCTION("""COMPUTED_VALUE"""),"FELIX")</f>
        <v>FELIX</v>
      </c>
    </row>
    <row r="4585">
      <c r="A4585" s="4" t="str">
        <f>IFERROR(__xludf.DUMMYFUNCTION("""COMPUTED_VALUE"""),"felix-the-lazer-cat")</f>
        <v>felix-the-lazer-cat</v>
      </c>
      <c r="B4585" s="4" t="str">
        <f>IFERROR(__xludf.DUMMYFUNCTION("""COMPUTED_VALUE"""),"$peow")</f>
        <v>$peow</v>
      </c>
      <c r="C4585" s="4" t="str">
        <f>IFERROR(__xludf.DUMMYFUNCTION("""COMPUTED_VALUE"""),"Felix the lazer cat")</f>
        <v>Felix the lazer cat</v>
      </c>
    </row>
    <row r="4586">
      <c r="A4586" s="4" t="str">
        <f>IFERROR(__xludf.DUMMYFUNCTION("""COMPUTED_VALUE"""),"fellaz")</f>
        <v>fellaz</v>
      </c>
      <c r="B4586" s="4" t="str">
        <f>IFERROR(__xludf.DUMMYFUNCTION("""COMPUTED_VALUE"""),"flz")</f>
        <v>flz</v>
      </c>
      <c r="C4586" s="4" t="str">
        <f>IFERROR(__xludf.DUMMYFUNCTION("""COMPUTED_VALUE"""),"Fellaz")</f>
        <v>Fellaz</v>
      </c>
    </row>
    <row r="4587">
      <c r="A4587" s="4" t="str">
        <f>IFERROR(__xludf.DUMMYFUNCTION("""COMPUTED_VALUE"""),"fenerbahce-token")</f>
        <v>fenerbahce-token</v>
      </c>
      <c r="B4587" s="4" t="str">
        <f>IFERROR(__xludf.DUMMYFUNCTION("""COMPUTED_VALUE"""),"fb")</f>
        <v>fb</v>
      </c>
      <c r="C4587" s="4" t="str">
        <f>IFERROR(__xludf.DUMMYFUNCTION("""COMPUTED_VALUE"""),"Fenerbahçe")</f>
        <v>Fenerbahçe</v>
      </c>
    </row>
    <row r="4588">
      <c r="A4588" s="4" t="str">
        <f>IFERROR(__xludf.DUMMYFUNCTION("""COMPUTED_VALUE"""),"fenglvziv2")</f>
        <v>fenglvziv2</v>
      </c>
      <c r="B4588" s="4" t="str">
        <f>IFERROR(__xludf.DUMMYFUNCTION("""COMPUTED_VALUE"""),"fenglvziv2")</f>
        <v>fenglvziv2</v>
      </c>
      <c r="C4588" s="4" t="str">
        <f>IFERROR(__xludf.DUMMYFUNCTION("""COMPUTED_VALUE"""),"FengLvZiV2")</f>
        <v>FengLvZiV2</v>
      </c>
    </row>
    <row r="4589">
      <c r="A4589" s="4" t="str">
        <f>IFERROR(__xludf.DUMMYFUNCTION("""COMPUTED_VALUE"""),"fentanyl-dragon")</f>
        <v>fentanyl-dragon</v>
      </c>
      <c r="B4589" s="4" t="str">
        <f>IFERROR(__xludf.DUMMYFUNCTION("""COMPUTED_VALUE"""),"fentanyl")</f>
        <v>fentanyl</v>
      </c>
      <c r="C4589" s="4" t="str">
        <f>IFERROR(__xludf.DUMMYFUNCTION("""COMPUTED_VALUE"""),"Fentanyl Dragon")</f>
        <v>Fentanyl Dragon</v>
      </c>
    </row>
    <row r="4590">
      <c r="A4590" s="4" t="str">
        <f>IFERROR(__xludf.DUMMYFUNCTION("""COMPUTED_VALUE"""),"ferma")</f>
        <v>ferma</v>
      </c>
      <c r="B4590" s="4" t="str">
        <f>IFERROR(__xludf.DUMMYFUNCTION("""COMPUTED_VALUE"""),"ferma")</f>
        <v>ferma</v>
      </c>
      <c r="C4590" s="4" t="str">
        <f>IFERROR(__xludf.DUMMYFUNCTION("""COMPUTED_VALUE"""),"Ferma")</f>
        <v>Ferma</v>
      </c>
    </row>
    <row r="4591">
      <c r="A4591" s="4" t="str">
        <f>IFERROR(__xludf.DUMMYFUNCTION("""COMPUTED_VALUE"""),"ferret-ai")</f>
        <v>ferret-ai</v>
      </c>
      <c r="B4591" s="4" t="str">
        <f>IFERROR(__xludf.DUMMYFUNCTION("""COMPUTED_VALUE"""),"ferret")</f>
        <v>ferret</v>
      </c>
      <c r="C4591" s="4" t="str">
        <f>IFERROR(__xludf.DUMMYFUNCTION("""COMPUTED_VALUE"""),"Ferret AI")</f>
        <v>Ferret AI</v>
      </c>
    </row>
    <row r="4592">
      <c r="A4592" s="4" t="str">
        <f>IFERROR(__xludf.DUMMYFUNCTION("""COMPUTED_VALUE"""),"ferro")</f>
        <v>ferro</v>
      </c>
      <c r="B4592" s="4" t="str">
        <f>IFERROR(__xludf.DUMMYFUNCTION("""COMPUTED_VALUE"""),"fer")</f>
        <v>fer</v>
      </c>
      <c r="C4592" s="4" t="str">
        <f>IFERROR(__xludf.DUMMYFUNCTION("""COMPUTED_VALUE"""),"Ferro")</f>
        <v>Ferro</v>
      </c>
    </row>
    <row r="4593">
      <c r="A4593" s="4" t="str">
        <f>IFERROR(__xludf.DUMMYFUNCTION("""COMPUTED_VALUE"""),"ferrum-network")</f>
        <v>ferrum-network</v>
      </c>
      <c r="B4593" s="4" t="str">
        <f>IFERROR(__xludf.DUMMYFUNCTION("""COMPUTED_VALUE"""),"frm")</f>
        <v>frm</v>
      </c>
      <c r="C4593" s="4" t="str">
        <f>IFERROR(__xludf.DUMMYFUNCTION("""COMPUTED_VALUE"""),"Ferrum Network")</f>
        <v>Ferrum Network</v>
      </c>
    </row>
    <row r="4594">
      <c r="A4594" s="4" t="str">
        <f>IFERROR(__xludf.DUMMYFUNCTION("""COMPUTED_VALUE"""),"ferscoin")</f>
        <v>ferscoin</v>
      </c>
      <c r="B4594" s="4" t="str">
        <f>IFERROR(__xludf.DUMMYFUNCTION("""COMPUTED_VALUE"""),"fr")</f>
        <v>fr</v>
      </c>
      <c r="C4594" s="4" t="str">
        <f>IFERROR(__xludf.DUMMYFUNCTION("""COMPUTED_VALUE"""),"ferscoin")</f>
        <v>ferscoin</v>
      </c>
    </row>
    <row r="4595">
      <c r="A4595" s="4" t="str">
        <f>IFERROR(__xludf.DUMMYFUNCTION("""COMPUTED_VALUE"""),"fetch-ai")</f>
        <v>fetch-ai</v>
      </c>
      <c r="B4595" s="4" t="str">
        <f>IFERROR(__xludf.DUMMYFUNCTION("""COMPUTED_VALUE"""),"fet")</f>
        <v>fet</v>
      </c>
      <c r="C4595" s="5" t="str">
        <f>IFERROR(__xludf.DUMMYFUNCTION("""COMPUTED_VALUE"""),"Fetch.ai")</f>
        <v>Fetch.ai</v>
      </c>
    </row>
    <row r="4596">
      <c r="A4596" s="4" t="str">
        <f>IFERROR(__xludf.DUMMYFUNCTION("""COMPUTED_VALUE"""),"feyorra")</f>
        <v>feyorra</v>
      </c>
      <c r="B4596" s="4" t="str">
        <f>IFERROR(__xludf.DUMMYFUNCTION("""COMPUTED_VALUE"""),"fey")</f>
        <v>fey</v>
      </c>
      <c r="C4596" s="4" t="str">
        <f>IFERROR(__xludf.DUMMYFUNCTION("""COMPUTED_VALUE"""),"Feyorra")</f>
        <v>Feyorra</v>
      </c>
    </row>
    <row r="4597">
      <c r="A4597" s="4" t="str">
        <f>IFERROR(__xludf.DUMMYFUNCTION("""COMPUTED_VALUE"""),"fgdswap")</f>
        <v>fgdswap</v>
      </c>
      <c r="B4597" s="4" t="str">
        <f>IFERROR(__xludf.DUMMYFUNCTION("""COMPUTED_VALUE"""),"fgds")</f>
        <v>fgds</v>
      </c>
      <c r="C4597" s="4" t="str">
        <f>IFERROR(__xludf.DUMMYFUNCTION("""COMPUTED_VALUE"""),"FGDSwap")</f>
        <v>FGDSwap</v>
      </c>
    </row>
    <row r="4598">
      <c r="A4598" s="4" t="str">
        <f>IFERROR(__xludf.DUMMYFUNCTION("""COMPUTED_VALUE"""),"fiat24-chf")</f>
        <v>fiat24-chf</v>
      </c>
      <c r="B4598" s="4" t="str">
        <f>IFERROR(__xludf.DUMMYFUNCTION("""COMPUTED_VALUE"""),"chf24")</f>
        <v>chf24</v>
      </c>
      <c r="C4598" s="4" t="str">
        <f>IFERROR(__xludf.DUMMYFUNCTION("""COMPUTED_VALUE"""),"Fiat24 CHF")</f>
        <v>Fiat24 CHF</v>
      </c>
    </row>
    <row r="4599">
      <c r="A4599" s="4" t="str">
        <f>IFERROR(__xludf.DUMMYFUNCTION("""COMPUTED_VALUE"""),"fiat24-eur")</f>
        <v>fiat24-eur</v>
      </c>
      <c r="B4599" s="4" t="str">
        <f>IFERROR(__xludf.DUMMYFUNCTION("""COMPUTED_VALUE"""),"eur24")</f>
        <v>eur24</v>
      </c>
      <c r="C4599" s="4" t="str">
        <f>IFERROR(__xludf.DUMMYFUNCTION("""COMPUTED_VALUE"""),"Fiat24 EUR")</f>
        <v>Fiat24 EUR</v>
      </c>
    </row>
    <row r="4600">
      <c r="A4600" s="4" t="str">
        <f>IFERROR(__xludf.DUMMYFUNCTION("""COMPUTED_VALUE"""),"fiat24-usd")</f>
        <v>fiat24-usd</v>
      </c>
      <c r="B4600" s="4" t="str">
        <f>IFERROR(__xludf.DUMMYFUNCTION("""COMPUTED_VALUE"""),"usd24")</f>
        <v>usd24</v>
      </c>
      <c r="C4600" s="4" t="str">
        <f>IFERROR(__xludf.DUMMYFUNCTION("""COMPUTED_VALUE"""),"Fiat24 USD")</f>
        <v>Fiat24 USD</v>
      </c>
    </row>
    <row r="4601">
      <c r="A4601" s="4" t="str">
        <f>IFERROR(__xludf.DUMMYFUNCTION("""COMPUTED_VALUE"""),"fibonacci")</f>
        <v>fibonacci</v>
      </c>
      <c r="B4601" s="4" t="str">
        <f>IFERROR(__xludf.DUMMYFUNCTION("""COMPUTED_VALUE"""),"fibo")</f>
        <v>fibo</v>
      </c>
      <c r="C4601" s="4" t="str">
        <f>IFERROR(__xludf.DUMMYFUNCTION("""COMPUTED_VALUE"""),"Fibonacci")</f>
        <v>Fibonacci</v>
      </c>
    </row>
    <row r="4602">
      <c r="A4602" s="4" t="str">
        <f>IFERROR(__xludf.DUMMYFUNCTION("""COMPUTED_VALUE"""),"fibos")</f>
        <v>fibos</v>
      </c>
      <c r="B4602" s="4" t="str">
        <f>IFERROR(__xludf.DUMMYFUNCTION("""COMPUTED_VALUE"""),"fo")</f>
        <v>fo</v>
      </c>
      <c r="C4602" s="4" t="str">
        <f>IFERROR(__xludf.DUMMYFUNCTION("""COMPUTED_VALUE"""),"FIBOS")</f>
        <v>FIBOS</v>
      </c>
    </row>
    <row r="4603">
      <c r="A4603" s="4" t="str">
        <f>IFERROR(__xludf.DUMMYFUNCTION("""COMPUTED_VALUE"""),"fibo-token")</f>
        <v>fibo-token</v>
      </c>
      <c r="B4603" s="4" t="str">
        <f>IFERROR(__xludf.DUMMYFUNCTION("""COMPUTED_VALUE"""),"fibo")</f>
        <v>fibo</v>
      </c>
      <c r="C4603" s="4" t="str">
        <f>IFERROR(__xludf.DUMMYFUNCTION("""COMPUTED_VALUE"""),"FibSwap DEX")</f>
        <v>FibSwap DEX</v>
      </c>
    </row>
    <row r="4604">
      <c r="A4604" s="4" t="str">
        <f>IFERROR(__xludf.DUMMYFUNCTION("""COMPUTED_VALUE"""),"fidance")</f>
        <v>fidance</v>
      </c>
      <c r="B4604" s="4" t="str">
        <f>IFERROR(__xludf.DUMMYFUNCTION("""COMPUTED_VALUE"""),"fdc")</f>
        <v>fdc</v>
      </c>
      <c r="C4604" s="4" t="str">
        <f>IFERROR(__xludf.DUMMYFUNCTION("""COMPUTED_VALUE"""),"Fidance")</f>
        <v>Fidance</v>
      </c>
    </row>
    <row r="4605">
      <c r="A4605" s="4" t="str">
        <f>IFERROR(__xludf.DUMMYFUNCTION("""COMPUTED_VALUE"""),"fidelis")</f>
        <v>fidelis</v>
      </c>
      <c r="B4605" s="4" t="str">
        <f>IFERROR(__xludf.DUMMYFUNCTION("""COMPUTED_VALUE"""),"fdls")</f>
        <v>fdls</v>
      </c>
      <c r="C4605" s="4" t="str">
        <f>IFERROR(__xludf.DUMMYFUNCTION("""COMPUTED_VALUE"""),"FIDELIS")</f>
        <v>FIDELIS</v>
      </c>
    </row>
    <row r="4606">
      <c r="A4606" s="4" t="str">
        <f>IFERROR(__xludf.DUMMYFUNCTION("""COMPUTED_VALUE"""),"fideum")</f>
        <v>fideum</v>
      </c>
      <c r="B4606" s="4" t="str">
        <f>IFERROR(__xludf.DUMMYFUNCTION("""COMPUTED_VALUE"""),"fi")</f>
        <v>fi</v>
      </c>
      <c r="C4606" s="4" t="str">
        <f>IFERROR(__xludf.DUMMYFUNCTION("""COMPUTED_VALUE"""),"Fideum")</f>
        <v>Fideum</v>
      </c>
    </row>
    <row r="4607">
      <c r="A4607" s="4" t="str">
        <f>IFERROR(__xludf.DUMMYFUNCTION("""COMPUTED_VALUE"""),"fidira")</f>
        <v>fidira</v>
      </c>
      <c r="B4607" s="4" t="str">
        <f>IFERROR(__xludf.DUMMYFUNCTION("""COMPUTED_VALUE"""),"fid")</f>
        <v>fid</v>
      </c>
      <c r="C4607" s="4" t="str">
        <f>IFERROR(__xludf.DUMMYFUNCTION("""COMPUTED_VALUE"""),"Fidira")</f>
        <v>Fidira</v>
      </c>
    </row>
    <row r="4608">
      <c r="A4608" s="4" t="str">
        <f>IFERROR(__xludf.DUMMYFUNCTION("""COMPUTED_VALUE"""),"fido")</f>
        <v>fido</v>
      </c>
      <c r="B4608" s="4" t="str">
        <f>IFERROR(__xludf.DUMMYFUNCTION("""COMPUTED_VALUE"""),"fido")</f>
        <v>fido</v>
      </c>
      <c r="C4608" s="4" t="str">
        <f>IFERROR(__xludf.DUMMYFUNCTION("""COMPUTED_VALUE"""),"Fido")</f>
        <v>Fido</v>
      </c>
    </row>
    <row r="4609">
      <c r="A4609" s="4" t="str">
        <f>IFERROR(__xludf.DUMMYFUNCTION("""COMPUTED_VALUE"""),"fidu")</f>
        <v>fidu</v>
      </c>
      <c r="B4609" s="4" t="str">
        <f>IFERROR(__xludf.DUMMYFUNCTION("""COMPUTED_VALUE"""),"fidu")</f>
        <v>fidu</v>
      </c>
      <c r="C4609" s="4" t="str">
        <f>IFERROR(__xludf.DUMMYFUNCTION("""COMPUTED_VALUE"""),"Fidu")</f>
        <v>Fidu</v>
      </c>
    </row>
    <row r="4610">
      <c r="A4610" s="4" t="str">
        <f>IFERROR(__xludf.DUMMYFUNCTION("""COMPUTED_VALUE"""),"fief")</f>
        <v>fief</v>
      </c>
      <c r="B4610" s="4" t="str">
        <f>IFERROR(__xludf.DUMMYFUNCTION("""COMPUTED_VALUE"""),"fief")</f>
        <v>fief</v>
      </c>
      <c r="C4610" s="4" t="str">
        <f>IFERROR(__xludf.DUMMYFUNCTION("""COMPUTED_VALUE"""),"Fief")</f>
        <v>Fief</v>
      </c>
    </row>
    <row r="4611">
      <c r="A4611" s="4" t="str">
        <f>IFERROR(__xludf.DUMMYFUNCTION("""COMPUTED_VALUE"""),"fierdragon")</f>
        <v>fierdragon</v>
      </c>
      <c r="B4611" s="4" t="str">
        <f>IFERROR(__xludf.DUMMYFUNCTION("""COMPUTED_VALUE"""),"fierdragon")</f>
        <v>fierdragon</v>
      </c>
      <c r="C4611" s="4" t="str">
        <f>IFERROR(__xludf.DUMMYFUNCTION("""COMPUTED_VALUE"""),"FierDragon")</f>
        <v>FierDragon</v>
      </c>
    </row>
    <row r="4612">
      <c r="A4612" s="4" t="str">
        <f>IFERROR(__xludf.DUMMYFUNCTION("""COMPUTED_VALUE"""),"fiero")</f>
        <v>fiero</v>
      </c>
      <c r="B4612" s="4" t="str">
        <f>IFERROR(__xludf.DUMMYFUNCTION("""COMPUTED_VALUE"""),"fiero")</f>
        <v>fiero</v>
      </c>
      <c r="C4612" s="4" t="str">
        <f>IFERROR(__xludf.DUMMYFUNCTION("""COMPUTED_VALUE"""),"Fiero")</f>
        <v>Fiero</v>
      </c>
    </row>
    <row r="4613">
      <c r="A4613" s="4" t="str">
        <f>IFERROR(__xludf.DUMMYFUNCTION("""COMPUTED_VALUE"""),"fifi")</f>
        <v>fifi</v>
      </c>
      <c r="B4613" s="4" t="str">
        <f>IFERROR(__xludf.DUMMYFUNCTION("""COMPUTED_VALUE"""),"fifi")</f>
        <v>fifi</v>
      </c>
      <c r="C4613" s="4" t="str">
        <f>IFERROR(__xludf.DUMMYFUNCTION("""COMPUTED_VALUE"""),"FIFI")</f>
        <v>FIFI</v>
      </c>
    </row>
    <row r="4614">
      <c r="A4614" s="4" t="str">
        <f>IFERROR(__xludf.DUMMYFUNCTION("""COMPUTED_VALUE"""),"fight-of-the-ages")</f>
        <v>fight-of-the-ages</v>
      </c>
      <c r="B4614" s="4" t="str">
        <f>IFERROR(__xludf.DUMMYFUNCTION("""COMPUTED_VALUE"""),"fota")</f>
        <v>fota</v>
      </c>
      <c r="C4614" s="4" t="str">
        <f>IFERROR(__xludf.DUMMYFUNCTION("""COMPUTED_VALUE"""),"Fight Of The Ages")</f>
        <v>Fight Of The Ages</v>
      </c>
    </row>
    <row r="4615">
      <c r="A4615" s="4" t="str">
        <f>IFERROR(__xludf.DUMMYFUNCTION("""COMPUTED_VALUE"""),"fight-win-ai")</f>
        <v>fight-win-ai</v>
      </c>
      <c r="B4615" s="4" t="str">
        <f>IFERROR(__xludf.DUMMYFUNCTION("""COMPUTED_VALUE"""),"fwin-ai")</f>
        <v>fwin-ai</v>
      </c>
      <c r="C4615" s="4" t="str">
        <f>IFERROR(__xludf.DUMMYFUNCTION("""COMPUTED_VALUE"""),"Fight Win AI")</f>
        <v>Fight Win AI</v>
      </c>
    </row>
    <row r="4616">
      <c r="A4616" s="4" t="str">
        <f>IFERROR(__xludf.DUMMYFUNCTION("""COMPUTED_VALUE"""),"figments-club")</f>
        <v>figments-club</v>
      </c>
      <c r="B4616" s="4" t="str">
        <f>IFERROR(__xludf.DUMMYFUNCTION("""COMPUTED_VALUE"""),"figma")</f>
        <v>figma</v>
      </c>
      <c r="C4616" s="4" t="str">
        <f>IFERROR(__xludf.DUMMYFUNCTION("""COMPUTED_VALUE"""),"Figments Club")</f>
        <v>Figments Club</v>
      </c>
    </row>
    <row r="4617">
      <c r="A4617" s="4" t="str">
        <f>IFERROR(__xludf.DUMMYFUNCTION("""COMPUTED_VALUE"""),"figure-ai")</f>
        <v>figure-ai</v>
      </c>
      <c r="B4617" s="4" t="str">
        <f>IFERROR(__xludf.DUMMYFUNCTION("""COMPUTED_VALUE"""),"fai")</f>
        <v>fai</v>
      </c>
      <c r="C4617" s="4" t="str">
        <f>IFERROR(__xludf.DUMMYFUNCTION("""COMPUTED_VALUE"""),"FIGURE AI")</f>
        <v>FIGURE AI</v>
      </c>
    </row>
    <row r="4618">
      <c r="A4618" s="4" t="str">
        <f>IFERROR(__xludf.DUMMYFUNCTION("""COMPUTED_VALUE"""),"figure-dao")</f>
        <v>figure-dao</v>
      </c>
      <c r="B4618" s="4" t="str">
        <f>IFERROR(__xludf.DUMMYFUNCTION("""COMPUTED_VALUE"""),"fdao")</f>
        <v>fdao</v>
      </c>
      <c r="C4618" s="4" t="str">
        <f>IFERROR(__xludf.DUMMYFUNCTION("""COMPUTED_VALUE"""),"Figure DAO")</f>
        <v>Figure DAO</v>
      </c>
    </row>
    <row r="4619">
      <c r="A4619" s="4" t="str">
        <f>IFERROR(__xludf.DUMMYFUNCTION("""COMPUTED_VALUE"""),"filda")</f>
        <v>filda</v>
      </c>
      <c r="B4619" s="4" t="str">
        <f>IFERROR(__xludf.DUMMYFUNCTION("""COMPUTED_VALUE"""),"filda")</f>
        <v>filda</v>
      </c>
      <c r="C4619" s="4" t="str">
        <f>IFERROR(__xludf.DUMMYFUNCTION("""COMPUTED_VALUE"""),"Filda")</f>
        <v>Filda</v>
      </c>
    </row>
    <row r="4620">
      <c r="A4620" s="4" t="str">
        <f>IFERROR(__xludf.DUMMYFUNCTION("""COMPUTED_VALUE"""),"filecoin")</f>
        <v>filecoin</v>
      </c>
      <c r="B4620" s="4" t="str">
        <f>IFERROR(__xludf.DUMMYFUNCTION("""COMPUTED_VALUE"""),"fil")</f>
        <v>fil</v>
      </c>
      <c r="C4620" s="4" t="str">
        <f>IFERROR(__xludf.DUMMYFUNCTION("""COMPUTED_VALUE"""),"Filecoin")</f>
        <v>Filecoin</v>
      </c>
    </row>
    <row r="4621">
      <c r="A4621" s="4" t="str">
        <f>IFERROR(__xludf.DUMMYFUNCTION("""COMPUTED_VALUE"""),"filecoin-standard-full-hashrate")</f>
        <v>filecoin-standard-full-hashrate</v>
      </c>
      <c r="B4621" s="4" t="str">
        <f>IFERROR(__xludf.DUMMYFUNCTION("""COMPUTED_VALUE"""),"sfil")</f>
        <v>sfil</v>
      </c>
      <c r="C4621" s="4" t="str">
        <f>IFERROR(__xludf.DUMMYFUNCTION("""COMPUTED_VALUE"""),"Filecoin Standard Full Hashrate")</f>
        <v>Filecoin Standard Full Hashrate</v>
      </c>
    </row>
    <row r="4622">
      <c r="A4622" s="4" t="str">
        <f>IFERROR(__xludf.DUMMYFUNCTION("""COMPUTED_VALUE"""),"fileshare-platform")</f>
        <v>fileshare-platform</v>
      </c>
      <c r="B4622" s="4" t="str">
        <f>IFERROR(__xludf.DUMMYFUNCTION("""COMPUTED_VALUE"""),"fsc")</f>
        <v>fsc</v>
      </c>
      <c r="C4622" s="4" t="str">
        <f>IFERROR(__xludf.DUMMYFUNCTION("""COMPUTED_VALUE"""),"Fileshare Platform")</f>
        <v>Fileshare Platform</v>
      </c>
    </row>
    <row r="4623">
      <c r="A4623" s="4" t="str">
        <f>IFERROR(__xludf.DUMMYFUNCTION("""COMPUTED_VALUE"""),"filestar")</f>
        <v>filestar</v>
      </c>
      <c r="B4623" s="4" t="str">
        <f>IFERROR(__xludf.DUMMYFUNCTION("""COMPUTED_VALUE"""),"star")</f>
        <v>star</v>
      </c>
      <c r="C4623" s="4" t="str">
        <f>IFERROR(__xludf.DUMMYFUNCTION("""COMPUTED_VALUE"""),"FileStar")</f>
        <v>FileStar</v>
      </c>
    </row>
    <row r="4624">
      <c r="A4624" s="4" t="str">
        <f>IFERROR(__xludf.DUMMYFUNCTION("""COMPUTED_VALUE"""),"filipcoin")</f>
        <v>filipcoin</v>
      </c>
      <c r="B4624" s="4" t="str">
        <f>IFERROR(__xludf.DUMMYFUNCTION("""COMPUTED_VALUE"""),"fcp")</f>
        <v>fcp</v>
      </c>
      <c r="C4624" s="4" t="str">
        <f>IFERROR(__xludf.DUMMYFUNCTION("""COMPUTED_VALUE"""),"Filipcoin")</f>
        <v>Filipcoin</v>
      </c>
    </row>
    <row r="4625">
      <c r="A4625" s="4" t="str">
        <f>IFERROR(__xludf.DUMMYFUNCTION("""COMPUTED_VALUE"""),"filmcredits")</f>
        <v>filmcredits</v>
      </c>
      <c r="B4625" s="4" t="str">
        <f>IFERROR(__xludf.DUMMYFUNCTION("""COMPUTED_VALUE"""),"film")</f>
        <v>film</v>
      </c>
      <c r="C4625" s="4" t="str">
        <f>IFERROR(__xludf.DUMMYFUNCTION("""COMPUTED_VALUE"""),"FILMCredits")</f>
        <v>FILMCredits</v>
      </c>
    </row>
    <row r="4626">
      <c r="A4626" s="4" t="str">
        <f>IFERROR(__xludf.DUMMYFUNCTION("""COMPUTED_VALUE"""),"fimarkcoin-com")</f>
        <v>fimarkcoin-com</v>
      </c>
      <c r="B4626" s="4" t="str">
        <f>IFERROR(__xludf.DUMMYFUNCTION("""COMPUTED_VALUE"""),"fmc")</f>
        <v>fmc</v>
      </c>
      <c r="C4626" s="5" t="str">
        <f>IFERROR(__xludf.DUMMYFUNCTION("""COMPUTED_VALUE"""),"Fimarkcoin.com")</f>
        <v>Fimarkcoin.com</v>
      </c>
    </row>
    <row r="4627">
      <c r="A4627" s="4" t="str">
        <f>IFERROR(__xludf.DUMMYFUNCTION("""COMPUTED_VALUE"""),"fina")</f>
        <v>fina</v>
      </c>
      <c r="B4627" s="4" t="str">
        <f>IFERROR(__xludf.DUMMYFUNCTION("""COMPUTED_VALUE"""),"fina")</f>
        <v>fina</v>
      </c>
      <c r="C4627" s="4" t="str">
        <f>IFERROR(__xludf.DUMMYFUNCTION("""COMPUTED_VALUE"""),"Fina.cash")</f>
        <v>Fina.cash</v>
      </c>
    </row>
    <row r="4628">
      <c r="A4628" s="4" t="str">
        <f>IFERROR(__xludf.DUMMYFUNCTION("""COMPUTED_VALUE"""),"final-frontier")</f>
        <v>final-frontier</v>
      </c>
      <c r="B4628" s="4" t="str">
        <f>IFERROR(__xludf.DUMMYFUNCTION("""COMPUTED_VALUE"""),"frnt")</f>
        <v>frnt</v>
      </c>
      <c r="C4628" s="4" t="str">
        <f>IFERROR(__xludf.DUMMYFUNCTION("""COMPUTED_VALUE"""),"Final Frontier")</f>
        <v>Final Frontier</v>
      </c>
    </row>
    <row r="4629">
      <c r="A4629" s="4" t="str">
        <f>IFERROR(__xludf.DUMMYFUNCTION("""COMPUTED_VALUE"""),"finance-ai")</f>
        <v>finance-ai</v>
      </c>
      <c r="B4629" s="4" t="str">
        <f>IFERROR(__xludf.DUMMYFUNCTION("""COMPUTED_VALUE"""),"financeai")</f>
        <v>financeai</v>
      </c>
      <c r="C4629" s="4" t="str">
        <f>IFERROR(__xludf.DUMMYFUNCTION("""COMPUTED_VALUE"""),"Finance AI")</f>
        <v>Finance AI</v>
      </c>
    </row>
    <row r="4630">
      <c r="A4630" s="4" t="str">
        <f>IFERROR(__xludf.DUMMYFUNCTION("""COMPUTED_VALUE"""),"finance-blocks")</f>
        <v>finance-blocks</v>
      </c>
      <c r="B4630" s="4" t="str">
        <f>IFERROR(__xludf.DUMMYFUNCTION("""COMPUTED_VALUE"""),"fbx")</f>
        <v>fbx</v>
      </c>
      <c r="C4630" s="4" t="str">
        <f>IFERROR(__xludf.DUMMYFUNCTION("""COMPUTED_VALUE"""),"Finance Blocks")</f>
        <v>Finance Blocks</v>
      </c>
    </row>
    <row r="4631">
      <c r="A4631" s="4" t="str">
        <f>IFERROR(__xludf.DUMMYFUNCTION("""COMPUTED_VALUE"""),"finance-vote")</f>
        <v>finance-vote</v>
      </c>
      <c r="B4631" s="4" t="str">
        <f>IFERROR(__xludf.DUMMYFUNCTION("""COMPUTED_VALUE"""),"fvt")</f>
        <v>fvt</v>
      </c>
      <c r="C4631" s="4" t="str">
        <f>IFERROR(__xludf.DUMMYFUNCTION("""COMPUTED_VALUE"""),"Finance Vote")</f>
        <v>Finance Vote</v>
      </c>
    </row>
    <row r="4632">
      <c r="A4632" s="4" t="str">
        <f>IFERROR(__xludf.DUMMYFUNCTION("""COMPUTED_VALUE"""),"financie-token")</f>
        <v>financie-token</v>
      </c>
      <c r="B4632" s="4" t="str">
        <f>IFERROR(__xludf.DUMMYFUNCTION("""COMPUTED_VALUE"""),"fnct")</f>
        <v>fnct</v>
      </c>
      <c r="C4632" s="4" t="str">
        <f>IFERROR(__xludf.DUMMYFUNCTION("""COMPUTED_VALUE"""),"Financie Token")</f>
        <v>Financie Token</v>
      </c>
    </row>
    <row r="4633">
      <c r="A4633" s="4" t="str">
        <f>IFERROR(__xludf.DUMMYFUNCTION("""COMPUTED_VALUE"""),"finblox")</f>
        <v>finblox</v>
      </c>
      <c r="B4633" s="4" t="str">
        <f>IFERROR(__xludf.DUMMYFUNCTION("""COMPUTED_VALUE"""),"fbx")</f>
        <v>fbx</v>
      </c>
      <c r="C4633" s="4" t="str">
        <f>IFERROR(__xludf.DUMMYFUNCTION("""COMPUTED_VALUE"""),"Finblox")</f>
        <v>Finblox</v>
      </c>
    </row>
    <row r="4634">
      <c r="A4634" s="4" t="str">
        <f>IFERROR(__xludf.DUMMYFUNCTION("""COMPUTED_VALUE"""),"finceptor-token")</f>
        <v>finceptor-token</v>
      </c>
      <c r="B4634" s="4" t="str">
        <f>IFERROR(__xludf.DUMMYFUNCTION("""COMPUTED_VALUE"""),"finc")</f>
        <v>finc</v>
      </c>
      <c r="C4634" s="4" t="str">
        <f>IFERROR(__xludf.DUMMYFUNCTION("""COMPUTED_VALUE"""),"Finceptor")</f>
        <v>Finceptor</v>
      </c>
    </row>
    <row r="4635">
      <c r="A4635" s="4" t="str">
        <f>IFERROR(__xludf.DUMMYFUNCTION("""COMPUTED_VALUE"""),"find-check")</f>
        <v>find-check</v>
      </c>
      <c r="B4635" s="4" t="str">
        <f>IFERROR(__xludf.DUMMYFUNCTION("""COMPUTED_VALUE"""),"dyor")</f>
        <v>dyor</v>
      </c>
      <c r="C4635" s="4" t="str">
        <f>IFERROR(__xludf.DUMMYFUNCTION("""COMPUTED_VALUE"""),"DYOR Coin")</f>
        <v>DYOR Coin</v>
      </c>
    </row>
    <row r="4636">
      <c r="A4636" s="4" t="str">
        <f>IFERROR(__xludf.DUMMYFUNCTION("""COMPUTED_VALUE"""),"findora")</f>
        <v>findora</v>
      </c>
      <c r="B4636" s="4" t="str">
        <f>IFERROR(__xludf.DUMMYFUNCTION("""COMPUTED_VALUE"""),"fra")</f>
        <v>fra</v>
      </c>
      <c r="C4636" s="4" t="str">
        <f>IFERROR(__xludf.DUMMYFUNCTION("""COMPUTED_VALUE"""),"Fractal")</f>
        <v>Fractal</v>
      </c>
    </row>
    <row r="4637">
      <c r="A4637" s="4" t="str">
        <f>IFERROR(__xludf.DUMMYFUNCTION("""COMPUTED_VALUE"""),"fine")</f>
        <v>fine</v>
      </c>
      <c r="B4637" s="4" t="str">
        <f>IFERROR(__xludf.DUMMYFUNCTION("""COMPUTED_VALUE"""),"fine")</f>
        <v>fine</v>
      </c>
      <c r="C4637" s="4" t="str">
        <f>IFERROR(__xludf.DUMMYFUNCTION("""COMPUTED_VALUE"""),"FINE")</f>
        <v>FINE</v>
      </c>
    </row>
    <row r="4638">
      <c r="A4638" s="4" t="str">
        <f>IFERROR(__xludf.DUMMYFUNCTION("""COMPUTED_VALUE"""),"finedog")</f>
        <v>finedog</v>
      </c>
      <c r="B4638" s="4" t="str">
        <f>IFERROR(__xludf.DUMMYFUNCTION("""COMPUTED_VALUE"""),"finedog")</f>
        <v>finedog</v>
      </c>
      <c r="C4638" s="4" t="str">
        <f>IFERROR(__xludf.DUMMYFUNCTION("""COMPUTED_VALUE"""),"FineDog")</f>
        <v>FineDog</v>
      </c>
    </row>
    <row r="4639">
      <c r="A4639" s="4" t="str">
        <f>IFERROR(__xludf.DUMMYFUNCTION("""COMPUTED_VALUE"""),"finexbox-token")</f>
        <v>finexbox-token</v>
      </c>
      <c r="B4639" s="4" t="str">
        <f>IFERROR(__xludf.DUMMYFUNCTION("""COMPUTED_VALUE"""),"fnb")</f>
        <v>fnb</v>
      </c>
      <c r="C4639" s="4" t="str">
        <f>IFERROR(__xludf.DUMMYFUNCTION("""COMPUTED_VALUE"""),"Finexbox")</f>
        <v>Finexbox</v>
      </c>
    </row>
    <row r="4640">
      <c r="A4640" s="4" t="str">
        <f>IFERROR(__xludf.DUMMYFUNCTION("""COMPUTED_VALUE"""),"finger-blast")</f>
        <v>finger-blast</v>
      </c>
      <c r="B4640" s="4" t="str">
        <f>IFERROR(__xludf.DUMMYFUNCTION("""COMPUTED_VALUE"""),"finger")</f>
        <v>finger</v>
      </c>
      <c r="C4640" s="4" t="str">
        <f>IFERROR(__xludf.DUMMYFUNCTION("""COMPUTED_VALUE"""),"Finger Blast")</f>
        <v>Finger Blast</v>
      </c>
    </row>
    <row r="4641">
      <c r="A4641" s="4" t="str">
        <f>IFERROR(__xludf.DUMMYFUNCTION("""COMPUTED_VALUE"""),"fingerprints")</f>
        <v>fingerprints</v>
      </c>
      <c r="B4641" s="4" t="str">
        <f>IFERROR(__xludf.DUMMYFUNCTION("""COMPUTED_VALUE"""),"prints")</f>
        <v>prints</v>
      </c>
      <c r="C4641" s="4" t="str">
        <f>IFERROR(__xludf.DUMMYFUNCTION("""COMPUTED_VALUE"""),"FingerprintsDAO")</f>
        <v>FingerprintsDAO</v>
      </c>
    </row>
    <row r="4642">
      <c r="A4642" s="4" t="str">
        <f>IFERROR(__xludf.DUMMYFUNCTION("""COMPUTED_VALUE"""),"finminity")</f>
        <v>finminity</v>
      </c>
      <c r="B4642" s="4" t="str">
        <f>IFERROR(__xludf.DUMMYFUNCTION("""COMPUTED_VALUE"""),"fmt")</f>
        <v>fmt</v>
      </c>
      <c r="C4642" s="4" t="str">
        <f>IFERROR(__xludf.DUMMYFUNCTION("""COMPUTED_VALUE"""),"Finminity")</f>
        <v>Finminity</v>
      </c>
    </row>
    <row r="4643">
      <c r="A4643" s="4" t="str">
        <f>IFERROR(__xludf.DUMMYFUNCTION("""COMPUTED_VALUE"""),"fins-token")</f>
        <v>fins-token</v>
      </c>
      <c r="B4643" s="4" t="str">
        <f>IFERROR(__xludf.DUMMYFUNCTION("""COMPUTED_VALUE"""),"fins")</f>
        <v>fins</v>
      </c>
      <c r="C4643" s="4" t="str">
        <f>IFERROR(__xludf.DUMMYFUNCTION("""COMPUTED_VALUE"""),"Fins")</f>
        <v>Fins</v>
      </c>
    </row>
    <row r="4644">
      <c r="A4644" s="4" t="str">
        <f>IFERROR(__xludf.DUMMYFUNCTION("""COMPUTED_VALUE"""),"fintradao")</f>
        <v>fintradao</v>
      </c>
      <c r="B4644" s="4" t="str">
        <f>IFERROR(__xludf.DUMMYFUNCTION("""COMPUTED_VALUE"""),"fdc")</f>
        <v>fdc</v>
      </c>
      <c r="C4644" s="4" t="str">
        <f>IFERROR(__xludf.DUMMYFUNCTION("""COMPUTED_VALUE"""),"FintraDao")</f>
        <v>FintraDao</v>
      </c>
    </row>
    <row r="4645">
      <c r="A4645" s="4" t="str">
        <f>IFERROR(__xludf.DUMMYFUNCTION("""COMPUTED_VALUE"""),"fintrux")</f>
        <v>fintrux</v>
      </c>
      <c r="B4645" s="4" t="str">
        <f>IFERROR(__xludf.DUMMYFUNCTION("""COMPUTED_VALUE"""),"ftx")</f>
        <v>ftx</v>
      </c>
      <c r="C4645" s="4" t="str">
        <f>IFERROR(__xludf.DUMMYFUNCTION("""COMPUTED_VALUE"""),"FintruX")</f>
        <v>FintruX</v>
      </c>
    </row>
    <row r="4646">
      <c r="A4646" s="4" t="str">
        <f>IFERROR(__xludf.DUMMYFUNCTION("""COMPUTED_VALUE"""),"finx")</f>
        <v>finx</v>
      </c>
      <c r="B4646" s="4" t="str">
        <f>IFERROR(__xludf.DUMMYFUNCTION("""COMPUTED_VALUE"""),"finx")</f>
        <v>finx</v>
      </c>
      <c r="C4646" s="4" t="str">
        <f>IFERROR(__xludf.DUMMYFUNCTION("""COMPUTED_VALUE"""),"FINX")</f>
        <v>FINX</v>
      </c>
    </row>
    <row r="4647">
      <c r="A4647" s="4" t="str">
        <f>IFERROR(__xludf.DUMMYFUNCTION("""COMPUTED_VALUE"""),"finxflo")</f>
        <v>finxflo</v>
      </c>
      <c r="B4647" s="4" t="str">
        <f>IFERROR(__xludf.DUMMYFUNCTION("""COMPUTED_VALUE"""),"fxf")</f>
        <v>fxf</v>
      </c>
      <c r="C4647" s="4" t="str">
        <f>IFERROR(__xludf.DUMMYFUNCTION("""COMPUTED_VALUE"""),"FINXFLO")</f>
        <v>FINXFLO</v>
      </c>
    </row>
    <row r="4648">
      <c r="A4648" s="4" t="str">
        <f>IFERROR(__xludf.DUMMYFUNCTION("""COMPUTED_VALUE"""),"fio-protocol")</f>
        <v>fio-protocol</v>
      </c>
      <c r="B4648" s="4" t="str">
        <f>IFERROR(__xludf.DUMMYFUNCTION("""COMPUTED_VALUE"""),"fio")</f>
        <v>fio</v>
      </c>
      <c r="C4648" s="4" t="str">
        <f>IFERROR(__xludf.DUMMYFUNCTION("""COMPUTED_VALUE"""),"FIO Protocol")</f>
        <v>FIO Protocol</v>
      </c>
    </row>
    <row r="4649">
      <c r="A4649" s="4" t="str">
        <f>IFERROR(__xludf.DUMMYFUNCTION("""COMPUTED_VALUE"""),"fira")</f>
        <v>fira</v>
      </c>
      <c r="B4649" s="4" t="str">
        <f>IFERROR(__xludf.DUMMYFUNCTION("""COMPUTED_VALUE"""),"fira")</f>
        <v>fira</v>
      </c>
      <c r="C4649" s="4" t="str">
        <f>IFERROR(__xludf.DUMMYFUNCTION("""COMPUTED_VALUE"""),"FIRA")</f>
        <v>FIRA</v>
      </c>
    </row>
    <row r="4650">
      <c r="A4650" s="4" t="str">
        <f>IFERROR(__xludf.DUMMYFUNCTION("""COMPUTED_VALUE"""),"fira-cronos")</f>
        <v>fira-cronos</v>
      </c>
      <c r="B4650" s="4" t="str">
        <f>IFERROR(__xludf.DUMMYFUNCTION("""COMPUTED_VALUE"""),"fira")</f>
        <v>fira</v>
      </c>
      <c r="C4650" s="4" t="str">
        <f>IFERROR(__xludf.DUMMYFUNCTION("""COMPUTED_VALUE"""),"Defira (Cronos)")</f>
        <v>Defira (Cronos)</v>
      </c>
    </row>
    <row r="4651">
      <c r="A4651" s="4" t="str">
        <f>IFERROR(__xludf.DUMMYFUNCTION("""COMPUTED_VALUE"""),"fireants")</f>
        <v>fireants</v>
      </c>
      <c r="B4651" s="4" t="str">
        <f>IFERROR(__xludf.DUMMYFUNCTION("""COMPUTED_VALUE"""),"ants")</f>
        <v>ants</v>
      </c>
      <c r="C4651" s="4" t="str">
        <f>IFERROR(__xludf.DUMMYFUNCTION("""COMPUTED_VALUE"""),"FireAnts")</f>
        <v>FireAnts</v>
      </c>
    </row>
    <row r="4652">
      <c r="A4652" s="4" t="str">
        <f>IFERROR(__xludf.DUMMYFUNCTION("""COMPUTED_VALUE"""),"fireball-2")</f>
        <v>fireball-2</v>
      </c>
      <c r="B4652" s="4" t="str">
        <f>IFERROR(__xludf.DUMMYFUNCTION("""COMPUTED_VALUE"""),"fire")</f>
        <v>fire</v>
      </c>
      <c r="C4652" s="4" t="str">
        <f>IFERROR(__xludf.DUMMYFUNCTION("""COMPUTED_VALUE"""),"FireBall")</f>
        <v>FireBall</v>
      </c>
    </row>
    <row r="4653">
      <c r="A4653" s="4" t="str">
        <f>IFERROR(__xludf.DUMMYFUNCTION("""COMPUTED_VALUE"""),"firebot")</f>
        <v>firebot</v>
      </c>
      <c r="B4653" s="4" t="str">
        <f>IFERROR(__xludf.DUMMYFUNCTION("""COMPUTED_VALUE"""),"fbx")</f>
        <v>fbx</v>
      </c>
      <c r="C4653" s="4" t="str">
        <f>IFERROR(__xludf.DUMMYFUNCTION("""COMPUTED_VALUE"""),"FireBot")</f>
        <v>FireBot</v>
      </c>
    </row>
    <row r="4654">
      <c r="A4654" s="4" t="str">
        <f>IFERROR(__xludf.DUMMYFUNCTION("""COMPUTED_VALUE"""),"firebot-2")</f>
        <v>firebot-2</v>
      </c>
      <c r="B4654" s="4" t="str">
        <f>IFERROR(__xludf.DUMMYFUNCTION("""COMPUTED_VALUE"""),"firebot")</f>
        <v>firebot</v>
      </c>
      <c r="C4654" s="4" t="str">
        <f>IFERROR(__xludf.DUMMYFUNCTION("""COMPUTED_VALUE"""),"FireBot")</f>
        <v>FireBot</v>
      </c>
    </row>
    <row r="4655">
      <c r="A4655" s="4" t="str">
        <f>IFERROR(__xludf.DUMMYFUNCTION("""COMPUTED_VALUE"""),"firepot-finance")</f>
        <v>firepot-finance</v>
      </c>
      <c r="B4655" s="4" t="str">
        <f>IFERROR(__xludf.DUMMYFUNCTION("""COMPUTED_VALUE"""),"hott")</f>
        <v>hott</v>
      </c>
      <c r="C4655" s="4" t="str">
        <f>IFERROR(__xludf.DUMMYFUNCTION("""COMPUTED_VALUE"""),"Firepot Finance")</f>
        <v>Firepot Finance</v>
      </c>
    </row>
    <row r="4656">
      <c r="A4656" s="4" t="str">
        <f>IFERROR(__xludf.DUMMYFUNCTION("""COMPUTED_VALUE"""),"fire-protocol")</f>
        <v>fire-protocol</v>
      </c>
      <c r="B4656" s="4" t="str">
        <f>IFERROR(__xludf.DUMMYFUNCTION("""COMPUTED_VALUE"""),"fire")</f>
        <v>fire</v>
      </c>
      <c r="C4656" s="4" t="str">
        <f>IFERROR(__xludf.DUMMYFUNCTION("""COMPUTED_VALUE"""),"Fire Protocol")</f>
        <v>Fire Protocol</v>
      </c>
    </row>
    <row r="4657">
      <c r="A4657" s="4" t="str">
        <f>IFERROR(__xludf.DUMMYFUNCTION("""COMPUTED_VALUE"""),"firestarter")</f>
        <v>firestarter</v>
      </c>
      <c r="B4657" s="4" t="str">
        <f>IFERROR(__xludf.DUMMYFUNCTION("""COMPUTED_VALUE"""),"flame")</f>
        <v>flame</v>
      </c>
      <c r="C4657" s="4" t="str">
        <f>IFERROR(__xludf.DUMMYFUNCTION("""COMPUTED_VALUE"""),"FireStarter")</f>
        <v>FireStarter</v>
      </c>
    </row>
    <row r="4658">
      <c r="A4658" s="4" t="str">
        <f>IFERROR(__xludf.DUMMYFUNCTION("""COMPUTED_VALUE"""),"firmachain")</f>
        <v>firmachain</v>
      </c>
      <c r="B4658" s="4" t="str">
        <f>IFERROR(__xludf.DUMMYFUNCTION("""COMPUTED_VALUE"""),"fct")</f>
        <v>fct</v>
      </c>
      <c r="C4658" s="4" t="str">
        <f>IFERROR(__xludf.DUMMYFUNCTION("""COMPUTED_VALUE"""),"Firmachain")</f>
        <v>Firmachain</v>
      </c>
    </row>
    <row r="4659">
      <c r="A4659" s="4" t="str">
        <f>IFERROR(__xludf.DUMMYFUNCTION("""COMPUTED_VALUE"""),"first-digital-usd")</f>
        <v>first-digital-usd</v>
      </c>
      <c r="B4659" s="4" t="str">
        <f>IFERROR(__xludf.DUMMYFUNCTION("""COMPUTED_VALUE"""),"fdusd")</f>
        <v>fdusd</v>
      </c>
      <c r="C4659" s="4" t="str">
        <f>IFERROR(__xludf.DUMMYFUNCTION("""COMPUTED_VALUE"""),"First Digital USD")</f>
        <v>First Digital USD</v>
      </c>
    </row>
    <row r="4660">
      <c r="A4660" s="4" t="str">
        <f>IFERROR(__xludf.DUMMYFUNCTION("""COMPUTED_VALUE"""),"first-grok-ai")</f>
        <v>first-grok-ai</v>
      </c>
      <c r="B4660" s="4" t="str">
        <f>IFERROR(__xludf.DUMMYFUNCTION("""COMPUTED_VALUE"""),"grok")</f>
        <v>grok</v>
      </c>
      <c r="C4660" s="4" t="str">
        <f>IFERROR(__xludf.DUMMYFUNCTION("""COMPUTED_VALUE"""),"First GROK AI")</f>
        <v>First GROK AI</v>
      </c>
    </row>
    <row r="4661">
      <c r="A4661" s="4" t="str">
        <f>IFERROR(__xludf.DUMMYFUNCTION("""COMPUTED_VALUE"""),"firsthare")</f>
        <v>firsthare</v>
      </c>
      <c r="B4661" s="4" t="str">
        <f>IFERROR(__xludf.DUMMYFUNCTION("""COMPUTED_VALUE"""),"firsthare")</f>
        <v>firsthare</v>
      </c>
      <c r="C4661" s="4" t="str">
        <f>IFERROR(__xludf.DUMMYFUNCTION("""COMPUTED_VALUE"""),"FirstHare")</f>
        <v>FirstHare</v>
      </c>
    </row>
    <row r="4662">
      <c r="A4662" s="4" t="str">
        <f>IFERROR(__xludf.DUMMYFUNCTION("""COMPUTED_VALUE"""),"firulais-wallet-token")</f>
        <v>firulais-wallet-token</v>
      </c>
      <c r="B4662" s="4" t="str">
        <f>IFERROR(__xludf.DUMMYFUNCTION("""COMPUTED_VALUE"""),"fiwt")</f>
        <v>fiwt</v>
      </c>
      <c r="C4662" s="4" t="str">
        <f>IFERROR(__xludf.DUMMYFUNCTION("""COMPUTED_VALUE"""),"Firulais Wallet")</f>
        <v>Firulais Wallet</v>
      </c>
    </row>
    <row r="4663">
      <c r="A4663" s="4" t="str">
        <f>IFERROR(__xludf.DUMMYFUNCTION("""COMPUTED_VALUE"""),"fisco")</f>
        <v>fisco</v>
      </c>
      <c r="B4663" s="4" t="str">
        <f>IFERROR(__xludf.DUMMYFUNCTION("""COMPUTED_VALUE"""),"fscc")</f>
        <v>fscc</v>
      </c>
      <c r="C4663" s="4" t="str">
        <f>IFERROR(__xludf.DUMMYFUNCTION("""COMPUTED_VALUE"""),"FISCO Coin")</f>
        <v>FISCO Coin</v>
      </c>
    </row>
    <row r="4664">
      <c r="A4664" s="4" t="str">
        <f>IFERROR(__xludf.DUMMYFUNCTION("""COMPUTED_VALUE"""),"fish-crypto")</f>
        <v>fish-crypto</v>
      </c>
      <c r="B4664" s="4" t="str">
        <f>IFERROR(__xludf.DUMMYFUNCTION("""COMPUTED_VALUE"""),"fico")</f>
        <v>fico</v>
      </c>
      <c r="C4664" s="4" t="str">
        <f>IFERROR(__xludf.DUMMYFUNCTION("""COMPUTED_VALUE"""),"Fish Crypto")</f>
        <v>Fish Crypto</v>
      </c>
    </row>
    <row r="4665">
      <c r="A4665" s="4" t="str">
        <f>IFERROR(__xludf.DUMMYFUNCTION("""COMPUTED_VALUE"""),"fishing-tuna")</f>
        <v>fishing-tuna</v>
      </c>
      <c r="B4665" s="4" t="str">
        <f>IFERROR(__xludf.DUMMYFUNCTION("""COMPUTED_VALUE"""),"tuna")</f>
        <v>tuna</v>
      </c>
      <c r="C4665" s="4" t="str">
        <f>IFERROR(__xludf.DUMMYFUNCTION("""COMPUTED_VALUE"""),"Fishing Tuna")</f>
        <v>Fishing Tuna</v>
      </c>
    </row>
    <row r="4666">
      <c r="A4666" s="4" t="str">
        <f>IFERROR(__xludf.DUMMYFUNCTION("""COMPUTED_VALUE"""),"fishkoin")</f>
        <v>fishkoin</v>
      </c>
      <c r="B4666" s="4" t="str">
        <f>IFERROR(__xludf.DUMMYFUNCTION("""COMPUTED_VALUE"""),"koin")</f>
        <v>koin</v>
      </c>
      <c r="C4666" s="4" t="str">
        <f>IFERROR(__xludf.DUMMYFUNCTION("""COMPUTED_VALUE"""),"Fishkoin")</f>
        <v>Fishkoin</v>
      </c>
    </row>
    <row r="4667">
      <c r="A4667" s="4" t="str">
        <f>IFERROR(__xludf.DUMMYFUNCTION("""COMPUTED_VALUE"""),"fishy")</f>
        <v>fishy</v>
      </c>
      <c r="B4667" s="4" t="str">
        <f>IFERROR(__xludf.DUMMYFUNCTION("""COMPUTED_VALUE"""),"$fishy")</f>
        <v>$fishy</v>
      </c>
      <c r="C4667" s="4" t="str">
        <f>IFERROR(__xludf.DUMMYFUNCTION("""COMPUTED_VALUE"""),"$FISHY")</f>
        <v>$FISHY</v>
      </c>
    </row>
    <row r="4668">
      <c r="A4668" s="4" t="str">
        <f>IFERROR(__xludf.DUMMYFUNCTION("""COMPUTED_VALUE"""),"fistbump")</f>
        <v>fistbump</v>
      </c>
      <c r="B4668" s="4" t="str">
        <f>IFERROR(__xludf.DUMMYFUNCTION("""COMPUTED_VALUE"""),"fist")</f>
        <v>fist</v>
      </c>
      <c r="C4668" s="4" t="str">
        <f>IFERROR(__xludf.DUMMYFUNCTION("""COMPUTED_VALUE"""),"Fistbump")</f>
        <v>Fistbump</v>
      </c>
    </row>
    <row r="4669">
      <c r="A4669" s="4" t="str">
        <f>IFERROR(__xludf.DUMMYFUNCTION("""COMPUTED_VALUE"""),"fitmint")</f>
        <v>fitmint</v>
      </c>
      <c r="B4669" s="4" t="str">
        <f>IFERROR(__xludf.DUMMYFUNCTION("""COMPUTED_VALUE"""),"fitt")</f>
        <v>fitt</v>
      </c>
      <c r="C4669" s="4" t="str">
        <f>IFERROR(__xludf.DUMMYFUNCTION("""COMPUTED_VALUE"""),"Fitmint")</f>
        <v>Fitmint</v>
      </c>
    </row>
    <row r="4670">
      <c r="A4670" s="4" t="str">
        <f>IFERROR(__xludf.DUMMYFUNCTION("""COMPUTED_VALUE"""),"fitzen")</f>
        <v>fitzen</v>
      </c>
      <c r="B4670" s="4" t="str">
        <f>IFERROR(__xludf.DUMMYFUNCTION("""COMPUTED_VALUE"""),"fitz")</f>
        <v>fitz</v>
      </c>
      <c r="C4670" s="4" t="str">
        <f>IFERROR(__xludf.DUMMYFUNCTION("""COMPUTED_VALUE"""),"FitZen")</f>
        <v>FitZen</v>
      </c>
    </row>
    <row r="4671">
      <c r="A4671" s="4" t="str">
        <f>IFERROR(__xludf.DUMMYFUNCTION("""COMPUTED_VALUE"""),"fiwb-doginals")</f>
        <v>fiwb-doginals</v>
      </c>
      <c r="B4671" s="4" t="str">
        <f>IFERROR(__xludf.DUMMYFUNCTION("""COMPUTED_VALUE"""),"fiwb")</f>
        <v>fiwb</v>
      </c>
      <c r="C4671" s="4" t="str">
        <f>IFERROR(__xludf.DUMMYFUNCTION("""COMPUTED_VALUE"""),"FIWB (DRC-20)")</f>
        <v>FIWB (DRC-20)</v>
      </c>
    </row>
    <row r="4672">
      <c r="A4672" s="4" t="str">
        <f>IFERROR(__xludf.DUMMYFUNCTION("""COMPUTED_VALUE"""),"fix00")</f>
        <v>fix00</v>
      </c>
      <c r="B4672" s="4" t="str">
        <f>IFERROR(__xludf.DUMMYFUNCTION("""COMPUTED_VALUE"""),"fix00")</f>
        <v>fix00</v>
      </c>
      <c r="C4672" s="4" t="str">
        <f>IFERROR(__xludf.DUMMYFUNCTION("""COMPUTED_VALUE"""),"Fix00")</f>
        <v>Fix00</v>
      </c>
    </row>
    <row r="4673">
      <c r="A4673" s="4" t="str">
        <f>IFERROR(__xludf.DUMMYFUNCTION("""COMPUTED_VALUE"""),"fjord-foundry")</f>
        <v>fjord-foundry</v>
      </c>
      <c r="B4673" s="4" t="str">
        <f>IFERROR(__xludf.DUMMYFUNCTION("""COMPUTED_VALUE"""),"fjo")</f>
        <v>fjo</v>
      </c>
      <c r="C4673" s="4" t="str">
        <f>IFERROR(__xludf.DUMMYFUNCTION("""COMPUTED_VALUE"""),"Fjord Foundry")</f>
        <v>Fjord Foundry</v>
      </c>
    </row>
    <row r="4674">
      <c r="A4674" s="4" t="str">
        <f>IFERROR(__xludf.DUMMYFUNCTION("""COMPUTED_VALUE"""),"fkuinu")</f>
        <v>fkuinu</v>
      </c>
      <c r="B4674" s="4" t="str">
        <f>IFERROR(__xludf.DUMMYFUNCTION("""COMPUTED_VALUE"""),"fkuinu")</f>
        <v>fkuinu</v>
      </c>
      <c r="C4674" s="4" t="str">
        <f>IFERROR(__xludf.DUMMYFUNCTION("""COMPUTED_VALUE"""),"FKUINU")</f>
        <v>FKUINU</v>
      </c>
    </row>
    <row r="4675">
      <c r="A4675" s="4" t="str">
        <f>IFERROR(__xludf.DUMMYFUNCTION("""COMPUTED_VALUE"""),"flack-exchange")</f>
        <v>flack-exchange</v>
      </c>
      <c r="B4675" s="4" t="str">
        <f>IFERROR(__xludf.DUMMYFUNCTION("""COMPUTED_VALUE"""),"flack")</f>
        <v>flack</v>
      </c>
      <c r="C4675" s="4" t="str">
        <f>IFERROR(__xludf.DUMMYFUNCTION("""COMPUTED_VALUE"""),"Flack Exchange")</f>
        <v>Flack Exchange</v>
      </c>
    </row>
    <row r="4676">
      <c r="A4676" s="4" t="str">
        <f>IFERROR(__xludf.DUMMYFUNCTION("""COMPUTED_VALUE"""),"flag-coin")</f>
        <v>flag-coin</v>
      </c>
      <c r="B4676" s="4" t="str">
        <f>IFERROR(__xludf.DUMMYFUNCTION("""COMPUTED_VALUE"""),"flag")</f>
        <v>flag</v>
      </c>
      <c r="C4676" s="4" t="str">
        <f>IFERROR(__xludf.DUMMYFUNCTION("""COMPUTED_VALUE"""),"Flag Coin")</f>
        <v>Flag Coin</v>
      </c>
    </row>
    <row r="4677">
      <c r="A4677" s="4" t="str">
        <f>IFERROR(__xludf.DUMMYFUNCTION("""COMPUTED_VALUE"""),"flair-dex")</f>
        <v>flair-dex</v>
      </c>
      <c r="B4677" s="4" t="str">
        <f>IFERROR(__xludf.DUMMYFUNCTION("""COMPUTED_VALUE"""),"fldx")</f>
        <v>fldx</v>
      </c>
      <c r="C4677" s="4" t="str">
        <f>IFERROR(__xludf.DUMMYFUNCTION("""COMPUTED_VALUE"""),"Flair Dex")</f>
        <v>Flair Dex</v>
      </c>
    </row>
    <row r="4678">
      <c r="A4678" s="4" t="str">
        <f>IFERROR(__xludf.DUMMYFUNCTION("""COMPUTED_VALUE"""),"flame-2")</f>
        <v>flame-2</v>
      </c>
      <c r="B4678" s="4" t="str">
        <f>IFERROR(__xludf.DUMMYFUNCTION("""COMPUTED_VALUE"""),"flame")</f>
        <v>flame</v>
      </c>
      <c r="C4678" s="4" t="str">
        <f>IFERROR(__xludf.DUMMYFUNCTION("""COMPUTED_VALUE"""),"Flame")</f>
        <v>Flame</v>
      </c>
    </row>
    <row r="4679">
      <c r="A4679" s="4" t="str">
        <f>IFERROR(__xludf.DUMMYFUNCTION("""COMPUTED_VALUE"""),"flamengo-fan-token")</f>
        <v>flamengo-fan-token</v>
      </c>
      <c r="B4679" s="4" t="str">
        <f>IFERROR(__xludf.DUMMYFUNCTION("""COMPUTED_VALUE"""),"mengo")</f>
        <v>mengo</v>
      </c>
      <c r="C4679" s="4" t="str">
        <f>IFERROR(__xludf.DUMMYFUNCTION("""COMPUTED_VALUE"""),"Flamengo Fan Token")</f>
        <v>Flamengo Fan Token</v>
      </c>
    </row>
    <row r="4680">
      <c r="A4680" s="4" t="str">
        <f>IFERROR(__xludf.DUMMYFUNCTION("""COMPUTED_VALUE"""),"flame-protocol")</f>
        <v>flame-protocol</v>
      </c>
      <c r="B4680" s="4" t="str">
        <f>IFERROR(__xludf.DUMMYFUNCTION("""COMPUTED_VALUE"""),"flame")</f>
        <v>flame</v>
      </c>
      <c r="C4680" s="4" t="str">
        <f>IFERROR(__xludf.DUMMYFUNCTION("""COMPUTED_VALUE"""),"Flame Protocol")</f>
        <v>Flame Protocol</v>
      </c>
    </row>
    <row r="4681">
      <c r="A4681" s="4" t="str">
        <f>IFERROR(__xludf.DUMMYFUNCTION("""COMPUTED_VALUE"""),"flamingghost")</f>
        <v>flamingghost</v>
      </c>
      <c r="B4681" s="4" t="str">
        <f>IFERROR(__xludf.DUMMYFUNCTION("""COMPUTED_VALUE"""),"fghst")</f>
        <v>fghst</v>
      </c>
      <c r="C4681" s="4" t="str">
        <f>IFERROR(__xludf.DUMMYFUNCTION("""COMPUTED_VALUE"""),"FlamingGhost")</f>
        <v>FlamingGhost</v>
      </c>
    </row>
    <row r="4682">
      <c r="A4682" s="4" t="str">
        <f>IFERROR(__xludf.DUMMYFUNCTION("""COMPUTED_VALUE"""),"flamingo-finance")</f>
        <v>flamingo-finance</v>
      </c>
      <c r="B4682" s="4" t="str">
        <f>IFERROR(__xludf.DUMMYFUNCTION("""COMPUTED_VALUE"""),"flm")</f>
        <v>flm</v>
      </c>
      <c r="C4682" s="4" t="str">
        <f>IFERROR(__xludf.DUMMYFUNCTION("""COMPUTED_VALUE"""),"Flamingo Finance")</f>
        <v>Flamingo Finance</v>
      </c>
    </row>
    <row r="4683">
      <c r="A4683" s="4" t="str">
        <f>IFERROR(__xludf.DUMMYFUNCTION("""COMPUTED_VALUE"""),"flap")</f>
        <v>flap</v>
      </c>
      <c r="B4683" s="4" t="str">
        <f>IFERROR(__xludf.DUMMYFUNCTION("""COMPUTED_VALUE"""),"flap")</f>
        <v>flap</v>
      </c>
      <c r="C4683" s="4" t="str">
        <f>IFERROR(__xludf.DUMMYFUNCTION("""COMPUTED_VALUE"""),"FLAP")</f>
        <v>FLAP</v>
      </c>
    </row>
    <row r="4684">
      <c r="A4684" s="4" t="str">
        <f>IFERROR(__xludf.DUMMYFUNCTION("""COMPUTED_VALUE"""),"flappybee")</f>
        <v>flappybee</v>
      </c>
      <c r="B4684" s="4" t="str">
        <f>IFERROR(__xludf.DUMMYFUNCTION("""COMPUTED_VALUE"""),"beet")</f>
        <v>beet</v>
      </c>
      <c r="C4684" s="4" t="str">
        <f>IFERROR(__xludf.DUMMYFUNCTION("""COMPUTED_VALUE"""),"Flappybee")</f>
        <v>Flappybee</v>
      </c>
    </row>
    <row r="4685">
      <c r="A4685" s="4" t="str">
        <f>IFERROR(__xludf.DUMMYFUNCTION("""COMPUTED_VALUE"""),"flappy-bird-evolution")</f>
        <v>flappy-bird-evolution</v>
      </c>
      <c r="B4685" s="4" t="str">
        <f>IFERROR(__xludf.DUMMYFUNCTION("""COMPUTED_VALUE"""),"fevo")</f>
        <v>fevo</v>
      </c>
      <c r="C4685" s="4" t="str">
        <f>IFERROR(__xludf.DUMMYFUNCTION("""COMPUTED_VALUE"""),"Flappy Bird Evolution")</f>
        <v>Flappy Bird Evolution</v>
      </c>
    </row>
    <row r="4686">
      <c r="A4686" s="4" t="str">
        <f>IFERROR(__xludf.DUMMYFUNCTION("""COMPUTED_VALUE"""),"flappymoonbird")</f>
        <v>flappymoonbird</v>
      </c>
      <c r="B4686" s="4" t="str">
        <f>IFERROR(__xludf.DUMMYFUNCTION("""COMPUTED_VALUE"""),"$fmb")</f>
        <v>$fmb</v>
      </c>
      <c r="C4686" s="4" t="str">
        <f>IFERROR(__xludf.DUMMYFUNCTION("""COMPUTED_VALUE"""),"FlappyMoonbird")</f>
        <v>FlappyMoonbird</v>
      </c>
    </row>
    <row r="4687">
      <c r="A4687" s="4" t="str">
        <f>IFERROR(__xludf.DUMMYFUNCTION("""COMPUTED_VALUE"""),"flare-finance")</f>
        <v>flare-finance</v>
      </c>
      <c r="B4687" s="4" t="str">
        <f>IFERROR(__xludf.DUMMYFUNCTION("""COMPUTED_VALUE"""),"exfi")</f>
        <v>exfi</v>
      </c>
      <c r="C4687" s="4" t="str">
        <f>IFERROR(__xludf.DUMMYFUNCTION("""COMPUTED_VALUE"""),"Flare Finance")</f>
        <v>Flare Finance</v>
      </c>
    </row>
    <row r="4688">
      <c r="A4688" s="4" t="str">
        <f>IFERROR(__xludf.DUMMYFUNCTION("""COMPUTED_VALUE"""),"flarefox")</f>
        <v>flarefox</v>
      </c>
      <c r="B4688" s="4" t="str">
        <f>IFERROR(__xludf.DUMMYFUNCTION("""COMPUTED_VALUE"""),"flx")</f>
        <v>flx</v>
      </c>
      <c r="C4688" s="4" t="str">
        <f>IFERROR(__xludf.DUMMYFUNCTION("""COMPUTED_VALUE"""),"FlareFox")</f>
        <v>FlareFox</v>
      </c>
    </row>
    <row r="4689">
      <c r="A4689" s="4" t="str">
        <f>IFERROR(__xludf.DUMMYFUNCTION("""COMPUTED_VALUE"""),"flare-networks")</f>
        <v>flare-networks</v>
      </c>
      <c r="B4689" s="4" t="str">
        <f>IFERROR(__xludf.DUMMYFUNCTION("""COMPUTED_VALUE"""),"flr")</f>
        <v>flr</v>
      </c>
      <c r="C4689" s="4" t="str">
        <f>IFERROR(__xludf.DUMMYFUNCTION("""COMPUTED_VALUE"""),"Flare")</f>
        <v>Flare</v>
      </c>
    </row>
    <row r="4690">
      <c r="A4690" s="4" t="str">
        <f>IFERROR(__xludf.DUMMYFUNCTION("""COMPUTED_VALUE"""),"flare-token")</f>
        <v>flare-token</v>
      </c>
      <c r="B4690" s="4" t="str">
        <f>IFERROR(__xludf.DUMMYFUNCTION("""COMPUTED_VALUE"""),"1flr")</f>
        <v>1flr</v>
      </c>
      <c r="C4690" s="4" t="str">
        <f>IFERROR(__xludf.DUMMYFUNCTION("""COMPUTED_VALUE"""),"Flare Token")</f>
        <v>Flare Token</v>
      </c>
    </row>
    <row r="4691">
      <c r="A4691" s="4" t="str">
        <f>IFERROR(__xludf.DUMMYFUNCTION("""COMPUTED_VALUE"""),"flash-3-0")</f>
        <v>flash-3-0</v>
      </c>
      <c r="B4691" s="4" t="str">
        <f>IFERROR(__xludf.DUMMYFUNCTION("""COMPUTED_VALUE"""),"flash")</f>
        <v>flash</v>
      </c>
      <c r="C4691" s="4" t="str">
        <f>IFERROR(__xludf.DUMMYFUNCTION("""COMPUTED_VALUE"""),"Flash 3.0")</f>
        <v>Flash 3.0</v>
      </c>
    </row>
    <row r="4692">
      <c r="A4692" s="4" t="str">
        <f>IFERROR(__xludf.DUMMYFUNCTION("""COMPUTED_VALUE"""),"flashdash")</f>
        <v>flashdash</v>
      </c>
      <c r="B4692" s="4" t="str">
        <f>IFERROR(__xludf.DUMMYFUNCTION("""COMPUTED_VALUE"""),"flashdash")</f>
        <v>flashdash</v>
      </c>
      <c r="C4692" s="4" t="str">
        <f>IFERROR(__xludf.DUMMYFUNCTION("""COMPUTED_VALUE"""),"Flashdash")</f>
        <v>Flashdash</v>
      </c>
    </row>
    <row r="4693">
      <c r="A4693" s="4" t="str">
        <f>IFERROR(__xludf.DUMMYFUNCTION("""COMPUTED_VALUE"""),"flashpad-token")</f>
        <v>flashpad-token</v>
      </c>
      <c r="B4693" s="4" t="str">
        <f>IFERROR(__xludf.DUMMYFUNCTION("""COMPUTED_VALUE"""),"flash")</f>
        <v>flash</v>
      </c>
      <c r="C4693" s="4" t="str">
        <f>IFERROR(__xludf.DUMMYFUNCTION("""COMPUTED_VALUE"""),"Flashpad Token")</f>
        <v>Flashpad Token</v>
      </c>
    </row>
    <row r="4694">
      <c r="A4694" s="4" t="str">
        <f>IFERROR(__xludf.DUMMYFUNCTION("""COMPUTED_VALUE"""),"flash-protocol")</f>
        <v>flash-protocol</v>
      </c>
      <c r="B4694" s="4" t="str">
        <f>IFERROR(__xludf.DUMMYFUNCTION("""COMPUTED_VALUE"""),"flash")</f>
        <v>flash</v>
      </c>
      <c r="C4694" s="4" t="str">
        <f>IFERROR(__xludf.DUMMYFUNCTION("""COMPUTED_VALUE"""),"Flash Protocol")</f>
        <v>Flash Protocol</v>
      </c>
    </row>
    <row r="4695">
      <c r="A4695" s="4" t="str">
        <f>IFERROR(__xludf.DUMMYFUNCTION("""COMPUTED_VALUE"""),"flash-stake")</f>
        <v>flash-stake</v>
      </c>
      <c r="B4695" s="4" t="str">
        <f>IFERROR(__xludf.DUMMYFUNCTION("""COMPUTED_VALUE"""),"flash")</f>
        <v>flash</v>
      </c>
      <c r="C4695" s="4" t="str">
        <f>IFERROR(__xludf.DUMMYFUNCTION("""COMPUTED_VALUE"""),"Flashstake")</f>
        <v>Flashstake</v>
      </c>
    </row>
    <row r="4696">
      <c r="A4696" s="4" t="str">
        <f>IFERROR(__xludf.DUMMYFUNCTION("""COMPUTED_VALUE"""),"flash-technologies")</f>
        <v>flash-technologies</v>
      </c>
      <c r="B4696" s="4" t="str">
        <f>IFERROR(__xludf.DUMMYFUNCTION("""COMPUTED_VALUE"""),"ftt")</f>
        <v>ftt</v>
      </c>
      <c r="C4696" s="4" t="str">
        <f>IFERROR(__xludf.DUMMYFUNCTION("""COMPUTED_VALUE"""),"FTT Token")</f>
        <v>FTT Token</v>
      </c>
    </row>
    <row r="4697">
      <c r="A4697" s="4" t="str">
        <f>IFERROR(__xludf.DUMMYFUNCTION("""COMPUTED_VALUE"""),"flatqube")</f>
        <v>flatqube</v>
      </c>
      <c r="B4697" s="4" t="str">
        <f>IFERROR(__xludf.DUMMYFUNCTION("""COMPUTED_VALUE"""),"qube")</f>
        <v>qube</v>
      </c>
      <c r="C4697" s="4" t="str">
        <f>IFERROR(__xludf.DUMMYFUNCTION("""COMPUTED_VALUE"""),"FlatQube")</f>
        <v>FlatQube</v>
      </c>
    </row>
    <row r="4698">
      <c r="A4698" s="4" t="str">
        <f>IFERROR(__xludf.DUMMYFUNCTION("""COMPUTED_VALUE"""),"fleamint")</f>
        <v>fleamint</v>
      </c>
      <c r="B4698" s="4" t="str">
        <f>IFERROR(__xludf.DUMMYFUNCTION("""COMPUTED_VALUE"""),"flmc")</f>
        <v>flmc</v>
      </c>
      <c r="C4698" s="4" t="str">
        <f>IFERROR(__xludf.DUMMYFUNCTION("""COMPUTED_VALUE"""),"FleaMint")</f>
        <v>FleaMint</v>
      </c>
    </row>
    <row r="4699">
      <c r="A4699" s="4" t="str">
        <f>IFERROR(__xludf.DUMMYFUNCTION("""COMPUTED_VALUE"""),"flexbot")</f>
        <v>flexbot</v>
      </c>
      <c r="B4699" s="4" t="str">
        <f>IFERROR(__xludf.DUMMYFUNCTION("""COMPUTED_VALUE"""),"flex")</f>
        <v>flex</v>
      </c>
      <c r="C4699" s="4" t="str">
        <f>IFERROR(__xludf.DUMMYFUNCTION("""COMPUTED_VALUE"""),"FlexBot")</f>
        <v>FlexBot</v>
      </c>
    </row>
    <row r="4700">
      <c r="A4700" s="4" t="str">
        <f>IFERROR(__xludf.DUMMYFUNCTION("""COMPUTED_VALUE"""),"flex-coin")</f>
        <v>flex-coin</v>
      </c>
      <c r="B4700" s="4" t="str">
        <f>IFERROR(__xludf.DUMMYFUNCTION("""COMPUTED_VALUE"""),"flex")</f>
        <v>flex</v>
      </c>
      <c r="C4700" s="4" t="str">
        <f>IFERROR(__xludf.DUMMYFUNCTION("""COMPUTED_VALUE"""),"FLEX Coin")</f>
        <v>FLEX Coin</v>
      </c>
    </row>
    <row r="4701">
      <c r="A4701" s="4" t="str">
        <f>IFERROR(__xludf.DUMMYFUNCTION("""COMPUTED_VALUE"""),"flexgpu")</f>
        <v>flexgpu</v>
      </c>
      <c r="B4701" s="4" t="str">
        <f>IFERROR(__xludf.DUMMYFUNCTION("""COMPUTED_VALUE"""),"fgpu")</f>
        <v>fgpu</v>
      </c>
      <c r="C4701" s="4" t="str">
        <f>IFERROR(__xludf.DUMMYFUNCTION("""COMPUTED_VALUE"""),"FlexGPU")</f>
        <v>FlexGPU</v>
      </c>
    </row>
    <row r="4702">
      <c r="A4702" s="4" t="str">
        <f>IFERROR(__xludf.DUMMYFUNCTION("""COMPUTED_VALUE"""),"flexmeme")</f>
        <v>flexmeme</v>
      </c>
      <c r="B4702" s="4" t="str">
        <f>IFERROR(__xludf.DUMMYFUNCTION("""COMPUTED_VALUE"""),"flex")</f>
        <v>flex</v>
      </c>
      <c r="C4702" s="4" t="str">
        <f>IFERROR(__xludf.DUMMYFUNCTION("""COMPUTED_VALUE"""),"FlexMeme")</f>
        <v>FlexMeme</v>
      </c>
    </row>
    <row r="4703">
      <c r="A4703" s="4" t="str">
        <f>IFERROR(__xludf.DUMMYFUNCTION("""COMPUTED_VALUE"""),"flex-usd")</f>
        <v>flex-usd</v>
      </c>
      <c r="B4703" s="4" t="str">
        <f>IFERROR(__xludf.DUMMYFUNCTION("""COMPUTED_VALUE"""),"flexusd")</f>
        <v>flexusd</v>
      </c>
      <c r="C4703" s="4" t="str">
        <f>IFERROR(__xludf.DUMMYFUNCTION("""COMPUTED_VALUE"""),"flexUSD")</f>
        <v>flexUSD</v>
      </c>
    </row>
    <row r="4704">
      <c r="A4704" s="4" t="str">
        <f>IFERROR(__xludf.DUMMYFUNCTION("""COMPUTED_VALUE"""),"flightclupcoin")</f>
        <v>flightclupcoin</v>
      </c>
      <c r="B4704" s="4" t="str">
        <f>IFERROR(__xludf.DUMMYFUNCTION("""COMPUTED_VALUE"""),"flight")</f>
        <v>flight</v>
      </c>
      <c r="C4704" s="4" t="str">
        <f>IFERROR(__xludf.DUMMYFUNCTION("""COMPUTED_VALUE"""),"FlightClupcoin")</f>
        <v>FlightClupcoin</v>
      </c>
    </row>
    <row r="4705">
      <c r="A4705" s="4" t="str">
        <f>IFERROR(__xludf.DUMMYFUNCTION("""COMPUTED_VALUE"""),"flits")</f>
        <v>flits</v>
      </c>
      <c r="B4705" s="4" t="str">
        <f>IFERROR(__xludf.DUMMYFUNCTION("""COMPUTED_VALUE"""),"fls")</f>
        <v>fls</v>
      </c>
      <c r="C4705" s="4" t="str">
        <f>IFERROR(__xludf.DUMMYFUNCTION("""COMPUTED_VALUE"""),"Flits")</f>
        <v>Flits</v>
      </c>
    </row>
    <row r="4706">
      <c r="A4706" s="4" t="str">
        <f>IFERROR(__xludf.DUMMYFUNCTION("""COMPUTED_VALUE"""),"float-protocol")</f>
        <v>float-protocol</v>
      </c>
      <c r="B4706" s="4" t="str">
        <f>IFERROR(__xludf.DUMMYFUNCTION("""COMPUTED_VALUE"""),"bank")</f>
        <v>bank</v>
      </c>
      <c r="C4706" s="4" t="str">
        <f>IFERROR(__xludf.DUMMYFUNCTION("""COMPUTED_VALUE"""),"Float Protocol")</f>
        <v>Float Protocol</v>
      </c>
    </row>
    <row r="4707">
      <c r="A4707" s="4" t="str">
        <f>IFERROR(__xludf.DUMMYFUNCTION("""COMPUTED_VALUE"""),"floki")</f>
        <v>floki</v>
      </c>
      <c r="B4707" s="4" t="str">
        <f>IFERROR(__xludf.DUMMYFUNCTION("""COMPUTED_VALUE"""),"floki")</f>
        <v>floki</v>
      </c>
      <c r="C4707" s="4" t="str">
        <f>IFERROR(__xludf.DUMMYFUNCTION("""COMPUTED_VALUE"""),"FLOKI")</f>
        <v>FLOKI</v>
      </c>
    </row>
    <row r="4708">
      <c r="A4708" s="4" t="str">
        <f>IFERROR(__xludf.DUMMYFUNCTION("""COMPUTED_VALUE"""),"flokibonk")</f>
        <v>flokibonk</v>
      </c>
      <c r="B4708" s="4" t="str">
        <f>IFERROR(__xludf.DUMMYFUNCTION("""COMPUTED_VALUE"""),"flobo")</f>
        <v>flobo</v>
      </c>
      <c r="C4708" s="4" t="str">
        <f>IFERROR(__xludf.DUMMYFUNCTION("""COMPUTED_VALUE"""),"FlokiBonk")</f>
        <v>FlokiBonk</v>
      </c>
    </row>
    <row r="4709">
      <c r="A4709" s="4" t="str">
        <f>IFERROR(__xludf.DUMMYFUNCTION("""COMPUTED_VALUE"""),"flokiburn")</f>
        <v>flokiburn</v>
      </c>
      <c r="B4709" s="4" t="str">
        <f>IFERROR(__xludf.DUMMYFUNCTION("""COMPUTED_VALUE"""),"flokiburn")</f>
        <v>flokiburn</v>
      </c>
      <c r="C4709" s="4" t="str">
        <f>IFERROR(__xludf.DUMMYFUNCTION("""COMPUTED_VALUE"""),"FlokiBurn")</f>
        <v>FlokiBurn</v>
      </c>
    </row>
    <row r="4710">
      <c r="A4710" s="4" t="str">
        <f>IFERROR(__xludf.DUMMYFUNCTION("""COMPUTED_VALUE"""),"floki-cash")</f>
        <v>floki-cash</v>
      </c>
      <c r="B4710" s="4" t="str">
        <f>IFERROR(__xludf.DUMMYFUNCTION("""COMPUTED_VALUE"""),"flokicash")</f>
        <v>flokicash</v>
      </c>
      <c r="C4710" s="4" t="str">
        <f>IFERROR(__xludf.DUMMYFUNCTION("""COMPUTED_VALUE"""),"Floki Cash")</f>
        <v>Floki Cash</v>
      </c>
    </row>
    <row r="4711">
      <c r="A4711" s="4" t="str">
        <f>IFERROR(__xludf.DUMMYFUNCTION("""COMPUTED_VALUE"""),"floki-ceo")</f>
        <v>floki-ceo</v>
      </c>
      <c r="B4711" s="4" t="str">
        <f>IFERROR(__xludf.DUMMYFUNCTION("""COMPUTED_VALUE"""),"flokiceo")</f>
        <v>flokiceo</v>
      </c>
      <c r="C4711" s="4" t="str">
        <f>IFERROR(__xludf.DUMMYFUNCTION("""COMPUTED_VALUE"""),"FLOKI CEO")</f>
        <v>FLOKI CEO</v>
      </c>
    </row>
    <row r="4712">
      <c r="A4712" s="4" t="str">
        <f>IFERROR(__xludf.DUMMYFUNCTION("""COMPUTED_VALUE"""),"floki-ceo-coin")</f>
        <v>floki-ceo-coin</v>
      </c>
      <c r="B4712" s="4" t="str">
        <f>IFERROR(__xludf.DUMMYFUNCTION("""COMPUTED_VALUE"""),"fcc")</f>
        <v>fcc</v>
      </c>
      <c r="C4712" s="4" t="str">
        <f>IFERROR(__xludf.DUMMYFUNCTION("""COMPUTED_VALUE"""),"Floki CEO Coin")</f>
        <v>Floki CEO Coin</v>
      </c>
    </row>
    <row r="4713">
      <c r="A4713" s="4" t="str">
        <f>IFERROR(__xludf.DUMMYFUNCTION("""COMPUTED_VALUE"""),"flokidash")</f>
        <v>flokidash</v>
      </c>
      <c r="B4713" s="4" t="str">
        <f>IFERROR(__xludf.DUMMYFUNCTION("""COMPUTED_VALUE"""),"flokidash")</f>
        <v>flokidash</v>
      </c>
      <c r="C4713" s="4" t="str">
        <f>IFERROR(__xludf.DUMMYFUNCTION("""COMPUTED_VALUE"""),"FlokiDash")</f>
        <v>FlokiDash</v>
      </c>
    </row>
    <row r="4714">
      <c r="A4714" s="4" t="str">
        <f>IFERROR(__xludf.DUMMYFUNCTION("""COMPUTED_VALUE"""),"flokifi")</f>
        <v>flokifi</v>
      </c>
      <c r="B4714" s="4" t="str">
        <f>IFERROR(__xludf.DUMMYFUNCTION("""COMPUTED_VALUE"""),"flokifi")</f>
        <v>flokifi</v>
      </c>
      <c r="C4714" s="4" t="str">
        <f>IFERROR(__xludf.DUMMYFUNCTION("""COMPUTED_VALUE"""),"FlokiFi")</f>
        <v>FlokiFi</v>
      </c>
    </row>
    <row r="4715">
      <c r="A4715" s="4" t="str">
        <f>IFERROR(__xludf.DUMMYFUNCTION("""COMPUTED_VALUE"""),"flokifork")</f>
        <v>flokifork</v>
      </c>
      <c r="B4715" s="4" t="str">
        <f>IFERROR(__xludf.DUMMYFUNCTION("""COMPUTED_VALUE"""),"fork")</f>
        <v>fork</v>
      </c>
      <c r="C4715" s="4" t="str">
        <f>IFERROR(__xludf.DUMMYFUNCTION("""COMPUTED_VALUE"""),"FlokiFork")</f>
        <v>FlokiFork</v>
      </c>
    </row>
    <row r="4716">
      <c r="A4716" s="4" t="str">
        <f>IFERROR(__xludf.DUMMYFUNCTION("""COMPUTED_VALUE"""),"floki-rocket")</f>
        <v>floki-rocket</v>
      </c>
      <c r="B4716" s="4" t="str">
        <f>IFERROR(__xludf.DUMMYFUNCTION("""COMPUTED_VALUE"""),"rloki")</f>
        <v>rloki</v>
      </c>
      <c r="C4716" s="4" t="str">
        <f>IFERROR(__xludf.DUMMYFUNCTION("""COMPUTED_VALUE"""),"Floki Rocket")</f>
        <v>Floki Rocket</v>
      </c>
    </row>
    <row r="4717">
      <c r="A4717" s="4" t="str">
        <f>IFERROR(__xludf.DUMMYFUNCTION("""COMPUTED_VALUE"""),"flokis")</f>
        <v>flokis</v>
      </c>
      <c r="B4717" s="4" t="str">
        <f>IFERROR(__xludf.DUMMYFUNCTION("""COMPUTED_VALUE"""),"flokis")</f>
        <v>flokis</v>
      </c>
      <c r="C4717" s="4" t="str">
        <f>IFERROR(__xludf.DUMMYFUNCTION("""COMPUTED_VALUE"""),"Flokis")</f>
        <v>Flokis</v>
      </c>
    </row>
    <row r="4718">
      <c r="A4718" s="4" t="str">
        <f>IFERROR(__xludf.DUMMYFUNCTION("""COMPUTED_VALUE"""),"flokisanta")</f>
        <v>flokisanta</v>
      </c>
      <c r="B4718" s="4" t="str">
        <f>IFERROR(__xludf.DUMMYFUNCTION("""COMPUTED_VALUE"""),"flokis")</f>
        <v>flokis</v>
      </c>
      <c r="C4718" s="4" t="str">
        <f>IFERROR(__xludf.DUMMYFUNCTION("""COMPUTED_VALUE"""),"FlokiSanta")</f>
        <v>FlokiSanta</v>
      </c>
    </row>
    <row r="4719">
      <c r="A4719" s="4" t="str">
        <f>IFERROR(__xludf.DUMMYFUNCTION("""COMPUTED_VALUE"""),"floki-santa")</f>
        <v>floki-santa</v>
      </c>
      <c r="B4719" s="4" t="str">
        <f>IFERROR(__xludf.DUMMYFUNCTION("""COMPUTED_VALUE"""),"flokisanta")</f>
        <v>flokisanta</v>
      </c>
      <c r="C4719" s="4" t="str">
        <f>IFERROR(__xludf.DUMMYFUNCTION("""COMPUTED_VALUE"""),"Floki Santa")</f>
        <v>Floki Santa</v>
      </c>
    </row>
    <row r="4720">
      <c r="A4720" s="4" t="str">
        <f>IFERROR(__xludf.DUMMYFUNCTION("""COMPUTED_VALUE"""),"floki-shiba-pepe-ceo")</f>
        <v>floki-shiba-pepe-ceo</v>
      </c>
      <c r="B4720" s="4" t="str">
        <f>IFERROR(__xludf.DUMMYFUNCTION("""COMPUTED_VALUE"""),"3ceo")</f>
        <v>3ceo</v>
      </c>
      <c r="C4720" s="4" t="str">
        <f>IFERROR(__xludf.DUMMYFUNCTION("""COMPUTED_VALUE"""),"FLOKI SHIBA PEPE CEO")</f>
        <v>FLOKI SHIBA PEPE CEO</v>
      </c>
    </row>
    <row r="4721">
      <c r="A4721" s="4" t="str">
        <f>IFERROR(__xludf.DUMMYFUNCTION("""COMPUTED_VALUE"""),"flokita")</f>
        <v>flokita</v>
      </c>
      <c r="B4721" s="4" t="str">
        <f>IFERROR(__xludf.DUMMYFUNCTION("""COMPUTED_VALUE"""),"flokita")</f>
        <v>flokita</v>
      </c>
      <c r="C4721" s="4" t="str">
        <f>IFERROR(__xludf.DUMMYFUNCTION("""COMPUTED_VALUE"""),"Flokita")</f>
        <v>Flokita</v>
      </c>
    </row>
    <row r="4722">
      <c r="A4722" s="4" t="str">
        <f>IFERROR(__xludf.DUMMYFUNCTION("""COMPUTED_VALUE"""),"flokiter-ai")</f>
        <v>flokiter-ai</v>
      </c>
      <c r="B4722" s="4" t="str">
        <f>IFERROR(__xludf.DUMMYFUNCTION("""COMPUTED_VALUE"""),"fai")</f>
        <v>fai</v>
      </c>
      <c r="C4722" s="4" t="str">
        <f>IFERROR(__xludf.DUMMYFUNCTION("""COMPUTED_VALUE"""),"FlokiTer")</f>
        <v>FlokiTer</v>
      </c>
    </row>
    <row r="4723">
      <c r="A4723" s="4" t="str">
        <f>IFERROR(__xludf.DUMMYFUNCTION("""COMPUTED_VALUE"""),"flokiwifhat")</f>
        <v>flokiwifhat</v>
      </c>
      <c r="B4723" s="4" t="str">
        <f>IFERROR(__xludf.DUMMYFUNCTION("""COMPUTED_VALUE"""),"floki")</f>
        <v>floki</v>
      </c>
      <c r="C4723" s="4" t="str">
        <f>IFERROR(__xludf.DUMMYFUNCTION("""COMPUTED_VALUE"""),"Flokiwifhat")</f>
        <v>Flokiwifhat</v>
      </c>
    </row>
    <row r="4724">
      <c r="A4724" s="4" t="str">
        <f>IFERROR(__xludf.DUMMYFUNCTION("""COMPUTED_VALUE"""),"flonk")</f>
        <v>flonk</v>
      </c>
      <c r="B4724" s="4" t="str">
        <f>IFERROR(__xludf.DUMMYFUNCTION("""COMPUTED_VALUE"""),"flonk")</f>
        <v>flonk</v>
      </c>
      <c r="C4724" s="4" t="str">
        <f>IFERROR(__xludf.DUMMYFUNCTION("""COMPUTED_VALUE"""),"Flonk")</f>
        <v>Flonk</v>
      </c>
    </row>
    <row r="4725">
      <c r="A4725" s="4" t="str">
        <f>IFERROR(__xludf.DUMMYFUNCTION("""COMPUTED_VALUE"""),"floof")</f>
        <v>floof</v>
      </c>
      <c r="B4725" s="4" t="str">
        <f>IFERROR(__xludf.DUMMYFUNCTION("""COMPUTED_VALUE"""),"floof")</f>
        <v>floof</v>
      </c>
      <c r="C4725" s="4" t="str">
        <f>IFERROR(__xludf.DUMMYFUNCTION("""COMPUTED_VALUE"""),"FLOOF")</f>
        <v>FLOOF</v>
      </c>
    </row>
    <row r="4726">
      <c r="A4726" s="4" t="str">
        <f>IFERROR(__xludf.DUMMYFUNCTION("""COMPUTED_VALUE"""),"floop")</f>
        <v>floop</v>
      </c>
      <c r="B4726" s="4" t="str">
        <f>IFERROR(__xludf.DUMMYFUNCTION("""COMPUTED_VALUE"""),"floop")</f>
        <v>floop</v>
      </c>
      <c r="C4726" s="4" t="str">
        <f>IFERROR(__xludf.DUMMYFUNCTION("""COMPUTED_VALUE"""),"Floop")</f>
        <v>Floop</v>
      </c>
    </row>
    <row r="4727">
      <c r="A4727" s="4" t="str">
        <f>IFERROR(__xludf.DUMMYFUNCTION("""COMPUTED_VALUE"""),"floor-cheese-burger")</f>
        <v>floor-cheese-burger</v>
      </c>
      <c r="B4727" s="4" t="str">
        <f>IFERROR(__xludf.DUMMYFUNCTION("""COMPUTED_VALUE"""),"flrbrg")</f>
        <v>flrbrg</v>
      </c>
      <c r="C4727" s="4" t="str">
        <f>IFERROR(__xludf.DUMMYFUNCTION("""COMPUTED_VALUE"""),"Floor Cheese Burger")</f>
        <v>Floor Cheese Burger</v>
      </c>
    </row>
    <row r="4728">
      <c r="A4728" s="4" t="str">
        <f>IFERROR(__xludf.DUMMYFUNCTION("""COMPUTED_VALUE"""),"floordao-v2")</f>
        <v>floordao-v2</v>
      </c>
      <c r="B4728" s="4" t="str">
        <f>IFERROR(__xludf.DUMMYFUNCTION("""COMPUTED_VALUE"""),"floor")</f>
        <v>floor</v>
      </c>
      <c r="C4728" s="4" t="str">
        <f>IFERROR(__xludf.DUMMYFUNCTION("""COMPUTED_VALUE"""),"FloorDAO")</f>
        <v>FloorDAO</v>
      </c>
    </row>
    <row r="4729">
      <c r="A4729" s="4" t="str">
        <f>IFERROR(__xludf.DUMMYFUNCTION("""COMPUTED_VALUE"""),"flooring-lab-credit")</f>
        <v>flooring-lab-credit</v>
      </c>
      <c r="B4729" s="4" t="str">
        <f>IFERROR(__xludf.DUMMYFUNCTION("""COMPUTED_VALUE"""),"flc")</f>
        <v>flc</v>
      </c>
      <c r="C4729" s="4" t="str">
        <f>IFERROR(__xludf.DUMMYFUNCTION("""COMPUTED_VALUE"""),"Floor Protocol")</f>
        <v>Floor Protocol</v>
      </c>
    </row>
    <row r="4730">
      <c r="A4730" s="4" t="str">
        <f>IFERROR(__xludf.DUMMYFUNCTION("""COMPUTED_VALUE"""),"flooring-protocol-azuki")</f>
        <v>flooring-protocol-azuki</v>
      </c>
      <c r="B4730" s="4" t="str">
        <f>IFERROR(__xludf.DUMMYFUNCTION("""COMPUTED_VALUE"""),"uazuki")</f>
        <v>uazuki</v>
      </c>
      <c r="C4730" s="4" t="str">
        <f>IFERROR(__xludf.DUMMYFUNCTION("""COMPUTED_VALUE"""),"FP μAzuki")</f>
        <v>FP μAzuki</v>
      </c>
    </row>
    <row r="4731">
      <c r="A4731" s="4" t="str">
        <f>IFERROR(__xludf.DUMMYFUNCTION("""COMPUTED_VALUE"""),"flooring-protocol-micro0n1force")</f>
        <v>flooring-protocol-micro0n1force</v>
      </c>
      <c r="B4731" s="4" t="str">
        <f>IFERROR(__xludf.DUMMYFUNCTION("""COMPUTED_VALUE"""),"u0n1")</f>
        <v>u0n1</v>
      </c>
      <c r="C4731" s="4" t="str">
        <f>IFERROR(__xludf.DUMMYFUNCTION("""COMPUTED_VALUE"""),"FP μ0N1Force")</f>
        <v>FP μ0N1Force</v>
      </c>
    </row>
    <row r="4732">
      <c r="A4732" s="4" t="str">
        <f>IFERROR(__xludf.DUMMYFUNCTION("""COMPUTED_VALUE"""),"flooring-protocol-microbeanz")</f>
        <v>flooring-protocol-microbeanz</v>
      </c>
      <c r="B4732" s="4" t="str">
        <f>IFERROR(__xludf.DUMMYFUNCTION("""COMPUTED_VALUE"""),"ubeanz")</f>
        <v>ubeanz</v>
      </c>
      <c r="C4732" s="4" t="str">
        <f>IFERROR(__xludf.DUMMYFUNCTION("""COMPUTED_VALUE"""),"FP μBeanz")</f>
        <v>FP μBeanz</v>
      </c>
    </row>
    <row r="4733">
      <c r="A4733" s="4" t="str">
        <f>IFERROR(__xludf.DUMMYFUNCTION("""COMPUTED_VALUE"""),"flooring-protocol-microboredapekennelclub")</f>
        <v>flooring-protocol-microboredapekennelclub</v>
      </c>
      <c r="B4733" s="4" t="str">
        <f>IFERROR(__xludf.DUMMYFUNCTION("""COMPUTED_VALUE"""),"ubakc")</f>
        <v>ubakc</v>
      </c>
      <c r="C4733" s="4" t="str">
        <f>IFERROR(__xludf.DUMMYFUNCTION("""COMPUTED_VALUE"""),"FP μBoredApeKennelClub")</f>
        <v>FP μBoredApeKennelClub</v>
      </c>
    </row>
    <row r="4734">
      <c r="A4734" s="4" t="str">
        <f>IFERROR(__xludf.DUMMYFUNCTION("""COMPUTED_VALUE"""),"flooring-protocol-microboredapeyachtclub")</f>
        <v>flooring-protocol-microboredapeyachtclub</v>
      </c>
      <c r="B4734" s="4" t="str">
        <f>IFERROR(__xludf.DUMMYFUNCTION("""COMPUTED_VALUE"""),"ubayc")</f>
        <v>ubayc</v>
      </c>
      <c r="C4734" s="4" t="str">
        <f>IFERROR(__xludf.DUMMYFUNCTION("""COMPUTED_VALUE"""),"FP μBoredApeYachtClub")</f>
        <v>FP μBoredApeYachtClub</v>
      </c>
    </row>
    <row r="4735">
      <c r="A4735" s="4" t="str">
        <f>IFERROR(__xludf.DUMMYFUNCTION("""COMPUTED_VALUE"""),"flooring-protocol-microcaptainz")</f>
        <v>flooring-protocol-microcaptainz</v>
      </c>
      <c r="B4735" s="4" t="str">
        <f>IFERROR(__xludf.DUMMYFUNCTION("""COMPUTED_VALUE"""),"ucaptainz")</f>
        <v>ucaptainz</v>
      </c>
      <c r="C4735" s="4" t="str">
        <f>IFERROR(__xludf.DUMMYFUNCTION("""COMPUTED_VALUE"""),"FP μCaptainz")</f>
        <v>FP μCaptainz</v>
      </c>
    </row>
    <row r="4736">
      <c r="A4736" s="4" t="str">
        <f>IFERROR(__xludf.DUMMYFUNCTION("""COMPUTED_VALUE"""),"flooring-protocol-microclonex")</f>
        <v>flooring-protocol-microclonex</v>
      </c>
      <c r="B4736" s="4" t="str">
        <f>IFERROR(__xludf.DUMMYFUNCTION("""COMPUTED_VALUE"""),"uclonex")</f>
        <v>uclonex</v>
      </c>
      <c r="C4736" s="4" t="str">
        <f>IFERROR(__xludf.DUMMYFUNCTION("""COMPUTED_VALUE"""),"FP μCloneX")</f>
        <v>FP μCloneX</v>
      </c>
    </row>
    <row r="4737">
      <c r="A4737" s="4" t="str">
        <f>IFERROR(__xludf.DUMMYFUNCTION("""COMPUTED_VALUE"""),"flooring-protocol-microcoolcats")</f>
        <v>flooring-protocol-microcoolcats</v>
      </c>
      <c r="B4737" s="4" t="str">
        <f>IFERROR(__xludf.DUMMYFUNCTION("""COMPUTED_VALUE"""),"ucool")</f>
        <v>ucool</v>
      </c>
      <c r="C4737" s="4" t="str">
        <f>IFERROR(__xludf.DUMMYFUNCTION("""COMPUTED_VALUE"""),"FP μCoolCats")</f>
        <v>FP μCoolCats</v>
      </c>
    </row>
    <row r="4738">
      <c r="A4738" s="4" t="str">
        <f>IFERROR(__xludf.DUMMYFUNCTION("""COMPUTED_VALUE"""),"flooring-protocol-microdegods")</f>
        <v>flooring-protocol-microdegods</v>
      </c>
      <c r="B4738" s="4" t="str">
        <f>IFERROR(__xludf.DUMMYFUNCTION("""COMPUTED_VALUE"""),"udegods")</f>
        <v>udegods</v>
      </c>
      <c r="C4738" s="4" t="str">
        <f>IFERROR(__xludf.DUMMYFUNCTION("""COMPUTED_VALUE"""),"FP μDeGods")</f>
        <v>FP μDeGods</v>
      </c>
    </row>
    <row r="4739">
      <c r="A4739" s="4" t="str">
        <f>IFERROR(__xludf.DUMMYFUNCTION("""COMPUTED_VALUE"""),"flooring-protocol-microdoodle")</f>
        <v>flooring-protocol-microdoodle</v>
      </c>
      <c r="B4739" s="4" t="str">
        <f>IFERROR(__xludf.DUMMYFUNCTION("""COMPUTED_VALUE"""),"udoodle")</f>
        <v>udoodle</v>
      </c>
      <c r="C4739" s="4" t="str">
        <f>IFERROR(__xludf.DUMMYFUNCTION("""COMPUTED_VALUE"""),"FP μDoodle")</f>
        <v>FP μDoodle</v>
      </c>
    </row>
    <row r="4740">
      <c r="A4740" s="4" t="str">
        <f>IFERROR(__xludf.DUMMYFUNCTION("""COMPUTED_VALUE"""),"flooring-protocol-microelemental")</f>
        <v>flooring-protocol-microelemental</v>
      </c>
      <c r="B4740" s="4" t="str">
        <f>IFERROR(__xludf.DUMMYFUNCTION("""COMPUTED_VALUE"""),"uelem")</f>
        <v>uelem</v>
      </c>
      <c r="C4740" s="4" t="str">
        <f>IFERROR(__xludf.DUMMYFUNCTION("""COMPUTED_VALUE"""),"FP μElemental")</f>
        <v>FP μElemental</v>
      </c>
    </row>
    <row r="4741">
      <c r="A4741" s="4" t="str">
        <f>IFERROR(__xludf.DUMMYFUNCTION("""COMPUTED_VALUE"""),"flooring-protocol-microjeergirl")</f>
        <v>flooring-protocol-microjeergirl</v>
      </c>
      <c r="B4741" s="4" t="str">
        <f>IFERROR(__xludf.DUMMYFUNCTION("""COMPUTED_VALUE"""),"μjeergirl")</f>
        <v>μjeergirl</v>
      </c>
      <c r="C4741" s="4" t="str">
        <f>IFERROR(__xludf.DUMMYFUNCTION("""COMPUTED_VALUE"""),"FP μJeerGirl")</f>
        <v>FP μJeerGirl</v>
      </c>
    </row>
    <row r="4742">
      <c r="A4742" s="4" t="str">
        <f>IFERROR(__xludf.DUMMYFUNCTION("""COMPUTED_VALUE"""),"flooring-protocol-microlilpudgys")</f>
        <v>flooring-protocol-microlilpudgys</v>
      </c>
      <c r="B4742" s="4" t="str">
        <f>IFERROR(__xludf.DUMMYFUNCTION("""COMPUTED_VALUE"""),"ulp")</f>
        <v>ulp</v>
      </c>
      <c r="C4742" s="4" t="str">
        <f>IFERROR(__xludf.DUMMYFUNCTION("""COMPUTED_VALUE"""),"FP μLilPudgys")</f>
        <v>FP μLilPudgys</v>
      </c>
    </row>
    <row r="4743">
      <c r="A4743" s="4" t="str">
        <f>IFERROR(__xludf.DUMMYFUNCTION("""COMPUTED_VALUE"""),"flooring-protocol-micromeebits")</f>
        <v>flooring-protocol-micromeebits</v>
      </c>
      <c r="B4743" s="4" t="str">
        <f>IFERROR(__xludf.DUMMYFUNCTION("""COMPUTED_VALUE"""),"u⚇")</f>
        <v>u⚇</v>
      </c>
      <c r="C4743" s="4" t="str">
        <f>IFERROR(__xludf.DUMMYFUNCTION("""COMPUTED_VALUE"""),"FP μMeebits")</f>
        <v>FP μMeebits</v>
      </c>
    </row>
    <row r="4744">
      <c r="A4744" s="4" t="str">
        <f>IFERROR(__xludf.DUMMYFUNCTION("""COMPUTED_VALUE"""),"flooring-protocol-micromfers")</f>
        <v>flooring-protocol-micromfers</v>
      </c>
      <c r="B4744" s="4" t="str">
        <f>IFERROR(__xludf.DUMMYFUNCTION("""COMPUTED_VALUE"""),"umfer")</f>
        <v>umfer</v>
      </c>
      <c r="C4744" s="4" t="str">
        <f>IFERROR(__xludf.DUMMYFUNCTION("""COMPUTED_VALUE"""),"FP μMfers")</f>
        <v>FP μMfers</v>
      </c>
    </row>
    <row r="4745">
      <c r="A4745" s="4" t="str">
        <f>IFERROR(__xludf.DUMMYFUNCTION("""COMPUTED_VALUE"""),"flooring-protocol-micromilady")</f>
        <v>flooring-protocol-micromilady</v>
      </c>
      <c r="B4745" s="4" t="str">
        <f>IFERROR(__xludf.DUMMYFUNCTION("""COMPUTED_VALUE"""),"umil")</f>
        <v>umil</v>
      </c>
      <c r="C4745" s="4" t="str">
        <f>IFERROR(__xludf.DUMMYFUNCTION("""COMPUTED_VALUE"""),"FP μMilady")</f>
        <v>FP μMilady</v>
      </c>
    </row>
    <row r="4746">
      <c r="A4746" s="4" t="str">
        <f>IFERROR(__xludf.DUMMYFUNCTION("""COMPUTED_VALUE"""),"flooring-protocol-micromoonbirds")</f>
        <v>flooring-protocol-micromoonbirds</v>
      </c>
      <c r="B4746" s="4" t="str">
        <f>IFERROR(__xludf.DUMMYFUNCTION("""COMPUTED_VALUE"""),"umoonbirds")</f>
        <v>umoonbirds</v>
      </c>
      <c r="C4746" s="4" t="str">
        <f>IFERROR(__xludf.DUMMYFUNCTION("""COMPUTED_VALUE"""),"FP μMoonBirds")</f>
        <v>FP μMoonBirds</v>
      </c>
    </row>
    <row r="4747">
      <c r="A4747" s="4" t="str">
        <f>IFERROR(__xludf.DUMMYFUNCTION("""COMPUTED_VALUE"""),"flooring-protocol-micronakamigos")</f>
        <v>flooring-protocol-micronakamigos</v>
      </c>
      <c r="B4747" s="4" t="str">
        <f>IFERROR(__xludf.DUMMYFUNCTION("""COMPUTED_VALUE"""),"unkmgs")</f>
        <v>unkmgs</v>
      </c>
      <c r="C4747" s="4" t="str">
        <f>IFERROR(__xludf.DUMMYFUNCTION("""COMPUTED_VALUE"""),"FP μNakamigos")</f>
        <v>FP μNakamigos</v>
      </c>
    </row>
    <row r="4748">
      <c r="A4748" s="4" t="str">
        <f>IFERROR(__xludf.DUMMYFUNCTION("""COMPUTED_VALUE"""),"flooring-protocol-microotatoz")</f>
        <v>flooring-protocol-microotatoz</v>
      </c>
      <c r="B4748" s="4" t="str">
        <f>IFERROR(__xludf.DUMMYFUNCTION("""COMPUTED_VALUE"""),"upotatoz")</f>
        <v>upotatoz</v>
      </c>
      <c r="C4748" s="4" t="str">
        <f>IFERROR(__xludf.DUMMYFUNCTION("""COMPUTED_VALUE"""),"FP μPotatoz")</f>
        <v>FP μPotatoz</v>
      </c>
    </row>
    <row r="4749">
      <c r="A4749" s="4" t="str">
        <f>IFERROR(__xludf.DUMMYFUNCTION("""COMPUTED_VALUE"""),"flooring-protocol-microotherdeed")</f>
        <v>flooring-protocol-microotherdeed</v>
      </c>
      <c r="B4749" s="4" t="str">
        <f>IFERROR(__xludf.DUMMYFUNCTION("""COMPUTED_VALUE"""),"uothr")</f>
        <v>uothr</v>
      </c>
      <c r="C4749" s="4" t="str">
        <f>IFERROR(__xludf.DUMMYFUNCTION("""COMPUTED_VALUE"""),"FP μOtherdeed")</f>
        <v>FP μOtherdeed</v>
      </c>
    </row>
    <row r="4750">
      <c r="A4750" s="4" t="str">
        <f>IFERROR(__xludf.DUMMYFUNCTION("""COMPUTED_VALUE"""),"flooring-protocol-micropudgypenguins")</f>
        <v>flooring-protocol-micropudgypenguins</v>
      </c>
      <c r="B4750" s="4" t="str">
        <f>IFERROR(__xludf.DUMMYFUNCTION("""COMPUTED_VALUE"""),"uppg")</f>
        <v>uppg</v>
      </c>
      <c r="C4750" s="4" t="str">
        <f>IFERROR(__xludf.DUMMYFUNCTION("""COMPUTED_VALUE"""),"FP μPudgyPenguins")</f>
        <v>FP μPudgyPenguins</v>
      </c>
    </row>
    <row r="4751">
      <c r="A4751" s="4" t="str">
        <f>IFERROR(__xludf.DUMMYFUNCTION("""COMPUTED_VALUE"""),"flooring-protocol-microsappyseals")</f>
        <v>flooring-protocol-microsappyseals</v>
      </c>
      <c r="B4751" s="4" t="str">
        <f>IFERROR(__xludf.DUMMYFUNCTION("""COMPUTED_VALUE"""),"usaps")</f>
        <v>usaps</v>
      </c>
      <c r="C4751" s="4" t="str">
        <f>IFERROR(__xludf.DUMMYFUNCTION("""COMPUTED_VALUE"""),"FP μSappySeals")</f>
        <v>FP μSappySeals</v>
      </c>
    </row>
    <row r="4752">
      <c r="A4752" s="4" t="str">
        <f>IFERROR(__xludf.DUMMYFUNCTION("""COMPUTED_VALUE"""),"flooring-protocol-microworldofwomen")</f>
        <v>flooring-protocol-microworldofwomen</v>
      </c>
      <c r="B4752" s="4" t="str">
        <f>IFERROR(__xludf.DUMMYFUNCTION("""COMPUTED_VALUE"""),"uwow")</f>
        <v>uwow</v>
      </c>
      <c r="C4752" s="4" t="str">
        <f>IFERROR(__xludf.DUMMYFUNCTION("""COMPUTED_VALUE"""),"FP μWorldOfWomen")</f>
        <v>FP μWorldOfWomen</v>
      </c>
    </row>
    <row r="4753">
      <c r="A4753" s="4" t="str">
        <f>IFERROR(__xludf.DUMMYFUNCTION("""COMPUTED_VALUE"""),"flooring-protocol-microy00ts")</f>
        <v>flooring-protocol-microy00ts</v>
      </c>
      <c r="B4753" s="4" t="str">
        <f>IFERROR(__xludf.DUMMYFUNCTION("""COMPUTED_VALUE"""),"uy00ts")</f>
        <v>uy00ts</v>
      </c>
      <c r="C4753" s="4" t="str">
        <f>IFERROR(__xludf.DUMMYFUNCTION("""COMPUTED_VALUE"""),"FP μY00ts")</f>
        <v>FP μY00ts</v>
      </c>
    </row>
    <row r="4754">
      <c r="A4754" s="4" t="str">
        <f>IFERROR(__xludf.DUMMYFUNCTION("""COMPUTED_VALUE"""),"flooring-protocol-mutantapeyachtclub")</f>
        <v>flooring-protocol-mutantapeyachtclub</v>
      </c>
      <c r="B4754" s="4" t="str">
        <f>IFERROR(__xludf.DUMMYFUNCTION("""COMPUTED_VALUE"""),"umayc")</f>
        <v>umayc</v>
      </c>
      <c r="C4754" s="4" t="str">
        <f>IFERROR(__xludf.DUMMYFUNCTION("""COMPUTED_VALUE"""),"FP μMutantApeYachtClub")</f>
        <v>FP μMutantApeYachtClub</v>
      </c>
    </row>
    <row r="4755">
      <c r="A4755" s="4" t="str">
        <f>IFERROR(__xludf.DUMMYFUNCTION("""COMPUTED_VALUE"""),"florachain-yield-token")</f>
        <v>florachain-yield-token</v>
      </c>
      <c r="B4755" s="4" t="str">
        <f>IFERROR(__xludf.DUMMYFUNCTION("""COMPUTED_VALUE"""),"fyt")</f>
        <v>fyt</v>
      </c>
      <c r="C4755" s="4" t="str">
        <f>IFERROR(__xludf.DUMMYFUNCTION("""COMPUTED_VALUE"""),"FloraChain")</f>
        <v>FloraChain</v>
      </c>
    </row>
    <row r="4756">
      <c r="A4756" s="4" t="str">
        <f>IFERROR(__xludf.DUMMYFUNCTION("""COMPUTED_VALUE"""),"florence-finance-medici")</f>
        <v>florence-finance-medici</v>
      </c>
      <c r="B4756" s="4" t="str">
        <f>IFERROR(__xludf.DUMMYFUNCTION("""COMPUTED_VALUE"""),"ffm")</f>
        <v>ffm</v>
      </c>
      <c r="C4756" s="4" t="str">
        <f>IFERROR(__xludf.DUMMYFUNCTION("""COMPUTED_VALUE"""),"Florence Finance Medici")</f>
        <v>Florence Finance Medici</v>
      </c>
    </row>
    <row r="4757">
      <c r="A4757" s="4" t="str">
        <f>IFERROR(__xludf.DUMMYFUNCTION("""COMPUTED_VALUE"""),"florin")</f>
        <v>florin</v>
      </c>
      <c r="B4757" s="4" t="str">
        <f>IFERROR(__xludf.DUMMYFUNCTION("""COMPUTED_VALUE"""),"xfl")</f>
        <v>xfl</v>
      </c>
      <c r="C4757" s="4" t="str">
        <f>IFERROR(__xludf.DUMMYFUNCTION("""COMPUTED_VALUE"""),"Florin")</f>
        <v>Florin</v>
      </c>
    </row>
    <row r="4758">
      <c r="A4758" s="4" t="str">
        <f>IFERROR(__xludf.DUMMYFUNCTION("""COMPUTED_VALUE"""),"flork-bnb")</f>
        <v>flork-bnb</v>
      </c>
      <c r="B4758" s="4" t="str">
        <f>IFERROR(__xludf.DUMMYFUNCTION("""COMPUTED_VALUE"""),"flork")</f>
        <v>flork</v>
      </c>
      <c r="C4758" s="4" t="str">
        <f>IFERROR(__xludf.DUMMYFUNCTION("""COMPUTED_VALUE"""),"Flork-BNB")</f>
        <v>Flork-BNB</v>
      </c>
    </row>
    <row r="4759">
      <c r="A4759" s="4" t="str">
        <f>IFERROR(__xludf.DUMMYFUNCTION("""COMPUTED_VALUE"""),"flourishing-ai-token")</f>
        <v>flourishing-ai-token</v>
      </c>
      <c r="B4759" s="4" t="str">
        <f>IFERROR(__xludf.DUMMYFUNCTION("""COMPUTED_VALUE"""),"ai")</f>
        <v>ai</v>
      </c>
      <c r="C4759" s="4" t="str">
        <f>IFERROR(__xludf.DUMMYFUNCTION("""COMPUTED_VALUE"""),"Flourishing AI")</f>
        <v>Flourishing AI</v>
      </c>
    </row>
    <row r="4760">
      <c r="A4760" s="4" t="str">
        <f>IFERROR(__xludf.DUMMYFUNCTION("""COMPUTED_VALUE"""),"flovatar-dust")</f>
        <v>flovatar-dust</v>
      </c>
      <c r="B4760" s="4" t="str">
        <f>IFERROR(__xludf.DUMMYFUNCTION("""COMPUTED_VALUE"""),"fdust")</f>
        <v>fdust</v>
      </c>
      <c r="C4760" s="4" t="str">
        <f>IFERROR(__xludf.DUMMYFUNCTION("""COMPUTED_VALUE"""),"Flovatar Dust")</f>
        <v>Flovatar Dust</v>
      </c>
    </row>
    <row r="4761">
      <c r="A4761" s="4" t="str">
        <f>IFERROR(__xludf.DUMMYFUNCTION("""COMPUTED_VALUE"""),"flovi-inu")</f>
        <v>flovi-inu</v>
      </c>
      <c r="B4761" s="4" t="str">
        <f>IFERROR(__xludf.DUMMYFUNCTION("""COMPUTED_VALUE"""),"flovi")</f>
        <v>flovi</v>
      </c>
      <c r="C4761" s="4" t="str">
        <f>IFERROR(__xludf.DUMMYFUNCTION("""COMPUTED_VALUE"""),"Flovi Inu")</f>
        <v>Flovi Inu</v>
      </c>
    </row>
    <row r="4762">
      <c r="A4762" s="4" t="str">
        <f>IFERROR(__xludf.DUMMYFUNCTION("""COMPUTED_VALUE"""),"flow")</f>
        <v>flow</v>
      </c>
      <c r="B4762" s="4" t="str">
        <f>IFERROR(__xludf.DUMMYFUNCTION("""COMPUTED_VALUE"""),"flow")</f>
        <v>flow</v>
      </c>
      <c r="C4762" s="4" t="str">
        <f>IFERROR(__xludf.DUMMYFUNCTION("""COMPUTED_VALUE"""),"Flow")</f>
        <v>Flow</v>
      </c>
    </row>
    <row r="4763">
      <c r="A4763" s="4" t="str">
        <f>IFERROR(__xludf.DUMMYFUNCTION("""COMPUTED_VALUE"""),"flowchaincoin")</f>
        <v>flowchaincoin</v>
      </c>
      <c r="B4763" s="4" t="str">
        <f>IFERROR(__xludf.DUMMYFUNCTION("""COMPUTED_VALUE"""),"flc")</f>
        <v>flc</v>
      </c>
      <c r="C4763" s="4" t="str">
        <f>IFERROR(__xludf.DUMMYFUNCTION("""COMPUTED_VALUE"""),"Flowchain")</f>
        <v>Flowchain</v>
      </c>
    </row>
    <row r="4764">
      <c r="A4764" s="4" t="str">
        <f>IFERROR(__xludf.DUMMYFUNCTION("""COMPUTED_VALUE"""),"flower")</f>
        <v>flower</v>
      </c>
      <c r="B4764" s="4" t="str">
        <f>IFERROR(__xludf.DUMMYFUNCTION("""COMPUTED_VALUE"""),"flow")</f>
        <v>flow</v>
      </c>
      <c r="C4764" s="4" t="str">
        <f>IFERROR(__xludf.DUMMYFUNCTION("""COMPUTED_VALUE"""),"Flower")</f>
        <v>Flower</v>
      </c>
    </row>
    <row r="4765">
      <c r="A4765" s="4" t="str">
        <f>IFERROR(__xludf.DUMMYFUNCTION("""COMPUTED_VALUE"""),"flowmatic")</f>
        <v>flowmatic</v>
      </c>
      <c r="B4765" s="4" t="str">
        <f>IFERROR(__xludf.DUMMYFUNCTION("""COMPUTED_VALUE"""),"fm")</f>
        <v>fm</v>
      </c>
      <c r="C4765" s="4" t="str">
        <f>IFERROR(__xludf.DUMMYFUNCTION("""COMPUTED_VALUE"""),"Flowmatic")</f>
        <v>Flowmatic</v>
      </c>
    </row>
    <row r="4766">
      <c r="A4766" s="4" t="str">
        <f>IFERROR(__xludf.DUMMYFUNCTION("""COMPUTED_VALUE"""),"flowx-finance")</f>
        <v>flowx-finance</v>
      </c>
      <c r="B4766" s="4" t="str">
        <f>IFERROR(__xludf.DUMMYFUNCTION("""COMPUTED_VALUE"""),"flx")</f>
        <v>flx</v>
      </c>
      <c r="C4766" s="4" t="str">
        <f>IFERROR(__xludf.DUMMYFUNCTION("""COMPUTED_VALUE"""),"FlowX Finance")</f>
        <v>FlowX Finance</v>
      </c>
    </row>
    <row r="4767">
      <c r="A4767" s="4" t="str">
        <f>IFERROR(__xludf.DUMMYFUNCTION("""COMPUTED_VALUE"""),"floxypay")</f>
        <v>floxypay</v>
      </c>
      <c r="B4767" s="4" t="str">
        <f>IFERROR(__xludf.DUMMYFUNCTION("""COMPUTED_VALUE"""),"fxy")</f>
        <v>fxy</v>
      </c>
      <c r="C4767" s="4" t="str">
        <f>IFERROR(__xludf.DUMMYFUNCTION("""COMPUTED_VALUE"""),"Floxypay")</f>
        <v>Floxypay</v>
      </c>
    </row>
    <row r="4768">
      <c r="A4768" s="4" t="str">
        <f>IFERROR(__xludf.DUMMYFUNCTION("""COMPUTED_VALUE"""),"floyx-new")</f>
        <v>floyx-new</v>
      </c>
      <c r="B4768" s="4" t="str">
        <f>IFERROR(__xludf.DUMMYFUNCTION("""COMPUTED_VALUE"""),"floyx")</f>
        <v>floyx</v>
      </c>
      <c r="C4768" s="4" t="str">
        <f>IFERROR(__xludf.DUMMYFUNCTION("""COMPUTED_VALUE"""),"Floyx")</f>
        <v>Floyx</v>
      </c>
    </row>
    <row r="4769">
      <c r="A4769" s="4" t="str">
        <f>IFERROR(__xludf.DUMMYFUNCTION("""COMPUTED_VALUE"""),"fluence-2")</f>
        <v>fluence-2</v>
      </c>
      <c r="B4769" s="4" t="str">
        <f>IFERROR(__xludf.DUMMYFUNCTION("""COMPUTED_VALUE"""),"flt")</f>
        <v>flt</v>
      </c>
      <c r="C4769" s="4" t="str">
        <f>IFERROR(__xludf.DUMMYFUNCTION("""COMPUTED_VALUE"""),"Fluence")</f>
        <v>Fluence</v>
      </c>
    </row>
    <row r="4770">
      <c r="A4770" s="4" t="str">
        <f>IFERROR(__xludf.DUMMYFUNCTION("""COMPUTED_VALUE"""),"fluffy-coin")</f>
        <v>fluffy-coin</v>
      </c>
      <c r="B4770" s="4" t="str">
        <f>IFERROR(__xludf.DUMMYFUNCTION("""COMPUTED_VALUE"""),"fluf")</f>
        <v>fluf</v>
      </c>
      <c r="C4770" s="4" t="str">
        <f>IFERROR(__xludf.DUMMYFUNCTION("""COMPUTED_VALUE"""),"Fluffy Coin")</f>
        <v>Fluffy Coin</v>
      </c>
    </row>
    <row r="4771">
      <c r="A4771" s="4" t="str">
        <f>IFERROR(__xludf.DUMMYFUNCTION("""COMPUTED_VALUE"""),"fluid")</f>
        <v>fluid</v>
      </c>
      <c r="B4771" s="4" t="str">
        <f>IFERROR(__xludf.DUMMYFUNCTION("""COMPUTED_VALUE"""),"fld")</f>
        <v>fld</v>
      </c>
      <c r="C4771" s="4" t="str">
        <f>IFERROR(__xludf.DUMMYFUNCTION("""COMPUTED_VALUE"""),"FluidAI")</f>
        <v>FluidAI</v>
      </c>
    </row>
    <row r="4772">
      <c r="A4772" s="4" t="str">
        <f>IFERROR(__xludf.DUMMYFUNCTION("""COMPUTED_VALUE"""),"fluid-2")</f>
        <v>fluid-2</v>
      </c>
      <c r="B4772" s="4" t="str">
        <f>IFERROR(__xludf.DUMMYFUNCTION("""COMPUTED_VALUE"""),"fluid")</f>
        <v>fluid</v>
      </c>
      <c r="C4772" s="4" t="str">
        <f>IFERROR(__xludf.DUMMYFUNCTION("""COMPUTED_VALUE"""),"Fluid")</f>
        <v>Fluid</v>
      </c>
    </row>
    <row r="4773">
      <c r="A4773" s="4" t="str">
        <f>IFERROR(__xludf.DUMMYFUNCTION("""COMPUTED_VALUE"""),"fluid-dai")</f>
        <v>fluid-dai</v>
      </c>
      <c r="B4773" s="4" t="str">
        <f>IFERROR(__xludf.DUMMYFUNCTION("""COMPUTED_VALUE"""),"fdai")</f>
        <v>fdai</v>
      </c>
      <c r="C4773" s="4" t="str">
        <f>IFERROR(__xludf.DUMMYFUNCTION("""COMPUTED_VALUE"""),"Fluid DAI")</f>
        <v>Fluid DAI</v>
      </c>
    </row>
    <row r="4774">
      <c r="A4774" s="4" t="str">
        <f>IFERROR(__xludf.DUMMYFUNCTION("""COMPUTED_VALUE"""),"fluid-frax")</f>
        <v>fluid-frax</v>
      </c>
      <c r="B4774" s="4" t="str">
        <f>IFERROR(__xludf.DUMMYFUNCTION("""COMPUTED_VALUE"""),"ffrax")</f>
        <v>ffrax</v>
      </c>
      <c r="C4774" s="4" t="str">
        <f>IFERROR(__xludf.DUMMYFUNCTION("""COMPUTED_VALUE"""),"Fluid FRAX")</f>
        <v>Fluid FRAX</v>
      </c>
    </row>
    <row r="4775">
      <c r="A4775" s="4" t="str">
        <f>IFERROR(__xludf.DUMMYFUNCTION("""COMPUTED_VALUE"""),"fluidity")</f>
        <v>fluidity</v>
      </c>
      <c r="B4775" s="4" t="str">
        <f>IFERROR(__xludf.DUMMYFUNCTION("""COMPUTED_VALUE"""),"fly")</f>
        <v>fly</v>
      </c>
      <c r="C4775" s="4" t="str">
        <f>IFERROR(__xludf.DUMMYFUNCTION("""COMPUTED_VALUE"""),"Fluidity")</f>
        <v>Fluidity</v>
      </c>
    </row>
    <row r="4776">
      <c r="A4776" s="4" t="str">
        <f>IFERROR(__xludf.DUMMYFUNCTION("""COMPUTED_VALUE"""),"fluidtokens")</f>
        <v>fluidtokens</v>
      </c>
      <c r="B4776" s="4" t="str">
        <f>IFERROR(__xludf.DUMMYFUNCTION("""COMPUTED_VALUE"""),"fldt")</f>
        <v>fldt</v>
      </c>
      <c r="C4776" s="4" t="str">
        <f>IFERROR(__xludf.DUMMYFUNCTION("""COMPUTED_VALUE"""),"FluidTokens")</f>
        <v>FluidTokens</v>
      </c>
    </row>
    <row r="4777">
      <c r="A4777" s="4" t="str">
        <f>IFERROR(__xludf.DUMMYFUNCTION("""COMPUTED_VALUE"""),"fluid-tusd")</f>
        <v>fluid-tusd</v>
      </c>
      <c r="B4777" s="4" t="str">
        <f>IFERROR(__xludf.DUMMYFUNCTION("""COMPUTED_VALUE"""),"ftusd")</f>
        <v>ftusd</v>
      </c>
      <c r="C4777" s="4" t="str">
        <f>IFERROR(__xludf.DUMMYFUNCTION("""COMPUTED_VALUE"""),"Fluid TUSD")</f>
        <v>Fluid TUSD</v>
      </c>
    </row>
    <row r="4778">
      <c r="A4778" s="4" t="str">
        <f>IFERROR(__xludf.DUMMYFUNCTION("""COMPUTED_VALUE"""),"fluid-usdc")</f>
        <v>fluid-usdc</v>
      </c>
      <c r="B4778" s="4" t="str">
        <f>IFERROR(__xludf.DUMMYFUNCTION("""COMPUTED_VALUE"""),"fusdc")</f>
        <v>fusdc</v>
      </c>
      <c r="C4778" s="4" t="str">
        <f>IFERROR(__xludf.DUMMYFUNCTION("""COMPUTED_VALUE"""),"Fluid USDC")</f>
        <v>Fluid USDC</v>
      </c>
    </row>
    <row r="4779">
      <c r="A4779" s="4" t="str">
        <f>IFERROR(__xludf.DUMMYFUNCTION("""COMPUTED_VALUE"""),"fluid-usdt")</f>
        <v>fluid-usdt</v>
      </c>
      <c r="B4779" s="4" t="str">
        <f>IFERROR(__xludf.DUMMYFUNCTION("""COMPUTED_VALUE"""),"fusdt")</f>
        <v>fusdt</v>
      </c>
      <c r="C4779" s="4" t="str">
        <f>IFERROR(__xludf.DUMMYFUNCTION("""COMPUTED_VALUE"""),"Fluid USDT")</f>
        <v>Fluid USDT</v>
      </c>
    </row>
    <row r="4780">
      <c r="A4780" s="4" t="str">
        <f>IFERROR(__xludf.DUMMYFUNCTION("""COMPUTED_VALUE"""),"fluminense-fc-fan-token")</f>
        <v>fluminense-fc-fan-token</v>
      </c>
      <c r="B4780" s="4" t="str">
        <f>IFERROR(__xludf.DUMMYFUNCTION("""COMPUTED_VALUE"""),"flu")</f>
        <v>flu</v>
      </c>
      <c r="C4780" s="4" t="str">
        <f>IFERROR(__xludf.DUMMYFUNCTION("""COMPUTED_VALUE"""),"Fluminense FC Fan Token")</f>
        <v>Fluminense FC Fan Token</v>
      </c>
    </row>
    <row r="4781">
      <c r="A4781" s="4" t="str">
        <f>IFERROR(__xludf.DUMMYFUNCTION("""COMPUTED_VALUE"""),"flurry")</f>
        <v>flurry</v>
      </c>
      <c r="B4781" s="4" t="str">
        <f>IFERROR(__xludf.DUMMYFUNCTION("""COMPUTED_VALUE"""),"flurry")</f>
        <v>flurry</v>
      </c>
      <c r="C4781" s="4" t="str">
        <f>IFERROR(__xludf.DUMMYFUNCTION("""COMPUTED_VALUE"""),"Flurry Finance")</f>
        <v>Flurry Finance</v>
      </c>
    </row>
    <row r="4782">
      <c r="A4782" s="4" t="str">
        <f>IFERROR(__xludf.DUMMYFUNCTION("""COMPUTED_VALUE"""),"flute")</f>
        <v>flute</v>
      </c>
      <c r="B4782" s="4" t="str">
        <f>IFERROR(__xludf.DUMMYFUNCTION("""COMPUTED_VALUE"""),"flut")</f>
        <v>flut</v>
      </c>
      <c r="C4782" s="4" t="str">
        <f>IFERROR(__xludf.DUMMYFUNCTION("""COMPUTED_VALUE"""),"Flute")</f>
        <v>Flute</v>
      </c>
    </row>
    <row r="4783">
      <c r="A4783" s="4" t="str">
        <f>IFERROR(__xludf.DUMMYFUNCTION("""COMPUTED_VALUE"""),"flux")</f>
        <v>flux</v>
      </c>
      <c r="B4783" s="4" t="str">
        <f>IFERROR(__xludf.DUMMYFUNCTION("""COMPUTED_VALUE"""),"flux")</f>
        <v>flux</v>
      </c>
      <c r="C4783" s="4" t="str">
        <f>IFERROR(__xludf.DUMMYFUNCTION("""COMPUTED_VALUE"""),"Datamine FLUX")</f>
        <v>Datamine FLUX</v>
      </c>
    </row>
    <row r="4784">
      <c r="A4784" s="4" t="str">
        <f>IFERROR(__xludf.DUMMYFUNCTION("""COMPUTED_VALUE"""),"fluxbot")</f>
        <v>fluxbot</v>
      </c>
      <c r="B4784" s="4" t="str">
        <f>IFERROR(__xludf.DUMMYFUNCTION("""COMPUTED_VALUE"""),"fluxb")</f>
        <v>fluxb</v>
      </c>
      <c r="C4784" s="4" t="str">
        <f>IFERROR(__xludf.DUMMYFUNCTION("""COMPUTED_VALUE"""),"Fluxbot")</f>
        <v>Fluxbot</v>
      </c>
    </row>
    <row r="4785">
      <c r="A4785" s="4" t="str">
        <f>IFERROR(__xludf.DUMMYFUNCTION("""COMPUTED_VALUE"""),"flux-dai")</f>
        <v>flux-dai</v>
      </c>
      <c r="B4785" s="4" t="str">
        <f>IFERROR(__xludf.DUMMYFUNCTION("""COMPUTED_VALUE"""),"fdai")</f>
        <v>fdai</v>
      </c>
      <c r="C4785" s="4" t="str">
        <f>IFERROR(__xludf.DUMMYFUNCTION("""COMPUTED_VALUE"""),"Flux DAI")</f>
        <v>Flux DAI</v>
      </c>
    </row>
    <row r="4786">
      <c r="A4786" s="4" t="str">
        <f>IFERROR(__xludf.DUMMYFUNCTION("""COMPUTED_VALUE"""),"flux-frax")</f>
        <v>flux-frax</v>
      </c>
      <c r="B4786" s="4" t="str">
        <f>IFERROR(__xludf.DUMMYFUNCTION("""COMPUTED_VALUE"""),"ffrax")</f>
        <v>ffrax</v>
      </c>
      <c r="C4786" s="4" t="str">
        <f>IFERROR(__xludf.DUMMYFUNCTION("""COMPUTED_VALUE"""),"Flux FRAX")</f>
        <v>Flux FRAX</v>
      </c>
    </row>
    <row r="4787">
      <c r="A4787" s="4" t="str">
        <f>IFERROR(__xludf.DUMMYFUNCTION("""COMPUTED_VALUE"""),"flux-point-studios-shards")</f>
        <v>flux-point-studios-shards</v>
      </c>
      <c r="B4787" s="4" t="str">
        <f>IFERROR(__xludf.DUMMYFUNCTION("""COMPUTED_VALUE"""),"shards")</f>
        <v>shards</v>
      </c>
      <c r="C4787" s="4" t="str">
        <f>IFERROR(__xludf.DUMMYFUNCTION("""COMPUTED_VALUE"""),"Flux Point Studios SHARDS")</f>
        <v>Flux Point Studios SHARDS</v>
      </c>
    </row>
    <row r="4788">
      <c r="A4788" s="4" t="str">
        <f>IFERROR(__xludf.DUMMYFUNCTION("""COMPUTED_VALUE"""),"flux-protocol")</f>
        <v>flux-protocol</v>
      </c>
      <c r="B4788" s="4" t="str">
        <f>IFERROR(__xludf.DUMMYFUNCTION("""COMPUTED_VALUE"""),"flux")</f>
        <v>flux</v>
      </c>
      <c r="C4788" s="4" t="str">
        <f>IFERROR(__xludf.DUMMYFUNCTION("""COMPUTED_VALUE"""),"Flux Protocol")</f>
        <v>Flux Protocol</v>
      </c>
    </row>
    <row r="4789">
      <c r="A4789" s="4" t="str">
        <f>IFERROR(__xludf.DUMMYFUNCTION("""COMPUTED_VALUE"""),"flux-token")</f>
        <v>flux-token</v>
      </c>
      <c r="B4789" s="4" t="str">
        <f>IFERROR(__xludf.DUMMYFUNCTION("""COMPUTED_VALUE"""),"flx")</f>
        <v>flx</v>
      </c>
      <c r="C4789" s="4" t="str">
        <f>IFERROR(__xludf.DUMMYFUNCTION("""COMPUTED_VALUE"""),"Flux Protocol")</f>
        <v>Flux Protocol</v>
      </c>
    </row>
    <row r="4790">
      <c r="A4790" s="4" t="str">
        <f>IFERROR(__xludf.DUMMYFUNCTION("""COMPUTED_VALUE"""),"flux-usdc")</f>
        <v>flux-usdc</v>
      </c>
      <c r="B4790" s="4" t="str">
        <f>IFERROR(__xludf.DUMMYFUNCTION("""COMPUTED_VALUE"""),"fusdc")</f>
        <v>fusdc</v>
      </c>
      <c r="C4790" s="4" t="str">
        <f>IFERROR(__xludf.DUMMYFUNCTION("""COMPUTED_VALUE"""),"Flux USDC")</f>
        <v>Flux USDC</v>
      </c>
    </row>
    <row r="4791">
      <c r="A4791" s="4" t="str">
        <f>IFERROR(__xludf.DUMMYFUNCTION("""COMPUTED_VALUE"""),"flux-usdt")</f>
        <v>flux-usdt</v>
      </c>
      <c r="B4791" s="4" t="str">
        <f>IFERROR(__xludf.DUMMYFUNCTION("""COMPUTED_VALUE"""),"fusdt")</f>
        <v>fusdt</v>
      </c>
      <c r="C4791" s="4" t="str">
        <f>IFERROR(__xludf.DUMMYFUNCTION("""COMPUTED_VALUE"""),"Flux USDT")</f>
        <v>Flux USDT</v>
      </c>
    </row>
    <row r="4792">
      <c r="A4792" s="4" t="str">
        <f>IFERROR(__xludf.DUMMYFUNCTION("""COMPUTED_VALUE"""),"flycoin-fly")</f>
        <v>flycoin-fly</v>
      </c>
      <c r="B4792" s="4" t="str">
        <f>IFERROR(__xludf.DUMMYFUNCTION("""COMPUTED_VALUE"""),"fly")</f>
        <v>fly</v>
      </c>
      <c r="C4792" s="4" t="str">
        <f>IFERROR(__xludf.DUMMYFUNCTION("""COMPUTED_VALUE"""),"Flycoin FLY")</f>
        <v>Flycoin FLY</v>
      </c>
    </row>
    <row r="4793">
      <c r="A4793" s="4" t="str">
        <f>IFERROR(__xludf.DUMMYFUNCTION("""COMPUTED_VALUE"""),"flying-avocado-cat")</f>
        <v>flying-avocado-cat</v>
      </c>
      <c r="B4793" s="4" t="str">
        <f>IFERROR(__xludf.DUMMYFUNCTION("""COMPUTED_VALUE"""),"fac")</f>
        <v>fac</v>
      </c>
      <c r="C4793" s="4" t="str">
        <f>IFERROR(__xludf.DUMMYFUNCTION("""COMPUTED_VALUE"""),"Flying Avocado Cat")</f>
        <v>Flying Avocado Cat</v>
      </c>
    </row>
    <row r="4794">
      <c r="A4794" s="4" t="str">
        <f>IFERROR(__xludf.DUMMYFUNCTION("""COMPUTED_VALUE"""),"flypme")</f>
        <v>flypme</v>
      </c>
      <c r="B4794" s="4" t="str">
        <f>IFERROR(__xludf.DUMMYFUNCTION("""COMPUTED_VALUE"""),"fyp")</f>
        <v>fyp</v>
      </c>
      <c r="C4794" s="4" t="str">
        <f>IFERROR(__xludf.DUMMYFUNCTION("""COMPUTED_VALUE"""),"FlypMe")</f>
        <v>FlypMe</v>
      </c>
    </row>
    <row r="4795">
      <c r="A4795" s="4" t="str">
        <f>IFERROR(__xludf.DUMMYFUNCTION("""COMPUTED_VALUE"""),"fncy")</f>
        <v>fncy</v>
      </c>
      <c r="B4795" s="4" t="str">
        <f>IFERROR(__xludf.DUMMYFUNCTION("""COMPUTED_VALUE"""),"fncy")</f>
        <v>fncy</v>
      </c>
      <c r="C4795" s="4" t="str">
        <f>IFERROR(__xludf.DUMMYFUNCTION("""COMPUTED_VALUE"""),"FNCY")</f>
        <v>FNCY</v>
      </c>
    </row>
    <row r="4796">
      <c r="A4796" s="4" t="str">
        <f>IFERROR(__xludf.DUMMYFUNCTION("""COMPUTED_VALUE"""),"fnkcom")</f>
        <v>fnkcom</v>
      </c>
      <c r="B4796" s="4" t="str">
        <f>IFERROR(__xludf.DUMMYFUNCTION("""COMPUTED_VALUE"""),"fnk")</f>
        <v>fnk</v>
      </c>
      <c r="C4796" s="5" t="str">
        <f>IFERROR(__xludf.DUMMYFUNCTION("""COMPUTED_VALUE"""),"Fnk.com")</f>
        <v>Fnk.com</v>
      </c>
    </row>
    <row r="4797">
      <c r="A4797" s="4" t="str">
        <f>IFERROR(__xludf.DUMMYFUNCTION("""COMPUTED_VALUE"""),"foam-protocol")</f>
        <v>foam-protocol</v>
      </c>
      <c r="B4797" s="4" t="str">
        <f>IFERROR(__xludf.DUMMYFUNCTION("""COMPUTED_VALUE"""),"foam")</f>
        <v>foam</v>
      </c>
      <c r="C4797" s="4" t="str">
        <f>IFERROR(__xludf.DUMMYFUNCTION("""COMPUTED_VALUE"""),"FOAM")</f>
        <v>FOAM</v>
      </c>
    </row>
    <row r="4798">
      <c r="A4798" s="4" t="str">
        <f>IFERROR(__xludf.DUMMYFUNCTION("""COMPUTED_VALUE"""),"foc")</f>
        <v>foc</v>
      </c>
      <c r="B4798" s="4" t="str">
        <f>IFERROR(__xludf.DUMMYFUNCTION("""COMPUTED_VALUE"""),"foc")</f>
        <v>foc</v>
      </c>
      <c r="C4798" s="4" t="str">
        <f>IFERROR(__xludf.DUMMYFUNCTION("""COMPUTED_VALUE"""),"FOC")</f>
        <v>FOC</v>
      </c>
    </row>
    <row r="4799">
      <c r="A4799" s="4" t="str">
        <f>IFERROR(__xludf.DUMMYFUNCTION("""COMPUTED_VALUE"""),"fodl-finance")</f>
        <v>fodl-finance</v>
      </c>
      <c r="B4799" s="4" t="str">
        <f>IFERROR(__xludf.DUMMYFUNCTION("""COMPUTED_VALUE"""),"fodl")</f>
        <v>fodl</v>
      </c>
      <c r="C4799" s="4" t="str">
        <f>IFERROR(__xludf.DUMMYFUNCTION("""COMPUTED_VALUE"""),"Fodl Finance")</f>
        <v>Fodl Finance</v>
      </c>
    </row>
    <row r="4800">
      <c r="A4800" s="4" t="str">
        <f>IFERROR(__xludf.DUMMYFUNCTION("""COMPUTED_VALUE"""),"fofar")</f>
        <v>fofar</v>
      </c>
      <c r="B4800" s="4" t="str">
        <f>IFERROR(__xludf.DUMMYFUNCTION("""COMPUTED_VALUE"""),"fofar")</f>
        <v>fofar</v>
      </c>
      <c r="C4800" s="4" t="str">
        <f>IFERROR(__xludf.DUMMYFUNCTION("""COMPUTED_VALUE"""),"Fofar")</f>
        <v>Fofar</v>
      </c>
    </row>
    <row r="4801">
      <c r="A4801" s="4" t="str">
        <f>IFERROR(__xludf.DUMMYFUNCTION("""COMPUTED_VALUE"""),"fofo-token")</f>
        <v>fofo-token</v>
      </c>
      <c r="B4801" s="4" t="str">
        <f>IFERROR(__xludf.DUMMYFUNCTION("""COMPUTED_VALUE"""),"fofo")</f>
        <v>fofo</v>
      </c>
      <c r="C4801" s="4" t="str">
        <f>IFERROR(__xludf.DUMMYFUNCTION("""COMPUTED_VALUE"""),"FOFO Token")</f>
        <v>FOFO Token</v>
      </c>
    </row>
    <row r="4802">
      <c r="A4802" s="4" t="str">
        <f>IFERROR(__xludf.DUMMYFUNCTION("""COMPUTED_VALUE"""),"fognet")</f>
        <v>fognet</v>
      </c>
      <c r="B4802" s="4" t="str">
        <f>IFERROR(__xludf.DUMMYFUNCTION("""COMPUTED_VALUE"""),"fog")</f>
        <v>fog</v>
      </c>
      <c r="C4802" s="4" t="str">
        <f>IFERROR(__xludf.DUMMYFUNCTION("""COMPUTED_VALUE"""),"FOGnet")</f>
        <v>FOGnet</v>
      </c>
    </row>
    <row r="4803">
      <c r="A4803" s="4" t="str">
        <f>IFERROR(__xludf.DUMMYFUNCTION("""COMPUTED_VALUE"""),"foho-coin")</f>
        <v>foho-coin</v>
      </c>
      <c r="B4803" s="4" t="str">
        <f>IFERROR(__xludf.DUMMYFUNCTION("""COMPUTED_VALUE"""),"foho")</f>
        <v>foho</v>
      </c>
      <c r="C4803" s="4" t="str">
        <f>IFERROR(__xludf.DUMMYFUNCTION("""COMPUTED_VALUE"""),"Foho Coin")</f>
        <v>Foho Coin</v>
      </c>
    </row>
    <row r="4804">
      <c r="A4804" s="4" t="str">
        <f>IFERROR(__xludf.DUMMYFUNCTION("""COMPUTED_VALUE"""),"fold")</f>
        <v>fold</v>
      </c>
      <c r="B4804" s="4" t="str">
        <f>IFERROR(__xludf.DUMMYFUNCTION("""COMPUTED_VALUE"""),"$fld")</f>
        <v>$fld</v>
      </c>
      <c r="C4804" s="4" t="str">
        <f>IFERROR(__xludf.DUMMYFUNCTION("""COMPUTED_VALUE"""),"Fold")</f>
        <v>Fold</v>
      </c>
    </row>
    <row r="4805">
      <c r="A4805" s="4" t="str">
        <f>IFERROR(__xludf.DUMMYFUNCTION("""COMPUTED_VALUE"""),"follow-token")</f>
        <v>follow-token</v>
      </c>
      <c r="B4805" s="4" t="str">
        <f>IFERROR(__xludf.DUMMYFUNCTION("""COMPUTED_VALUE"""),"folo")</f>
        <v>folo</v>
      </c>
      <c r="C4805" s="4" t="str">
        <f>IFERROR(__xludf.DUMMYFUNCTION("""COMPUTED_VALUE"""),"Alpha Impact")</f>
        <v>Alpha Impact</v>
      </c>
    </row>
    <row r="4806">
      <c r="A4806" s="4" t="str">
        <f>IFERROR(__xludf.DUMMYFUNCTION("""COMPUTED_VALUE"""),"fomo-2")</f>
        <v>fomo-2</v>
      </c>
      <c r="B4806" s="4" t="str">
        <f>IFERROR(__xludf.DUMMYFUNCTION("""COMPUTED_VALUE"""),"fomo")</f>
        <v>fomo</v>
      </c>
      <c r="C4806" s="4" t="str">
        <f>IFERROR(__xludf.DUMMYFUNCTION("""COMPUTED_VALUE"""),"FOMO")</f>
        <v>FOMO</v>
      </c>
    </row>
    <row r="4807">
      <c r="A4807" s="4" t="str">
        <f>IFERROR(__xludf.DUMMYFUNCTION("""COMPUTED_VALUE"""),"fomo-base")</f>
        <v>fomo-base</v>
      </c>
      <c r="B4807" s="4" t="str">
        <f>IFERROR(__xludf.DUMMYFUNCTION("""COMPUTED_VALUE"""),"fomo")</f>
        <v>fomo</v>
      </c>
      <c r="C4807" s="4" t="str">
        <f>IFERROR(__xludf.DUMMYFUNCTION("""COMPUTED_VALUE"""),"FOMO Base")</f>
        <v>FOMO Base</v>
      </c>
    </row>
    <row r="4808">
      <c r="A4808" s="4" t="str">
        <f>IFERROR(__xludf.DUMMYFUNCTION("""COMPUTED_VALUE"""),"fomo-eth")</f>
        <v>fomo-eth</v>
      </c>
      <c r="B4808" s="4" t="str">
        <f>IFERROR(__xludf.DUMMYFUNCTION("""COMPUTED_VALUE"""),"fomo")</f>
        <v>fomo</v>
      </c>
      <c r="C4808" s="4" t="str">
        <f>IFERROR(__xludf.DUMMYFUNCTION("""COMPUTED_VALUE"""),"Fomo Eth")</f>
        <v>Fomo Eth</v>
      </c>
    </row>
    <row r="4809">
      <c r="A4809" s="4" t="str">
        <f>IFERROR(__xludf.DUMMYFUNCTION("""COMPUTED_VALUE"""),"fomofi")</f>
        <v>fomofi</v>
      </c>
      <c r="B4809" s="4" t="str">
        <f>IFERROR(__xludf.DUMMYFUNCTION("""COMPUTED_VALUE"""),"fomo")</f>
        <v>fomo</v>
      </c>
      <c r="C4809" s="4" t="str">
        <f>IFERROR(__xludf.DUMMYFUNCTION("""COMPUTED_VALUE"""),"FomoFi")</f>
        <v>FomoFi</v>
      </c>
    </row>
    <row r="4810">
      <c r="A4810" s="4" t="str">
        <f>IFERROR(__xludf.DUMMYFUNCTION("""COMPUTED_VALUE"""),"fomo-inu")</f>
        <v>fomo-inu</v>
      </c>
      <c r="B4810" s="4" t="str">
        <f>IFERROR(__xludf.DUMMYFUNCTION("""COMPUTED_VALUE"""),"finu")</f>
        <v>finu</v>
      </c>
      <c r="C4810" s="4" t="str">
        <f>IFERROR(__xludf.DUMMYFUNCTION("""COMPUTED_VALUE"""),"Fomo Inu")</f>
        <v>Fomo Inu</v>
      </c>
    </row>
    <row r="4811">
      <c r="A4811" s="4" t="str">
        <f>IFERROR(__xludf.DUMMYFUNCTION("""COMPUTED_VALUE"""),"fomosfi")</f>
        <v>fomosfi</v>
      </c>
      <c r="B4811" s="4" t="str">
        <f>IFERROR(__xludf.DUMMYFUNCTION("""COMPUTED_VALUE"""),"fomos")</f>
        <v>fomos</v>
      </c>
      <c r="C4811" s="4" t="str">
        <f>IFERROR(__xludf.DUMMYFUNCTION("""COMPUTED_VALUE"""),"FomosFi")</f>
        <v>FomosFi</v>
      </c>
    </row>
    <row r="4812">
      <c r="A4812" s="4" t="str">
        <f>IFERROR(__xludf.DUMMYFUNCTION("""COMPUTED_VALUE"""),"fone")</f>
        <v>fone</v>
      </c>
      <c r="B4812" s="4" t="str">
        <f>IFERROR(__xludf.DUMMYFUNCTION("""COMPUTED_VALUE"""),"fone")</f>
        <v>fone</v>
      </c>
      <c r="C4812" s="4" t="str">
        <f>IFERROR(__xludf.DUMMYFUNCTION("""COMPUTED_VALUE"""),"Fone")</f>
        <v>Fone</v>
      </c>
    </row>
    <row r="4813">
      <c r="A4813" s="4" t="str">
        <f>IFERROR(__xludf.DUMMYFUNCTION("""COMPUTED_VALUE"""),"fonsmartchain")</f>
        <v>fonsmartchain</v>
      </c>
      <c r="B4813" s="4" t="str">
        <f>IFERROR(__xludf.DUMMYFUNCTION("""COMPUTED_VALUE"""),"fon")</f>
        <v>fon</v>
      </c>
      <c r="C4813" s="4" t="str">
        <f>IFERROR(__xludf.DUMMYFUNCTION("""COMPUTED_VALUE"""),"FONSmartChain")</f>
        <v>FONSmartChain</v>
      </c>
    </row>
    <row r="4814">
      <c r="A4814" s="4" t="str">
        <f>IFERROR(__xludf.DUMMYFUNCTION("""COMPUTED_VALUE"""),"fonzy")</f>
        <v>fonzy</v>
      </c>
      <c r="B4814" s="4" t="str">
        <f>IFERROR(__xludf.DUMMYFUNCTION("""COMPUTED_VALUE"""),"fonzy")</f>
        <v>fonzy</v>
      </c>
      <c r="C4814" s="4" t="str">
        <f>IFERROR(__xludf.DUMMYFUNCTION("""COMPUTED_VALUE"""),"Fonzy")</f>
        <v>Fonzy</v>
      </c>
    </row>
    <row r="4815">
      <c r="A4815" s="4" t="str">
        <f>IFERROR(__xludf.DUMMYFUNCTION("""COMPUTED_VALUE"""),"food")</f>
        <v>food</v>
      </c>
      <c r="B4815" s="4" t="str">
        <f>IFERROR(__xludf.DUMMYFUNCTION("""COMPUTED_VALUE"""),"food")</f>
        <v>food</v>
      </c>
      <c r="C4815" s="4" t="str">
        <f>IFERROR(__xludf.DUMMYFUNCTION("""COMPUTED_VALUE"""),"Food")</f>
        <v>Food</v>
      </c>
    </row>
    <row r="4816">
      <c r="A4816" s="4" t="str">
        <f>IFERROR(__xludf.DUMMYFUNCTION("""COMPUTED_VALUE"""),"food-bank")</f>
        <v>food-bank</v>
      </c>
      <c r="B4816" s="4" t="str">
        <f>IFERROR(__xludf.DUMMYFUNCTION("""COMPUTED_VALUE"""),"food")</f>
        <v>food</v>
      </c>
      <c r="C4816" s="4" t="str">
        <f>IFERROR(__xludf.DUMMYFUNCTION("""COMPUTED_VALUE"""),"Food Bank")</f>
        <v>Food Bank</v>
      </c>
    </row>
    <row r="4817">
      <c r="A4817" s="4" t="str">
        <f>IFERROR(__xludf.DUMMYFUNCTION("""COMPUTED_VALUE"""),"foodchain-global")</f>
        <v>foodchain-global</v>
      </c>
      <c r="B4817" s="4" t="str">
        <f>IFERROR(__xludf.DUMMYFUNCTION("""COMPUTED_VALUE"""),"food")</f>
        <v>food</v>
      </c>
      <c r="C4817" s="4" t="str">
        <f>IFERROR(__xludf.DUMMYFUNCTION("""COMPUTED_VALUE"""),"FoodChain Global")</f>
        <v>FoodChain Global</v>
      </c>
    </row>
    <row r="4818">
      <c r="A4818" s="4" t="str">
        <f>IFERROR(__xludf.DUMMYFUNCTION("""COMPUTED_VALUE"""),"food-token-2")</f>
        <v>food-token-2</v>
      </c>
      <c r="B4818" s="4" t="str">
        <f>IFERROR(__xludf.DUMMYFUNCTION("""COMPUTED_VALUE"""),"food")</f>
        <v>food</v>
      </c>
      <c r="C4818" s="4" t="str">
        <f>IFERROR(__xludf.DUMMYFUNCTION("""COMPUTED_VALUE"""),"Food Token")</f>
        <v>Food Token</v>
      </c>
    </row>
    <row r="4819">
      <c r="A4819" s="4" t="str">
        <f>IFERROR(__xludf.DUMMYFUNCTION("""COMPUTED_VALUE"""),"foolbull")</f>
        <v>foolbull</v>
      </c>
      <c r="B4819" s="4" t="str">
        <f>IFERROR(__xludf.DUMMYFUNCTION("""COMPUTED_VALUE"""),"foolbull")</f>
        <v>foolbull</v>
      </c>
      <c r="C4819" s="4" t="str">
        <f>IFERROR(__xludf.DUMMYFUNCTION("""COMPUTED_VALUE"""),"FoolBull")</f>
        <v>FoolBull</v>
      </c>
    </row>
    <row r="4820">
      <c r="A4820" s="4" t="str">
        <f>IFERROR(__xludf.DUMMYFUNCTION("""COMPUTED_VALUE"""),"foom")</f>
        <v>foom</v>
      </c>
      <c r="B4820" s="4" t="str">
        <f>IFERROR(__xludf.DUMMYFUNCTION("""COMPUTED_VALUE"""),"foom")</f>
        <v>foom</v>
      </c>
      <c r="C4820" s="4" t="str">
        <f>IFERROR(__xludf.DUMMYFUNCTION("""COMPUTED_VALUE"""),"Foom")</f>
        <v>Foom</v>
      </c>
    </row>
    <row r="4821">
      <c r="A4821" s="4" t="str">
        <f>IFERROR(__xludf.DUMMYFUNCTION("""COMPUTED_VALUE"""),"football-at-alphaverse")</f>
        <v>football-at-alphaverse</v>
      </c>
      <c r="B4821" s="4" t="str">
        <f>IFERROR(__xludf.DUMMYFUNCTION("""COMPUTED_VALUE"""),"fav")</f>
        <v>fav</v>
      </c>
      <c r="C4821" s="4" t="str">
        <f>IFERROR(__xludf.DUMMYFUNCTION("""COMPUTED_VALUE"""),"Football at AlphaVerse")</f>
        <v>Football at AlphaVerse</v>
      </c>
    </row>
    <row r="4822">
      <c r="A4822" s="4" t="str">
        <f>IFERROR(__xludf.DUMMYFUNCTION("""COMPUTED_VALUE"""),"football-coin")</f>
        <v>football-coin</v>
      </c>
      <c r="B4822" s="4" t="str">
        <f>IFERROR(__xludf.DUMMYFUNCTION("""COMPUTED_VALUE"""),"xfc")</f>
        <v>xfc</v>
      </c>
      <c r="C4822" s="4" t="str">
        <f>IFERROR(__xludf.DUMMYFUNCTION("""COMPUTED_VALUE"""),"Football Coin")</f>
        <v>Football Coin</v>
      </c>
    </row>
    <row r="4823">
      <c r="A4823" s="4" t="str">
        <f>IFERROR(__xludf.DUMMYFUNCTION("""COMPUTED_VALUE"""),"footballfanapp")</f>
        <v>footballfanapp</v>
      </c>
      <c r="B4823" s="4" t="str">
        <f>IFERROR(__xludf.DUMMYFUNCTION("""COMPUTED_VALUE"""),"fnc")</f>
        <v>fnc</v>
      </c>
      <c r="C4823" s="4" t="str">
        <f>IFERROR(__xludf.DUMMYFUNCTION("""COMPUTED_VALUE"""),"FanCoin®")</f>
        <v>FanCoin®</v>
      </c>
    </row>
    <row r="4824">
      <c r="A4824" s="4" t="str">
        <f>IFERROR(__xludf.DUMMYFUNCTION("""COMPUTED_VALUE"""),"footballstars")</f>
        <v>footballstars</v>
      </c>
      <c r="B4824" s="4" t="str">
        <f>IFERROR(__xludf.DUMMYFUNCTION("""COMPUTED_VALUE"""),"fts")</f>
        <v>fts</v>
      </c>
      <c r="C4824" s="4" t="str">
        <f>IFERROR(__xludf.DUMMYFUNCTION("""COMPUTED_VALUE"""),"FootballStars")</f>
        <v>FootballStars</v>
      </c>
    </row>
    <row r="4825">
      <c r="A4825" s="4" t="str">
        <f>IFERROR(__xludf.DUMMYFUNCTION("""COMPUTED_VALUE"""),"football-world-community")</f>
        <v>football-world-community</v>
      </c>
      <c r="B4825" s="4" t="str">
        <f>IFERROR(__xludf.DUMMYFUNCTION("""COMPUTED_VALUE"""),"fwc")</f>
        <v>fwc</v>
      </c>
      <c r="C4825" s="4" t="str">
        <f>IFERROR(__xludf.DUMMYFUNCTION("""COMPUTED_VALUE"""),"Football World Community")</f>
        <v>Football World Community</v>
      </c>
    </row>
    <row r="4826">
      <c r="A4826" s="4" t="str">
        <f>IFERROR(__xludf.DUMMYFUNCTION("""COMPUTED_VALUE"""),"foox-ordinals")</f>
        <v>foox-ordinals</v>
      </c>
      <c r="B4826" s="4" t="str">
        <f>IFERROR(__xludf.DUMMYFUNCTION("""COMPUTED_VALUE"""),"foox")</f>
        <v>foox</v>
      </c>
      <c r="C4826" s="4" t="str">
        <f>IFERROR(__xludf.DUMMYFUNCTION("""COMPUTED_VALUE"""),"Foox (Ordinals)")</f>
        <v>Foox (Ordinals)</v>
      </c>
    </row>
    <row r="4827">
      <c r="A4827" s="4" t="str">
        <f>IFERROR(__xludf.DUMMYFUNCTION("""COMPUTED_VALUE"""),"forbidden-fruit-energy")</f>
        <v>forbidden-fruit-energy</v>
      </c>
      <c r="B4827" s="4" t="str">
        <f>IFERROR(__xludf.DUMMYFUNCTION("""COMPUTED_VALUE"""),"ffe")</f>
        <v>ffe</v>
      </c>
      <c r="C4827" s="4" t="str">
        <f>IFERROR(__xludf.DUMMYFUNCTION("""COMPUTED_VALUE"""),"Forbidden Fruit Energy")</f>
        <v>Forbidden Fruit Energy</v>
      </c>
    </row>
    <row r="4828">
      <c r="A4828" s="4" t="str">
        <f>IFERROR(__xludf.DUMMYFUNCTION("""COMPUTED_VALUE"""),"force-2")</f>
        <v>force-2</v>
      </c>
      <c r="B4828" s="4" t="str">
        <f>IFERROR(__xludf.DUMMYFUNCTION("""COMPUTED_VALUE"""),"frc")</f>
        <v>frc</v>
      </c>
      <c r="C4828" s="4" t="str">
        <f>IFERROR(__xludf.DUMMYFUNCTION("""COMPUTED_VALUE"""),"Force")</f>
        <v>Force</v>
      </c>
    </row>
    <row r="4829">
      <c r="A4829" s="4" t="str">
        <f>IFERROR(__xludf.DUMMYFUNCTION("""COMPUTED_VALUE"""),"force-bridge-usdc")</f>
        <v>force-bridge-usdc</v>
      </c>
      <c r="B4829" s="4" t="str">
        <f>IFERROR(__xludf.DUMMYFUNCTION("""COMPUTED_VALUE"""),"usdc")</f>
        <v>usdc</v>
      </c>
      <c r="C4829" s="4" t="str">
        <f>IFERROR(__xludf.DUMMYFUNCTION("""COMPUTED_VALUE"""),"Bridged USD Coin (Force Bridge)")</f>
        <v>Bridged USD Coin (Force Bridge)</v>
      </c>
    </row>
    <row r="4830">
      <c r="A4830" s="4" t="str">
        <f>IFERROR(__xludf.DUMMYFUNCTION("""COMPUTED_VALUE"""),"forcefi")</f>
        <v>forcefi</v>
      </c>
      <c r="B4830" s="4" t="str">
        <f>IFERROR(__xludf.DUMMYFUNCTION("""COMPUTED_VALUE"""),"forc")</f>
        <v>forc</v>
      </c>
      <c r="C4830" s="4" t="str">
        <f>IFERROR(__xludf.DUMMYFUNCTION("""COMPUTED_VALUE"""),"Forcefi")</f>
        <v>Forcefi</v>
      </c>
    </row>
    <row r="4831">
      <c r="A4831" s="4" t="str">
        <f>IFERROR(__xludf.DUMMYFUNCTION("""COMPUTED_VALUE"""),"force-protocol")</f>
        <v>force-protocol</v>
      </c>
      <c r="B4831" s="4" t="str">
        <f>IFERROR(__xludf.DUMMYFUNCTION("""COMPUTED_VALUE"""),"for")</f>
        <v>for</v>
      </c>
      <c r="C4831" s="4" t="str">
        <f>IFERROR(__xludf.DUMMYFUNCTION("""COMPUTED_VALUE"""),"ForTube")</f>
        <v>ForTube</v>
      </c>
    </row>
    <row r="4832">
      <c r="A4832" s="4" t="str">
        <f>IFERROR(__xludf.DUMMYFUNCTION("""COMPUTED_VALUE"""),"forefront")</f>
        <v>forefront</v>
      </c>
      <c r="B4832" s="4" t="str">
        <f>IFERROR(__xludf.DUMMYFUNCTION("""COMPUTED_VALUE"""),"ff")</f>
        <v>ff</v>
      </c>
      <c r="C4832" s="4" t="str">
        <f>IFERROR(__xludf.DUMMYFUNCTION("""COMPUTED_VALUE"""),"Forefront")</f>
        <v>Forefront</v>
      </c>
    </row>
    <row r="4833">
      <c r="A4833" s="4" t="str">
        <f>IFERROR(__xludf.DUMMYFUNCTION("""COMPUTED_VALUE"""),"fore-protocol")</f>
        <v>fore-protocol</v>
      </c>
      <c r="B4833" s="4" t="str">
        <f>IFERROR(__xludf.DUMMYFUNCTION("""COMPUTED_VALUE"""),"fore")</f>
        <v>fore</v>
      </c>
      <c r="C4833" s="4" t="str">
        <f>IFERROR(__xludf.DUMMYFUNCTION("""COMPUTED_VALUE"""),"FORE Protocol")</f>
        <v>FORE Protocol</v>
      </c>
    </row>
    <row r="4834">
      <c r="A4834" s="4" t="str">
        <f>IFERROR(__xludf.DUMMYFUNCTION("""COMPUTED_VALUE"""),"forest-knight")</f>
        <v>forest-knight</v>
      </c>
      <c r="B4834" s="4" t="str">
        <f>IFERROR(__xludf.DUMMYFUNCTION("""COMPUTED_VALUE"""),"knight")</f>
        <v>knight</v>
      </c>
      <c r="C4834" s="4" t="str">
        <f>IFERROR(__xludf.DUMMYFUNCTION("""COMPUTED_VALUE"""),"Forest Knight")</f>
        <v>Forest Knight</v>
      </c>
    </row>
    <row r="4835">
      <c r="A4835" s="4" t="str">
        <f>IFERROR(__xludf.DUMMYFUNCTION("""COMPUTED_VALUE"""),"forestry")</f>
        <v>forestry</v>
      </c>
      <c r="B4835" s="4" t="str">
        <f>IFERROR(__xludf.DUMMYFUNCTION("""COMPUTED_VALUE"""),"fry")</f>
        <v>fry</v>
      </c>
      <c r="C4835" s="4" t="str">
        <f>IFERROR(__xludf.DUMMYFUNCTION("""COMPUTED_VALUE"""),"Forestry")</f>
        <v>Forestry</v>
      </c>
    </row>
    <row r="4836">
      <c r="A4836" s="4" t="str">
        <f>IFERROR(__xludf.DUMMYFUNCTION("""COMPUTED_VALUE"""),"forever-aid-token")</f>
        <v>forever-aid-token</v>
      </c>
      <c r="B4836" s="4" t="str">
        <f>IFERROR(__xludf.DUMMYFUNCTION("""COMPUTED_VALUE"""),"foat")</f>
        <v>foat</v>
      </c>
      <c r="C4836" s="4" t="str">
        <f>IFERROR(__xludf.DUMMYFUNCTION("""COMPUTED_VALUE"""),"Forever Aid Token")</f>
        <v>Forever Aid Token</v>
      </c>
    </row>
    <row r="4837">
      <c r="A4837" s="4" t="str">
        <f>IFERROR(__xludf.DUMMYFUNCTION("""COMPUTED_VALUE"""),"forever-burn")</f>
        <v>forever-burn</v>
      </c>
      <c r="B4837" s="4" t="str">
        <f>IFERROR(__xludf.DUMMYFUNCTION("""COMPUTED_VALUE"""),"fburn")</f>
        <v>fburn</v>
      </c>
      <c r="C4837" s="4" t="str">
        <f>IFERROR(__xludf.DUMMYFUNCTION("""COMPUTED_VALUE"""),"Forever Burn")</f>
        <v>Forever Burn</v>
      </c>
    </row>
    <row r="4838">
      <c r="A4838" s="4" t="str">
        <f>IFERROR(__xludf.DUMMYFUNCTION("""COMPUTED_VALUE"""),"forever-shiba")</f>
        <v>forever-shiba</v>
      </c>
      <c r="B4838" s="4" t="str">
        <f>IFERROR(__xludf.DUMMYFUNCTION("""COMPUTED_VALUE"""),"4shiba")</f>
        <v>4shiba</v>
      </c>
      <c r="C4838" s="4" t="str">
        <f>IFERROR(__xludf.DUMMYFUNCTION("""COMPUTED_VALUE"""),"FOREVER SHIBA")</f>
        <v>FOREVER SHIBA</v>
      </c>
    </row>
    <row r="4839">
      <c r="A4839" s="4" t="str">
        <f>IFERROR(__xludf.DUMMYFUNCTION("""COMPUTED_VALUE"""),"forge")</f>
        <v>forge</v>
      </c>
      <c r="B4839" s="4" t="str">
        <f>IFERROR(__xludf.DUMMYFUNCTION("""COMPUTED_VALUE"""),"forge")</f>
        <v>forge</v>
      </c>
      <c r="C4839" s="4" t="str">
        <f>IFERROR(__xludf.DUMMYFUNCTION("""COMPUTED_VALUE"""),"Forge")</f>
        <v>Forge</v>
      </c>
    </row>
    <row r="4840">
      <c r="A4840" s="4" t="str">
        <f>IFERROR(__xludf.DUMMYFUNCTION("""COMPUTED_VALUE"""),"forgotten-playland")</f>
        <v>forgotten-playland</v>
      </c>
      <c r="B4840" s="4" t="str">
        <f>IFERROR(__xludf.DUMMYFUNCTION("""COMPUTED_VALUE"""),"fp")</f>
        <v>fp</v>
      </c>
      <c r="C4840" s="4" t="str">
        <f>IFERROR(__xludf.DUMMYFUNCTION("""COMPUTED_VALUE"""),"Forgotten Playland")</f>
        <v>Forgotten Playland</v>
      </c>
    </row>
    <row r="4841">
      <c r="A4841" s="4" t="str">
        <f>IFERROR(__xludf.DUMMYFUNCTION("""COMPUTED_VALUE"""),"for-loot-and-glory")</f>
        <v>for-loot-and-glory</v>
      </c>
      <c r="B4841" s="4" t="str">
        <f>IFERROR(__xludf.DUMMYFUNCTION("""COMPUTED_VALUE"""),"flag")</f>
        <v>flag</v>
      </c>
      <c r="C4841" s="4" t="str">
        <f>IFERROR(__xludf.DUMMYFUNCTION("""COMPUTED_VALUE"""),"For Loot And Glory")</f>
        <v>For Loot And Glory</v>
      </c>
    </row>
    <row r="4842">
      <c r="A4842" s="4" t="str">
        <f>IFERROR(__xludf.DUMMYFUNCTION("""COMPUTED_VALUE"""),"formation-fi")</f>
        <v>formation-fi</v>
      </c>
      <c r="B4842" s="4" t="str">
        <f>IFERROR(__xludf.DUMMYFUNCTION("""COMPUTED_VALUE"""),"form")</f>
        <v>form</v>
      </c>
      <c r="C4842" s="4" t="str">
        <f>IFERROR(__xludf.DUMMYFUNCTION("""COMPUTED_VALUE"""),"Formation FI")</f>
        <v>Formation FI</v>
      </c>
    </row>
    <row r="4843">
      <c r="A4843" s="4" t="str">
        <f>IFERROR(__xludf.DUMMYFUNCTION("""COMPUTED_VALUE"""),"formula-inu")</f>
        <v>formula-inu</v>
      </c>
      <c r="B4843" s="4" t="str">
        <f>IFERROR(__xludf.DUMMYFUNCTION("""COMPUTED_VALUE"""),"finu")</f>
        <v>finu</v>
      </c>
      <c r="C4843" s="4" t="str">
        <f>IFERROR(__xludf.DUMMYFUNCTION("""COMPUTED_VALUE"""),"FINU")</f>
        <v>FINU</v>
      </c>
    </row>
    <row r="4844">
      <c r="A4844" s="4" t="str">
        <f>IFERROR(__xludf.DUMMYFUNCTION("""COMPUTED_VALUE"""),"forrealog")</f>
        <v>forrealog</v>
      </c>
      <c r="B4844" s="4" t="str">
        <f>IFERROR(__xludf.DUMMYFUNCTION("""COMPUTED_VALUE"""),"frog")</f>
        <v>frog</v>
      </c>
      <c r="C4844" s="4" t="str">
        <f>IFERROR(__xludf.DUMMYFUNCTION("""COMPUTED_VALUE"""),"ForRealOG")</f>
        <v>ForRealOG</v>
      </c>
    </row>
    <row r="4845">
      <c r="A4845" s="4" t="str">
        <f>IFERROR(__xludf.DUMMYFUNCTION("""COMPUTED_VALUE"""),"forta")</f>
        <v>forta</v>
      </c>
      <c r="B4845" s="4" t="str">
        <f>IFERROR(__xludf.DUMMYFUNCTION("""COMPUTED_VALUE"""),"fort")</f>
        <v>fort</v>
      </c>
      <c r="C4845" s="4" t="str">
        <f>IFERROR(__xludf.DUMMYFUNCTION("""COMPUTED_VALUE"""),"Forta")</f>
        <v>Forta</v>
      </c>
    </row>
    <row r="4846">
      <c r="A4846" s="4" t="str">
        <f>IFERROR(__xludf.DUMMYFUNCTION("""COMPUTED_VALUE"""),"fort-block-games")</f>
        <v>fort-block-games</v>
      </c>
      <c r="B4846" s="4" t="str">
        <f>IFERROR(__xludf.DUMMYFUNCTION("""COMPUTED_VALUE"""),"fbg")</f>
        <v>fbg</v>
      </c>
      <c r="C4846" s="4" t="str">
        <f>IFERROR(__xludf.DUMMYFUNCTION("""COMPUTED_VALUE"""),"Fort Block Games")</f>
        <v>Fort Block Games</v>
      </c>
    </row>
    <row r="4847">
      <c r="A4847" s="4" t="str">
        <f>IFERROR(__xludf.DUMMYFUNCTION("""COMPUTED_VALUE"""),"fortress")</f>
        <v>fortress</v>
      </c>
      <c r="B4847" s="4" t="str">
        <f>IFERROR(__xludf.DUMMYFUNCTION("""COMPUTED_VALUE"""),"fts")</f>
        <v>fts</v>
      </c>
      <c r="C4847" s="4" t="str">
        <f>IFERROR(__xludf.DUMMYFUNCTION("""COMPUTED_VALUE"""),"Fortress Loans")</f>
        <v>Fortress Loans</v>
      </c>
    </row>
    <row r="4848">
      <c r="A4848" s="4" t="str">
        <f>IFERROR(__xludf.DUMMYFUNCTION("""COMPUTED_VALUE"""),"fortunafi-tokenized-short-term-u-s-treasury-bills-for-non-us-residents")</f>
        <v>fortunafi-tokenized-short-term-u-s-treasury-bills-for-non-us-residents</v>
      </c>
      <c r="B4848" s="4" t="str">
        <f>IFERROR(__xludf.DUMMYFUNCTION("""COMPUTED_VALUE"""),"ifbill")</f>
        <v>ifbill</v>
      </c>
      <c r="C4848" s="4" t="str">
        <f>IFERROR(__xludf.DUMMYFUNCTION("""COMPUTED_VALUE"""),"Fortunafi Tokenized Short-term U.S. Treasury Bills for Non US Residents")</f>
        <v>Fortunafi Tokenized Short-term U.S. Treasury Bills for Non US Residents</v>
      </c>
    </row>
    <row r="4849">
      <c r="A4849" s="4" t="str">
        <f>IFERROR(__xludf.DUMMYFUNCTION("""COMPUTED_VALUE"""),"fortuna-sittard-fan-token")</f>
        <v>fortuna-sittard-fan-token</v>
      </c>
      <c r="B4849" s="4" t="str">
        <f>IFERROR(__xludf.DUMMYFUNCTION("""COMPUTED_VALUE"""),"for")</f>
        <v>for</v>
      </c>
      <c r="C4849" s="4" t="str">
        <f>IFERROR(__xludf.DUMMYFUNCTION("""COMPUTED_VALUE"""),"Fortuna Sittard Fan Token")</f>
        <v>Fortuna Sittard Fan Token</v>
      </c>
    </row>
    <row r="4850">
      <c r="A4850" s="4" t="str">
        <f>IFERROR(__xludf.DUMMYFUNCTION("""COMPUTED_VALUE"""),"fortunebets")</f>
        <v>fortunebets</v>
      </c>
      <c r="B4850" s="4" t="str">
        <f>IFERROR(__xludf.DUMMYFUNCTION("""COMPUTED_VALUE"""),"frt")</f>
        <v>frt</v>
      </c>
      <c r="C4850" s="4" t="str">
        <f>IFERROR(__xludf.DUMMYFUNCTION("""COMPUTED_VALUE"""),"FortuneBets")</f>
        <v>FortuneBets</v>
      </c>
    </row>
    <row r="4851">
      <c r="A4851" s="4" t="str">
        <f>IFERROR(__xludf.DUMMYFUNCTION("""COMPUTED_VALUE"""),"fortune-bets")</f>
        <v>fortune-bets</v>
      </c>
      <c r="B4851" s="4" t="str">
        <f>IFERROR(__xludf.DUMMYFUNCTION("""COMPUTED_VALUE"""),"fortune")</f>
        <v>fortune</v>
      </c>
      <c r="C4851" s="4" t="str">
        <f>IFERROR(__xludf.DUMMYFUNCTION("""COMPUTED_VALUE"""),"Fortune Bets")</f>
        <v>Fortune Bets</v>
      </c>
    </row>
    <row r="4852">
      <c r="A4852" s="4" t="str">
        <f>IFERROR(__xludf.DUMMYFUNCTION("""COMPUTED_VALUE"""),"forus")</f>
        <v>forus</v>
      </c>
      <c r="B4852" s="4" t="str">
        <f>IFERROR(__xludf.DUMMYFUNCTION("""COMPUTED_VALUE"""),"fors")</f>
        <v>fors</v>
      </c>
      <c r="C4852" s="4" t="str">
        <f>IFERROR(__xludf.DUMMYFUNCTION("""COMPUTED_VALUE"""),"Forus")</f>
        <v>Forus</v>
      </c>
    </row>
    <row r="4853">
      <c r="A4853" s="4" t="str">
        <f>IFERROR(__xludf.DUMMYFUNCTION("""COMPUTED_VALUE"""),"forward")</f>
        <v>forward</v>
      </c>
      <c r="B4853" s="4" t="str">
        <f>IFERROR(__xludf.DUMMYFUNCTION("""COMPUTED_VALUE"""),"forward")</f>
        <v>forward</v>
      </c>
      <c r="C4853" s="4" t="str">
        <f>IFERROR(__xludf.DUMMYFUNCTION("""COMPUTED_VALUE"""),"Forward")</f>
        <v>Forward</v>
      </c>
    </row>
    <row r="4854">
      <c r="A4854" s="4" t="str">
        <f>IFERROR(__xludf.DUMMYFUNCTION("""COMPUTED_VALUE"""),"forwards-rec-bh-2024")</f>
        <v>forwards-rec-bh-2024</v>
      </c>
      <c r="B4854" s="4" t="str">
        <f>IFERROR(__xludf.DUMMYFUNCTION("""COMPUTED_VALUE"""),"fjlt-b24")</f>
        <v>fjlt-b24</v>
      </c>
      <c r="C4854" s="4" t="str">
        <f>IFERROR(__xludf.DUMMYFUNCTION("""COMPUTED_VALUE"""),"Forwards Rec BH-2024")</f>
        <v>Forwards Rec BH-2024</v>
      </c>
    </row>
    <row r="4855">
      <c r="A4855" s="4" t="str">
        <f>IFERROR(__xludf.DUMMYFUNCTION("""COMPUTED_VALUE"""),"fottie")</f>
        <v>fottie</v>
      </c>
      <c r="B4855" s="4" t="str">
        <f>IFERROR(__xludf.DUMMYFUNCTION("""COMPUTED_VALUE"""),"fottie")</f>
        <v>fottie</v>
      </c>
      <c r="C4855" s="4" t="str">
        <f>IFERROR(__xludf.DUMMYFUNCTION("""COMPUTED_VALUE"""),"Fottie")</f>
        <v>Fottie</v>
      </c>
    </row>
    <row r="4856">
      <c r="A4856" s="4" t="str">
        <f>IFERROR(__xludf.DUMMYFUNCTION("""COMPUTED_VALUE"""),"fountain-protocol")</f>
        <v>fountain-protocol</v>
      </c>
      <c r="B4856" s="4" t="str">
        <f>IFERROR(__xludf.DUMMYFUNCTION("""COMPUTED_VALUE"""),"ftp")</f>
        <v>ftp</v>
      </c>
      <c r="C4856" s="4" t="str">
        <f>IFERROR(__xludf.DUMMYFUNCTION("""COMPUTED_VALUE"""),"Fountain Protocol")</f>
        <v>Fountain Protocol</v>
      </c>
    </row>
    <row r="4857">
      <c r="A4857" s="4" t="str">
        <f>IFERROR(__xludf.DUMMYFUNCTION("""COMPUTED_VALUE"""),"fourcoin")</f>
        <v>fourcoin</v>
      </c>
      <c r="B4857" s="4" t="str">
        <f>IFERROR(__xludf.DUMMYFUNCTION("""COMPUTED_VALUE"""),"four")</f>
        <v>four</v>
      </c>
      <c r="C4857" s="4" t="str">
        <f>IFERROR(__xludf.DUMMYFUNCTION("""COMPUTED_VALUE"""),"FourCoin")</f>
        <v>FourCoin</v>
      </c>
    </row>
    <row r="4858">
      <c r="A4858" s="4" t="str">
        <f>IFERROR(__xludf.DUMMYFUNCTION("""COMPUTED_VALUE"""),"foxcon")</f>
        <v>foxcon</v>
      </c>
      <c r="B4858" s="4" t="str">
        <f>IFERROR(__xludf.DUMMYFUNCTION("""COMPUTED_VALUE"""),"fox")</f>
        <v>fox</v>
      </c>
      <c r="C4858" s="4" t="str">
        <f>IFERROR(__xludf.DUMMYFUNCTION("""COMPUTED_VALUE"""),"Foxcon")</f>
        <v>Foxcon</v>
      </c>
    </row>
    <row r="4859">
      <c r="A4859" s="4" t="str">
        <f>IFERROR(__xludf.DUMMYFUNCTION("""COMPUTED_VALUE"""),"foxe")</f>
        <v>foxe</v>
      </c>
      <c r="B4859" s="4" t="str">
        <f>IFERROR(__xludf.DUMMYFUNCTION("""COMPUTED_VALUE"""),"foxe")</f>
        <v>foxe</v>
      </c>
      <c r="C4859" s="4" t="str">
        <f>IFERROR(__xludf.DUMMYFUNCTION("""COMPUTED_VALUE"""),"FOXE")</f>
        <v>FOXE</v>
      </c>
    </row>
    <row r="4860">
      <c r="A4860" s="4" t="str">
        <f>IFERROR(__xludf.DUMMYFUNCTION("""COMPUTED_VALUE"""),"foxfunnies")</f>
        <v>foxfunnies</v>
      </c>
      <c r="B4860" s="4" t="str">
        <f>IFERROR(__xludf.DUMMYFUNCTION("""COMPUTED_VALUE"""),"fxn")</f>
        <v>fxn</v>
      </c>
      <c r="C4860" s="4" t="str">
        <f>IFERROR(__xludf.DUMMYFUNCTION("""COMPUTED_VALUE"""),"FoxFunnies")</f>
        <v>FoxFunnies</v>
      </c>
    </row>
    <row r="4861">
      <c r="A4861" s="4" t="str">
        <f>IFERROR(__xludf.DUMMYFUNCTION("""COMPUTED_VALUE"""),"foxgirl")</f>
        <v>foxgirl</v>
      </c>
      <c r="B4861" s="4" t="str">
        <f>IFERROR(__xludf.DUMMYFUNCTION("""COMPUTED_VALUE"""),"foxgirl")</f>
        <v>foxgirl</v>
      </c>
      <c r="C4861" s="4" t="str">
        <f>IFERROR(__xludf.DUMMYFUNCTION("""COMPUTED_VALUE"""),"FoxGirl")</f>
        <v>FoxGirl</v>
      </c>
    </row>
    <row r="4862">
      <c r="A4862" s="4" t="str">
        <f>IFERROR(__xludf.DUMMYFUNCTION("""COMPUTED_VALUE"""),"foxify")</f>
        <v>foxify</v>
      </c>
      <c r="B4862" s="4" t="str">
        <f>IFERROR(__xludf.DUMMYFUNCTION("""COMPUTED_VALUE"""),"fox")</f>
        <v>fox</v>
      </c>
      <c r="C4862" s="4" t="str">
        <f>IFERROR(__xludf.DUMMYFUNCTION("""COMPUTED_VALUE"""),"Foxify")</f>
        <v>Foxify</v>
      </c>
    </row>
    <row r="4863">
      <c r="A4863" s="4" t="str">
        <f>IFERROR(__xludf.DUMMYFUNCTION("""COMPUTED_VALUE"""),"foxs")</f>
        <v>foxs</v>
      </c>
      <c r="B4863" s="4" t="str">
        <f>IFERROR(__xludf.DUMMYFUNCTION("""COMPUTED_VALUE"""),"foxs")</f>
        <v>foxs</v>
      </c>
      <c r="C4863" s="4" t="str">
        <f>IFERROR(__xludf.DUMMYFUNCTION("""COMPUTED_VALUE"""),"Foxs")</f>
        <v>Foxs</v>
      </c>
    </row>
    <row r="4864">
      <c r="A4864" s="4" t="str">
        <f>IFERROR(__xludf.DUMMYFUNCTION("""COMPUTED_VALUE"""),"fox-trading-token")</f>
        <v>fox-trading-token</v>
      </c>
      <c r="B4864" s="4" t="str">
        <f>IFERROR(__xludf.DUMMYFUNCTION("""COMPUTED_VALUE"""),"foxt")</f>
        <v>foxt</v>
      </c>
      <c r="C4864" s="4" t="str">
        <f>IFERROR(__xludf.DUMMYFUNCTION("""COMPUTED_VALUE"""),"Fox Trading")</f>
        <v>Fox Trading</v>
      </c>
    </row>
    <row r="4865">
      <c r="A4865" s="4" t="str">
        <f>IFERROR(__xludf.DUMMYFUNCTION("""COMPUTED_VALUE"""),"foxy")</f>
        <v>foxy</v>
      </c>
      <c r="B4865" s="4" t="str">
        <f>IFERROR(__xludf.DUMMYFUNCTION("""COMPUTED_VALUE"""),"foxy")</f>
        <v>foxy</v>
      </c>
      <c r="C4865" s="4" t="str">
        <f>IFERROR(__xludf.DUMMYFUNCTION("""COMPUTED_VALUE"""),"Foxy")</f>
        <v>Foxy</v>
      </c>
    </row>
    <row r="4866">
      <c r="A4866" s="4" t="str">
        <f>IFERROR(__xludf.DUMMYFUNCTION("""COMPUTED_VALUE"""),"fr33-gpt")</f>
        <v>fr33-gpt</v>
      </c>
      <c r="B4866" s="4" t="str">
        <f>IFERROR(__xludf.DUMMYFUNCTION("""COMPUTED_VALUE"""),"fr33")</f>
        <v>fr33</v>
      </c>
      <c r="C4866" s="4" t="str">
        <f>IFERROR(__xludf.DUMMYFUNCTION("""COMPUTED_VALUE"""),"FR33 GPT")</f>
        <v>FR33 GPT</v>
      </c>
    </row>
    <row r="4867">
      <c r="A4867" s="4" t="str">
        <f>IFERROR(__xludf.DUMMYFUNCTION("""COMPUTED_VALUE"""),"fractal")</f>
        <v>fractal</v>
      </c>
      <c r="B4867" s="4" t="str">
        <f>IFERROR(__xludf.DUMMYFUNCTION("""COMPUTED_VALUE"""),"fcl")</f>
        <v>fcl</v>
      </c>
      <c r="C4867" s="4" t="str">
        <f>IFERROR(__xludf.DUMMYFUNCTION("""COMPUTED_VALUE"""),"Fractal")</f>
        <v>Fractal</v>
      </c>
    </row>
    <row r="4868">
      <c r="A4868" s="4" t="str">
        <f>IFERROR(__xludf.DUMMYFUNCTION("""COMPUTED_VALUE"""),"fracton-protocol")</f>
        <v>fracton-protocol</v>
      </c>
      <c r="B4868" s="4" t="str">
        <f>IFERROR(__xludf.DUMMYFUNCTION("""COMPUTED_VALUE"""),"ft")</f>
        <v>ft</v>
      </c>
      <c r="C4868" s="4" t="str">
        <f>IFERROR(__xludf.DUMMYFUNCTION("""COMPUTED_VALUE"""),"Fracton Protocol")</f>
        <v>Fracton Protocol</v>
      </c>
    </row>
    <row r="4869">
      <c r="A4869" s="4" t="str">
        <f>IFERROR(__xludf.DUMMYFUNCTION("""COMPUTED_VALUE"""),"fragments-of-arker")</f>
        <v>fragments-of-arker</v>
      </c>
      <c r="B4869" s="4" t="str">
        <f>IFERROR(__xludf.DUMMYFUNCTION("""COMPUTED_VALUE"""),"foa")</f>
        <v>foa</v>
      </c>
      <c r="C4869" s="4" t="str">
        <f>IFERROR(__xludf.DUMMYFUNCTION("""COMPUTED_VALUE"""),"Fragments of Arker")</f>
        <v>Fragments of Arker</v>
      </c>
    </row>
    <row r="4870">
      <c r="A4870" s="4" t="str">
        <f>IFERROR(__xludf.DUMMYFUNCTION("""COMPUTED_VALUE"""),"frakt-token")</f>
        <v>frakt-token</v>
      </c>
      <c r="B4870" s="4" t="str">
        <f>IFERROR(__xludf.DUMMYFUNCTION("""COMPUTED_VALUE"""),"frkt")</f>
        <v>frkt</v>
      </c>
      <c r="C4870" s="4" t="str">
        <f>IFERROR(__xludf.DUMMYFUNCTION("""COMPUTED_VALUE"""),"FRAKT")</f>
        <v>FRAKT</v>
      </c>
    </row>
    <row r="4871">
      <c r="A4871" s="4" t="str">
        <f>IFERROR(__xludf.DUMMYFUNCTION("""COMPUTED_VALUE"""),"frame")</f>
        <v>frame</v>
      </c>
      <c r="B4871" s="4" t="str">
        <f>IFERROR(__xludf.DUMMYFUNCTION("""COMPUTED_VALUE"""),"frame")</f>
        <v>frame</v>
      </c>
      <c r="C4871" s="4" t="str">
        <f>IFERROR(__xludf.DUMMYFUNCTION("""COMPUTED_VALUE"""),"Frame")</f>
        <v>Frame</v>
      </c>
    </row>
    <row r="4872">
      <c r="A4872" s="4" t="str">
        <f>IFERROR(__xludf.DUMMYFUNCTION("""COMPUTED_VALUE"""),"frame-token")</f>
        <v>frame-token</v>
      </c>
      <c r="B4872" s="4" t="str">
        <f>IFERROR(__xludf.DUMMYFUNCTION("""COMPUTED_VALUE"""),"frame")</f>
        <v>frame</v>
      </c>
      <c r="C4872" s="4" t="str">
        <f>IFERROR(__xludf.DUMMYFUNCTION("""COMPUTED_VALUE"""),"Frame Token")</f>
        <v>Frame Token</v>
      </c>
    </row>
    <row r="4873">
      <c r="A4873" s="4" t="str">
        <f>IFERROR(__xludf.DUMMYFUNCTION("""COMPUTED_VALUE"""),"france-rev-finance")</f>
        <v>france-rev-finance</v>
      </c>
      <c r="B4873" s="4" t="str">
        <f>IFERROR(__xludf.DUMMYFUNCTION("""COMPUTED_VALUE"""),"frf")</f>
        <v>frf</v>
      </c>
      <c r="C4873" s="4" t="str">
        <f>IFERROR(__xludf.DUMMYFUNCTION("""COMPUTED_VALUE"""),"FRANCE REV FINANCE")</f>
        <v>FRANCE REV FINANCE</v>
      </c>
    </row>
    <row r="4874">
      <c r="A4874" s="4" t="str">
        <f>IFERROR(__xludf.DUMMYFUNCTION("""COMPUTED_VALUE"""),"franklin")</f>
        <v>franklin</v>
      </c>
      <c r="B4874" s="4" t="str">
        <f>IFERROR(__xludf.DUMMYFUNCTION("""COMPUTED_VALUE"""),"fly")</f>
        <v>fly</v>
      </c>
      <c r="C4874" s="4" t="str">
        <f>IFERROR(__xludf.DUMMYFUNCTION("""COMPUTED_VALUE"""),"Franklin")</f>
        <v>Franklin</v>
      </c>
    </row>
    <row r="4875">
      <c r="A4875" s="4" t="str">
        <f>IFERROR(__xludf.DUMMYFUNCTION("""COMPUTED_VALUE"""),"frapped-usdt")</f>
        <v>frapped-usdt</v>
      </c>
      <c r="B4875" s="4" t="str">
        <f>IFERROR(__xludf.DUMMYFUNCTION("""COMPUTED_VALUE"""),"fusdt")</f>
        <v>fusdt</v>
      </c>
      <c r="C4875" s="4" t="str">
        <f>IFERROR(__xludf.DUMMYFUNCTION("""COMPUTED_VALUE"""),"Frapped USDT")</f>
        <v>Frapped USDT</v>
      </c>
    </row>
    <row r="4876">
      <c r="A4876" s="4" t="str">
        <f>IFERROR(__xludf.DUMMYFUNCTION("""COMPUTED_VALUE"""),"frax")</f>
        <v>frax</v>
      </c>
      <c r="B4876" s="4" t="str">
        <f>IFERROR(__xludf.DUMMYFUNCTION("""COMPUTED_VALUE"""),"frax")</f>
        <v>frax</v>
      </c>
      <c r="C4876" s="4" t="str">
        <f>IFERROR(__xludf.DUMMYFUNCTION("""COMPUTED_VALUE"""),"Frax")</f>
        <v>Frax</v>
      </c>
    </row>
    <row r="4877">
      <c r="A4877" s="4" t="str">
        <f>IFERROR(__xludf.DUMMYFUNCTION("""COMPUTED_VALUE"""),"frax-doge")</f>
        <v>frax-doge</v>
      </c>
      <c r="B4877" s="4" t="str">
        <f>IFERROR(__xludf.DUMMYFUNCTION("""COMPUTED_VALUE"""),"fxd")</f>
        <v>fxd</v>
      </c>
      <c r="C4877" s="4" t="str">
        <f>IFERROR(__xludf.DUMMYFUNCTION("""COMPUTED_VALUE"""),"Frax Doge")</f>
        <v>Frax Doge</v>
      </c>
    </row>
    <row r="4878">
      <c r="A4878" s="4" t="str">
        <f>IFERROR(__xludf.DUMMYFUNCTION("""COMPUTED_VALUE"""),"frax-ether")</f>
        <v>frax-ether</v>
      </c>
      <c r="B4878" s="4" t="str">
        <f>IFERROR(__xludf.DUMMYFUNCTION("""COMPUTED_VALUE"""),"frxeth")</f>
        <v>frxeth</v>
      </c>
      <c r="C4878" s="4" t="str">
        <f>IFERROR(__xludf.DUMMYFUNCTION("""COMPUTED_VALUE"""),"Frax Ether")</f>
        <v>Frax Ether</v>
      </c>
    </row>
    <row r="4879">
      <c r="A4879" s="4" t="str">
        <f>IFERROR(__xludf.DUMMYFUNCTION("""COMPUTED_VALUE"""),"frax-price-index")</f>
        <v>frax-price-index</v>
      </c>
      <c r="B4879" s="4" t="str">
        <f>IFERROR(__xludf.DUMMYFUNCTION("""COMPUTED_VALUE"""),"fpi")</f>
        <v>fpi</v>
      </c>
      <c r="C4879" s="4" t="str">
        <f>IFERROR(__xludf.DUMMYFUNCTION("""COMPUTED_VALUE"""),"Frax Price Index")</f>
        <v>Frax Price Index</v>
      </c>
    </row>
    <row r="4880">
      <c r="A4880" s="4" t="str">
        <f>IFERROR(__xludf.DUMMYFUNCTION("""COMPUTED_VALUE"""),"frax-price-index-share")</f>
        <v>frax-price-index-share</v>
      </c>
      <c r="B4880" s="4" t="str">
        <f>IFERROR(__xludf.DUMMYFUNCTION("""COMPUTED_VALUE"""),"fpis")</f>
        <v>fpis</v>
      </c>
      <c r="C4880" s="4" t="str">
        <f>IFERROR(__xludf.DUMMYFUNCTION("""COMPUTED_VALUE"""),"Frax Price Index Share")</f>
        <v>Frax Price Index Share</v>
      </c>
    </row>
    <row r="4881">
      <c r="A4881" s="4" t="str">
        <f>IFERROR(__xludf.DUMMYFUNCTION("""COMPUTED_VALUE"""),"frax-share")</f>
        <v>frax-share</v>
      </c>
      <c r="B4881" s="4" t="str">
        <f>IFERROR(__xludf.DUMMYFUNCTION("""COMPUTED_VALUE"""),"fxs")</f>
        <v>fxs</v>
      </c>
      <c r="C4881" s="4" t="str">
        <f>IFERROR(__xludf.DUMMYFUNCTION("""COMPUTED_VALUE"""),"Frax Share")</f>
        <v>Frax Share</v>
      </c>
    </row>
    <row r="4882">
      <c r="A4882" s="4" t="str">
        <f>IFERROR(__xludf.DUMMYFUNCTION("""COMPUTED_VALUE"""),"fraxtal")</f>
        <v>fraxtal</v>
      </c>
      <c r="B4882" s="4" t="str">
        <f>IFERROR(__xludf.DUMMYFUNCTION("""COMPUTED_VALUE"""),"fxtl")</f>
        <v>fxtl</v>
      </c>
      <c r="C4882" s="4" t="str">
        <f>IFERROR(__xludf.DUMMYFUNCTION("""COMPUTED_VALUE"""),"Fraxtal")</f>
        <v>Fraxtal</v>
      </c>
    </row>
    <row r="4883">
      <c r="A4883" s="4" t="str">
        <f>IFERROR(__xludf.DUMMYFUNCTION("""COMPUTED_VALUE"""),"fraxtal-bridged-frax-fraxtal")</f>
        <v>fraxtal-bridged-frax-fraxtal</v>
      </c>
      <c r="B4883" s="4" t="str">
        <f>IFERROR(__xludf.DUMMYFUNCTION("""COMPUTED_VALUE"""),"frax")</f>
        <v>frax</v>
      </c>
      <c r="C4883" s="4" t="str">
        <f>IFERROR(__xludf.DUMMYFUNCTION("""COMPUTED_VALUE"""),"Fraxtal Bridged FRAX (Fraxtal)")</f>
        <v>Fraxtal Bridged FRAX (Fraxtal)</v>
      </c>
    </row>
    <row r="4884">
      <c r="A4884" s="4" t="str">
        <f>IFERROR(__xludf.DUMMYFUNCTION("""COMPUTED_VALUE"""),"freco-coin")</f>
        <v>freco-coin</v>
      </c>
      <c r="B4884" s="4" t="str">
        <f>IFERROR(__xludf.DUMMYFUNCTION("""COMPUTED_VALUE"""),"freco")</f>
        <v>freco</v>
      </c>
      <c r="C4884" s="4" t="str">
        <f>IFERROR(__xludf.DUMMYFUNCTION("""COMPUTED_VALUE"""),"Freco Coin")</f>
        <v>Freco Coin</v>
      </c>
    </row>
    <row r="4885">
      <c r="A4885" s="4" t="str">
        <f>IFERROR(__xludf.DUMMYFUNCTION("""COMPUTED_VALUE"""),"freddy-fazbear")</f>
        <v>freddy-fazbear</v>
      </c>
      <c r="B4885" s="4" t="str">
        <f>IFERROR(__xludf.DUMMYFUNCTION("""COMPUTED_VALUE"""),"$fred")</f>
        <v>$fred</v>
      </c>
      <c r="C4885" s="4" t="str">
        <f>IFERROR(__xludf.DUMMYFUNCTION("""COMPUTED_VALUE"""),"Freddy Fazbear")</f>
        <v>Freddy Fazbear</v>
      </c>
    </row>
    <row r="4886">
      <c r="A4886" s="4" t="str">
        <f>IFERROR(__xludf.DUMMYFUNCTION("""COMPUTED_VALUE"""),"fredenergy")</f>
        <v>fredenergy</v>
      </c>
      <c r="B4886" s="4" t="str">
        <f>IFERROR(__xludf.DUMMYFUNCTION("""COMPUTED_VALUE"""),"fred")</f>
        <v>fred</v>
      </c>
      <c r="C4886" s="4" t="str">
        <f>IFERROR(__xludf.DUMMYFUNCTION("""COMPUTED_VALUE"""),"FRED Energy")</f>
        <v>FRED Energy</v>
      </c>
    </row>
    <row r="4887">
      <c r="A4887" s="4" t="str">
        <f>IFERROR(__xludf.DUMMYFUNCTION("""COMPUTED_VALUE"""),"freebnk")</f>
        <v>freebnk</v>
      </c>
      <c r="B4887" s="4" t="str">
        <f>IFERROR(__xludf.DUMMYFUNCTION("""COMPUTED_VALUE"""),"frbk")</f>
        <v>frbk</v>
      </c>
      <c r="C4887" s="4" t="str">
        <f>IFERROR(__xludf.DUMMYFUNCTION("""COMPUTED_VALUE"""),"FreeBnk")</f>
        <v>FreeBnk</v>
      </c>
    </row>
    <row r="4888">
      <c r="A4888" s="4" t="str">
        <f>IFERROR(__xludf.DUMMYFUNCTION("""COMPUTED_VALUE"""),"freedomcoin")</f>
        <v>freedomcoin</v>
      </c>
      <c r="B4888" s="4" t="str">
        <f>IFERROR(__xludf.DUMMYFUNCTION("""COMPUTED_VALUE"""),"freed")</f>
        <v>freed</v>
      </c>
      <c r="C4888" s="4" t="str">
        <f>IFERROR(__xludf.DUMMYFUNCTION("""COMPUTED_VALUE"""),"Freedomcoin")</f>
        <v>Freedomcoin</v>
      </c>
    </row>
    <row r="4889">
      <c r="A4889" s="4" t="str">
        <f>IFERROR(__xludf.DUMMYFUNCTION("""COMPUTED_VALUE"""),"freedom-coin")</f>
        <v>freedom-coin</v>
      </c>
      <c r="B4889" s="4" t="str">
        <f>IFERROR(__xludf.DUMMYFUNCTION("""COMPUTED_VALUE"""),"free")</f>
        <v>free</v>
      </c>
      <c r="C4889" s="4" t="str">
        <f>IFERROR(__xludf.DUMMYFUNCTION("""COMPUTED_VALUE"""),"FREEdom coin")</f>
        <v>FREEdom coin</v>
      </c>
    </row>
    <row r="4890">
      <c r="A4890" s="4" t="str">
        <f>IFERROR(__xludf.DUMMYFUNCTION("""COMPUTED_VALUE"""),"freedom-jobs-business")</f>
        <v>freedom-jobs-business</v>
      </c>
      <c r="B4890" s="4" t="str">
        <f>IFERROR(__xludf.DUMMYFUNCTION("""COMPUTED_VALUE"""),"$fjb")</f>
        <v>$fjb</v>
      </c>
      <c r="C4890" s="4" t="str">
        <f>IFERROR(__xludf.DUMMYFUNCTION("""COMPUTED_VALUE"""),"Freedom. Jobs. Business")</f>
        <v>Freedom. Jobs. Business</v>
      </c>
    </row>
    <row r="4891">
      <c r="A4891" s="4" t="str">
        <f>IFERROR(__xludf.DUMMYFUNCTION("""COMPUTED_VALUE"""),"freedom-reserve")</f>
        <v>freedom-reserve</v>
      </c>
      <c r="B4891" s="4" t="str">
        <f>IFERROR(__xludf.DUMMYFUNCTION("""COMPUTED_VALUE"""),"fr")</f>
        <v>fr</v>
      </c>
      <c r="C4891" s="4" t="str">
        <f>IFERROR(__xludf.DUMMYFUNCTION("""COMPUTED_VALUE"""),"Freedom Reserve")</f>
        <v>Freedom Reserve</v>
      </c>
    </row>
    <row r="4892">
      <c r="A4892" s="4" t="str">
        <f>IFERROR(__xludf.DUMMYFUNCTION("""COMPUTED_VALUE"""),"freela")</f>
        <v>freela</v>
      </c>
      <c r="B4892" s="4" t="str">
        <f>IFERROR(__xludf.DUMMYFUNCTION("""COMPUTED_VALUE"""),"frel")</f>
        <v>frel</v>
      </c>
      <c r="C4892" s="4" t="str">
        <f>IFERROR(__xludf.DUMMYFUNCTION("""COMPUTED_VALUE"""),"Freela")</f>
        <v>Freela</v>
      </c>
    </row>
    <row r="4893">
      <c r="A4893" s="4" t="str">
        <f>IFERROR(__xludf.DUMMYFUNCTION("""COMPUTED_VALUE"""),"freerossdao")</f>
        <v>freerossdao</v>
      </c>
      <c r="B4893" s="4" t="str">
        <f>IFERROR(__xludf.DUMMYFUNCTION("""COMPUTED_VALUE"""),"free")</f>
        <v>free</v>
      </c>
      <c r="C4893" s="4" t="str">
        <f>IFERROR(__xludf.DUMMYFUNCTION("""COMPUTED_VALUE"""),"FreeRossDAO")</f>
        <v>FreeRossDAO</v>
      </c>
    </row>
    <row r="4894">
      <c r="A4894" s="4" t="str">
        <f>IFERROR(__xludf.DUMMYFUNCTION("""COMPUTED_VALUE"""),"freetrump")</f>
        <v>freetrump</v>
      </c>
      <c r="B4894" s="4" t="str">
        <f>IFERROR(__xludf.DUMMYFUNCTION("""COMPUTED_VALUE"""),"$trump")</f>
        <v>$trump</v>
      </c>
      <c r="C4894" s="4" t="str">
        <f>IFERROR(__xludf.DUMMYFUNCTION("""COMPUTED_VALUE"""),"FreeTrump")</f>
        <v>FreeTrump</v>
      </c>
    </row>
    <row r="4895">
      <c r="A4895" s="4" t="str">
        <f>IFERROR(__xludf.DUMMYFUNCTION("""COMPUTED_VALUE"""),"freeway")</f>
        <v>freeway</v>
      </c>
      <c r="B4895" s="4" t="str">
        <f>IFERROR(__xludf.DUMMYFUNCTION("""COMPUTED_VALUE"""),"fwt")</f>
        <v>fwt</v>
      </c>
      <c r="C4895" s="4" t="str">
        <f>IFERROR(__xludf.DUMMYFUNCTION("""COMPUTED_VALUE"""),"Freeway")</f>
        <v>Freeway</v>
      </c>
    </row>
    <row r="4896">
      <c r="A4896" s="4" t="str">
        <f>IFERROR(__xludf.DUMMYFUNCTION("""COMPUTED_VALUE"""),"freicoin")</f>
        <v>freicoin</v>
      </c>
      <c r="B4896" s="4" t="str">
        <f>IFERROR(__xludf.DUMMYFUNCTION("""COMPUTED_VALUE"""),"frc")</f>
        <v>frc</v>
      </c>
      <c r="C4896" s="4" t="str">
        <f>IFERROR(__xludf.DUMMYFUNCTION("""COMPUTED_VALUE"""),"Freicoin")</f>
        <v>Freicoin</v>
      </c>
    </row>
    <row r="4897">
      <c r="A4897" s="4" t="str">
        <f>IFERROR(__xludf.DUMMYFUNCTION("""COMPUTED_VALUE"""),"frenbot")</f>
        <v>frenbot</v>
      </c>
      <c r="B4897" s="4" t="str">
        <f>IFERROR(__xludf.DUMMYFUNCTION("""COMPUTED_VALUE"""),"mef")</f>
        <v>mef</v>
      </c>
      <c r="C4897" s="4" t="str">
        <f>IFERROR(__xludf.DUMMYFUNCTION("""COMPUTED_VALUE"""),"FrenBot")</f>
        <v>FrenBot</v>
      </c>
    </row>
    <row r="4898">
      <c r="A4898" s="4" t="str">
        <f>IFERROR(__xludf.DUMMYFUNCTION("""COMPUTED_VALUE"""),"french-connection-finance")</f>
        <v>french-connection-finance</v>
      </c>
      <c r="B4898" s="4" t="str">
        <f>IFERROR(__xludf.DUMMYFUNCTION("""COMPUTED_VALUE"""),"zypto")</f>
        <v>zypto</v>
      </c>
      <c r="C4898" s="4" t="str">
        <f>IFERROR(__xludf.DUMMYFUNCTION("""COMPUTED_VALUE"""),"Zypto Token")</f>
        <v>Zypto Token</v>
      </c>
    </row>
    <row r="4899">
      <c r="A4899" s="4" t="str">
        <f>IFERROR(__xludf.DUMMYFUNCTION("""COMPUTED_VALUE"""),"frencoin-2")</f>
        <v>frencoin-2</v>
      </c>
      <c r="B4899" s="4" t="str">
        <f>IFERROR(__xludf.DUMMYFUNCTION("""COMPUTED_VALUE"""),"fren")</f>
        <v>fren</v>
      </c>
      <c r="C4899" s="4" t="str">
        <f>IFERROR(__xludf.DUMMYFUNCTION("""COMPUTED_VALUE"""),"Frencoin")</f>
        <v>Frencoin</v>
      </c>
    </row>
    <row r="4900">
      <c r="A4900" s="4" t="str">
        <f>IFERROR(__xludf.DUMMYFUNCTION("""COMPUTED_VALUE"""),"fren-nation")</f>
        <v>fren-nation</v>
      </c>
      <c r="B4900" s="4" t="str">
        <f>IFERROR(__xludf.DUMMYFUNCTION("""COMPUTED_VALUE"""),"fren")</f>
        <v>fren</v>
      </c>
      <c r="C4900" s="4" t="str">
        <f>IFERROR(__xludf.DUMMYFUNCTION("""COMPUTED_VALUE"""),"Fren Nation")</f>
        <v>Fren Nation</v>
      </c>
    </row>
    <row r="4901">
      <c r="A4901" s="4" t="str">
        <f>IFERROR(__xludf.DUMMYFUNCTION("""COMPUTED_VALUE"""),"frenpet")</f>
        <v>frenpet</v>
      </c>
      <c r="B4901" s="4" t="str">
        <f>IFERROR(__xludf.DUMMYFUNCTION("""COMPUTED_VALUE"""),"fp")</f>
        <v>fp</v>
      </c>
      <c r="C4901" s="4" t="str">
        <f>IFERROR(__xludf.DUMMYFUNCTION("""COMPUTED_VALUE"""),"Fren Pet")</f>
        <v>Fren Pet</v>
      </c>
    </row>
    <row r="4902">
      <c r="A4902" s="4" t="str">
        <f>IFERROR(__xludf.DUMMYFUNCTION("""COMPUTED_VALUE"""),"frens-coin")</f>
        <v>frens-coin</v>
      </c>
      <c r="B4902" s="4" t="str">
        <f>IFERROR(__xludf.DUMMYFUNCTION("""COMPUTED_VALUE"""),"frens")</f>
        <v>frens</v>
      </c>
      <c r="C4902" s="4" t="str">
        <f>IFERROR(__xludf.DUMMYFUNCTION("""COMPUTED_VALUE"""),"Frens Coin")</f>
        <v>Frens Coin</v>
      </c>
    </row>
    <row r="4903">
      <c r="A4903" s="4" t="str">
        <f>IFERROR(__xludf.DUMMYFUNCTION("""COMPUTED_VALUE"""),"frenz")</f>
        <v>frenz</v>
      </c>
      <c r="B4903" s="4" t="str">
        <f>IFERROR(__xludf.DUMMYFUNCTION("""COMPUTED_VALUE"""),"frenz")</f>
        <v>frenz</v>
      </c>
      <c r="C4903" s="4" t="str">
        <f>IFERROR(__xludf.DUMMYFUNCTION("""COMPUTED_VALUE"""),"FRENZ")</f>
        <v>FRENZ</v>
      </c>
    </row>
    <row r="4904">
      <c r="A4904" s="4" t="str">
        <f>IFERROR(__xludf.DUMMYFUNCTION("""COMPUTED_VALUE"""),"freqai")</f>
        <v>freqai</v>
      </c>
      <c r="B4904" s="4" t="str">
        <f>IFERROR(__xludf.DUMMYFUNCTION("""COMPUTED_VALUE"""),"freqai")</f>
        <v>freqai</v>
      </c>
      <c r="C4904" s="4" t="str">
        <f>IFERROR(__xludf.DUMMYFUNCTION("""COMPUTED_VALUE"""),"FREQAI")</f>
        <v>FREQAI</v>
      </c>
    </row>
    <row r="4905">
      <c r="A4905" s="4" t="str">
        <f>IFERROR(__xludf.DUMMYFUNCTION("""COMPUTED_VALUE"""),"freth")</f>
        <v>freth</v>
      </c>
      <c r="B4905" s="4" t="str">
        <f>IFERROR(__xludf.DUMMYFUNCTION("""COMPUTED_VALUE"""),"freth")</f>
        <v>freth</v>
      </c>
      <c r="C4905" s="4" t="str">
        <f>IFERROR(__xludf.DUMMYFUNCTION("""COMPUTED_VALUE"""),"frETH")</f>
        <v>frETH</v>
      </c>
    </row>
    <row r="4906">
      <c r="A4906" s="4" t="str">
        <f>IFERROR(__xludf.DUMMYFUNCTION("""COMPUTED_VALUE"""),"freyala")</f>
        <v>freyala</v>
      </c>
      <c r="B4906" s="4" t="str">
        <f>IFERROR(__xludf.DUMMYFUNCTION("""COMPUTED_VALUE"""),"xya")</f>
        <v>xya</v>
      </c>
      <c r="C4906" s="4" t="str">
        <f>IFERROR(__xludf.DUMMYFUNCTION("""COMPUTED_VALUE"""),"GameFi Crossing")</f>
        <v>GameFi Crossing</v>
      </c>
    </row>
    <row r="4907">
      <c r="A4907" s="4" t="str">
        <f>IFERROR(__xludf.DUMMYFUNCTION("""COMPUTED_VALUE"""),"freya-the-dog")</f>
        <v>freya-the-dog</v>
      </c>
      <c r="B4907" s="4" t="str">
        <f>IFERROR(__xludf.DUMMYFUNCTION("""COMPUTED_VALUE"""),"freya")</f>
        <v>freya</v>
      </c>
      <c r="C4907" s="4" t="str">
        <f>IFERROR(__xludf.DUMMYFUNCTION("""COMPUTED_VALUE"""),"Freya")</f>
        <v>Freya</v>
      </c>
    </row>
    <row r="4908">
      <c r="A4908" s="4" t="str">
        <f>IFERROR(__xludf.DUMMYFUNCTION("""COMPUTED_VALUE"""),"frgx-finance")</f>
        <v>frgx-finance</v>
      </c>
      <c r="B4908" s="4" t="str">
        <f>IFERROR(__xludf.DUMMYFUNCTION("""COMPUTED_VALUE"""),"frgx")</f>
        <v>frgx</v>
      </c>
      <c r="C4908" s="4" t="str">
        <f>IFERROR(__xludf.DUMMYFUNCTION("""COMPUTED_VALUE"""),"FRGX Finance")</f>
        <v>FRGX Finance</v>
      </c>
    </row>
    <row r="4909">
      <c r="A4909" s="4" t="str">
        <f>IFERROR(__xludf.DUMMYFUNCTION("""COMPUTED_VALUE"""),"frictionless")</f>
        <v>frictionless</v>
      </c>
      <c r="B4909" s="4" t="str">
        <f>IFERROR(__xludf.DUMMYFUNCTION("""COMPUTED_VALUE"""),"fric")</f>
        <v>fric</v>
      </c>
      <c r="C4909" s="4" t="str">
        <f>IFERROR(__xludf.DUMMYFUNCTION("""COMPUTED_VALUE"""),"Frictionless")</f>
        <v>Frictionless</v>
      </c>
    </row>
    <row r="4910">
      <c r="A4910" s="4" t="str">
        <f>IFERROR(__xludf.DUMMYFUNCTION("""COMPUTED_VALUE"""),"friend3")</f>
        <v>friend3</v>
      </c>
      <c r="B4910" s="4" t="str">
        <f>IFERROR(__xludf.DUMMYFUNCTION("""COMPUTED_VALUE"""),"f3")</f>
        <v>f3</v>
      </c>
      <c r="C4910" s="4" t="str">
        <f>IFERROR(__xludf.DUMMYFUNCTION("""COMPUTED_VALUE"""),"Friend3")</f>
        <v>Friend3</v>
      </c>
    </row>
    <row r="4911">
      <c r="A4911" s="4" t="str">
        <f>IFERROR(__xludf.DUMMYFUNCTION("""COMPUTED_VALUE"""),"friendfi")</f>
        <v>friendfi</v>
      </c>
      <c r="B4911" s="4" t="str">
        <f>IFERROR(__xludf.DUMMYFUNCTION("""COMPUTED_VALUE"""),"ffi")</f>
        <v>ffi</v>
      </c>
      <c r="C4911" s="4" t="str">
        <f>IFERROR(__xludf.DUMMYFUNCTION("""COMPUTED_VALUE"""),"FriendFi")</f>
        <v>FriendFi</v>
      </c>
    </row>
    <row r="4912">
      <c r="A4912" s="4" t="str">
        <f>IFERROR(__xludf.DUMMYFUNCTION("""COMPUTED_VALUE"""),"friendspot")</f>
        <v>friendspot</v>
      </c>
      <c r="B4912" s="4" t="str">
        <f>IFERROR(__xludf.DUMMYFUNCTION("""COMPUTED_VALUE"""),"spot")</f>
        <v>spot</v>
      </c>
      <c r="C4912" s="4" t="str">
        <f>IFERROR(__xludf.DUMMYFUNCTION("""COMPUTED_VALUE"""),"FriendSpot")</f>
        <v>FriendSpot</v>
      </c>
    </row>
    <row r="4913">
      <c r="A4913" s="4" t="str">
        <f>IFERROR(__xludf.DUMMYFUNCTION("""COMPUTED_VALUE"""),"friends-with-benefits-network")</f>
        <v>friends-with-benefits-network</v>
      </c>
      <c r="B4913" s="4" t="str">
        <f>IFERROR(__xludf.DUMMYFUNCTION("""COMPUTED_VALUE"""),"fwb")</f>
        <v>fwb</v>
      </c>
      <c r="C4913" s="4" t="str">
        <f>IFERROR(__xludf.DUMMYFUNCTION("""COMPUTED_VALUE"""),"Friends with Benefits Network")</f>
        <v>Friends with Benefits Network</v>
      </c>
    </row>
    <row r="4914">
      <c r="A4914" s="4" t="str">
        <f>IFERROR(__xludf.DUMMYFUNCTION("""COMPUTED_VALUE"""),"friends-with-benefits-pro")</f>
        <v>friends-with-benefits-pro</v>
      </c>
      <c r="B4914" s="4" t="str">
        <f>IFERROR(__xludf.DUMMYFUNCTION("""COMPUTED_VALUE"""),"fwb")</f>
        <v>fwb</v>
      </c>
      <c r="C4914" s="4" t="str">
        <f>IFERROR(__xludf.DUMMYFUNCTION("""COMPUTED_VALUE"""),"Friends With Benefits Pro")</f>
        <v>Friends With Benefits Pro</v>
      </c>
    </row>
    <row r="4915">
      <c r="A4915" s="4" t="str">
        <f>IFERROR(__xludf.DUMMYFUNCTION("""COMPUTED_VALUE"""),"friendtech33")</f>
        <v>friendtech33</v>
      </c>
      <c r="B4915" s="4" t="str">
        <f>IFERROR(__xludf.DUMMYFUNCTION("""COMPUTED_VALUE"""),"ftw")</f>
        <v>ftw</v>
      </c>
      <c r="C4915" s="4" t="str">
        <f>IFERROR(__xludf.DUMMYFUNCTION("""COMPUTED_VALUE"""),"FriendTech33")</f>
        <v>FriendTech33</v>
      </c>
    </row>
    <row r="4916">
      <c r="A4916" s="4" t="str">
        <f>IFERROR(__xludf.DUMMYFUNCTION("""COMPUTED_VALUE"""),"friendz")</f>
        <v>friendz</v>
      </c>
      <c r="B4916" s="4" t="str">
        <f>IFERROR(__xludf.DUMMYFUNCTION("""COMPUTED_VALUE"""),"fdz")</f>
        <v>fdz</v>
      </c>
      <c r="C4916" s="4" t="str">
        <f>IFERROR(__xludf.DUMMYFUNCTION("""COMPUTED_VALUE"""),"Friendz")</f>
        <v>Friendz</v>
      </c>
    </row>
    <row r="4917">
      <c r="A4917" s="4" t="str">
        <f>IFERROR(__xludf.DUMMYFUNCTION("""COMPUTED_VALUE"""),"fringe-finance")</f>
        <v>fringe-finance</v>
      </c>
      <c r="B4917" s="4" t="str">
        <f>IFERROR(__xludf.DUMMYFUNCTION("""COMPUTED_VALUE"""),"frin")</f>
        <v>frin</v>
      </c>
      <c r="C4917" s="4" t="str">
        <f>IFERROR(__xludf.DUMMYFUNCTION("""COMPUTED_VALUE"""),"Fringe Finance")</f>
        <v>Fringe Finance</v>
      </c>
    </row>
    <row r="4918">
      <c r="A4918" s="4" t="str">
        <f>IFERROR(__xludf.DUMMYFUNCTION("""COMPUTED_VALUE"""),"frog-ceo")</f>
        <v>frog-ceo</v>
      </c>
      <c r="B4918" s="4" t="str">
        <f>IFERROR(__xludf.DUMMYFUNCTION("""COMPUTED_VALUE"""),"frog ceo")</f>
        <v>frog ceo</v>
      </c>
      <c r="C4918" s="4" t="str">
        <f>IFERROR(__xludf.DUMMYFUNCTION("""COMPUTED_VALUE"""),"FROG CEO")</f>
        <v>FROG CEO</v>
      </c>
    </row>
    <row r="4919">
      <c r="A4919" s="4" t="str">
        <f>IFERROR(__xludf.DUMMYFUNCTION("""COMPUTED_VALUE"""),"frog-chain")</f>
        <v>frog-chain</v>
      </c>
      <c r="B4919" s="4" t="str">
        <f>IFERROR(__xludf.DUMMYFUNCTION("""COMPUTED_VALUE"""),"leap")</f>
        <v>leap</v>
      </c>
      <c r="C4919" s="4" t="str">
        <f>IFERROR(__xludf.DUMMYFUNCTION("""COMPUTED_VALUE"""),"Frog Chain LEAP")</f>
        <v>Frog Chain LEAP</v>
      </c>
    </row>
    <row r="4920">
      <c r="A4920" s="4" t="str">
        <f>IFERROR(__xludf.DUMMYFUNCTION("""COMPUTED_VALUE"""),"frog-frog")</f>
        <v>frog-frog</v>
      </c>
      <c r="B4920" s="4" t="str">
        <f>IFERROR(__xludf.DUMMYFUNCTION("""COMPUTED_VALUE"""),"frog")</f>
        <v>frog</v>
      </c>
      <c r="C4920" s="4" t="str">
        <f>IFERROR(__xludf.DUMMYFUNCTION("""COMPUTED_VALUE"""),"Frog Frog")</f>
        <v>Frog Frog</v>
      </c>
    </row>
    <row r="4921">
      <c r="A4921" s="4" t="str">
        <f>IFERROR(__xludf.DUMMYFUNCTION("""COMPUTED_VALUE"""),"froggies-token-2")</f>
        <v>froggies-token-2</v>
      </c>
      <c r="B4921" s="4" t="str">
        <f>IFERROR(__xludf.DUMMYFUNCTION("""COMPUTED_VALUE"""),"frgst")</f>
        <v>frgst</v>
      </c>
      <c r="C4921" s="4" t="str">
        <f>IFERROR(__xludf.DUMMYFUNCTION("""COMPUTED_VALUE"""),"Froggies")</f>
        <v>Froggies</v>
      </c>
    </row>
    <row r="4922">
      <c r="A4922" s="4" t="str">
        <f>IFERROR(__xludf.DUMMYFUNCTION("""COMPUTED_VALUE"""),"froggy")</f>
        <v>froggy</v>
      </c>
      <c r="B4922" s="4" t="str">
        <f>IFERROR(__xludf.DUMMYFUNCTION("""COMPUTED_VALUE"""),"froggy")</f>
        <v>froggy</v>
      </c>
      <c r="C4922" s="4" t="str">
        <f>IFERROR(__xludf.DUMMYFUNCTION("""COMPUTED_VALUE"""),"Froggy")</f>
        <v>Froggy</v>
      </c>
    </row>
    <row r="4923">
      <c r="A4923" s="4" t="str">
        <f>IFERROR(__xludf.DUMMYFUNCTION("""COMPUTED_VALUE"""),"froggy-friends")</f>
        <v>froggy-friends</v>
      </c>
      <c r="B4923" s="4" t="str">
        <f>IFERROR(__xludf.DUMMYFUNCTION("""COMPUTED_VALUE"""),"tadpole")</f>
        <v>tadpole</v>
      </c>
      <c r="C4923" s="4" t="str">
        <f>IFERROR(__xludf.DUMMYFUNCTION("""COMPUTED_VALUE"""),"Froggy Friends")</f>
        <v>Froggy Friends</v>
      </c>
    </row>
    <row r="4924">
      <c r="A4924" s="4" t="str">
        <f>IFERROR(__xludf.DUMMYFUNCTION("""COMPUTED_VALUE"""),"frogolana")</f>
        <v>frogolana</v>
      </c>
      <c r="B4924" s="4" t="str">
        <f>IFERROR(__xludf.DUMMYFUNCTION("""COMPUTED_VALUE"""),"frogo")</f>
        <v>frogo</v>
      </c>
      <c r="C4924" s="4" t="str">
        <f>IFERROR(__xludf.DUMMYFUNCTION("""COMPUTED_VALUE"""),"Frogolana")</f>
        <v>Frogolana</v>
      </c>
    </row>
    <row r="4925">
      <c r="A4925" s="4" t="str">
        <f>IFERROR(__xludf.DUMMYFUNCTION("""COMPUTED_VALUE"""),"frogonsol")</f>
        <v>frogonsol</v>
      </c>
      <c r="B4925" s="4" t="str">
        <f>IFERROR(__xludf.DUMMYFUNCTION("""COMPUTED_VALUE"""),"frog")</f>
        <v>frog</v>
      </c>
      <c r="C4925" s="4" t="str">
        <f>IFERROR(__xludf.DUMMYFUNCTION("""COMPUTED_VALUE"""),"Frogonsol")</f>
        <v>Frogonsol</v>
      </c>
    </row>
    <row r="4926">
      <c r="A4926" s="4" t="str">
        <f>IFERROR(__xludf.DUMMYFUNCTION("""COMPUTED_VALUE"""),"frogswap")</f>
        <v>frogswap</v>
      </c>
      <c r="B4926" s="4" t="str">
        <f>IFERROR(__xludf.DUMMYFUNCTION("""COMPUTED_VALUE"""),"frog")</f>
        <v>frog</v>
      </c>
      <c r="C4926" s="4" t="str">
        <f>IFERROR(__xludf.DUMMYFUNCTION("""COMPUTED_VALUE"""),"FrogSwap")</f>
        <v>FrogSwap</v>
      </c>
    </row>
    <row r="4927">
      <c r="A4927" s="4" t="str">
        <f>IFERROR(__xludf.DUMMYFUNCTION("""COMPUTED_VALUE"""),"frogswap-2")</f>
        <v>frogswap-2</v>
      </c>
      <c r="B4927" s="4" t="str">
        <f>IFERROR(__xludf.DUMMYFUNCTION("""COMPUTED_VALUE"""),"frog")</f>
        <v>frog</v>
      </c>
      <c r="C4927" s="4" t="str">
        <f>IFERROR(__xludf.DUMMYFUNCTION("""COMPUTED_VALUE"""),"Frogswap")</f>
        <v>Frogswap</v>
      </c>
    </row>
    <row r="4928">
      <c r="A4928" s="4" t="str">
        <f>IFERROR(__xludf.DUMMYFUNCTION("""COMPUTED_VALUE"""),"frog-wif-hat")</f>
        <v>frog-wif-hat</v>
      </c>
      <c r="B4928" s="4" t="str">
        <f>IFERROR(__xludf.DUMMYFUNCTION("""COMPUTED_VALUE"""),"fwif")</f>
        <v>fwif</v>
      </c>
      <c r="C4928" s="4" t="str">
        <f>IFERROR(__xludf.DUMMYFUNCTION("""COMPUTED_VALUE"""),"Frog Wif Hat")</f>
        <v>Frog Wif Hat</v>
      </c>
    </row>
    <row r="4929">
      <c r="A4929" s="4" t="str">
        <f>IFERROR(__xludf.DUMMYFUNCTION("""COMPUTED_VALUE"""),"frog-wif-peen")</f>
        <v>frog-wif-peen</v>
      </c>
      <c r="B4929" s="4" t="str">
        <f>IFERROR(__xludf.DUMMYFUNCTION("""COMPUTED_VALUE"""),"peen")</f>
        <v>peen</v>
      </c>
      <c r="C4929" s="4" t="str">
        <f>IFERROR(__xludf.DUMMYFUNCTION("""COMPUTED_VALUE"""),"Frog Wif Peen")</f>
        <v>Frog Wif Peen</v>
      </c>
    </row>
    <row r="4930">
      <c r="A4930" s="4" t="str">
        <f>IFERROR(__xludf.DUMMYFUNCTION("""COMPUTED_VALUE"""),"frok-ai")</f>
        <v>frok-ai</v>
      </c>
      <c r="B4930" s="4" t="str">
        <f>IFERROR(__xludf.DUMMYFUNCTION("""COMPUTED_VALUE"""),"frok")</f>
        <v>frok</v>
      </c>
      <c r="C4930" s="5" t="str">
        <f>IFERROR(__xludf.DUMMYFUNCTION("""COMPUTED_VALUE"""),"Frok.ai")</f>
        <v>Frok.ai</v>
      </c>
    </row>
    <row r="4931">
      <c r="A4931" s="4" t="str">
        <f>IFERROR(__xludf.DUMMYFUNCTION("""COMPUTED_VALUE"""),"fronk")</f>
        <v>fronk</v>
      </c>
      <c r="B4931" s="4" t="str">
        <f>IFERROR(__xludf.DUMMYFUNCTION("""COMPUTED_VALUE"""),"fronk")</f>
        <v>fronk</v>
      </c>
      <c r="C4931" s="4" t="str">
        <f>IFERROR(__xludf.DUMMYFUNCTION("""COMPUTED_VALUE"""),"Fronk")</f>
        <v>Fronk</v>
      </c>
    </row>
    <row r="4932">
      <c r="A4932" s="4" t="str">
        <f>IFERROR(__xludf.DUMMYFUNCTION("""COMPUTED_VALUE"""),"frontfanz-2")</f>
        <v>frontfanz-2</v>
      </c>
      <c r="B4932" s="4" t="str">
        <f>IFERROR(__xludf.DUMMYFUNCTION("""COMPUTED_VALUE"""),"fanx")</f>
        <v>fanx</v>
      </c>
      <c r="C4932" s="4" t="str">
        <f>IFERROR(__xludf.DUMMYFUNCTION("""COMPUTED_VALUE"""),"FrontFanz")</f>
        <v>FrontFanz</v>
      </c>
    </row>
    <row r="4933">
      <c r="A4933" s="4" t="str">
        <f>IFERROR(__xludf.DUMMYFUNCTION("""COMPUTED_VALUE"""),"frontier-token")</f>
        <v>frontier-token</v>
      </c>
      <c r="B4933" s="4" t="str">
        <f>IFERROR(__xludf.DUMMYFUNCTION("""COMPUTED_VALUE"""),"front")</f>
        <v>front</v>
      </c>
      <c r="C4933" s="4" t="str">
        <f>IFERROR(__xludf.DUMMYFUNCTION("""COMPUTED_VALUE"""),"Frontier")</f>
        <v>Frontier</v>
      </c>
    </row>
    <row r="4934">
      <c r="A4934" s="4" t="str">
        <f>IFERROR(__xludf.DUMMYFUNCTION("""COMPUTED_VALUE"""),"front-row")</f>
        <v>front-row</v>
      </c>
      <c r="B4934" s="4" t="str">
        <f>IFERROR(__xludf.DUMMYFUNCTION("""COMPUTED_VALUE"""),"frr")</f>
        <v>frr</v>
      </c>
      <c r="C4934" s="4" t="str">
        <f>IFERROR(__xludf.DUMMYFUNCTION("""COMPUTED_VALUE"""),"Frontrow")</f>
        <v>Frontrow</v>
      </c>
    </row>
    <row r="4935">
      <c r="A4935" s="4" t="str">
        <f>IFERROR(__xludf.DUMMYFUNCTION("""COMPUTED_VALUE"""),"froubot")</f>
        <v>froubot</v>
      </c>
      <c r="B4935" s="4" t="str">
        <f>IFERROR(__xludf.DUMMYFUNCTION("""COMPUTED_VALUE"""),"frobot")</f>
        <v>frobot</v>
      </c>
      <c r="C4935" s="4" t="str">
        <f>IFERROR(__xludf.DUMMYFUNCTION("""COMPUTED_VALUE"""),"FrouBot")</f>
        <v>FrouBot</v>
      </c>
    </row>
    <row r="4936">
      <c r="A4936" s="4" t="str">
        <f>IFERROR(__xludf.DUMMYFUNCTION("""COMPUTED_VALUE"""),"froyo-games")</f>
        <v>froyo-games</v>
      </c>
      <c r="B4936" s="4" t="str">
        <f>IFERROR(__xludf.DUMMYFUNCTION("""COMPUTED_VALUE"""),"froyo")</f>
        <v>froyo</v>
      </c>
      <c r="C4936" s="4" t="str">
        <f>IFERROR(__xludf.DUMMYFUNCTION("""COMPUTED_VALUE"""),"Froyo Games")</f>
        <v>Froyo Games</v>
      </c>
    </row>
    <row r="4937">
      <c r="A4937" s="4" t="str">
        <f>IFERROR(__xludf.DUMMYFUNCTION("""COMPUTED_VALUE"""),"fruits")</f>
        <v>fruits</v>
      </c>
      <c r="B4937" s="4" t="str">
        <f>IFERROR(__xludf.DUMMYFUNCTION("""COMPUTED_VALUE"""),"frts")</f>
        <v>frts</v>
      </c>
      <c r="C4937" s="4" t="str">
        <f>IFERROR(__xludf.DUMMYFUNCTION("""COMPUTED_VALUE"""),"Fruits")</f>
        <v>Fruits</v>
      </c>
    </row>
    <row r="4938">
      <c r="A4938" s="4" t="str">
        <f>IFERROR(__xludf.DUMMYFUNCTION("""COMPUTED_VALUE"""),"frutti-dino")</f>
        <v>frutti-dino</v>
      </c>
      <c r="B4938" s="4" t="str">
        <f>IFERROR(__xludf.DUMMYFUNCTION("""COMPUTED_VALUE"""),"fdt")</f>
        <v>fdt</v>
      </c>
      <c r="C4938" s="4" t="str">
        <f>IFERROR(__xludf.DUMMYFUNCTION("""COMPUTED_VALUE"""),"Frutti Dino")</f>
        <v>Frutti Dino</v>
      </c>
    </row>
    <row r="4939">
      <c r="A4939" s="4" t="str">
        <f>IFERROR(__xludf.DUMMYFUNCTION("""COMPUTED_VALUE"""),"fryscrypto")</f>
        <v>fryscrypto</v>
      </c>
      <c r="B4939" s="4" t="str">
        <f>IFERROR(__xludf.DUMMYFUNCTION("""COMPUTED_VALUE"""),"fry")</f>
        <v>fry</v>
      </c>
      <c r="C4939" s="4" t="str">
        <f>IFERROR(__xludf.DUMMYFUNCTION("""COMPUTED_VALUE"""),"FrysCrypto")</f>
        <v>FrysCrypto</v>
      </c>
    </row>
    <row r="4940">
      <c r="A4940" s="4" t="str">
        <f>IFERROR(__xludf.DUMMYFUNCTION("""COMPUTED_VALUE"""),"fsn")</f>
        <v>fsn</v>
      </c>
      <c r="B4940" s="4" t="str">
        <f>IFERROR(__xludf.DUMMYFUNCTION("""COMPUTED_VALUE"""),"fsn")</f>
        <v>fsn</v>
      </c>
      <c r="C4940" s="4" t="str">
        <f>IFERROR(__xludf.DUMMYFUNCTION("""COMPUTED_VALUE"""),"FUSION")</f>
        <v>FUSION</v>
      </c>
    </row>
    <row r="4941">
      <c r="A4941" s="4" t="str">
        <f>IFERROR(__xludf.DUMMYFUNCTION("""COMPUTED_VALUE"""),"fsociety")</f>
        <v>fsociety</v>
      </c>
      <c r="B4941" s="4" t="str">
        <f>IFERROR(__xludf.DUMMYFUNCTION("""COMPUTED_VALUE"""),"fsc")</f>
        <v>fsc</v>
      </c>
      <c r="C4941" s="4" t="str">
        <f>IFERROR(__xludf.DUMMYFUNCTION("""COMPUTED_VALUE"""),"FSOCIETY")</f>
        <v>FSOCIETY</v>
      </c>
    </row>
    <row r="4942">
      <c r="A4942" s="4" t="str">
        <f>IFERROR(__xludf.DUMMYFUNCTION("""COMPUTED_VALUE"""),"ftails")</f>
        <v>ftails</v>
      </c>
      <c r="B4942" s="4" t="str">
        <f>IFERROR(__xludf.DUMMYFUNCTION("""COMPUTED_VALUE"""),"ftails")</f>
        <v>ftails</v>
      </c>
      <c r="C4942" s="4" t="str">
        <f>IFERROR(__xludf.DUMMYFUNCTION("""COMPUTED_VALUE"""),"fTails")</f>
        <v>fTails</v>
      </c>
    </row>
    <row r="4943">
      <c r="A4943" s="4" t="str">
        <f>IFERROR(__xludf.DUMMYFUNCTION("""COMPUTED_VALUE"""),"ftm-guru")</f>
        <v>ftm-guru</v>
      </c>
      <c r="B4943" s="4" t="str">
        <f>IFERROR(__xludf.DUMMYFUNCTION("""COMPUTED_VALUE"""),"elite")</f>
        <v>elite</v>
      </c>
      <c r="C4943" s="4" t="str">
        <f>IFERROR(__xludf.DUMMYFUNCTION("""COMPUTED_VALUE"""),"ftm.guru")</f>
        <v>ftm.guru</v>
      </c>
    </row>
    <row r="4944">
      <c r="A4944" s="4" t="str">
        <f>IFERROR(__xludf.DUMMYFUNCTION("""COMPUTED_VALUE"""),"ftribe-fighters")</f>
        <v>ftribe-fighters</v>
      </c>
      <c r="B4944" s="4" t="str">
        <f>IFERROR(__xludf.DUMMYFUNCTION("""COMPUTED_VALUE"""),"f2c")</f>
        <v>f2c</v>
      </c>
      <c r="C4944" s="4" t="str">
        <f>IFERROR(__xludf.DUMMYFUNCTION("""COMPUTED_VALUE"""),"Ftribe Fighters")</f>
        <v>Ftribe Fighters</v>
      </c>
    </row>
    <row r="4945">
      <c r="A4945" s="4" t="str">
        <f>IFERROR(__xludf.DUMMYFUNCTION("""COMPUTED_VALUE"""),"ftx-token")</f>
        <v>ftx-token</v>
      </c>
      <c r="B4945" s="4" t="str">
        <f>IFERROR(__xludf.DUMMYFUNCTION("""COMPUTED_VALUE"""),"ftt")</f>
        <v>ftt</v>
      </c>
      <c r="C4945" s="4" t="str">
        <f>IFERROR(__xludf.DUMMYFUNCTION("""COMPUTED_VALUE"""),"FTX")</f>
        <v>FTX</v>
      </c>
    </row>
    <row r="4946">
      <c r="A4946" s="4" t="str">
        <f>IFERROR(__xludf.DUMMYFUNCTION("""COMPUTED_VALUE"""),"ftx-users-debt")</f>
        <v>ftx-users-debt</v>
      </c>
      <c r="B4946" s="4" t="str">
        <f>IFERROR(__xludf.DUMMYFUNCTION("""COMPUTED_VALUE"""),"fud")</f>
        <v>fud</v>
      </c>
      <c r="C4946" s="4" t="str">
        <f>IFERROR(__xludf.DUMMYFUNCTION("""COMPUTED_VALUE"""),"FTX Users' Debt")</f>
        <v>FTX Users' Debt</v>
      </c>
    </row>
    <row r="4947">
      <c r="A4947" s="4" t="str">
        <f>IFERROR(__xludf.DUMMYFUNCTION("""COMPUTED_VALUE"""),"fuck-pepe")</f>
        <v>fuck-pepe</v>
      </c>
      <c r="B4947" s="4" t="str">
        <f>IFERROR(__xludf.DUMMYFUNCTION("""COMPUTED_VALUE"""),"fkpepe")</f>
        <v>fkpepe</v>
      </c>
      <c r="C4947" s="4" t="str">
        <f>IFERROR(__xludf.DUMMYFUNCTION("""COMPUTED_VALUE"""),"Fuck Pepe")</f>
        <v>Fuck Pepe</v>
      </c>
    </row>
    <row r="4948">
      <c r="A4948" s="4" t="str">
        <f>IFERROR(__xludf.DUMMYFUNCTION("""COMPUTED_VALUE"""),"fud-the-pug")</f>
        <v>fud-the-pug</v>
      </c>
      <c r="B4948" s="4" t="str">
        <f>IFERROR(__xludf.DUMMYFUNCTION("""COMPUTED_VALUE"""),"fud")</f>
        <v>fud</v>
      </c>
      <c r="C4948" s="4" t="str">
        <f>IFERROR(__xludf.DUMMYFUNCTION("""COMPUTED_VALUE"""),"Fud the Pug")</f>
        <v>Fud the Pug</v>
      </c>
    </row>
    <row r="4949">
      <c r="A4949" s="4" t="str">
        <f>IFERROR(__xludf.DUMMYFUNCTION("""COMPUTED_VALUE"""),"fuel-network")</f>
        <v>fuel-network</v>
      </c>
      <c r="B4949" s="4" t="str">
        <f>IFERROR(__xludf.DUMMYFUNCTION("""COMPUTED_VALUE"""),"fuel")</f>
        <v>fuel</v>
      </c>
      <c r="C4949" s="4" t="str">
        <f>IFERROR(__xludf.DUMMYFUNCTION("""COMPUTED_VALUE"""),"Fuel Network")</f>
        <v>Fuel Network</v>
      </c>
    </row>
    <row r="4950">
      <c r="A4950" s="4" t="str">
        <f>IFERROR(__xludf.DUMMYFUNCTION("""COMPUTED_VALUE"""),"fufu")</f>
        <v>fufu</v>
      </c>
      <c r="B4950" s="4" t="str">
        <f>IFERROR(__xludf.DUMMYFUNCTION("""COMPUTED_VALUE"""),"fufu")</f>
        <v>fufu</v>
      </c>
      <c r="C4950" s="4" t="str">
        <f>IFERROR(__xludf.DUMMYFUNCTION("""COMPUTED_VALUE"""),"Fufu")</f>
        <v>Fufu</v>
      </c>
    </row>
    <row r="4951">
      <c r="A4951" s="4" t="str">
        <f>IFERROR(__xludf.DUMMYFUNCTION("""COMPUTED_VALUE"""),"fufu-token")</f>
        <v>fufu-token</v>
      </c>
      <c r="B4951" s="4" t="str">
        <f>IFERROR(__xludf.DUMMYFUNCTION("""COMPUTED_VALUE"""),"fufu")</f>
        <v>fufu</v>
      </c>
      <c r="C4951" s="4" t="str">
        <f>IFERROR(__xludf.DUMMYFUNCTION("""COMPUTED_VALUE"""),"Fufu Token")</f>
        <v>Fufu Token</v>
      </c>
    </row>
    <row r="4952">
      <c r="A4952" s="4" t="str">
        <f>IFERROR(__xludf.DUMMYFUNCTION("""COMPUTED_VALUE"""),"fujitoken")</f>
        <v>fujitoken</v>
      </c>
      <c r="B4952" s="4" t="str">
        <f>IFERROR(__xludf.DUMMYFUNCTION("""COMPUTED_VALUE"""),"fjt")</f>
        <v>fjt</v>
      </c>
      <c r="C4952" s="4" t="str">
        <f>IFERROR(__xludf.DUMMYFUNCTION("""COMPUTED_VALUE"""),"Fuji FJT")</f>
        <v>Fuji FJT</v>
      </c>
    </row>
    <row r="4953">
      <c r="A4953" s="4" t="str">
        <f>IFERROR(__xludf.DUMMYFUNCTION("""COMPUTED_VALUE"""),"fulcrom")</f>
        <v>fulcrom</v>
      </c>
      <c r="B4953" s="4" t="str">
        <f>IFERROR(__xludf.DUMMYFUNCTION("""COMPUTED_VALUE"""),"ful")</f>
        <v>ful</v>
      </c>
      <c r="C4953" s="4" t="str">
        <f>IFERROR(__xludf.DUMMYFUNCTION("""COMPUTED_VALUE"""),"Fulcrom")</f>
        <v>Fulcrom</v>
      </c>
    </row>
    <row r="4954">
      <c r="A4954" s="4" t="str">
        <f>IFERROR(__xludf.DUMMYFUNCTION("""COMPUTED_VALUE"""),"funarcade")</f>
        <v>funarcade</v>
      </c>
      <c r="B4954" s="4" t="str">
        <f>IFERROR(__xludf.DUMMYFUNCTION("""COMPUTED_VALUE"""),"fat")</f>
        <v>fat</v>
      </c>
      <c r="C4954" s="4" t="str">
        <f>IFERROR(__xludf.DUMMYFUNCTION("""COMPUTED_VALUE"""),"Funarcade")</f>
        <v>Funarcade</v>
      </c>
    </row>
    <row r="4955">
      <c r="A4955" s="4" t="str">
        <f>IFERROR(__xludf.DUMMYFUNCTION("""COMPUTED_VALUE"""),"funded")</f>
        <v>funded</v>
      </c>
      <c r="B4955" s="4" t="str">
        <f>IFERROR(__xludf.DUMMYFUNCTION("""COMPUTED_VALUE"""),"funded")</f>
        <v>funded</v>
      </c>
      <c r="C4955" s="4" t="str">
        <f>IFERROR(__xludf.DUMMYFUNCTION("""COMPUTED_VALUE"""),"Funded")</f>
        <v>Funded</v>
      </c>
    </row>
    <row r="4956">
      <c r="A4956" s="4" t="str">
        <f>IFERROR(__xludf.DUMMYFUNCTION("""COMPUTED_VALUE"""),"fund-of-yours")</f>
        <v>fund-of-yours</v>
      </c>
      <c r="B4956" s="4" t="str">
        <f>IFERROR(__xludf.DUMMYFUNCTION("""COMPUTED_VALUE"""),"foy")</f>
        <v>foy</v>
      </c>
      <c r="C4956" s="4" t="str">
        <f>IFERROR(__xludf.DUMMYFUNCTION("""COMPUTED_VALUE"""),"Fund Of Yours")</f>
        <v>Fund Of Yours</v>
      </c>
    </row>
    <row r="4957">
      <c r="A4957" s="4" t="str">
        <f>IFERROR(__xludf.DUMMYFUNCTION("""COMPUTED_VALUE"""),"funfair")</f>
        <v>funfair</v>
      </c>
      <c r="B4957" s="4" t="str">
        <f>IFERROR(__xludf.DUMMYFUNCTION("""COMPUTED_VALUE"""),"fun")</f>
        <v>fun</v>
      </c>
      <c r="C4957" s="4" t="str">
        <f>IFERROR(__xludf.DUMMYFUNCTION("""COMPUTED_VALUE"""),"FUNToken")</f>
        <v>FUNToken</v>
      </c>
    </row>
    <row r="4958">
      <c r="A4958" s="4" t="str">
        <f>IFERROR(__xludf.DUMMYFUNCTION("""COMPUTED_VALUE"""),"funfi")</f>
        <v>funfi</v>
      </c>
      <c r="B4958" s="4" t="str">
        <f>IFERROR(__xludf.DUMMYFUNCTION("""COMPUTED_VALUE"""),"fnf")</f>
        <v>fnf</v>
      </c>
      <c r="C4958" s="4" t="str">
        <f>IFERROR(__xludf.DUMMYFUNCTION("""COMPUTED_VALUE"""),"FunFi")</f>
        <v>FunFi</v>
      </c>
    </row>
    <row r="4959">
      <c r="A4959" s="4" t="str">
        <f>IFERROR(__xludf.DUMMYFUNCTION("""COMPUTED_VALUE"""),"fungi")</f>
        <v>fungi</v>
      </c>
      <c r="B4959" s="4" t="str">
        <f>IFERROR(__xludf.DUMMYFUNCTION("""COMPUTED_VALUE"""),"fungi")</f>
        <v>fungi</v>
      </c>
      <c r="C4959" s="4" t="str">
        <f>IFERROR(__xludf.DUMMYFUNCTION("""COMPUTED_VALUE"""),"Fungi")</f>
        <v>Fungi</v>
      </c>
    </row>
    <row r="4960">
      <c r="A4960" s="4" t="str">
        <f>IFERROR(__xludf.DUMMYFUNCTION("""COMPUTED_VALUE"""),"fungify-token")</f>
        <v>fungify-token</v>
      </c>
      <c r="B4960" s="4" t="str">
        <f>IFERROR(__xludf.DUMMYFUNCTION("""COMPUTED_VALUE"""),"fung")</f>
        <v>fung</v>
      </c>
      <c r="C4960" s="4" t="str">
        <f>IFERROR(__xludf.DUMMYFUNCTION("""COMPUTED_VALUE"""),"Fungify Token")</f>
        <v>Fungify Token</v>
      </c>
    </row>
    <row r="4961">
      <c r="A4961" s="4" t="str">
        <f>IFERROR(__xludf.DUMMYFUNCTION("""COMPUTED_VALUE"""),"funny-coin")</f>
        <v>funny-coin</v>
      </c>
      <c r="B4961" s="4" t="str">
        <f>IFERROR(__xludf.DUMMYFUNCTION("""COMPUTED_VALUE"""),"fuc")</f>
        <v>fuc</v>
      </c>
      <c r="C4961" s="4" t="str">
        <f>IFERROR(__xludf.DUMMYFUNCTION("""COMPUTED_VALUE"""),"Funny Coin")</f>
        <v>Funny Coin</v>
      </c>
    </row>
    <row r="4962">
      <c r="A4962" s="4" t="str">
        <f>IFERROR(__xludf.DUMMYFUNCTION("""COMPUTED_VALUE"""),"funny-money")</f>
        <v>funny-money</v>
      </c>
      <c r="B4962" s="4" t="str">
        <f>IFERROR(__xludf.DUMMYFUNCTION("""COMPUTED_VALUE"""),"fny")</f>
        <v>fny</v>
      </c>
      <c r="C4962" s="4" t="str">
        <f>IFERROR(__xludf.DUMMYFUNCTION("""COMPUTED_VALUE"""),"Funny Money")</f>
        <v>Funny Money</v>
      </c>
    </row>
    <row r="4963">
      <c r="A4963" s="4" t="str">
        <f>IFERROR(__xludf.DUMMYFUNCTION("""COMPUTED_VALUE"""),"furari")</f>
        <v>furari</v>
      </c>
      <c r="B4963" s="4" t="str">
        <f>IFERROR(__xludf.DUMMYFUNCTION("""COMPUTED_VALUE"""),"cia")</f>
        <v>cia</v>
      </c>
      <c r="C4963" s="4" t="str">
        <f>IFERROR(__xludf.DUMMYFUNCTION("""COMPUTED_VALUE"""),"Cat Intelligence Agency")</f>
        <v>Cat Intelligence Agency</v>
      </c>
    </row>
    <row r="4964">
      <c r="A4964" s="4" t="str">
        <f>IFERROR(__xludf.DUMMYFUNCTION("""COMPUTED_VALUE"""),"furio")</f>
        <v>furio</v>
      </c>
      <c r="B4964" s="4" t="str">
        <f>IFERROR(__xludf.DUMMYFUNCTION("""COMPUTED_VALUE"""),"$fur")</f>
        <v>$fur</v>
      </c>
      <c r="C4964" s="4" t="str">
        <f>IFERROR(__xludf.DUMMYFUNCTION("""COMPUTED_VALUE"""),"Furio")</f>
        <v>Furio</v>
      </c>
    </row>
    <row r="4965">
      <c r="A4965" s="4" t="str">
        <f>IFERROR(__xludf.DUMMYFUNCTION("""COMPUTED_VALUE"""),"furucombo")</f>
        <v>furucombo</v>
      </c>
      <c r="B4965" s="4" t="str">
        <f>IFERROR(__xludf.DUMMYFUNCTION("""COMPUTED_VALUE"""),"combo")</f>
        <v>combo</v>
      </c>
      <c r="C4965" s="4" t="str">
        <f>IFERROR(__xludf.DUMMYFUNCTION("""COMPUTED_VALUE"""),"Furucombo")</f>
        <v>Furucombo</v>
      </c>
    </row>
    <row r="4966">
      <c r="A4966" s="4" t="str">
        <f>IFERROR(__xludf.DUMMYFUNCTION("""COMPUTED_VALUE"""),"fuse-dollar")</f>
        <v>fuse-dollar</v>
      </c>
      <c r="B4966" s="4" t="str">
        <f>IFERROR(__xludf.DUMMYFUNCTION("""COMPUTED_VALUE"""),"fusd")</f>
        <v>fusd</v>
      </c>
      <c r="C4966" s="4" t="str">
        <f>IFERROR(__xludf.DUMMYFUNCTION("""COMPUTED_VALUE"""),"Fuse Dollar V3")</f>
        <v>Fuse Dollar V3</v>
      </c>
    </row>
    <row r="4967">
      <c r="A4967" s="4" t="str">
        <f>IFERROR(__xludf.DUMMYFUNCTION("""COMPUTED_VALUE"""),"fusefi")</f>
        <v>fusefi</v>
      </c>
      <c r="B4967" s="4" t="str">
        <f>IFERROR(__xludf.DUMMYFUNCTION("""COMPUTED_VALUE"""),"volt")</f>
        <v>volt</v>
      </c>
      <c r="C4967" s="4" t="str">
        <f>IFERROR(__xludf.DUMMYFUNCTION("""COMPUTED_VALUE"""),"Voltage Finance")</f>
        <v>Voltage Finance</v>
      </c>
    </row>
    <row r="4968">
      <c r="A4968" s="4" t="str">
        <f>IFERROR(__xludf.DUMMYFUNCTION("""COMPUTED_VALUE"""),"fuse-network-token")</f>
        <v>fuse-network-token</v>
      </c>
      <c r="B4968" s="4" t="str">
        <f>IFERROR(__xludf.DUMMYFUNCTION("""COMPUTED_VALUE"""),"fuse")</f>
        <v>fuse</v>
      </c>
      <c r="C4968" s="4" t="str">
        <f>IFERROR(__xludf.DUMMYFUNCTION("""COMPUTED_VALUE"""),"Fuse")</f>
        <v>Fuse</v>
      </c>
    </row>
    <row r="4969">
      <c r="A4969" s="4" t="str">
        <f>IFERROR(__xludf.DUMMYFUNCTION("""COMPUTED_VALUE"""),"fusion-ai")</f>
        <v>fusion-ai</v>
      </c>
      <c r="B4969" s="4" t="str">
        <f>IFERROR(__xludf.DUMMYFUNCTION("""COMPUTED_VALUE"""),"fusion")</f>
        <v>fusion</v>
      </c>
      <c r="C4969" s="4" t="str">
        <f>IFERROR(__xludf.DUMMYFUNCTION("""COMPUTED_VALUE"""),"Fusion Ai")</f>
        <v>Fusion Ai</v>
      </c>
    </row>
    <row r="4970">
      <c r="A4970" s="4" t="str">
        <f>IFERROR(__xludf.DUMMYFUNCTION("""COMPUTED_VALUE"""),"fusionbot")</f>
        <v>fusionbot</v>
      </c>
      <c r="B4970" s="4" t="str">
        <f>IFERROR(__xludf.DUMMYFUNCTION("""COMPUTED_VALUE"""),"fusion")</f>
        <v>fusion</v>
      </c>
      <c r="C4970" s="4" t="str">
        <f>IFERROR(__xludf.DUMMYFUNCTION("""COMPUTED_VALUE"""),"FusionBot")</f>
        <v>FusionBot</v>
      </c>
    </row>
    <row r="4971">
      <c r="A4971" s="4" t="str">
        <f>IFERROR(__xludf.DUMMYFUNCTION("""COMPUTED_VALUE"""),"fusotao")</f>
        <v>fusotao</v>
      </c>
      <c r="B4971" s="4" t="str">
        <f>IFERROR(__xludf.DUMMYFUNCTION("""COMPUTED_VALUE"""),"tao")</f>
        <v>tao</v>
      </c>
      <c r="C4971" s="4" t="str">
        <f>IFERROR(__xludf.DUMMYFUNCTION("""COMPUTED_VALUE"""),"Fusotao")</f>
        <v>Fusotao</v>
      </c>
    </row>
    <row r="4972">
      <c r="A4972" s="4" t="str">
        <f>IFERROR(__xludf.DUMMYFUNCTION("""COMPUTED_VALUE"""),"futurecoin")</f>
        <v>futurecoin</v>
      </c>
      <c r="B4972" s="4" t="str">
        <f>IFERROR(__xludf.DUMMYFUNCTION("""COMPUTED_VALUE"""),"future")</f>
        <v>future</v>
      </c>
      <c r="C4972" s="4" t="str">
        <f>IFERROR(__xludf.DUMMYFUNCTION("""COMPUTED_VALUE"""),"FutureCoin")</f>
        <v>FutureCoin</v>
      </c>
    </row>
    <row r="4973">
      <c r="A4973" s="4" t="str">
        <f>IFERROR(__xludf.DUMMYFUNCTION("""COMPUTED_VALUE"""),"futuresai")</f>
        <v>futuresai</v>
      </c>
      <c r="B4973" s="4" t="str">
        <f>IFERROR(__xludf.DUMMYFUNCTION("""COMPUTED_VALUE"""),"fai")</f>
        <v>fai</v>
      </c>
      <c r="C4973" s="4" t="str">
        <f>IFERROR(__xludf.DUMMYFUNCTION("""COMPUTED_VALUE"""),"FuturesAI")</f>
        <v>FuturesAI</v>
      </c>
    </row>
    <row r="4974">
      <c r="A4974" s="4" t="str">
        <f>IFERROR(__xludf.DUMMYFUNCTION("""COMPUTED_VALUE"""),"futurespl")</f>
        <v>futurespl</v>
      </c>
      <c r="B4974" s="4" t="str">
        <f>IFERROR(__xludf.DUMMYFUNCTION("""COMPUTED_VALUE"""),"future")</f>
        <v>future</v>
      </c>
      <c r="C4974" s="4" t="str">
        <f>IFERROR(__xludf.DUMMYFUNCTION("""COMPUTED_VALUE"""),"FutureSPL")</f>
        <v>FutureSPL</v>
      </c>
    </row>
    <row r="4975">
      <c r="A4975" s="4" t="str">
        <f>IFERROR(__xludf.DUMMYFUNCTION("""COMPUTED_VALUE"""),"futureswap")</f>
        <v>futureswap</v>
      </c>
      <c r="B4975" s="4" t="str">
        <f>IFERROR(__xludf.DUMMYFUNCTION("""COMPUTED_VALUE"""),"fst")</f>
        <v>fst</v>
      </c>
      <c r="C4975" s="4" t="str">
        <f>IFERROR(__xludf.DUMMYFUNCTION("""COMPUTED_VALUE"""),"Futureswap")</f>
        <v>Futureswap</v>
      </c>
    </row>
    <row r="4976">
      <c r="A4976" s="4" t="str">
        <f>IFERROR(__xludf.DUMMYFUNCTION("""COMPUTED_VALUE"""),"futureswap-finance")</f>
        <v>futureswap-finance</v>
      </c>
      <c r="B4976" s="4" t="str">
        <f>IFERROR(__xludf.DUMMYFUNCTION("""COMPUTED_VALUE"""),"fs")</f>
        <v>fs</v>
      </c>
      <c r="C4976" s="4" t="str">
        <f>IFERROR(__xludf.DUMMYFUNCTION("""COMPUTED_VALUE"""),"FutureSwap Finance")</f>
        <v>FutureSwap Finance</v>
      </c>
    </row>
    <row r="4977">
      <c r="A4977" s="4" t="str">
        <f>IFERROR(__xludf.DUMMYFUNCTION("""COMPUTED_VALUE"""),"future-t-i-m-e-dividend")</f>
        <v>future-t-i-m-e-dividend</v>
      </c>
      <c r="B4977" s="4" t="str">
        <f>IFERROR(__xludf.DUMMYFUNCTION("""COMPUTED_VALUE"""),"future")</f>
        <v>future</v>
      </c>
      <c r="C4977" s="4" t="str">
        <f>IFERROR(__xludf.DUMMYFUNCTION("""COMPUTED_VALUE"""),"Future T.I.M.E Dividend")</f>
        <v>Future T.I.M.E Dividend</v>
      </c>
    </row>
    <row r="4978">
      <c r="A4978" s="4" t="str">
        <f>IFERROR(__xludf.DUMMYFUNCTION("""COMPUTED_VALUE"""),"futurocoin")</f>
        <v>futurocoin</v>
      </c>
      <c r="B4978" s="4" t="str">
        <f>IFERROR(__xludf.DUMMYFUNCTION("""COMPUTED_VALUE"""),"fto")</f>
        <v>fto</v>
      </c>
      <c r="C4978" s="4" t="str">
        <f>IFERROR(__xludf.DUMMYFUNCTION("""COMPUTED_VALUE"""),"FuturoCoin")</f>
        <v>FuturoCoin</v>
      </c>
    </row>
    <row r="4979">
      <c r="A4979" s="4" t="str">
        <f>IFERROR(__xludf.DUMMYFUNCTION("""COMPUTED_VALUE"""),"fuzanglong")</f>
        <v>fuzanglong</v>
      </c>
      <c r="B4979" s="4" t="str">
        <f>IFERROR(__xludf.DUMMYFUNCTION("""COMPUTED_VALUE"""),"long")</f>
        <v>long</v>
      </c>
      <c r="C4979" s="4" t="str">
        <f>IFERROR(__xludf.DUMMYFUNCTION("""COMPUTED_VALUE"""),"FuzangLong")</f>
        <v>FuzangLong</v>
      </c>
    </row>
    <row r="4980">
      <c r="A4980" s="4" t="str">
        <f>IFERROR(__xludf.DUMMYFUNCTION("""COMPUTED_VALUE"""),"fuze-token")</f>
        <v>fuze-token</v>
      </c>
      <c r="B4980" s="4" t="str">
        <f>IFERROR(__xludf.DUMMYFUNCTION("""COMPUTED_VALUE"""),"fuze")</f>
        <v>fuze</v>
      </c>
      <c r="C4980" s="4" t="str">
        <f>IFERROR(__xludf.DUMMYFUNCTION("""COMPUTED_VALUE"""),"FUZE")</f>
        <v>FUZE</v>
      </c>
    </row>
    <row r="4981">
      <c r="A4981" s="4" t="str">
        <f>IFERROR(__xludf.DUMMYFUNCTION("""COMPUTED_VALUE"""),"fuzion")</f>
        <v>fuzion</v>
      </c>
      <c r="B4981" s="4" t="str">
        <f>IFERROR(__xludf.DUMMYFUNCTION("""COMPUTED_VALUE"""),"fuzn")</f>
        <v>fuzn</v>
      </c>
      <c r="C4981" s="4" t="str">
        <f>IFERROR(__xludf.DUMMYFUNCTION("""COMPUTED_VALUE"""),"Fuzion")</f>
        <v>Fuzion</v>
      </c>
    </row>
    <row r="4982">
      <c r="A4982" s="4" t="str">
        <f>IFERROR(__xludf.DUMMYFUNCTION("""COMPUTED_VALUE"""),"fuzz-finance")</f>
        <v>fuzz-finance</v>
      </c>
      <c r="B4982" s="4" t="str">
        <f>IFERROR(__xludf.DUMMYFUNCTION("""COMPUTED_VALUE"""),"fuzz")</f>
        <v>fuzz</v>
      </c>
      <c r="C4982" s="4" t="str">
        <f>IFERROR(__xludf.DUMMYFUNCTION("""COMPUTED_VALUE"""),"Fuzz Finance")</f>
        <v>Fuzz Finance</v>
      </c>
    </row>
    <row r="4983">
      <c r="A4983" s="4" t="str">
        <f>IFERROR(__xludf.DUMMYFUNCTION("""COMPUTED_VALUE"""),"fx1sports")</f>
        <v>fx1sports</v>
      </c>
      <c r="B4983" s="4" t="str">
        <f>IFERROR(__xludf.DUMMYFUNCTION("""COMPUTED_VALUE"""),"fxi")</f>
        <v>fxi</v>
      </c>
      <c r="C4983" s="4" t="str">
        <f>IFERROR(__xludf.DUMMYFUNCTION("""COMPUTED_VALUE"""),"FX1Sports")</f>
        <v>FX1Sports</v>
      </c>
    </row>
    <row r="4984">
      <c r="A4984" s="4" t="str">
        <f>IFERROR(__xludf.DUMMYFUNCTION("""COMPUTED_VALUE"""),"fxbox-io")</f>
        <v>fxbox-io</v>
      </c>
      <c r="B4984" s="4" t="str">
        <f>IFERROR(__xludf.DUMMYFUNCTION("""COMPUTED_VALUE"""),"fxb")</f>
        <v>fxb</v>
      </c>
      <c r="C4984" s="5" t="str">
        <f>IFERROR(__xludf.DUMMYFUNCTION("""COMPUTED_VALUE"""),"FxBox.io")</f>
        <v>FxBox.io</v>
      </c>
    </row>
    <row r="4985">
      <c r="A4985" s="4" t="str">
        <f>IFERROR(__xludf.DUMMYFUNCTION("""COMPUTED_VALUE"""),"fx-coin")</f>
        <v>fx-coin</v>
      </c>
      <c r="B4985" s="4" t="str">
        <f>IFERROR(__xludf.DUMMYFUNCTION("""COMPUTED_VALUE"""),"fx")</f>
        <v>fx</v>
      </c>
      <c r="C4985" s="4" t="str">
        <f>IFERROR(__xludf.DUMMYFUNCTION("""COMPUTED_VALUE"""),"Function X")</f>
        <v>Function X</v>
      </c>
    </row>
    <row r="4986">
      <c r="A4986" s="4" t="str">
        <f>IFERROR(__xludf.DUMMYFUNCTION("""COMPUTED_VALUE"""),"fxdx")</f>
        <v>fxdx</v>
      </c>
      <c r="B4986" s="4" t="str">
        <f>IFERROR(__xludf.DUMMYFUNCTION("""COMPUTED_VALUE"""),"fxdx")</f>
        <v>fxdx</v>
      </c>
      <c r="C4986" s="4" t="str">
        <f>IFERROR(__xludf.DUMMYFUNCTION("""COMPUTED_VALUE"""),"FXDX")</f>
        <v>FXDX</v>
      </c>
    </row>
    <row r="4987">
      <c r="A4987" s="4" t="str">
        <f>IFERROR(__xludf.DUMMYFUNCTION("""COMPUTED_VALUE"""),"fxn-token")</f>
        <v>fxn-token</v>
      </c>
      <c r="B4987" s="4" t="str">
        <f>IFERROR(__xludf.DUMMYFUNCTION("""COMPUTED_VALUE"""),"fxn")</f>
        <v>fxn</v>
      </c>
      <c r="C4987" s="4" t="str">
        <f>IFERROR(__xludf.DUMMYFUNCTION("""COMPUTED_VALUE"""),"f(x) Protocol")</f>
        <v>f(x) Protocol</v>
      </c>
    </row>
    <row r="4988">
      <c r="A4988" s="4" t="str">
        <f>IFERROR(__xludf.DUMMYFUNCTION("""COMPUTED_VALUE"""),"f-x-protocol-fractional-eth")</f>
        <v>f-x-protocol-fractional-eth</v>
      </c>
      <c r="B4988" s="4" t="str">
        <f>IFERROR(__xludf.DUMMYFUNCTION("""COMPUTED_VALUE"""),"feth")</f>
        <v>feth</v>
      </c>
      <c r="C4988" s="4" t="str">
        <f>IFERROR(__xludf.DUMMYFUNCTION("""COMPUTED_VALUE"""),"f(x) Protocol Fractional ETH")</f>
        <v>f(x) Protocol Fractional ETH</v>
      </c>
    </row>
    <row r="4989">
      <c r="A4989" s="4" t="str">
        <f>IFERROR(__xludf.DUMMYFUNCTION("""COMPUTED_VALUE"""),"f-x-protocol-fxusd")</f>
        <v>f-x-protocol-fxusd</v>
      </c>
      <c r="B4989" s="4" t="str">
        <f>IFERROR(__xludf.DUMMYFUNCTION("""COMPUTED_VALUE"""),"fxusd")</f>
        <v>fxusd</v>
      </c>
      <c r="C4989" s="4" t="str">
        <f>IFERROR(__xludf.DUMMYFUNCTION("""COMPUTED_VALUE"""),"f(x) Protocol fxUSD")</f>
        <v>f(x) Protocol fxUSD</v>
      </c>
    </row>
    <row r="4990">
      <c r="A4990" s="4" t="str">
        <f>IFERROR(__xludf.DUMMYFUNCTION("""COMPUTED_VALUE"""),"f-x-protocol-leveraged-eth")</f>
        <v>f-x-protocol-leveraged-eth</v>
      </c>
      <c r="B4990" s="4" t="str">
        <f>IFERROR(__xludf.DUMMYFUNCTION("""COMPUTED_VALUE"""),"xeth")</f>
        <v>xeth</v>
      </c>
      <c r="C4990" s="4" t="str">
        <f>IFERROR(__xludf.DUMMYFUNCTION("""COMPUTED_VALUE"""),"f(x) Protocol Leveraged ETH")</f>
        <v>f(x) Protocol Leveraged ETH</v>
      </c>
    </row>
    <row r="4991">
      <c r="A4991" s="4" t="str">
        <f>IFERROR(__xludf.DUMMYFUNCTION("""COMPUTED_VALUE"""),"fx-rusd")</f>
        <v>fx-rusd</v>
      </c>
      <c r="B4991" s="4" t="str">
        <f>IFERROR(__xludf.DUMMYFUNCTION("""COMPUTED_VALUE"""),"rusd")</f>
        <v>rusd</v>
      </c>
      <c r="C4991" s="4" t="str">
        <f>IFERROR(__xludf.DUMMYFUNCTION("""COMPUTED_VALUE"""),"f(x) rUSD")</f>
        <v>f(x) rUSD</v>
      </c>
    </row>
    <row r="4992">
      <c r="A4992" s="4" t="str">
        <f>IFERROR(__xludf.DUMMYFUNCTION("""COMPUTED_VALUE"""),"fydcoin")</f>
        <v>fydcoin</v>
      </c>
      <c r="B4992" s="4" t="str">
        <f>IFERROR(__xludf.DUMMYFUNCTION("""COMPUTED_VALUE"""),"fyd")</f>
        <v>fyd</v>
      </c>
      <c r="C4992" s="4" t="str">
        <f>IFERROR(__xludf.DUMMYFUNCTION("""COMPUTED_VALUE"""),"FYDcoin")</f>
        <v>FYDcoin</v>
      </c>
    </row>
    <row r="4993">
      <c r="A4993" s="4" t="str">
        <f>IFERROR(__xludf.DUMMYFUNCTION("""COMPUTED_VALUE"""),"fyde-treasury")</f>
        <v>fyde-treasury</v>
      </c>
      <c r="B4993" s="4" t="str">
        <f>IFERROR(__xludf.DUMMYFUNCTION("""COMPUTED_VALUE"""),"trsy")</f>
        <v>trsy</v>
      </c>
      <c r="C4993" s="4" t="str">
        <f>IFERROR(__xludf.DUMMYFUNCTION("""COMPUTED_VALUE"""),"Fyde Treasury")</f>
        <v>Fyde Treasury</v>
      </c>
    </row>
    <row r="4994">
      <c r="A4994" s="4" t="str">
        <f>IFERROR(__xludf.DUMMYFUNCTION("""COMPUTED_VALUE"""),"g999")</f>
        <v>g999</v>
      </c>
      <c r="B4994" s="4" t="str">
        <f>IFERROR(__xludf.DUMMYFUNCTION("""COMPUTED_VALUE"""),"g999")</f>
        <v>g999</v>
      </c>
      <c r="C4994" s="4" t="str">
        <f>IFERROR(__xludf.DUMMYFUNCTION("""COMPUTED_VALUE"""),"G999")</f>
        <v>G999</v>
      </c>
    </row>
    <row r="4995">
      <c r="A4995" s="4" t="str">
        <f>IFERROR(__xludf.DUMMYFUNCTION("""COMPUTED_VALUE"""),"gaga-pepe")</f>
        <v>gaga-pepe</v>
      </c>
      <c r="B4995" s="4" t="str">
        <f>IFERROR(__xludf.DUMMYFUNCTION("""COMPUTED_VALUE"""),"gaga")</f>
        <v>gaga</v>
      </c>
      <c r="C4995" s="4" t="str">
        <f>IFERROR(__xludf.DUMMYFUNCTION("""COMPUTED_VALUE"""),"Gaga (Pepe)")</f>
        <v>Gaga (Pepe)</v>
      </c>
    </row>
    <row r="4996">
      <c r="A4996" s="4" t="str">
        <f>IFERROR(__xludf.DUMMYFUNCTION("""COMPUTED_VALUE"""),"gagarin")</f>
        <v>gagarin</v>
      </c>
      <c r="B4996" s="4" t="str">
        <f>IFERROR(__xludf.DUMMYFUNCTION("""COMPUTED_VALUE"""),"ggr")</f>
        <v>ggr</v>
      </c>
      <c r="C4996" s="4" t="str">
        <f>IFERROR(__xludf.DUMMYFUNCTION("""COMPUTED_VALUE"""),"GAGARIN")</f>
        <v>GAGARIN</v>
      </c>
    </row>
    <row r="4997">
      <c r="A4997" s="4" t="str">
        <f>IFERROR(__xludf.DUMMYFUNCTION("""COMPUTED_VALUE"""),"gaia-everworld")</f>
        <v>gaia-everworld</v>
      </c>
      <c r="B4997" s="4" t="str">
        <f>IFERROR(__xludf.DUMMYFUNCTION("""COMPUTED_VALUE"""),"gaia")</f>
        <v>gaia</v>
      </c>
      <c r="C4997" s="4" t="str">
        <f>IFERROR(__xludf.DUMMYFUNCTION("""COMPUTED_VALUE"""),"Gaia Everworld")</f>
        <v>Gaia Everworld</v>
      </c>
    </row>
    <row r="4998">
      <c r="A4998" s="4" t="str">
        <f>IFERROR(__xludf.DUMMYFUNCTION("""COMPUTED_VALUE"""),"gaimin")</f>
        <v>gaimin</v>
      </c>
      <c r="B4998" s="4" t="str">
        <f>IFERROR(__xludf.DUMMYFUNCTION("""COMPUTED_VALUE"""),"gmrx")</f>
        <v>gmrx</v>
      </c>
      <c r="C4998" s="4" t="str">
        <f>IFERROR(__xludf.DUMMYFUNCTION("""COMPUTED_VALUE"""),"Gaimin")</f>
        <v>Gaimin</v>
      </c>
    </row>
    <row r="4999">
      <c r="A4999" s="4" t="str">
        <f>IFERROR(__xludf.DUMMYFUNCTION("""COMPUTED_VALUE"""),"gains")</f>
        <v>gains</v>
      </c>
      <c r="B4999" s="4" t="str">
        <f>IFERROR(__xludf.DUMMYFUNCTION("""COMPUTED_VALUE"""),"gains")</f>
        <v>gains</v>
      </c>
      <c r="C4999" s="4" t="str">
        <f>IFERROR(__xludf.DUMMYFUNCTION("""COMPUTED_VALUE"""),"Gains")</f>
        <v>Gains</v>
      </c>
    </row>
    <row r="5000">
      <c r="A5000" s="4" t="str">
        <f>IFERROR(__xludf.DUMMYFUNCTION("""COMPUTED_VALUE"""),"gains-network")</f>
        <v>gains-network</v>
      </c>
      <c r="B5000" s="4" t="str">
        <f>IFERROR(__xludf.DUMMYFUNCTION("""COMPUTED_VALUE"""),"gns")</f>
        <v>gns</v>
      </c>
      <c r="C5000" s="4" t="str">
        <f>IFERROR(__xludf.DUMMYFUNCTION("""COMPUTED_VALUE"""),"Gains Network")</f>
        <v>Gains Network</v>
      </c>
    </row>
    <row r="5001">
      <c r="A5001" s="4" t="str">
        <f>IFERROR(__xludf.DUMMYFUNCTION("""COMPUTED_VALUE"""),"gainspot")</f>
        <v>gainspot</v>
      </c>
      <c r="B5001" s="4" t="str">
        <f>IFERROR(__xludf.DUMMYFUNCTION("""COMPUTED_VALUE"""),"gain$")</f>
        <v>gain$</v>
      </c>
      <c r="C5001" s="4" t="str">
        <f>IFERROR(__xludf.DUMMYFUNCTION("""COMPUTED_VALUE"""),"GainSpot")</f>
        <v>GainSpot</v>
      </c>
    </row>
    <row r="5002">
      <c r="A5002" s="4" t="str">
        <f>IFERROR(__xludf.DUMMYFUNCTION("""COMPUTED_VALUE"""),"gaj")</f>
        <v>gaj</v>
      </c>
      <c r="B5002" s="4" t="str">
        <f>IFERROR(__xludf.DUMMYFUNCTION("""COMPUTED_VALUE"""),"gaj")</f>
        <v>gaj</v>
      </c>
      <c r="C5002" s="4" t="str">
        <f>IFERROR(__xludf.DUMMYFUNCTION("""COMPUTED_VALUE"""),"Gaj Finance")</f>
        <v>Gaj Finance</v>
      </c>
    </row>
    <row r="5003">
      <c r="A5003" s="4" t="str">
        <f>IFERROR(__xludf.DUMMYFUNCTION("""COMPUTED_VALUE"""),"gala")</f>
        <v>gala</v>
      </c>
      <c r="B5003" s="4" t="str">
        <f>IFERROR(__xludf.DUMMYFUNCTION("""COMPUTED_VALUE"""),"gala")</f>
        <v>gala</v>
      </c>
      <c r="C5003" s="4" t="str">
        <f>IFERROR(__xludf.DUMMYFUNCTION("""COMPUTED_VALUE"""),"GALA")</f>
        <v>GALA</v>
      </c>
    </row>
    <row r="5004">
      <c r="A5004" s="4" t="str">
        <f>IFERROR(__xludf.DUMMYFUNCTION("""COMPUTED_VALUE"""),"galactic-arena-the-nftverse")</f>
        <v>galactic-arena-the-nftverse</v>
      </c>
      <c r="B5004" s="4" t="str">
        <f>IFERROR(__xludf.DUMMYFUNCTION("""COMPUTED_VALUE"""),"gan")</f>
        <v>gan</v>
      </c>
      <c r="C5004" s="4" t="str">
        <f>IFERROR(__xludf.DUMMYFUNCTION("""COMPUTED_VALUE"""),"Galactic Arena: The NFTverse")</f>
        <v>Galactic Arena: The NFTverse</v>
      </c>
    </row>
    <row r="5005">
      <c r="A5005" s="4" t="str">
        <f>IFERROR(__xludf.DUMMYFUNCTION("""COMPUTED_VALUE"""),"gala-music")</f>
        <v>gala-music</v>
      </c>
      <c r="B5005" s="4" t="str">
        <f>IFERROR(__xludf.DUMMYFUNCTION("""COMPUTED_VALUE"""),"music")</f>
        <v>music</v>
      </c>
      <c r="C5005" s="4" t="str">
        <f>IFERROR(__xludf.DUMMYFUNCTION("""COMPUTED_VALUE"""),"Gala Music")</f>
        <v>Gala Music</v>
      </c>
    </row>
    <row r="5006">
      <c r="A5006" s="4" t="str">
        <f>IFERROR(__xludf.DUMMYFUNCTION("""COMPUTED_VALUE"""),"galatasaray-fan-token")</f>
        <v>galatasaray-fan-token</v>
      </c>
      <c r="B5006" s="4" t="str">
        <f>IFERROR(__xludf.DUMMYFUNCTION("""COMPUTED_VALUE"""),"gal")</f>
        <v>gal</v>
      </c>
      <c r="C5006" s="4" t="str">
        <f>IFERROR(__xludf.DUMMYFUNCTION("""COMPUTED_VALUE"""),"Galatasaray Fan Token")</f>
        <v>Galatasaray Fan Token</v>
      </c>
    </row>
    <row r="5007">
      <c r="A5007" s="4" t="str">
        <f>IFERROR(__xludf.DUMMYFUNCTION("""COMPUTED_VALUE"""),"galaxia")</f>
        <v>galaxia</v>
      </c>
      <c r="B5007" s="4" t="str">
        <f>IFERROR(__xludf.DUMMYFUNCTION("""COMPUTED_VALUE"""),"gxa")</f>
        <v>gxa</v>
      </c>
      <c r="C5007" s="4" t="str">
        <f>IFERROR(__xludf.DUMMYFUNCTION("""COMPUTED_VALUE"""),"Galaxia")</f>
        <v>Galaxia</v>
      </c>
    </row>
    <row r="5008">
      <c r="A5008" s="4" t="str">
        <f>IFERROR(__xludf.DUMMYFUNCTION("""COMPUTED_VALUE"""),"galaxiaverse")</f>
        <v>galaxiaverse</v>
      </c>
      <c r="B5008" s="4" t="str">
        <f>IFERROR(__xludf.DUMMYFUNCTION("""COMPUTED_VALUE"""),"glxia")</f>
        <v>glxia</v>
      </c>
      <c r="C5008" s="4" t="str">
        <f>IFERROR(__xludf.DUMMYFUNCTION("""COMPUTED_VALUE"""),"GalaxiaVerse")</f>
        <v>GalaxiaVerse</v>
      </c>
    </row>
    <row r="5009">
      <c r="A5009" s="4" t="str">
        <f>IFERROR(__xludf.DUMMYFUNCTION("""COMPUTED_VALUE"""),"galaxis-token")</f>
        <v>galaxis-token</v>
      </c>
      <c r="B5009" s="4" t="str">
        <f>IFERROR(__xludf.DUMMYFUNCTION("""COMPUTED_VALUE"""),"galaxis")</f>
        <v>galaxis</v>
      </c>
      <c r="C5009" s="4" t="str">
        <f>IFERROR(__xludf.DUMMYFUNCTION("""COMPUTED_VALUE"""),"GALAXIS Token")</f>
        <v>GALAXIS Token</v>
      </c>
    </row>
    <row r="5010">
      <c r="A5010" s="4" t="str">
        <f>IFERROR(__xludf.DUMMYFUNCTION("""COMPUTED_VALUE"""),"galaxy-arena")</f>
        <v>galaxy-arena</v>
      </c>
      <c r="B5010" s="4" t="str">
        <f>IFERROR(__xludf.DUMMYFUNCTION("""COMPUTED_VALUE"""),"esnc")</f>
        <v>esnc</v>
      </c>
      <c r="C5010" s="4" t="str">
        <f>IFERROR(__xludf.DUMMYFUNCTION("""COMPUTED_VALUE"""),"Galaxy Arena Metaverse")</f>
        <v>Galaxy Arena Metaverse</v>
      </c>
    </row>
    <row r="5011">
      <c r="A5011" s="4" t="str">
        <f>IFERROR(__xludf.DUMMYFUNCTION("""COMPUTED_VALUE"""),"galaxycoin")</f>
        <v>galaxycoin</v>
      </c>
      <c r="B5011" s="4" t="str">
        <f>IFERROR(__xludf.DUMMYFUNCTION("""COMPUTED_VALUE"""),"galaxy")</f>
        <v>galaxy</v>
      </c>
      <c r="C5011" s="4" t="str">
        <f>IFERROR(__xludf.DUMMYFUNCTION("""COMPUTED_VALUE"""),"GalaxyCoin")</f>
        <v>GalaxyCoin</v>
      </c>
    </row>
    <row r="5012">
      <c r="A5012" s="4" t="str">
        <f>IFERROR(__xludf.DUMMYFUNCTION("""COMPUTED_VALUE"""),"galaxy-fight-club")</f>
        <v>galaxy-fight-club</v>
      </c>
      <c r="B5012" s="4" t="str">
        <f>IFERROR(__xludf.DUMMYFUNCTION("""COMPUTED_VALUE"""),"gcoin")</f>
        <v>gcoin</v>
      </c>
      <c r="C5012" s="4" t="str">
        <f>IFERROR(__xludf.DUMMYFUNCTION("""COMPUTED_VALUE"""),"Galaxy Fight Club")</f>
        <v>Galaxy Fight Club</v>
      </c>
    </row>
    <row r="5013">
      <c r="A5013" s="4" t="str">
        <f>IFERROR(__xludf.DUMMYFUNCTION("""COMPUTED_VALUE"""),"galaxy-fox")</f>
        <v>galaxy-fox</v>
      </c>
      <c r="B5013" s="4" t="str">
        <f>IFERROR(__xludf.DUMMYFUNCTION("""COMPUTED_VALUE"""),"gfox")</f>
        <v>gfox</v>
      </c>
      <c r="C5013" s="4" t="str">
        <f>IFERROR(__xludf.DUMMYFUNCTION("""COMPUTED_VALUE"""),"Galaxy Fox")</f>
        <v>Galaxy Fox</v>
      </c>
    </row>
    <row r="5014">
      <c r="A5014" s="4" t="str">
        <f>IFERROR(__xludf.DUMMYFUNCTION("""COMPUTED_VALUE"""),"galaxy-token-injective")</f>
        <v>galaxy-token-injective</v>
      </c>
      <c r="B5014" s="4" t="str">
        <f>IFERROR(__xludf.DUMMYFUNCTION("""COMPUTED_VALUE"""),"galaxy")</f>
        <v>galaxy</v>
      </c>
      <c r="C5014" s="4" t="str">
        <f>IFERROR(__xludf.DUMMYFUNCTION("""COMPUTED_VALUE"""),"Galaxy Token (Injective)")</f>
        <v>Galaxy Token (Injective)</v>
      </c>
    </row>
    <row r="5015">
      <c r="A5015" s="4" t="str">
        <f>IFERROR(__xludf.DUMMYFUNCTION("""COMPUTED_VALUE"""),"galaxy-war")</f>
        <v>galaxy-war</v>
      </c>
      <c r="B5015" s="4" t="str">
        <f>IFERROR(__xludf.DUMMYFUNCTION("""COMPUTED_VALUE"""),"gwt")</f>
        <v>gwt</v>
      </c>
      <c r="C5015" s="4" t="str">
        <f>IFERROR(__xludf.DUMMYFUNCTION("""COMPUTED_VALUE"""),"Galaxy War")</f>
        <v>Galaxy War</v>
      </c>
    </row>
    <row r="5016">
      <c r="A5016" s="4" t="str">
        <f>IFERROR(__xludf.DUMMYFUNCTION("""COMPUTED_VALUE"""),"galeon")</f>
        <v>galeon</v>
      </c>
      <c r="B5016" s="4" t="str">
        <f>IFERROR(__xludf.DUMMYFUNCTION("""COMPUTED_VALUE"""),"galeon")</f>
        <v>galeon</v>
      </c>
      <c r="C5016" s="4" t="str">
        <f>IFERROR(__xludf.DUMMYFUNCTION("""COMPUTED_VALUE"""),"Galeon")</f>
        <v>Galeon</v>
      </c>
    </row>
    <row r="5017">
      <c r="A5017" s="4" t="str">
        <f>IFERROR(__xludf.DUMMYFUNCTION("""COMPUTED_VALUE"""),"galvan")</f>
        <v>galvan</v>
      </c>
      <c r="B5017" s="4" t="str">
        <f>IFERROR(__xludf.DUMMYFUNCTION("""COMPUTED_VALUE"""),"ize")</f>
        <v>ize</v>
      </c>
      <c r="C5017" s="4" t="str">
        <f>IFERROR(__xludf.DUMMYFUNCTION("""COMPUTED_VALUE"""),"Galvan")</f>
        <v>Galvan</v>
      </c>
    </row>
    <row r="5018">
      <c r="A5018" s="4" t="str">
        <f>IFERROR(__xludf.DUMMYFUNCTION("""COMPUTED_VALUE"""),"gam3s-gg")</f>
        <v>gam3s-gg</v>
      </c>
      <c r="B5018" s="4" t="str">
        <f>IFERROR(__xludf.DUMMYFUNCTION("""COMPUTED_VALUE"""),"g3")</f>
        <v>g3</v>
      </c>
      <c r="C5018" s="5" t="str">
        <f>IFERROR(__xludf.DUMMYFUNCTION("""COMPUTED_VALUE"""),"GAM3S.GG")</f>
        <v>GAM3S.GG</v>
      </c>
    </row>
    <row r="5019">
      <c r="A5019" s="4" t="str">
        <f>IFERROR(__xludf.DUMMYFUNCTION("""COMPUTED_VALUE"""),"gambex")</f>
        <v>gambex</v>
      </c>
      <c r="B5019" s="4" t="str">
        <f>IFERROR(__xludf.DUMMYFUNCTION("""COMPUTED_VALUE"""),"gbe")</f>
        <v>gbe</v>
      </c>
      <c r="C5019" s="4" t="str">
        <f>IFERROR(__xludf.DUMMYFUNCTION("""COMPUTED_VALUE"""),"Gambex")</f>
        <v>Gambex</v>
      </c>
    </row>
    <row r="5020">
      <c r="A5020" s="4" t="str">
        <f>IFERROR(__xludf.DUMMYFUNCTION("""COMPUTED_VALUE"""),"gambit-2")</f>
        <v>gambit-2</v>
      </c>
      <c r="B5020" s="4" t="str">
        <f>IFERROR(__xludf.DUMMYFUNCTION("""COMPUTED_VALUE"""),"gambit")</f>
        <v>gambit</v>
      </c>
      <c r="C5020" s="4" t="str">
        <f>IFERROR(__xludf.DUMMYFUNCTION("""COMPUTED_VALUE"""),"Gambit")</f>
        <v>Gambit</v>
      </c>
    </row>
    <row r="5021">
      <c r="A5021" s="4" t="str">
        <f>IFERROR(__xludf.DUMMYFUNCTION("""COMPUTED_VALUE"""),"game")</f>
        <v>game</v>
      </c>
      <c r="B5021" s="4" t="str">
        <f>IFERROR(__xludf.DUMMYFUNCTION("""COMPUTED_VALUE"""),"gtc")</f>
        <v>gtc</v>
      </c>
      <c r="C5021" s="4" t="str">
        <f>IFERROR(__xludf.DUMMYFUNCTION("""COMPUTED_VALUE"""),"Game")</f>
        <v>Game</v>
      </c>
    </row>
    <row r="5022">
      <c r="A5022" s="4" t="str">
        <f>IFERROR(__xludf.DUMMYFUNCTION("""COMPUTED_VALUE"""),"game-2")</f>
        <v>game-2</v>
      </c>
      <c r="B5022" s="4" t="str">
        <f>IFERROR(__xludf.DUMMYFUNCTION("""COMPUTED_VALUE"""),"game")</f>
        <v>game</v>
      </c>
      <c r="C5022" s="4" t="str">
        <f>IFERROR(__xludf.DUMMYFUNCTION("""COMPUTED_VALUE"""),"Gameluk")</f>
        <v>Gameluk</v>
      </c>
    </row>
    <row r="5023">
      <c r="A5023" s="4" t="str">
        <f>IFERROR(__xludf.DUMMYFUNCTION("""COMPUTED_VALUE"""),"gameai")</f>
        <v>gameai</v>
      </c>
      <c r="B5023" s="4" t="str">
        <f>IFERROR(__xludf.DUMMYFUNCTION("""COMPUTED_VALUE"""),"gat")</f>
        <v>gat</v>
      </c>
      <c r="C5023" s="4" t="str">
        <f>IFERROR(__xludf.DUMMYFUNCTION("""COMPUTED_VALUE"""),"GameAI")</f>
        <v>GameAI</v>
      </c>
    </row>
    <row r="5024">
      <c r="A5024" s="4" t="str">
        <f>IFERROR(__xludf.DUMMYFUNCTION("""COMPUTED_VALUE"""),"gameboy")</f>
        <v>gameboy</v>
      </c>
      <c r="B5024" s="4" t="str">
        <f>IFERROR(__xludf.DUMMYFUNCTION("""COMPUTED_VALUE"""),"gboy")</f>
        <v>gboy</v>
      </c>
      <c r="C5024" s="4" t="str">
        <f>IFERROR(__xludf.DUMMYFUNCTION("""COMPUTED_VALUE"""),"GameBoy")</f>
        <v>GameBoy</v>
      </c>
    </row>
    <row r="5025">
      <c r="A5025" s="4" t="str">
        <f>IFERROR(__xludf.DUMMYFUNCTION("""COMPUTED_VALUE"""),"game-coin")</f>
        <v>game-coin</v>
      </c>
      <c r="B5025" s="4" t="str">
        <f>IFERROR(__xludf.DUMMYFUNCTION("""COMPUTED_VALUE"""),"gmex")</f>
        <v>gmex</v>
      </c>
      <c r="C5025" s="4" t="str">
        <f>IFERROR(__xludf.DUMMYFUNCTION("""COMPUTED_VALUE"""),"Game Coin")</f>
        <v>Game Coin</v>
      </c>
    </row>
    <row r="5026">
      <c r="A5026" s="4" t="str">
        <f>IFERROR(__xludf.DUMMYFUNCTION("""COMPUTED_VALUE"""),"gamecraft")</f>
        <v>gamecraft</v>
      </c>
      <c r="B5026" s="4" t="str">
        <f>IFERROR(__xludf.DUMMYFUNCTION("""COMPUTED_VALUE"""),"gtc")</f>
        <v>gtc</v>
      </c>
      <c r="C5026" s="4" t="str">
        <f>IFERROR(__xludf.DUMMYFUNCTION("""COMPUTED_VALUE"""),"GameCraft")</f>
        <v>GameCraft</v>
      </c>
    </row>
    <row r="5027">
      <c r="A5027" s="4" t="str">
        <f>IFERROR(__xludf.DUMMYFUNCTION("""COMPUTED_VALUE"""),"gamecredits")</f>
        <v>gamecredits</v>
      </c>
      <c r="B5027" s="4" t="str">
        <f>IFERROR(__xludf.DUMMYFUNCTION("""COMPUTED_VALUE"""),"game")</f>
        <v>game</v>
      </c>
      <c r="C5027" s="4" t="str">
        <f>IFERROR(__xludf.DUMMYFUNCTION("""COMPUTED_VALUE"""),"GameCredits")</f>
        <v>GameCredits</v>
      </c>
    </row>
    <row r="5028">
      <c r="A5028" s="4" t="str">
        <f>IFERROR(__xludf.DUMMYFUNCTION("""COMPUTED_VALUE"""),"gamee")</f>
        <v>gamee</v>
      </c>
      <c r="B5028" s="4" t="str">
        <f>IFERROR(__xludf.DUMMYFUNCTION("""COMPUTED_VALUE"""),"gmee")</f>
        <v>gmee</v>
      </c>
      <c r="C5028" s="4" t="str">
        <f>IFERROR(__xludf.DUMMYFUNCTION("""COMPUTED_VALUE"""),"GAMEE")</f>
        <v>GAMEE</v>
      </c>
    </row>
    <row r="5029">
      <c r="A5029" s="4" t="str">
        <f>IFERROR(__xludf.DUMMYFUNCTION("""COMPUTED_VALUE"""),"gamefantasystar")</f>
        <v>gamefantasystar</v>
      </c>
      <c r="B5029" s="4" t="str">
        <f>IFERROR(__xludf.DUMMYFUNCTION("""COMPUTED_VALUE"""),"gfs")</f>
        <v>gfs</v>
      </c>
      <c r="C5029" s="4" t="str">
        <f>IFERROR(__xludf.DUMMYFUNCTION("""COMPUTED_VALUE"""),"GameFantasyStar")</f>
        <v>GameFantasyStar</v>
      </c>
    </row>
    <row r="5030">
      <c r="A5030" s="4" t="str">
        <f>IFERROR(__xludf.DUMMYFUNCTION("""COMPUTED_VALUE"""),"game-fantasy-token")</f>
        <v>game-fantasy-token</v>
      </c>
      <c r="B5030" s="4" t="str">
        <f>IFERROR(__xludf.DUMMYFUNCTION("""COMPUTED_VALUE"""),"gft")</f>
        <v>gft</v>
      </c>
      <c r="C5030" s="4" t="str">
        <f>IFERROR(__xludf.DUMMYFUNCTION("""COMPUTED_VALUE"""),"Game Fantasy")</f>
        <v>Game Fantasy</v>
      </c>
    </row>
    <row r="5031">
      <c r="A5031" s="4" t="str">
        <f>IFERROR(__xludf.DUMMYFUNCTION("""COMPUTED_VALUE"""),"gamefi")</f>
        <v>gamefi</v>
      </c>
      <c r="B5031" s="4" t="str">
        <f>IFERROR(__xludf.DUMMYFUNCTION("""COMPUTED_VALUE"""),"gafi")</f>
        <v>gafi</v>
      </c>
      <c r="C5031" s="5" t="str">
        <f>IFERROR(__xludf.DUMMYFUNCTION("""COMPUTED_VALUE"""),"GameFi.org")</f>
        <v>GameFi.org</v>
      </c>
    </row>
    <row r="5032">
      <c r="A5032" s="4" t="str">
        <f>IFERROR(__xludf.DUMMYFUNCTION("""COMPUTED_VALUE"""),"gameflip")</f>
        <v>gameflip</v>
      </c>
      <c r="B5032" s="4" t="str">
        <f>IFERROR(__xludf.DUMMYFUNCTION("""COMPUTED_VALUE"""),"flp")</f>
        <v>flp</v>
      </c>
      <c r="C5032" s="4" t="str">
        <f>IFERROR(__xludf.DUMMYFUNCTION("""COMPUTED_VALUE"""),"Gameflip")</f>
        <v>Gameflip</v>
      </c>
    </row>
    <row r="5033">
      <c r="A5033" s="4" t="str">
        <f>IFERROR(__xludf.DUMMYFUNCTION("""COMPUTED_VALUE"""),"gamefork")</f>
        <v>gamefork</v>
      </c>
      <c r="B5033" s="4" t="str">
        <f>IFERROR(__xludf.DUMMYFUNCTION("""COMPUTED_VALUE"""),"gamefork")</f>
        <v>gamefork</v>
      </c>
      <c r="C5033" s="4" t="str">
        <f>IFERROR(__xludf.DUMMYFUNCTION("""COMPUTED_VALUE"""),"GameFork")</f>
        <v>GameFork</v>
      </c>
    </row>
    <row r="5034">
      <c r="A5034" s="4" t="str">
        <f>IFERROR(__xludf.DUMMYFUNCTION("""COMPUTED_VALUE"""),"gamegpt")</f>
        <v>gamegpt</v>
      </c>
      <c r="B5034" s="4" t="str">
        <f>IFERROR(__xludf.DUMMYFUNCTION("""COMPUTED_VALUE"""),"duel")</f>
        <v>duel</v>
      </c>
      <c r="C5034" s="4" t="str">
        <f>IFERROR(__xludf.DUMMYFUNCTION("""COMPUTED_VALUE"""),"GameGPT")</f>
        <v>GameGPT</v>
      </c>
    </row>
    <row r="5035">
      <c r="A5035" s="4" t="str">
        <f>IFERROR(__xludf.DUMMYFUNCTION("""COMPUTED_VALUE"""),"gameology")</f>
        <v>gameology</v>
      </c>
      <c r="B5035" s="4" t="str">
        <f>IFERROR(__xludf.DUMMYFUNCTION("""COMPUTED_VALUE"""),"gmy")</f>
        <v>gmy</v>
      </c>
      <c r="C5035" s="4" t="str">
        <f>IFERROR(__xludf.DUMMYFUNCTION("""COMPUTED_VALUE"""),"Gameology")</f>
        <v>Gameology</v>
      </c>
    </row>
    <row r="5036">
      <c r="A5036" s="4" t="str">
        <f>IFERROR(__xludf.DUMMYFUNCTION("""COMPUTED_VALUE"""),"gameonforge")</f>
        <v>gameonforge</v>
      </c>
      <c r="B5036" s="4" t="str">
        <f>IFERROR(__xludf.DUMMYFUNCTION("""COMPUTED_VALUE"""),"gof")</f>
        <v>gof</v>
      </c>
      <c r="C5036" s="4" t="str">
        <f>IFERROR(__xludf.DUMMYFUNCTION("""COMPUTED_VALUE"""),"GameonForge")</f>
        <v>GameonForge</v>
      </c>
    </row>
    <row r="5037">
      <c r="A5037" s="4" t="str">
        <f>IFERROR(__xludf.DUMMYFUNCTION("""COMPUTED_VALUE"""),"gamepass")</f>
        <v>gamepass</v>
      </c>
      <c r="B5037" s="4" t="str">
        <f>IFERROR(__xludf.DUMMYFUNCTION("""COMPUTED_VALUE"""),"gpn")</f>
        <v>gpn</v>
      </c>
      <c r="C5037" s="4" t="str">
        <f>IFERROR(__xludf.DUMMYFUNCTION("""COMPUTED_VALUE"""),"Gamepass")</f>
        <v>Gamepass</v>
      </c>
    </row>
    <row r="5038">
      <c r="A5038" s="4" t="str">
        <f>IFERROR(__xludf.DUMMYFUNCTION("""COMPUTED_VALUE"""),"gamepass-network")</f>
        <v>gamepass-network</v>
      </c>
      <c r="B5038" s="4" t="str">
        <f>IFERROR(__xludf.DUMMYFUNCTION("""COMPUTED_VALUE"""),"gpn")</f>
        <v>gpn</v>
      </c>
      <c r="C5038" s="4" t="str">
        <f>IFERROR(__xludf.DUMMYFUNCTION("""COMPUTED_VALUE"""),"GamePass Network")</f>
        <v>GamePass Network</v>
      </c>
    </row>
    <row r="5039">
      <c r="A5039" s="4" t="str">
        <f>IFERROR(__xludf.DUMMYFUNCTION("""COMPUTED_VALUE"""),"gamer")</f>
        <v>gamer</v>
      </c>
      <c r="B5039" s="4" t="str">
        <f>IFERROR(__xludf.DUMMYFUNCTION("""COMPUTED_VALUE"""),"gmr")</f>
        <v>gmr</v>
      </c>
      <c r="C5039" s="4" t="str">
        <f>IFERROR(__xludf.DUMMYFUNCTION("""COMPUTED_VALUE"""),"GAMER")</f>
        <v>GAMER</v>
      </c>
    </row>
    <row r="5040">
      <c r="A5040" s="4" t="str">
        <f>IFERROR(__xludf.DUMMYFUNCTION("""COMPUTED_VALUE"""),"gamer-arena")</f>
        <v>gamer-arena</v>
      </c>
      <c r="B5040" s="4" t="str">
        <f>IFERROR(__xludf.DUMMYFUNCTION("""COMPUTED_VALUE"""),"gau")</f>
        <v>gau</v>
      </c>
      <c r="C5040" s="4" t="str">
        <f>IFERROR(__xludf.DUMMYFUNCTION("""COMPUTED_VALUE"""),"Gamer Arena")</f>
        <v>Gamer Arena</v>
      </c>
    </row>
    <row r="5041">
      <c r="A5041" s="4" t="str">
        <f>IFERROR(__xludf.DUMMYFUNCTION("""COMPUTED_VALUE"""),"gamercoin")</f>
        <v>gamercoin</v>
      </c>
      <c r="B5041" s="4" t="str">
        <f>IFERROR(__xludf.DUMMYFUNCTION("""COMPUTED_VALUE"""),"ghx")</f>
        <v>ghx</v>
      </c>
      <c r="C5041" s="4" t="str">
        <f>IFERROR(__xludf.DUMMYFUNCTION("""COMPUTED_VALUE"""),"GamerCoin")</f>
        <v>GamerCoin</v>
      </c>
    </row>
    <row r="5042">
      <c r="A5042" s="4" t="str">
        <f>IFERROR(__xludf.DUMMYFUNCTION("""COMPUTED_VALUE"""),"gamereum")</f>
        <v>gamereum</v>
      </c>
      <c r="B5042" s="4" t="str">
        <f>IFERROR(__xludf.DUMMYFUNCTION("""COMPUTED_VALUE"""),"game")</f>
        <v>game</v>
      </c>
      <c r="C5042" s="4" t="str">
        <f>IFERROR(__xludf.DUMMYFUNCTION("""COMPUTED_VALUE"""),"Gamereum")</f>
        <v>Gamereum</v>
      </c>
    </row>
    <row r="5043">
      <c r="A5043" s="4" t="str">
        <f>IFERROR(__xludf.DUMMYFUNCTION("""COMPUTED_VALUE"""),"gamerfi")</f>
        <v>gamerfi</v>
      </c>
      <c r="B5043" s="4" t="str">
        <f>IFERROR(__xludf.DUMMYFUNCTION("""COMPUTED_VALUE"""),"gamerfi")</f>
        <v>gamerfi</v>
      </c>
      <c r="C5043" s="4" t="str">
        <f>IFERROR(__xludf.DUMMYFUNCTION("""COMPUTED_VALUE"""),"GAMERFI")</f>
        <v>GAMERFI</v>
      </c>
    </row>
    <row r="5044">
      <c r="A5044" s="4" t="str">
        <f>IFERROR(__xludf.DUMMYFUNCTION("""COMPUTED_VALUE"""),"gamerse")</f>
        <v>gamerse</v>
      </c>
      <c r="B5044" s="4" t="str">
        <f>IFERROR(__xludf.DUMMYFUNCTION("""COMPUTED_VALUE"""),"lfg")</f>
        <v>lfg</v>
      </c>
      <c r="C5044" s="4" t="str">
        <f>IFERROR(__xludf.DUMMYFUNCTION("""COMPUTED_VALUE"""),"Gamerse")</f>
        <v>Gamerse</v>
      </c>
    </row>
    <row r="5045">
      <c r="A5045" s="4" t="str">
        <f>IFERROR(__xludf.DUMMYFUNCTION("""COMPUTED_VALUE"""),"games-for-a-living")</f>
        <v>games-for-a-living</v>
      </c>
      <c r="B5045" s="4" t="str">
        <f>IFERROR(__xludf.DUMMYFUNCTION("""COMPUTED_VALUE"""),"gfal")</f>
        <v>gfal</v>
      </c>
      <c r="C5045" s="4" t="str">
        <f>IFERROR(__xludf.DUMMYFUNCTION("""COMPUTED_VALUE"""),"Games for a Living")</f>
        <v>Games for a Living</v>
      </c>
    </row>
    <row r="5046">
      <c r="A5046" s="4" t="str">
        <f>IFERROR(__xludf.DUMMYFUNCTION("""COMPUTED_VALUE"""),"gamespad")</f>
        <v>gamespad</v>
      </c>
      <c r="B5046" s="4" t="str">
        <f>IFERROR(__xludf.DUMMYFUNCTION("""COMPUTED_VALUE"""),"gmpd")</f>
        <v>gmpd</v>
      </c>
      <c r="C5046" s="4" t="str">
        <f>IFERROR(__xludf.DUMMYFUNCTION("""COMPUTED_VALUE"""),"GamesPad")</f>
        <v>GamesPad</v>
      </c>
    </row>
    <row r="5047">
      <c r="A5047" s="4" t="str">
        <f>IFERROR(__xludf.DUMMYFUNCTION("""COMPUTED_VALUE"""),"gamestarter")</f>
        <v>gamestarter</v>
      </c>
      <c r="B5047" s="4" t="str">
        <f>IFERROR(__xludf.DUMMYFUNCTION("""COMPUTED_VALUE"""),"game")</f>
        <v>game</v>
      </c>
      <c r="C5047" s="4" t="str">
        <f>IFERROR(__xludf.DUMMYFUNCTION("""COMPUTED_VALUE"""),"Gamestarter")</f>
        <v>Gamestarter</v>
      </c>
    </row>
    <row r="5048">
      <c r="A5048" s="4" t="str">
        <f>IFERROR(__xludf.DUMMYFUNCTION("""COMPUTED_VALUE"""),"gamestation")</f>
        <v>gamestation</v>
      </c>
      <c r="B5048" s="4" t="str">
        <f>IFERROR(__xludf.DUMMYFUNCTION("""COMPUTED_VALUE"""),"gamer")</f>
        <v>gamer</v>
      </c>
      <c r="C5048" s="4" t="str">
        <f>IFERROR(__xludf.DUMMYFUNCTION("""COMPUTED_VALUE"""),"GameStation")</f>
        <v>GameStation</v>
      </c>
    </row>
    <row r="5049">
      <c r="A5049" s="4" t="str">
        <f>IFERROR(__xludf.DUMMYFUNCTION("""COMPUTED_VALUE"""),"gamestop-tokenized-stock-defichain")</f>
        <v>gamestop-tokenized-stock-defichain</v>
      </c>
      <c r="B5049" s="4" t="str">
        <f>IFERROR(__xludf.DUMMYFUNCTION("""COMPUTED_VALUE"""),"dgme")</f>
        <v>dgme</v>
      </c>
      <c r="C5049" s="4" t="str">
        <f>IFERROR(__xludf.DUMMYFUNCTION("""COMPUTED_VALUE"""),"GameStop Tokenized Stock Defichain")</f>
        <v>GameStop Tokenized Stock Defichain</v>
      </c>
    </row>
    <row r="5050">
      <c r="A5050" s="4" t="str">
        <f>IFERROR(__xludf.DUMMYFUNCTION("""COMPUTED_VALUE"""),"gameswap-org")</f>
        <v>gameswap-org</v>
      </c>
      <c r="B5050" s="4" t="str">
        <f>IFERROR(__xludf.DUMMYFUNCTION("""COMPUTED_VALUE"""),"gswap")</f>
        <v>gswap</v>
      </c>
      <c r="C5050" s="4" t="str">
        <f>IFERROR(__xludf.DUMMYFUNCTION("""COMPUTED_VALUE"""),"Gameswap")</f>
        <v>Gameswap</v>
      </c>
    </row>
    <row r="5051">
      <c r="A5051" s="4" t="str">
        <f>IFERROR(__xludf.DUMMYFUNCTION("""COMPUTED_VALUE"""),"gameswift")</f>
        <v>gameswift</v>
      </c>
      <c r="B5051" s="4" t="str">
        <f>IFERROR(__xludf.DUMMYFUNCTION("""COMPUTED_VALUE"""),"gswift")</f>
        <v>gswift</v>
      </c>
      <c r="C5051" s="4" t="str">
        <f>IFERROR(__xludf.DUMMYFUNCTION("""COMPUTED_VALUE"""),"GameSwift")</f>
        <v>GameSwift</v>
      </c>
    </row>
    <row r="5052">
      <c r="A5052" s="4" t="str">
        <f>IFERROR(__xludf.DUMMYFUNCTION("""COMPUTED_VALUE"""),"game-tournament-trophy")</f>
        <v>game-tournament-trophy</v>
      </c>
      <c r="B5052" s="4" t="str">
        <f>IFERROR(__xludf.DUMMYFUNCTION("""COMPUTED_VALUE"""),"gtt")</f>
        <v>gtt</v>
      </c>
      <c r="C5052" s="4" t="str">
        <f>IFERROR(__xludf.DUMMYFUNCTION("""COMPUTED_VALUE"""),"Game Tournament Trophy")</f>
        <v>Game Tournament Trophy</v>
      </c>
    </row>
    <row r="5053">
      <c r="A5053" s="4" t="str">
        <f>IFERROR(__xludf.DUMMYFUNCTION("""COMPUTED_VALUE"""),"game-tree")</f>
        <v>game-tree</v>
      </c>
      <c r="B5053" s="4" t="str">
        <f>IFERROR(__xludf.DUMMYFUNCTION("""COMPUTED_VALUE"""),"gtcoin")</f>
        <v>gtcoin</v>
      </c>
      <c r="C5053" s="4" t="str">
        <f>IFERROR(__xludf.DUMMYFUNCTION("""COMPUTED_VALUE"""),"Game Tree")</f>
        <v>Game Tree</v>
      </c>
    </row>
    <row r="5054">
      <c r="A5054" s="4" t="str">
        <f>IFERROR(__xludf.DUMMYFUNCTION("""COMPUTED_VALUE"""),"gamexchange")</f>
        <v>gamexchange</v>
      </c>
      <c r="B5054" s="4" t="str">
        <f>IFERROR(__xludf.DUMMYFUNCTION("""COMPUTED_VALUE"""),"gamex")</f>
        <v>gamex</v>
      </c>
      <c r="C5054" s="4" t="str">
        <f>IFERROR(__xludf.DUMMYFUNCTION("""COMPUTED_VALUE"""),"Gamexchange")</f>
        <v>Gamexchange</v>
      </c>
    </row>
    <row r="5055">
      <c r="A5055" s="4" t="str">
        <f>IFERROR(__xludf.DUMMYFUNCTION("""COMPUTED_VALUE"""),"gamezone")</f>
        <v>gamezone</v>
      </c>
      <c r="B5055" s="4" t="str">
        <f>IFERROR(__xludf.DUMMYFUNCTION("""COMPUTED_VALUE"""),"gzone")</f>
        <v>gzone</v>
      </c>
      <c r="C5055" s="4" t="str">
        <f>IFERROR(__xludf.DUMMYFUNCTION("""COMPUTED_VALUE"""),"GameZone")</f>
        <v>GameZone</v>
      </c>
    </row>
    <row r="5056">
      <c r="A5056" s="4" t="str">
        <f>IFERROR(__xludf.DUMMYFUNCTION("""COMPUTED_VALUE"""),"gami")</f>
        <v>gami</v>
      </c>
      <c r="B5056" s="4" t="str">
        <f>IFERROR(__xludf.DUMMYFUNCTION("""COMPUTED_VALUE"""),"gami")</f>
        <v>gami</v>
      </c>
      <c r="C5056" s="4" t="str">
        <f>IFERROR(__xludf.DUMMYFUNCTION("""COMPUTED_VALUE"""),"Gami")</f>
        <v>Gami</v>
      </c>
    </row>
    <row r="5057">
      <c r="A5057" s="4" t="str">
        <f>IFERROR(__xludf.DUMMYFUNCTION("""COMPUTED_VALUE"""),"gamia")</f>
        <v>gamia</v>
      </c>
      <c r="B5057" s="4" t="str">
        <f>IFERROR(__xludf.DUMMYFUNCTION("""COMPUTED_VALUE"""),"gia")</f>
        <v>gia</v>
      </c>
      <c r="C5057" s="4" t="str">
        <f>IFERROR(__xludf.DUMMYFUNCTION("""COMPUTED_VALUE"""),"Gamia")</f>
        <v>Gamia</v>
      </c>
    </row>
    <row r="5058">
      <c r="A5058" s="4" t="str">
        <f>IFERROR(__xludf.DUMMYFUNCTION("""COMPUTED_VALUE"""),"gaming-stars")</f>
        <v>gaming-stars</v>
      </c>
      <c r="B5058" s="4" t="str">
        <f>IFERROR(__xludf.DUMMYFUNCTION("""COMPUTED_VALUE"""),"games")</f>
        <v>games</v>
      </c>
      <c r="C5058" s="4" t="str">
        <f>IFERROR(__xludf.DUMMYFUNCTION("""COMPUTED_VALUE"""),"Gaming Stars")</f>
        <v>Gaming Stars</v>
      </c>
    </row>
    <row r="5059">
      <c r="A5059" s="4" t="str">
        <f>IFERROR(__xludf.DUMMYFUNCTION("""COMPUTED_VALUE"""),"gamium")</f>
        <v>gamium</v>
      </c>
      <c r="B5059" s="4" t="str">
        <f>IFERROR(__xludf.DUMMYFUNCTION("""COMPUTED_VALUE"""),"gmm")</f>
        <v>gmm</v>
      </c>
      <c r="C5059" s="4" t="str">
        <f>IFERROR(__xludf.DUMMYFUNCTION("""COMPUTED_VALUE"""),"Gamium")</f>
        <v>Gamium</v>
      </c>
    </row>
    <row r="5060">
      <c r="A5060" s="4" t="str">
        <f>IFERROR(__xludf.DUMMYFUNCTION("""COMPUTED_VALUE"""),"gami-world")</f>
        <v>gami-world</v>
      </c>
      <c r="B5060" s="4" t="str">
        <f>IFERROR(__xludf.DUMMYFUNCTION("""COMPUTED_VALUE"""),"gami")</f>
        <v>gami</v>
      </c>
      <c r="C5060" s="4" t="str">
        <f>IFERROR(__xludf.DUMMYFUNCTION("""COMPUTED_VALUE"""),"GAMI World")</f>
        <v>GAMI World</v>
      </c>
    </row>
    <row r="5061">
      <c r="A5061" s="4" t="str">
        <f>IFERROR(__xludf.DUMMYFUNCTION("""COMPUTED_VALUE"""),"gamma-strategies")</f>
        <v>gamma-strategies</v>
      </c>
      <c r="B5061" s="4" t="str">
        <f>IFERROR(__xludf.DUMMYFUNCTION("""COMPUTED_VALUE"""),"gamma")</f>
        <v>gamma</v>
      </c>
      <c r="C5061" s="4" t="str">
        <f>IFERROR(__xludf.DUMMYFUNCTION("""COMPUTED_VALUE"""),"Gamma Strategies")</f>
        <v>Gamma Strategies</v>
      </c>
    </row>
    <row r="5062">
      <c r="A5062" s="4" t="str">
        <f>IFERROR(__xludf.DUMMYFUNCTION("""COMPUTED_VALUE"""),"gammaswap")</f>
        <v>gammaswap</v>
      </c>
      <c r="B5062" s="4" t="str">
        <f>IFERROR(__xludf.DUMMYFUNCTION("""COMPUTED_VALUE"""),"gamma")</f>
        <v>gamma</v>
      </c>
      <c r="C5062" s="4" t="str">
        <f>IFERROR(__xludf.DUMMYFUNCTION("""COMPUTED_VALUE"""),"GammaSwap")</f>
        <v>GammaSwap</v>
      </c>
    </row>
    <row r="5063">
      <c r="A5063" s="4" t="str">
        <f>IFERROR(__xludf.DUMMYFUNCTION("""COMPUTED_VALUE"""),"gamma-wallet")</f>
        <v>gamma-wallet</v>
      </c>
      <c r="B5063" s="4" t="str">
        <f>IFERROR(__xludf.DUMMYFUNCTION("""COMPUTED_VALUE"""),"gamma")</f>
        <v>gamma</v>
      </c>
      <c r="C5063" s="4" t="str">
        <f>IFERROR(__xludf.DUMMYFUNCTION("""COMPUTED_VALUE"""),"Gamma Wallet")</f>
        <v>Gamma Wallet</v>
      </c>
    </row>
    <row r="5064">
      <c r="A5064" s="4" t="str">
        <f>IFERROR(__xludf.DUMMYFUNCTION("""COMPUTED_VALUE"""),"gamyfi-token")</f>
        <v>gamyfi-token</v>
      </c>
      <c r="B5064" s="4" t="str">
        <f>IFERROR(__xludf.DUMMYFUNCTION("""COMPUTED_VALUE"""),"gfx")</f>
        <v>gfx</v>
      </c>
      <c r="C5064" s="4" t="str">
        <f>IFERROR(__xludf.DUMMYFUNCTION("""COMPUTED_VALUE"""),"GamyFi")</f>
        <v>GamyFi</v>
      </c>
    </row>
    <row r="5065">
      <c r="A5065" s="4" t="str">
        <f>IFERROR(__xludf.DUMMYFUNCTION("""COMPUTED_VALUE"""),"gangs-rabbit")</f>
        <v>gangs-rabbit</v>
      </c>
      <c r="B5065" s="4" t="str">
        <f>IFERROR(__xludf.DUMMYFUNCTION("""COMPUTED_VALUE"""),"rabbit")</f>
        <v>rabbit</v>
      </c>
      <c r="C5065" s="4" t="str">
        <f>IFERROR(__xludf.DUMMYFUNCTION("""COMPUTED_VALUE"""),"Gangs Rabbit")</f>
        <v>Gangs Rabbit</v>
      </c>
    </row>
    <row r="5066">
      <c r="A5066" s="4" t="str">
        <f>IFERROR(__xludf.DUMMYFUNCTION("""COMPUTED_VALUE"""),"gapcoin")</f>
        <v>gapcoin</v>
      </c>
      <c r="B5066" s="4" t="str">
        <f>IFERROR(__xludf.DUMMYFUNCTION("""COMPUTED_VALUE"""),"gap")</f>
        <v>gap</v>
      </c>
      <c r="C5066" s="4" t="str">
        <f>IFERROR(__xludf.DUMMYFUNCTION("""COMPUTED_VALUE"""),"Gapcoin")</f>
        <v>Gapcoin</v>
      </c>
    </row>
    <row r="5067">
      <c r="A5067" s="4" t="str">
        <f>IFERROR(__xludf.DUMMYFUNCTION("""COMPUTED_VALUE"""),"garbage")</f>
        <v>garbage</v>
      </c>
      <c r="B5067" s="4" t="str">
        <f>IFERROR(__xludf.DUMMYFUNCTION("""COMPUTED_VALUE"""),"garbage")</f>
        <v>garbage</v>
      </c>
      <c r="C5067" s="4" t="str">
        <f>IFERROR(__xludf.DUMMYFUNCTION("""COMPUTED_VALUE"""),"Garbage")</f>
        <v>Garbage</v>
      </c>
    </row>
    <row r="5068">
      <c r="A5068" s="4" t="str">
        <f>IFERROR(__xludf.DUMMYFUNCTION("""COMPUTED_VALUE"""),"garbi-protocol")</f>
        <v>garbi-protocol</v>
      </c>
      <c r="B5068" s="4" t="str">
        <f>IFERROR(__xludf.DUMMYFUNCTION("""COMPUTED_VALUE"""),"grb")</f>
        <v>grb</v>
      </c>
      <c r="C5068" s="4" t="str">
        <f>IFERROR(__xludf.DUMMYFUNCTION("""COMPUTED_VALUE"""),"Garbi Protocol")</f>
        <v>Garbi Protocol</v>
      </c>
    </row>
    <row r="5069">
      <c r="A5069" s="4" t="str">
        <f>IFERROR(__xludf.DUMMYFUNCTION("""COMPUTED_VALUE"""),"garden-2")</f>
        <v>garden-2</v>
      </c>
      <c r="B5069" s="4" t="str">
        <f>IFERROR(__xludf.DUMMYFUNCTION("""COMPUTED_VALUE"""),"seed")</f>
        <v>seed</v>
      </c>
      <c r="C5069" s="4" t="str">
        <f>IFERROR(__xludf.DUMMYFUNCTION("""COMPUTED_VALUE"""),"Garden")</f>
        <v>Garden</v>
      </c>
    </row>
    <row r="5070">
      <c r="A5070" s="4" t="str">
        <f>IFERROR(__xludf.DUMMYFUNCTION("""COMPUTED_VALUE"""),"garfield-bsc")</f>
        <v>garfield-bsc</v>
      </c>
      <c r="B5070" s="4" t="str">
        <f>IFERROR(__xludf.DUMMYFUNCTION("""COMPUTED_VALUE"""),"$garfield")</f>
        <v>$garfield</v>
      </c>
      <c r="C5070" s="4" t="str">
        <f>IFERROR(__xludf.DUMMYFUNCTION("""COMPUTED_VALUE"""),"Garfield (BSC)")</f>
        <v>Garfield (BSC)</v>
      </c>
    </row>
    <row r="5071">
      <c r="A5071" s="4" t="str">
        <f>IFERROR(__xludf.DUMMYFUNCTION("""COMPUTED_VALUE"""),"gari-network")</f>
        <v>gari-network</v>
      </c>
      <c r="B5071" s="4" t="str">
        <f>IFERROR(__xludf.DUMMYFUNCTION("""COMPUTED_VALUE"""),"gari")</f>
        <v>gari</v>
      </c>
      <c r="C5071" s="4" t="str">
        <f>IFERROR(__xludf.DUMMYFUNCTION("""COMPUTED_VALUE"""),"Gari Network")</f>
        <v>Gari Network</v>
      </c>
    </row>
    <row r="5072">
      <c r="A5072" s="4" t="str">
        <f>IFERROR(__xludf.DUMMYFUNCTION("""COMPUTED_VALUE"""),"garlicoin")</f>
        <v>garlicoin</v>
      </c>
      <c r="B5072" s="4" t="str">
        <f>IFERROR(__xludf.DUMMYFUNCTION("""COMPUTED_VALUE"""),"grlc")</f>
        <v>grlc</v>
      </c>
      <c r="C5072" s="4" t="str">
        <f>IFERROR(__xludf.DUMMYFUNCTION("""COMPUTED_VALUE"""),"Garlicoin")</f>
        <v>Garlicoin</v>
      </c>
    </row>
    <row r="5073">
      <c r="A5073" s="4" t="str">
        <f>IFERROR(__xludf.DUMMYFUNCTION("""COMPUTED_VALUE"""),"gary")</f>
        <v>gary</v>
      </c>
      <c r="B5073" s="4" t="str">
        <f>IFERROR(__xludf.DUMMYFUNCTION("""COMPUTED_VALUE"""),"gary")</f>
        <v>gary</v>
      </c>
      <c r="C5073" s="4" t="str">
        <f>IFERROR(__xludf.DUMMYFUNCTION("""COMPUTED_VALUE"""),"Gary")</f>
        <v>Gary</v>
      </c>
    </row>
    <row r="5074">
      <c r="A5074" s="4" t="str">
        <f>IFERROR(__xludf.DUMMYFUNCTION("""COMPUTED_VALUE"""),"gas")</f>
        <v>gas</v>
      </c>
      <c r="B5074" s="4" t="str">
        <f>IFERROR(__xludf.DUMMYFUNCTION("""COMPUTED_VALUE"""),"gas")</f>
        <v>gas</v>
      </c>
      <c r="C5074" s="4" t="str">
        <f>IFERROR(__xludf.DUMMYFUNCTION("""COMPUTED_VALUE"""),"Gas")</f>
        <v>Gas</v>
      </c>
    </row>
    <row r="5075">
      <c r="A5075" s="4" t="str">
        <f>IFERROR(__xludf.DUMMYFUNCTION("""COMPUTED_VALUE"""),"gaschameleon")</f>
        <v>gaschameleon</v>
      </c>
      <c r="B5075" s="4" t="str">
        <f>IFERROR(__xludf.DUMMYFUNCTION("""COMPUTED_VALUE"""),"gasc")</f>
        <v>gasc</v>
      </c>
      <c r="C5075" s="4" t="str">
        <f>IFERROR(__xludf.DUMMYFUNCTION("""COMPUTED_VALUE"""),"GasChameleon")</f>
        <v>GasChameleon</v>
      </c>
    </row>
    <row r="5076">
      <c r="A5076" s="4" t="str">
        <f>IFERROR(__xludf.DUMMYFUNCTION("""COMPUTED_VALUE"""),"gascoin")</f>
        <v>gascoin</v>
      </c>
      <c r="B5076" s="4" t="str">
        <f>IFERROR(__xludf.DUMMYFUNCTION("""COMPUTED_VALUE"""),"gcn")</f>
        <v>gcn</v>
      </c>
      <c r="C5076" s="4" t="str">
        <f>IFERROR(__xludf.DUMMYFUNCTION("""COMPUTED_VALUE"""),"Gascoin")</f>
        <v>Gascoin</v>
      </c>
    </row>
    <row r="5077">
      <c r="A5077" s="4" t="str">
        <f>IFERROR(__xludf.DUMMYFUNCTION("""COMPUTED_VALUE"""),"gas-dao")</f>
        <v>gas-dao</v>
      </c>
      <c r="B5077" s="4" t="str">
        <f>IFERROR(__xludf.DUMMYFUNCTION("""COMPUTED_VALUE"""),"gas")</f>
        <v>gas</v>
      </c>
      <c r="C5077" s="4" t="str">
        <f>IFERROR(__xludf.DUMMYFUNCTION("""COMPUTED_VALUE"""),"Gas DAO")</f>
        <v>Gas DAO</v>
      </c>
    </row>
    <row r="5078">
      <c r="A5078" s="4" t="str">
        <f>IFERROR(__xludf.DUMMYFUNCTION("""COMPUTED_VALUE"""),"gastrocoin")</f>
        <v>gastrocoin</v>
      </c>
      <c r="B5078" s="4" t="str">
        <f>IFERROR(__xludf.DUMMYFUNCTION("""COMPUTED_VALUE"""),"gtc")</f>
        <v>gtc</v>
      </c>
      <c r="C5078" s="4" t="str">
        <f>IFERROR(__xludf.DUMMYFUNCTION("""COMPUTED_VALUE"""),"GastroCoin")</f>
        <v>GastroCoin</v>
      </c>
    </row>
    <row r="5079">
      <c r="A5079" s="4" t="str">
        <f>IFERROR(__xludf.DUMMYFUNCTION("""COMPUTED_VALUE"""),"gas-turbo")</f>
        <v>gas-turbo</v>
      </c>
      <c r="B5079" s="4" t="str">
        <f>IFERROR(__xludf.DUMMYFUNCTION("""COMPUTED_VALUE"""),"gast")</f>
        <v>gast</v>
      </c>
      <c r="C5079" s="4" t="str">
        <f>IFERROR(__xludf.DUMMYFUNCTION("""COMPUTED_VALUE"""),"Gas Turbo")</f>
        <v>Gas Turbo</v>
      </c>
    </row>
    <row r="5080">
      <c r="A5080" s="4" t="str">
        <f>IFERROR(__xludf.DUMMYFUNCTION("""COMPUTED_VALUE"""),"gatechain-token")</f>
        <v>gatechain-token</v>
      </c>
      <c r="B5080" s="4" t="str">
        <f>IFERROR(__xludf.DUMMYFUNCTION("""COMPUTED_VALUE"""),"gt")</f>
        <v>gt</v>
      </c>
      <c r="C5080" s="4" t="str">
        <f>IFERROR(__xludf.DUMMYFUNCTION("""COMPUTED_VALUE"""),"Gate")</f>
        <v>Gate</v>
      </c>
    </row>
    <row r="5081">
      <c r="A5081" s="4" t="str">
        <f>IFERROR(__xludf.DUMMYFUNCTION("""COMPUTED_VALUE"""),"gatenet")</f>
        <v>gatenet</v>
      </c>
      <c r="B5081" s="4" t="str">
        <f>IFERROR(__xludf.DUMMYFUNCTION("""COMPUTED_VALUE"""),"gate")</f>
        <v>gate</v>
      </c>
      <c r="C5081" s="4" t="str">
        <f>IFERROR(__xludf.DUMMYFUNCTION("""COMPUTED_VALUE"""),"GATENet")</f>
        <v>GATENet</v>
      </c>
    </row>
    <row r="5082">
      <c r="A5082" s="4" t="str">
        <f>IFERROR(__xludf.DUMMYFUNCTION("""COMPUTED_VALUE"""),"gateway-to-mars")</f>
        <v>gateway-to-mars</v>
      </c>
      <c r="B5082" s="4" t="str">
        <f>IFERROR(__xludf.DUMMYFUNCTION("""COMPUTED_VALUE"""),"mars")</f>
        <v>mars</v>
      </c>
      <c r="C5082" s="4" t="str">
        <f>IFERROR(__xludf.DUMMYFUNCTION("""COMPUTED_VALUE"""),"GATEWAY TO MARS")</f>
        <v>GATEWAY TO MARS</v>
      </c>
    </row>
    <row r="5083">
      <c r="A5083" s="4" t="str">
        <f>IFERROR(__xludf.DUMMYFUNCTION("""COMPUTED_VALUE"""),"gather")</f>
        <v>gather</v>
      </c>
      <c r="B5083" s="4" t="str">
        <f>IFERROR(__xludf.DUMMYFUNCTION("""COMPUTED_VALUE"""),"gth")</f>
        <v>gth</v>
      </c>
      <c r="C5083" s="4" t="str">
        <f>IFERROR(__xludf.DUMMYFUNCTION("""COMPUTED_VALUE"""),"Gather")</f>
        <v>Gather</v>
      </c>
    </row>
    <row r="5084">
      <c r="A5084" s="4" t="str">
        <f>IFERROR(__xludf.DUMMYFUNCTION("""COMPUTED_VALUE"""),"gatsby-inu-2")</f>
        <v>gatsby-inu-2</v>
      </c>
      <c r="B5084" s="4" t="str">
        <f>IFERROR(__xludf.DUMMYFUNCTION("""COMPUTED_VALUE"""),"gatsby")</f>
        <v>gatsby</v>
      </c>
      <c r="C5084" s="4" t="str">
        <f>IFERROR(__xludf.DUMMYFUNCTION("""COMPUTED_VALUE"""),"Gatsby Inu (OLD)")</f>
        <v>Gatsby Inu (OLD)</v>
      </c>
    </row>
    <row r="5085">
      <c r="A5085" s="4" t="str">
        <f>IFERROR(__xludf.DUMMYFUNCTION("""COMPUTED_VALUE"""),"gatsby-inu-new")</f>
        <v>gatsby-inu-new</v>
      </c>
      <c r="B5085" s="4" t="str">
        <f>IFERROR(__xludf.DUMMYFUNCTION("""COMPUTED_VALUE"""),"gatsby")</f>
        <v>gatsby</v>
      </c>
      <c r="C5085" s="4" t="str">
        <f>IFERROR(__xludf.DUMMYFUNCTION("""COMPUTED_VALUE"""),"Gatsby Inu")</f>
        <v>Gatsby Inu</v>
      </c>
    </row>
    <row r="5086">
      <c r="A5086" s="4" t="str">
        <f>IFERROR(__xludf.DUMMYFUNCTION("""COMPUTED_VALUE"""),"gauro")</f>
        <v>gauro</v>
      </c>
      <c r="B5086" s="4" t="str">
        <f>IFERROR(__xludf.DUMMYFUNCTION("""COMPUTED_VALUE"""),"gauro")</f>
        <v>gauro</v>
      </c>
      <c r="C5086" s="4" t="str">
        <f>IFERROR(__xludf.DUMMYFUNCTION("""COMPUTED_VALUE"""),"Gauro")</f>
        <v>Gauro</v>
      </c>
    </row>
    <row r="5087">
      <c r="A5087" s="4" t="str">
        <f>IFERROR(__xludf.DUMMYFUNCTION("""COMPUTED_VALUE"""),"gauss0x")</f>
        <v>gauss0x</v>
      </c>
      <c r="B5087" s="4" t="str">
        <f>IFERROR(__xludf.DUMMYFUNCTION("""COMPUTED_VALUE"""),"gauss")</f>
        <v>gauss</v>
      </c>
      <c r="C5087" s="4" t="str">
        <f>IFERROR(__xludf.DUMMYFUNCTION("""COMPUTED_VALUE"""),"Gauss0x")</f>
        <v>Gauss0x</v>
      </c>
    </row>
    <row r="5088">
      <c r="A5088" s="4" t="str">
        <f>IFERROR(__xludf.DUMMYFUNCTION("""COMPUTED_VALUE"""),"gax-liquidity-token-reward")</f>
        <v>gax-liquidity-token-reward</v>
      </c>
      <c r="B5088" s="4" t="str">
        <f>IFERROR(__xludf.DUMMYFUNCTION("""COMPUTED_VALUE"""),"gltr")</f>
        <v>gltr</v>
      </c>
      <c r="C5088" s="4" t="str">
        <f>IFERROR(__xludf.DUMMYFUNCTION("""COMPUTED_VALUE"""),"GAX Liquidity Token Reward")</f>
        <v>GAX Liquidity Token Reward</v>
      </c>
    </row>
    <row r="5089">
      <c r="A5089" s="4" t="str">
        <f>IFERROR(__xludf.DUMMYFUNCTION("""COMPUTED_VALUE"""),"gay-pepe")</f>
        <v>gay-pepe</v>
      </c>
      <c r="B5089" s="4" t="str">
        <f>IFERROR(__xludf.DUMMYFUNCTION("""COMPUTED_VALUE"""),"gaypepe")</f>
        <v>gaypepe</v>
      </c>
      <c r="C5089" s="4" t="str">
        <f>IFERROR(__xludf.DUMMYFUNCTION("""COMPUTED_VALUE"""),"Gay Pepe")</f>
        <v>Gay Pepe</v>
      </c>
    </row>
    <row r="5090">
      <c r="A5090" s="4" t="str">
        <f>IFERROR(__xludf.DUMMYFUNCTION("""COMPUTED_VALUE"""),"gaziantep-fk-fan-token")</f>
        <v>gaziantep-fk-fan-token</v>
      </c>
      <c r="B5090" s="4" t="str">
        <f>IFERROR(__xludf.DUMMYFUNCTION("""COMPUTED_VALUE"""),"gfk")</f>
        <v>gfk</v>
      </c>
      <c r="C5090" s="4" t="str">
        <f>IFERROR(__xludf.DUMMYFUNCTION("""COMPUTED_VALUE"""),"Gaziantep FK Fan Token")</f>
        <v>Gaziantep FK Fan Token</v>
      </c>
    </row>
    <row r="5091">
      <c r="A5091" s="4" t="str">
        <f>IFERROR(__xludf.DUMMYFUNCTION("""COMPUTED_VALUE"""),"gbot")</f>
        <v>gbot</v>
      </c>
      <c r="B5091" s="4" t="str">
        <f>IFERROR(__xludf.DUMMYFUNCTION("""COMPUTED_VALUE"""),"gbot")</f>
        <v>gbot</v>
      </c>
      <c r="C5091" s="4" t="str">
        <f>IFERROR(__xludf.DUMMYFUNCTION("""COMPUTED_VALUE"""),"GBOT")</f>
        <v>GBOT</v>
      </c>
    </row>
    <row r="5092">
      <c r="A5092" s="4" t="str">
        <f>IFERROR(__xludf.DUMMYFUNCTION("""COMPUTED_VALUE"""),"gccoin")</f>
        <v>gccoin</v>
      </c>
      <c r="B5092" s="4" t="str">
        <f>IFERROR(__xludf.DUMMYFUNCTION("""COMPUTED_VALUE"""),"gcc")</f>
        <v>gcc</v>
      </c>
      <c r="C5092" s="4" t="str">
        <f>IFERROR(__xludf.DUMMYFUNCTION("""COMPUTED_VALUE"""),"GCCOIN")</f>
        <v>GCCOIN</v>
      </c>
    </row>
    <row r="5093">
      <c r="A5093" s="4" t="str">
        <f>IFERROR(__xludf.DUMMYFUNCTION("""COMPUTED_VALUE"""),"gdrt")</f>
        <v>gdrt</v>
      </c>
      <c r="B5093" s="4" t="str">
        <f>IFERROR(__xludf.DUMMYFUNCTION("""COMPUTED_VALUE"""),"gdrt")</f>
        <v>gdrt</v>
      </c>
      <c r="C5093" s="4" t="str">
        <f>IFERROR(__xludf.DUMMYFUNCTION("""COMPUTED_VALUE"""),"GDRT")</f>
        <v>GDRT</v>
      </c>
    </row>
    <row r="5094">
      <c r="A5094" s="4" t="str">
        <f>IFERROR(__xludf.DUMMYFUNCTION("""COMPUTED_VALUE"""),"gdx-token")</f>
        <v>gdx-token</v>
      </c>
      <c r="B5094" s="4" t="str">
        <f>IFERROR(__xludf.DUMMYFUNCTION("""COMPUTED_VALUE"""),"gdx")</f>
        <v>gdx</v>
      </c>
      <c r="C5094" s="4" t="str">
        <f>IFERROR(__xludf.DUMMYFUNCTION("""COMPUTED_VALUE"""),"Gridex")</f>
        <v>Gridex</v>
      </c>
    </row>
    <row r="5095">
      <c r="A5095" s="4" t="str">
        <f>IFERROR(__xludf.DUMMYFUNCTION("""COMPUTED_VALUE"""),"gearbox")</f>
        <v>gearbox</v>
      </c>
      <c r="B5095" s="4" t="str">
        <f>IFERROR(__xludf.DUMMYFUNCTION("""COMPUTED_VALUE"""),"gear")</f>
        <v>gear</v>
      </c>
      <c r="C5095" s="4" t="str">
        <f>IFERROR(__xludf.DUMMYFUNCTION("""COMPUTED_VALUE"""),"Gearbox")</f>
        <v>Gearbox</v>
      </c>
    </row>
    <row r="5096">
      <c r="A5096" s="4" t="str">
        <f>IFERROR(__xludf.DUMMYFUNCTION("""COMPUTED_VALUE"""),"gecko-inu")</f>
        <v>gecko-inu</v>
      </c>
      <c r="B5096" s="4" t="str">
        <f>IFERROR(__xludf.DUMMYFUNCTION("""COMPUTED_VALUE"""),"gec")</f>
        <v>gec</v>
      </c>
      <c r="C5096" s="4" t="str">
        <f>IFERROR(__xludf.DUMMYFUNCTION("""COMPUTED_VALUE"""),"Gecko Inu")</f>
        <v>Gecko Inu</v>
      </c>
    </row>
    <row r="5097">
      <c r="A5097" s="4" t="str">
        <f>IFERROR(__xludf.DUMMYFUNCTION("""COMPUTED_VALUE"""),"gecko-meme")</f>
        <v>gecko-meme</v>
      </c>
      <c r="B5097" s="4" t="str">
        <f>IFERROR(__xludf.DUMMYFUNCTION("""COMPUTED_VALUE"""),"gecko")</f>
        <v>gecko</v>
      </c>
      <c r="C5097" s="4" t="str">
        <f>IFERROR(__xludf.DUMMYFUNCTION("""COMPUTED_VALUE"""),"Gecko (Meme)")</f>
        <v>Gecko (Meme)</v>
      </c>
    </row>
    <row r="5098">
      <c r="A5098" s="4" t="str">
        <f>IFERROR(__xludf.DUMMYFUNCTION("""COMPUTED_VALUE"""),"gecoin")</f>
        <v>gecoin</v>
      </c>
      <c r="B5098" s="4" t="str">
        <f>IFERROR(__xludf.DUMMYFUNCTION("""COMPUTED_VALUE"""),"gec")</f>
        <v>gec</v>
      </c>
      <c r="C5098" s="4" t="str">
        <f>IFERROR(__xludf.DUMMYFUNCTION("""COMPUTED_VALUE"""),"Gecoin")</f>
        <v>Gecoin</v>
      </c>
    </row>
    <row r="5099">
      <c r="A5099" s="4" t="str">
        <f>IFERROR(__xludf.DUMMYFUNCTION("""COMPUTED_VALUE"""),"geegoopuzzle")</f>
        <v>geegoopuzzle</v>
      </c>
      <c r="B5099" s="4" t="str">
        <f>IFERROR(__xludf.DUMMYFUNCTION("""COMPUTED_VALUE"""),"ggp")</f>
        <v>ggp</v>
      </c>
      <c r="C5099" s="4" t="str">
        <f>IFERROR(__xludf.DUMMYFUNCTION("""COMPUTED_VALUE"""),"Geegoopuzzle")</f>
        <v>Geegoopuzzle</v>
      </c>
    </row>
    <row r="5100">
      <c r="A5100" s="4" t="str">
        <f>IFERROR(__xludf.DUMMYFUNCTION("""COMPUTED_VALUE"""),"geeko-dex")</f>
        <v>geeko-dex</v>
      </c>
      <c r="B5100" s="4" t="str">
        <f>IFERROR(__xludf.DUMMYFUNCTION("""COMPUTED_VALUE"""),"geeko")</f>
        <v>geeko</v>
      </c>
      <c r="C5100" s="4" t="str">
        <f>IFERROR(__xludf.DUMMYFUNCTION("""COMPUTED_VALUE"""),"Geeko Dex")</f>
        <v>Geeko Dex</v>
      </c>
    </row>
    <row r="5101">
      <c r="A5101" s="4" t="str">
        <f>IFERROR(__xludf.DUMMYFUNCTION("""COMPUTED_VALUE"""),"geek-protocol")</f>
        <v>geek-protocol</v>
      </c>
      <c r="B5101" s="4" t="str">
        <f>IFERROR(__xludf.DUMMYFUNCTION("""COMPUTED_VALUE"""),"geek")</f>
        <v>geek</v>
      </c>
      <c r="C5101" s="4" t="str">
        <f>IFERROR(__xludf.DUMMYFUNCTION("""COMPUTED_VALUE"""),"Geek Protocol")</f>
        <v>Geek Protocol</v>
      </c>
    </row>
    <row r="5102">
      <c r="A5102" s="4" t="str">
        <f>IFERROR(__xludf.DUMMYFUNCTION("""COMPUTED_VALUE"""),"geeq")</f>
        <v>geeq</v>
      </c>
      <c r="B5102" s="4" t="str">
        <f>IFERROR(__xludf.DUMMYFUNCTION("""COMPUTED_VALUE"""),"geeq")</f>
        <v>geeq</v>
      </c>
      <c r="C5102" s="4" t="str">
        <f>IFERROR(__xludf.DUMMYFUNCTION("""COMPUTED_VALUE"""),"GEEQ")</f>
        <v>GEEQ</v>
      </c>
    </row>
    <row r="5103">
      <c r="A5103" s="4" t="str">
        <f>IFERROR(__xludf.DUMMYFUNCTION("""COMPUTED_VALUE"""),"gege")</f>
        <v>gege</v>
      </c>
      <c r="B5103" s="4" t="str">
        <f>IFERROR(__xludf.DUMMYFUNCTION("""COMPUTED_VALUE"""),"gege")</f>
        <v>gege</v>
      </c>
      <c r="C5103" s="4" t="str">
        <f>IFERROR(__xludf.DUMMYFUNCTION("""COMPUTED_VALUE"""),"Gege")</f>
        <v>Gege</v>
      </c>
    </row>
    <row r="5104">
      <c r="A5104" s="4" t="str">
        <f>IFERROR(__xludf.DUMMYFUNCTION("""COMPUTED_VALUE"""),"geist-dai")</f>
        <v>geist-dai</v>
      </c>
      <c r="B5104" s="4" t="str">
        <f>IFERROR(__xludf.DUMMYFUNCTION("""COMPUTED_VALUE"""),"gdai")</f>
        <v>gdai</v>
      </c>
      <c r="C5104" s="4" t="str">
        <f>IFERROR(__xludf.DUMMYFUNCTION("""COMPUTED_VALUE"""),"Geist Dai")</f>
        <v>Geist Dai</v>
      </c>
    </row>
    <row r="5105">
      <c r="A5105" s="4" t="str">
        <f>IFERROR(__xludf.DUMMYFUNCTION("""COMPUTED_VALUE"""),"geist-eth")</f>
        <v>geist-eth</v>
      </c>
      <c r="B5105" s="4" t="str">
        <f>IFERROR(__xludf.DUMMYFUNCTION("""COMPUTED_VALUE"""),"geth")</f>
        <v>geth</v>
      </c>
      <c r="C5105" s="4" t="str">
        <f>IFERROR(__xludf.DUMMYFUNCTION("""COMPUTED_VALUE"""),"Geist ETH")</f>
        <v>Geist ETH</v>
      </c>
    </row>
    <row r="5106">
      <c r="A5106" s="4" t="str">
        <f>IFERROR(__xludf.DUMMYFUNCTION("""COMPUTED_VALUE"""),"geist-ftm")</f>
        <v>geist-ftm</v>
      </c>
      <c r="B5106" s="4" t="str">
        <f>IFERROR(__xludf.DUMMYFUNCTION("""COMPUTED_VALUE"""),"gftm")</f>
        <v>gftm</v>
      </c>
      <c r="C5106" s="4" t="str">
        <f>IFERROR(__xludf.DUMMYFUNCTION("""COMPUTED_VALUE"""),"Geist FTM")</f>
        <v>Geist FTM</v>
      </c>
    </row>
    <row r="5107">
      <c r="A5107" s="4" t="str">
        <f>IFERROR(__xludf.DUMMYFUNCTION("""COMPUTED_VALUE"""),"geist-fusdt")</f>
        <v>geist-fusdt</v>
      </c>
      <c r="B5107" s="4" t="str">
        <f>IFERROR(__xludf.DUMMYFUNCTION("""COMPUTED_VALUE"""),"gfusdt")</f>
        <v>gfusdt</v>
      </c>
      <c r="C5107" s="4" t="str">
        <f>IFERROR(__xludf.DUMMYFUNCTION("""COMPUTED_VALUE"""),"Geist fUSDT")</f>
        <v>Geist fUSDT</v>
      </c>
    </row>
    <row r="5108">
      <c r="A5108" s="4" t="str">
        <f>IFERROR(__xludf.DUMMYFUNCTION("""COMPUTED_VALUE"""),"geist-usdc")</f>
        <v>geist-usdc</v>
      </c>
      <c r="B5108" s="4" t="str">
        <f>IFERROR(__xludf.DUMMYFUNCTION("""COMPUTED_VALUE"""),"gusdc")</f>
        <v>gusdc</v>
      </c>
      <c r="C5108" s="4" t="str">
        <f>IFERROR(__xludf.DUMMYFUNCTION("""COMPUTED_VALUE"""),"Geist USDC")</f>
        <v>Geist USDC</v>
      </c>
    </row>
    <row r="5109">
      <c r="A5109" s="4" t="str">
        <f>IFERROR(__xludf.DUMMYFUNCTION("""COMPUTED_VALUE"""),"geist-wbtc")</f>
        <v>geist-wbtc</v>
      </c>
      <c r="B5109" s="4" t="str">
        <f>IFERROR(__xludf.DUMMYFUNCTION("""COMPUTED_VALUE"""),"gwbtc")</f>
        <v>gwbtc</v>
      </c>
      <c r="C5109" s="4" t="str">
        <f>IFERROR(__xludf.DUMMYFUNCTION("""COMPUTED_VALUE"""),"Geist WBTC")</f>
        <v>Geist WBTC</v>
      </c>
    </row>
    <row r="5110">
      <c r="A5110" s="4" t="str">
        <f>IFERROR(__xludf.DUMMYFUNCTION("""COMPUTED_VALUE"""),"geke")</f>
        <v>geke</v>
      </c>
      <c r="B5110" s="4" t="str">
        <f>IFERROR(__xludf.DUMMYFUNCTION("""COMPUTED_VALUE"""),"geke")</f>
        <v>geke</v>
      </c>
      <c r="C5110" s="4" t="str">
        <f>IFERROR(__xludf.DUMMYFUNCTION("""COMPUTED_VALUE"""),"Geke")</f>
        <v>Geke</v>
      </c>
    </row>
    <row r="5111">
      <c r="A5111" s="4" t="str">
        <f>IFERROR(__xludf.DUMMYFUNCTION("""COMPUTED_VALUE"""),"gekko")</f>
        <v>gekko</v>
      </c>
      <c r="B5111" s="4" t="str">
        <f>IFERROR(__xludf.DUMMYFUNCTION("""COMPUTED_VALUE"""),"gekko")</f>
        <v>gekko</v>
      </c>
      <c r="C5111" s="4" t="str">
        <f>IFERROR(__xludf.DUMMYFUNCTION("""COMPUTED_VALUE"""),"GEKKO")</f>
        <v>GEKKO</v>
      </c>
    </row>
    <row r="5112">
      <c r="A5112" s="4" t="str">
        <f>IFERROR(__xludf.DUMMYFUNCTION("""COMPUTED_VALUE"""),"gelato")</f>
        <v>gelato</v>
      </c>
      <c r="B5112" s="4" t="str">
        <f>IFERROR(__xludf.DUMMYFUNCTION("""COMPUTED_VALUE"""),"gel")</f>
        <v>gel</v>
      </c>
      <c r="C5112" s="4" t="str">
        <f>IFERROR(__xludf.DUMMYFUNCTION("""COMPUTED_VALUE"""),"Gelato")</f>
        <v>Gelato</v>
      </c>
    </row>
    <row r="5113">
      <c r="A5113" s="4" t="str">
        <f>IFERROR(__xludf.DUMMYFUNCTION("""COMPUTED_VALUE"""),"gelios")</f>
        <v>gelios</v>
      </c>
      <c r="B5113" s="4" t="str">
        <f>IFERROR(__xludf.DUMMYFUNCTION("""COMPUTED_VALUE"""),"gos")</f>
        <v>gos</v>
      </c>
      <c r="C5113" s="4" t="str">
        <f>IFERROR(__xludf.DUMMYFUNCTION("""COMPUTED_VALUE"""),"Gelios")</f>
        <v>Gelios</v>
      </c>
    </row>
    <row r="5114">
      <c r="A5114" s="4" t="str">
        <f>IFERROR(__xludf.DUMMYFUNCTION("""COMPUTED_VALUE"""),"gem404")</f>
        <v>gem404</v>
      </c>
      <c r="B5114" s="4" t="str">
        <f>IFERROR(__xludf.DUMMYFUNCTION("""COMPUTED_VALUE"""),"gem")</f>
        <v>gem</v>
      </c>
      <c r="C5114" s="4" t="str">
        <f>IFERROR(__xludf.DUMMYFUNCTION("""COMPUTED_VALUE"""),"Gem404")</f>
        <v>Gem404</v>
      </c>
    </row>
    <row r="5115">
      <c r="A5115" s="4" t="str">
        <f>IFERROR(__xludf.DUMMYFUNCTION("""COMPUTED_VALUE"""),"gemach")</f>
        <v>gemach</v>
      </c>
      <c r="B5115" s="4" t="str">
        <f>IFERROR(__xludf.DUMMYFUNCTION("""COMPUTED_VALUE"""),"gmac")</f>
        <v>gmac</v>
      </c>
      <c r="C5115" s="4" t="str">
        <f>IFERROR(__xludf.DUMMYFUNCTION("""COMPUTED_VALUE"""),"Gemach")</f>
        <v>Gemach</v>
      </c>
    </row>
    <row r="5116">
      <c r="A5116" s="4" t="str">
        <f>IFERROR(__xludf.DUMMYFUNCTION("""COMPUTED_VALUE"""),"gem-ai")</f>
        <v>gem-ai</v>
      </c>
      <c r="B5116" s="4" t="str">
        <f>IFERROR(__xludf.DUMMYFUNCTION("""COMPUTED_VALUE"""),"gemai")</f>
        <v>gemai</v>
      </c>
      <c r="C5116" s="4" t="str">
        <f>IFERROR(__xludf.DUMMYFUNCTION("""COMPUTED_VALUE"""),"Gem AI")</f>
        <v>Gem AI</v>
      </c>
    </row>
    <row r="5117">
      <c r="A5117" s="4" t="str">
        <f>IFERROR(__xludf.DUMMYFUNCTION("""COMPUTED_VALUE"""),"gembox")</f>
        <v>gembox</v>
      </c>
      <c r="B5117" s="4" t="str">
        <f>IFERROR(__xludf.DUMMYFUNCTION("""COMPUTED_VALUE"""),"gem")</f>
        <v>gem</v>
      </c>
      <c r="C5117" s="4" t="str">
        <f>IFERROR(__xludf.DUMMYFUNCTION("""COMPUTED_VALUE"""),"gembox")</f>
        <v>gembox</v>
      </c>
    </row>
    <row r="5118">
      <c r="A5118" s="4" t="str">
        <f>IFERROR(__xludf.DUMMYFUNCTION("""COMPUTED_VALUE"""),"gemdrop")</f>
        <v>gemdrop</v>
      </c>
      <c r="B5118" s="4" t="str">
        <f>IFERROR(__xludf.DUMMYFUNCTION("""COMPUTED_VALUE"""),"gem")</f>
        <v>gem</v>
      </c>
      <c r="C5118" s="4" t="str">
        <f>IFERROR(__xludf.DUMMYFUNCTION("""COMPUTED_VALUE"""),"GemDrop")</f>
        <v>GemDrop</v>
      </c>
    </row>
    <row r="5119">
      <c r="A5119" s="4" t="str">
        <f>IFERROR(__xludf.DUMMYFUNCTION("""COMPUTED_VALUE"""),"gem-exchange-and-trading")</f>
        <v>gem-exchange-and-trading</v>
      </c>
      <c r="B5119" s="4" t="str">
        <f>IFERROR(__xludf.DUMMYFUNCTION("""COMPUTED_VALUE"""),"gxt")</f>
        <v>gxt</v>
      </c>
      <c r="C5119" s="4" t="str">
        <f>IFERROR(__xludf.DUMMYFUNCTION("""COMPUTED_VALUE"""),"Gem Exchange and Trading")</f>
        <v>Gem Exchange and Trading</v>
      </c>
    </row>
    <row r="5120">
      <c r="A5120" s="4" t="str">
        <f>IFERROR(__xludf.DUMMYFUNCTION("""COMPUTED_VALUE"""),"gem-finder")</f>
        <v>gem-finder</v>
      </c>
      <c r="B5120" s="4" t="str">
        <f>IFERROR(__xludf.DUMMYFUNCTION("""COMPUTED_VALUE"""),"finder")</f>
        <v>finder</v>
      </c>
      <c r="C5120" s="4" t="str">
        <f>IFERROR(__xludf.DUMMYFUNCTION("""COMPUTED_VALUE"""),"Gem Finder")</f>
        <v>Gem Finder</v>
      </c>
    </row>
    <row r="5121">
      <c r="A5121" s="4" t="str">
        <f>IFERROR(__xludf.DUMMYFUNCTION("""COMPUTED_VALUE"""),"gemholic")</f>
        <v>gemholic</v>
      </c>
      <c r="B5121" s="4" t="str">
        <f>IFERROR(__xludf.DUMMYFUNCTION("""COMPUTED_VALUE"""),"gems")</f>
        <v>gems</v>
      </c>
      <c r="C5121" s="4" t="str">
        <f>IFERROR(__xludf.DUMMYFUNCTION("""COMPUTED_VALUE"""),"Gemholic")</f>
        <v>Gemholic</v>
      </c>
    </row>
    <row r="5122">
      <c r="A5122" s="4" t="str">
        <f>IFERROR(__xludf.DUMMYFUNCTION("""COMPUTED_VALUE"""),"gemhub")</f>
        <v>gemhub</v>
      </c>
      <c r="B5122" s="4" t="str">
        <f>IFERROR(__xludf.DUMMYFUNCTION("""COMPUTED_VALUE"""),"ghub")</f>
        <v>ghub</v>
      </c>
      <c r="C5122" s="4" t="str">
        <f>IFERROR(__xludf.DUMMYFUNCTION("""COMPUTED_VALUE"""),"GemHUB")</f>
        <v>GemHUB</v>
      </c>
    </row>
    <row r="5123">
      <c r="A5123" s="4" t="str">
        <f>IFERROR(__xludf.DUMMYFUNCTION("""COMPUTED_VALUE"""),"gemie")</f>
        <v>gemie</v>
      </c>
      <c r="B5123" s="4" t="str">
        <f>IFERROR(__xludf.DUMMYFUNCTION("""COMPUTED_VALUE"""),"gem")</f>
        <v>gem</v>
      </c>
      <c r="C5123" s="4" t="str">
        <f>IFERROR(__xludf.DUMMYFUNCTION("""COMPUTED_VALUE"""),"Gemie")</f>
        <v>Gemie</v>
      </c>
    </row>
    <row r="5124">
      <c r="A5124" s="4" t="str">
        <f>IFERROR(__xludf.DUMMYFUNCTION("""COMPUTED_VALUE"""),"gemini-dollar")</f>
        <v>gemini-dollar</v>
      </c>
      <c r="B5124" s="4" t="str">
        <f>IFERROR(__xludf.DUMMYFUNCTION("""COMPUTED_VALUE"""),"gusd")</f>
        <v>gusd</v>
      </c>
      <c r="C5124" s="4" t="str">
        <f>IFERROR(__xludf.DUMMYFUNCTION("""COMPUTED_VALUE"""),"Gemini Dollar")</f>
        <v>Gemini Dollar</v>
      </c>
    </row>
    <row r="5125">
      <c r="A5125" s="4" t="str">
        <f>IFERROR(__xludf.DUMMYFUNCTION("""COMPUTED_VALUE"""),"gemlink")</f>
        <v>gemlink</v>
      </c>
      <c r="B5125" s="4" t="str">
        <f>IFERROR(__xludf.DUMMYFUNCTION("""COMPUTED_VALUE"""),"glink")</f>
        <v>glink</v>
      </c>
      <c r="C5125" s="4" t="str">
        <f>IFERROR(__xludf.DUMMYFUNCTION("""COMPUTED_VALUE"""),"GemLink")</f>
        <v>GemLink</v>
      </c>
    </row>
    <row r="5126">
      <c r="A5126" s="4" t="str">
        <f>IFERROR(__xludf.DUMMYFUNCTION("""COMPUTED_VALUE"""),"gempad")</f>
        <v>gempad</v>
      </c>
      <c r="B5126" s="4" t="str">
        <f>IFERROR(__xludf.DUMMYFUNCTION("""COMPUTED_VALUE"""),"gems")</f>
        <v>gems</v>
      </c>
      <c r="C5126" s="4" t="str">
        <f>IFERROR(__xludf.DUMMYFUNCTION("""COMPUTED_VALUE"""),"GemPad")</f>
        <v>GemPad</v>
      </c>
    </row>
    <row r="5127">
      <c r="A5127" s="4" t="str">
        <f>IFERROR(__xludf.DUMMYFUNCTION("""COMPUTED_VALUE"""),"gems-2")</f>
        <v>gems-2</v>
      </c>
      <c r="B5127" s="4" t="str">
        <f>IFERROR(__xludf.DUMMYFUNCTION("""COMPUTED_VALUE"""),"gem")</f>
        <v>gem</v>
      </c>
      <c r="C5127" s="4" t="str">
        <f>IFERROR(__xludf.DUMMYFUNCTION("""COMPUTED_VALUE"""),"Gems")</f>
        <v>Gems</v>
      </c>
    </row>
    <row r="5128">
      <c r="A5128" s="4" t="str">
        <f>IFERROR(__xludf.DUMMYFUNCTION("""COMPUTED_VALUE"""),"gemston")</f>
        <v>gemston</v>
      </c>
      <c r="B5128" s="4" t="str">
        <f>IFERROR(__xludf.DUMMYFUNCTION("""COMPUTED_VALUE"""),"gemston")</f>
        <v>gemston</v>
      </c>
      <c r="C5128" s="4" t="str">
        <f>IFERROR(__xludf.DUMMYFUNCTION("""COMPUTED_VALUE"""),"GEMSTON")</f>
        <v>GEMSTON</v>
      </c>
    </row>
    <row r="5129">
      <c r="A5129" s="4" t="str">
        <f>IFERROR(__xludf.DUMMYFUNCTION("""COMPUTED_VALUE"""),"gemswap-2")</f>
        <v>gemswap-2</v>
      </c>
      <c r="B5129" s="4" t="str">
        <f>IFERROR(__xludf.DUMMYFUNCTION("""COMPUTED_VALUE"""),"zgem")</f>
        <v>zgem</v>
      </c>
      <c r="C5129" s="4" t="str">
        <f>IFERROR(__xludf.DUMMYFUNCTION("""COMPUTED_VALUE"""),"GemSwap")</f>
        <v>GemSwap</v>
      </c>
    </row>
    <row r="5130">
      <c r="A5130" s="4" t="str">
        <f>IFERROR(__xludf.DUMMYFUNCTION("""COMPUTED_VALUE"""),"gemtools")</f>
        <v>gemtools</v>
      </c>
      <c r="B5130" s="4" t="str">
        <f>IFERROR(__xludf.DUMMYFUNCTION("""COMPUTED_VALUE"""),"gems")</f>
        <v>gems</v>
      </c>
      <c r="C5130" s="4" t="str">
        <f>IFERROR(__xludf.DUMMYFUNCTION("""COMPUTED_VALUE"""),"Gemtools")</f>
        <v>Gemtools</v>
      </c>
    </row>
    <row r="5131">
      <c r="A5131" s="4" t="str">
        <f>IFERROR(__xludf.DUMMYFUNCTION("""COMPUTED_VALUE"""),"genai")</f>
        <v>genai</v>
      </c>
      <c r="B5131" s="4" t="str">
        <f>IFERROR(__xludf.DUMMYFUNCTION("""COMPUTED_VALUE"""),"genai")</f>
        <v>genai</v>
      </c>
      <c r="C5131" s="4" t="str">
        <f>IFERROR(__xludf.DUMMYFUNCTION("""COMPUTED_VALUE"""),"GenAi")</f>
        <v>GenAi</v>
      </c>
    </row>
    <row r="5132">
      <c r="A5132" s="4" t="str">
        <f>IFERROR(__xludf.DUMMYFUNCTION("""COMPUTED_VALUE"""),"genaro-network")</f>
        <v>genaro-network</v>
      </c>
      <c r="B5132" s="4" t="str">
        <f>IFERROR(__xludf.DUMMYFUNCTION("""COMPUTED_VALUE"""),"gnx")</f>
        <v>gnx</v>
      </c>
      <c r="C5132" s="4" t="str">
        <f>IFERROR(__xludf.DUMMYFUNCTION("""COMPUTED_VALUE"""),"Genaro Network")</f>
        <v>Genaro Network</v>
      </c>
    </row>
    <row r="5133">
      <c r="A5133" s="4" t="str">
        <f>IFERROR(__xludf.DUMMYFUNCTION("""COMPUTED_VALUE"""),"genclerbirligi-fan-token")</f>
        <v>genclerbirligi-fan-token</v>
      </c>
      <c r="B5133" s="4" t="str">
        <f>IFERROR(__xludf.DUMMYFUNCTION("""COMPUTED_VALUE"""),"gbsk")</f>
        <v>gbsk</v>
      </c>
      <c r="C5133" s="4" t="str">
        <f>IFERROR(__xludf.DUMMYFUNCTION("""COMPUTED_VALUE"""),"Gençlerbirliği Fan Token")</f>
        <v>Gençlerbirliği Fan Token</v>
      </c>
    </row>
    <row r="5134">
      <c r="A5134" s="4" t="str">
        <f>IFERROR(__xludf.DUMMYFUNCTION("""COMPUTED_VALUE"""),"generaitiv")</f>
        <v>generaitiv</v>
      </c>
      <c r="B5134" s="4" t="str">
        <f>IFERROR(__xludf.DUMMYFUNCTION("""COMPUTED_VALUE"""),"gai")</f>
        <v>gai</v>
      </c>
      <c r="C5134" s="4" t="str">
        <f>IFERROR(__xludf.DUMMYFUNCTION("""COMPUTED_VALUE"""),"Generaitiv")</f>
        <v>Generaitiv</v>
      </c>
    </row>
    <row r="5135">
      <c r="A5135" s="4" t="str">
        <f>IFERROR(__xludf.DUMMYFUNCTION("""COMPUTED_VALUE"""),"generational-wealth")</f>
        <v>generational-wealth</v>
      </c>
      <c r="B5135" s="4" t="str">
        <f>IFERROR(__xludf.DUMMYFUNCTION("""COMPUTED_VALUE"""),"gen")</f>
        <v>gen</v>
      </c>
      <c r="C5135" s="4" t="str">
        <f>IFERROR(__xludf.DUMMYFUNCTION("""COMPUTED_VALUE"""),"Generational Wealth")</f>
        <v>Generational Wealth</v>
      </c>
    </row>
    <row r="5136">
      <c r="A5136" s="4" t="str">
        <f>IFERROR(__xludf.DUMMYFUNCTION("""COMPUTED_VALUE"""),"generational-wealth-2")</f>
        <v>generational-wealth-2</v>
      </c>
      <c r="B5136" s="4" t="str">
        <f>IFERROR(__xludf.DUMMYFUNCTION("""COMPUTED_VALUE"""),"wealth")</f>
        <v>wealth</v>
      </c>
      <c r="C5136" s="4" t="str">
        <f>IFERROR(__xludf.DUMMYFUNCTION("""COMPUTED_VALUE"""),"Generational Wealth")</f>
        <v>Generational Wealth</v>
      </c>
    </row>
    <row r="5137">
      <c r="A5137" s="4" t="str">
        <f>IFERROR(__xludf.DUMMYFUNCTION("""COMPUTED_VALUE"""),"generator")</f>
        <v>generator</v>
      </c>
      <c r="B5137" s="4" t="str">
        <f>IFERROR(__xludf.DUMMYFUNCTION("""COMPUTED_VALUE"""),"gen")</f>
        <v>gen</v>
      </c>
      <c r="C5137" s="4" t="str">
        <f>IFERROR(__xludf.DUMMYFUNCTION("""COMPUTED_VALUE"""),"Generator")</f>
        <v>Generator</v>
      </c>
    </row>
    <row r="5138">
      <c r="A5138" s="4" t="str">
        <f>IFERROR(__xludf.DUMMYFUNCTION("""COMPUTED_VALUE"""),"genesislrt-restaked-eth")</f>
        <v>genesislrt-restaked-eth</v>
      </c>
      <c r="B5138" s="4" t="str">
        <f>IFERROR(__xludf.DUMMYFUNCTION("""COMPUTED_VALUE"""),"geneth")</f>
        <v>geneth</v>
      </c>
      <c r="C5138" s="4" t="str">
        <f>IFERROR(__xludf.DUMMYFUNCTION("""COMPUTED_VALUE"""),"GenesisLRT Restaked ETH")</f>
        <v>GenesisLRT Restaked ETH</v>
      </c>
    </row>
    <row r="5139">
      <c r="A5139" s="4" t="str">
        <f>IFERROR(__xludf.DUMMYFUNCTION("""COMPUTED_VALUE"""),"genesis-shards")</f>
        <v>genesis-shards</v>
      </c>
      <c r="B5139" s="4" t="str">
        <f>IFERROR(__xludf.DUMMYFUNCTION("""COMPUTED_VALUE"""),"gs")</f>
        <v>gs</v>
      </c>
      <c r="C5139" s="4" t="str">
        <f>IFERROR(__xludf.DUMMYFUNCTION("""COMPUTED_VALUE"""),"Genesis Shards")</f>
        <v>Genesis Shards</v>
      </c>
    </row>
    <row r="5140">
      <c r="A5140" s="4" t="str">
        <f>IFERROR(__xludf.DUMMYFUNCTION("""COMPUTED_VALUE"""),"genesis-wink")</f>
        <v>genesis-wink</v>
      </c>
      <c r="B5140" s="4" t="str">
        <f>IFERROR(__xludf.DUMMYFUNCTION("""COMPUTED_VALUE"""),"gwink")</f>
        <v>gwink</v>
      </c>
      <c r="C5140" s="4" t="str">
        <f>IFERROR(__xludf.DUMMYFUNCTION("""COMPUTED_VALUE"""),"Genesis Wink")</f>
        <v>Genesis Wink</v>
      </c>
    </row>
    <row r="5141">
      <c r="A5141" s="4" t="str">
        <f>IFERROR(__xludf.DUMMYFUNCTION("""COMPUTED_VALUE"""),"genesis-worlds")</f>
        <v>genesis-worlds</v>
      </c>
      <c r="B5141" s="4" t="str">
        <f>IFERROR(__xludf.DUMMYFUNCTION("""COMPUTED_VALUE"""),"genesis")</f>
        <v>genesis</v>
      </c>
      <c r="C5141" s="4" t="str">
        <f>IFERROR(__xludf.DUMMYFUNCTION("""COMPUTED_VALUE"""),"Genesis Worlds")</f>
        <v>Genesis Worlds</v>
      </c>
    </row>
    <row r="5142">
      <c r="A5142" s="4" t="str">
        <f>IFERROR(__xludf.DUMMYFUNCTION("""COMPUTED_VALUE"""),"genesys")</f>
        <v>genesys</v>
      </c>
      <c r="B5142" s="4" t="str">
        <f>IFERROR(__xludf.DUMMYFUNCTION("""COMPUTED_VALUE"""),"gsys")</f>
        <v>gsys</v>
      </c>
      <c r="C5142" s="4" t="str">
        <f>IFERROR(__xludf.DUMMYFUNCTION("""COMPUTED_VALUE"""),"Genesys")</f>
        <v>Genesys</v>
      </c>
    </row>
    <row r="5143">
      <c r="A5143" s="4" t="str">
        <f>IFERROR(__xludf.DUMMYFUNCTION("""COMPUTED_VALUE"""),"genesysgo-shadow")</f>
        <v>genesysgo-shadow</v>
      </c>
      <c r="B5143" s="4" t="str">
        <f>IFERROR(__xludf.DUMMYFUNCTION("""COMPUTED_VALUE"""),"shdw")</f>
        <v>shdw</v>
      </c>
      <c r="C5143" s="4" t="str">
        <f>IFERROR(__xludf.DUMMYFUNCTION("""COMPUTED_VALUE"""),"Shadow Token")</f>
        <v>Shadow Token</v>
      </c>
    </row>
    <row r="5144">
      <c r="A5144" s="4" t="str">
        <f>IFERROR(__xludf.DUMMYFUNCTION("""COMPUTED_VALUE"""),"geniebot")</f>
        <v>geniebot</v>
      </c>
      <c r="B5144" s="4" t="str">
        <f>IFERROR(__xludf.DUMMYFUNCTION("""COMPUTED_VALUE"""),"genie")</f>
        <v>genie</v>
      </c>
      <c r="C5144" s="4" t="str">
        <f>IFERROR(__xludf.DUMMYFUNCTION("""COMPUTED_VALUE"""),"GenieBot")</f>
        <v>GenieBot</v>
      </c>
    </row>
    <row r="5145">
      <c r="A5145" s="4" t="str">
        <f>IFERROR(__xludf.DUMMYFUNCTION("""COMPUTED_VALUE"""),"genie-protocol")</f>
        <v>genie-protocol</v>
      </c>
      <c r="B5145" s="4" t="str">
        <f>IFERROR(__xludf.DUMMYFUNCTION("""COMPUTED_VALUE"""),"gnp")</f>
        <v>gnp</v>
      </c>
      <c r="C5145" s="4" t="str">
        <f>IFERROR(__xludf.DUMMYFUNCTION("""COMPUTED_VALUE"""),"Genie Protocol")</f>
        <v>Genie Protocol</v>
      </c>
    </row>
    <row r="5146">
      <c r="A5146" s="4" t="str">
        <f>IFERROR(__xludf.DUMMYFUNCTION("""COMPUTED_VALUE"""),"genit-chain")</f>
        <v>genit-chain</v>
      </c>
      <c r="B5146" s="4" t="str">
        <f>IFERROR(__xludf.DUMMYFUNCTION("""COMPUTED_VALUE"""),"gnt")</f>
        <v>gnt</v>
      </c>
      <c r="C5146" s="4" t="str">
        <f>IFERROR(__xludf.DUMMYFUNCTION("""COMPUTED_VALUE"""),"Genit Chain")</f>
        <v>Genit Chain</v>
      </c>
    </row>
    <row r="5147">
      <c r="A5147" s="4" t="str">
        <f>IFERROR(__xludf.DUMMYFUNCTION("""COMPUTED_VALUE"""),"genius")</f>
        <v>genius</v>
      </c>
      <c r="B5147" s="4" t="str">
        <f>IFERROR(__xludf.DUMMYFUNCTION("""COMPUTED_VALUE"""),"geni")</f>
        <v>geni</v>
      </c>
      <c r="C5147" s="4" t="str">
        <f>IFERROR(__xludf.DUMMYFUNCTION("""COMPUTED_VALUE"""),"Genius")</f>
        <v>Genius</v>
      </c>
    </row>
    <row r="5148">
      <c r="A5148" s="4" t="str">
        <f>IFERROR(__xludf.DUMMYFUNCTION("""COMPUTED_VALUE"""),"genius-x")</f>
        <v>genius-x</v>
      </c>
      <c r="B5148" s="4" t="str">
        <f>IFERROR(__xludf.DUMMYFUNCTION("""COMPUTED_VALUE"""),"gensx")</f>
        <v>gensx</v>
      </c>
      <c r="C5148" s="4" t="str">
        <f>IFERROR(__xludf.DUMMYFUNCTION("""COMPUTED_VALUE"""),"Genius X")</f>
        <v>Genius X</v>
      </c>
    </row>
    <row r="5149">
      <c r="A5149" s="4" t="str">
        <f>IFERROR(__xludf.DUMMYFUNCTION("""COMPUTED_VALUE"""),"genius-yield")</f>
        <v>genius-yield</v>
      </c>
      <c r="B5149" s="4" t="str">
        <f>IFERROR(__xludf.DUMMYFUNCTION("""COMPUTED_VALUE"""),"gens")</f>
        <v>gens</v>
      </c>
      <c r="C5149" s="4" t="str">
        <f>IFERROR(__xludf.DUMMYFUNCTION("""COMPUTED_VALUE"""),"Genius Yield")</f>
        <v>Genius Yield</v>
      </c>
    </row>
    <row r="5150">
      <c r="A5150" s="4" t="str">
        <f>IFERROR(__xludf.DUMMYFUNCTION("""COMPUTED_VALUE"""),"geniux")</f>
        <v>geniux</v>
      </c>
      <c r="B5150" s="4" t="str">
        <f>IFERROR(__xludf.DUMMYFUNCTION("""COMPUTED_VALUE"""),"iux")</f>
        <v>iux</v>
      </c>
      <c r="C5150" s="4" t="str">
        <f>IFERROR(__xludf.DUMMYFUNCTION("""COMPUTED_VALUE"""),"GeniuX")</f>
        <v>GeniuX</v>
      </c>
    </row>
    <row r="5151">
      <c r="A5151" s="4" t="str">
        <f>IFERROR(__xludf.DUMMYFUNCTION("""COMPUTED_VALUE"""),"genix")</f>
        <v>genix</v>
      </c>
      <c r="B5151" s="4" t="str">
        <f>IFERROR(__xludf.DUMMYFUNCTION("""COMPUTED_VALUE"""),"genix")</f>
        <v>genix</v>
      </c>
      <c r="C5151" s="4" t="str">
        <f>IFERROR(__xludf.DUMMYFUNCTION("""COMPUTED_VALUE"""),"Genix")</f>
        <v>Genix</v>
      </c>
    </row>
    <row r="5152">
      <c r="A5152" s="4" t="str">
        <f>IFERROR(__xludf.DUMMYFUNCTION("""COMPUTED_VALUE"""),"genomesdao")</f>
        <v>genomesdao</v>
      </c>
      <c r="B5152" s="4" t="str">
        <f>IFERROR(__xludf.DUMMYFUNCTION("""COMPUTED_VALUE"""),"$gene")</f>
        <v>$gene</v>
      </c>
      <c r="C5152" s="4" t="str">
        <f>IFERROR(__xludf.DUMMYFUNCTION("""COMPUTED_VALUE"""),"GenomesDAO GENE")</f>
        <v>GenomesDAO GENE</v>
      </c>
    </row>
    <row r="5153">
      <c r="A5153" s="4" t="str">
        <f>IFERROR(__xludf.DUMMYFUNCTION("""COMPUTED_VALUE"""),"genomesdao-genome")</f>
        <v>genomesdao-genome</v>
      </c>
      <c r="B5153" s="4" t="str">
        <f>IFERROR(__xludf.DUMMYFUNCTION("""COMPUTED_VALUE"""),"genome")</f>
        <v>genome</v>
      </c>
      <c r="C5153" s="4" t="str">
        <f>IFERROR(__xludf.DUMMYFUNCTION("""COMPUTED_VALUE"""),"GenomesDAO GENOME")</f>
        <v>GenomesDAO GENOME</v>
      </c>
    </row>
    <row r="5154">
      <c r="A5154" s="4" t="str">
        <f>IFERROR(__xludf.DUMMYFUNCTION("""COMPUTED_VALUE"""),"genopet-ki")</f>
        <v>genopet-ki</v>
      </c>
      <c r="B5154" s="4" t="str">
        <f>IFERROR(__xludf.DUMMYFUNCTION("""COMPUTED_VALUE"""),"ki")</f>
        <v>ki</v>
      </c>
      <c r="C5154" s="4" t="str">
        <f>IFERROR(__xludf.DUMMYFUNCTION("""COMPUTED_VALUE"""),"Genopets KI")</f>
        <v>Genopets KI</v>
      </c>
    </row>
    <row r="5155">
      <c r="A5155" s="4" t="str">
        <f>IFERROR(__xludf.DUMMYFUNCTION("""COMPUTED_VALUE"""),"genopets")</f>
        <v>genopets</v>
      </c>
      <c r="B5155" s="4" t="str">
        <f>IFERROR(__xludf.DUMMYFUNCTION("""COMPUTED_VALUE"""),"gene")</f>
        <v>gene</v>
      </c>
      <c r="C5155" s="4" t="str">
        <f>IFERROR(__xludf.DUMMYFUNCTION("""COMPUTED_VALUE"""),"Genopets")</f>
        <v>Genopets</v>
      </c>
    </row>
    <row r="5156">
      <c r="A5156" s="4" t="str">
        <f>IFERROR(__xludf.DUMMYFUNCTION("""COMPUTED_VALUE"""),"genshiro")</f>
        <v>genshiro</v>
      </c>
      <c r="B5156" s="4" t="str">
        <f>IFERROR(__xludf.DUMMYFUNCTION("""COMPUTED_VALUE"""),"gens")</f>
        <v>gens</v>
      </c>
      <c r="C5156" s="4" t="str">
        <f>IFERROR(__xludf.DUMMYFUNCTION("""COMPUTED_VALUE"""),"Genshiro")</f>
        <v>Genshiro</v>
      </c>
    </row>
    <row r="5157">
      <c r="A5157" s="4" t="str">
        <f>IFERROR(__xludf.DUMMYFUNCTION("""COMPUTED_VALUE"""),"gensokishis-metaverse")</f>
        <v>gensokishis-metaverse</v>
      </c>
      <c r="B5157" s="4" t="str">
        <f>IFERROR(__xludf.DUMMYFUNCTION("""COMPUTED_VALUE"""),"mv")</f>
        <v>mv</v>
      </c>
      <c r="C5157" s="4" t="str">
        <f>IFERROR(__xludf.DUMMYFUNCTION("""COMPUTED_VALUE"""),"GensoKishi Metaverse")</f>
        <v>GensoKishi Metaverse</v>
      </c>
    </row>
    <row r="5158">
      <c r="A5158" s="4" t="str">
        <f>IFERROR(__xludf.DUMMYFUNCTION("""COMPUTED_VALUE"""),"genz-token")</f>
        <v>genz-token</v>
      </c>
      <c r="B5158" s="4" t="str">
        <f>IFERROR(__xludf.DUMMYFUNCTION("""COMPUTED_VALUE"""),"genz")</f>
        <v>genz</v>
      </c>
      <c r="C5158" s="4" t="str">
        <f>IFERROR(__xludf.DUMMYFUNCTION("""COMPUTED_VALUE"""),"GENZ Token")</f>
        <v>GENZ Token</v>
      </c>
    </row>
    <row r="5159">
      <c r="A5159" s="4" t="str">
        <f>IFERROR(__xludf.DUMMYFUNCTION("""COMPUTED_VALUE"""),"geodb")</f>
        <v>geodb</v>
      </c>
      <c r="B5159" s="4" t="str">
        <f>IFERROR(__xludf.DUMMYFUNCTION("""COMPUTED_VALUE"""),"geo")</f>
        <v>geo</v>
      </c>
      <c r="C5159" s="4" t="str">
        <f>IFERROR(__xludf.DUMMYFUNCTION("""COMPUTED_VALUE"""),"GeoDB")</f>
        <v>GeoDB</v>
      </c>
    </row>
    <row r="5160">
      <c r="A5160" s="4" t="str">
        <f>IFERROR(__xludf.DUMMYFUNCTION("""COMPUTED_VALUE"""),"geodnet")</f>
        <v>geodnet</v>
      </c>
      <c r="B5160" s="4" t="str">
        <f>IFERROR(__xludf.DUMMYFUNCTION("""COMPUTED_VALUE"""),"geod")</f>
        <v>geod</v>
      </c>
      <c r="C5160" s="4" t="str">
        <f>IFERROR(__xludf.DUMMYFUNCTION("""COMPUTED_VALUE"""),"Geodnet")</f>
        <v>Geodnet</v>
      </c>
    </row>
    <row r="5161">
      <c r="A5161" s="4" t="str">
        <f>IFERROR(__xludf.DUMMYFUNCTION("""COMPUTED_VALUE"""),"geojam")</f>
        <v>geojam</v>
      </c>
      <c r="B5161" s="4" t="str">
        <f>IFERROR(__xludf.DUMMYFUNCTION("""COMPUTED_VALUE"""),"jam")</f>
        <v>jam</v>
      </c>
      <c r="C5161" s="4" t="str">
        <f>IFERROR(__xludf.DUMMYFUNCTION("""COMPUTED_VALUE"""),"Geojam")</f>
        <v>Geojam</v>
      </c>
    </row>
    <row r="5162">
      <c r="A5162" s="4" t="str">
        <f>IFERROR(__xludf.DUMMYFUNCTION("""COMPUTED_VALUE"""),"geoleaf")</f>
        <v>geoleaf</v>
      </c>
      <c r="B5162" s="4" t="str">
        <f>IFERROR(__xludf.DUMMYFUNCTION("""COMPUTED_VALUE"""),"glt")</f>
        <v>glt</v>
      </c>
      <c r="C5162" s="4" t="str">
        <f>IFERROR(__xludf.DUMMYFUNCTION("""COMPUTED_VALUE"""),"GeoLeaf (OLD)")</f>
        <v>GeoLeaf (OLD)</v>
      </c>
    </row>
    <row r="5163">
      <c r="A5163" s="4" t="str">
        <f>IFERROR(__xludf.DUMMYFUNCTION("""COMPUTED_VALUE"""),"geoleaf-2")</f>
        <v>geoleaf-2</v>
      </c>
      <c r="B5163" s="4" t="str">
        <f>IFERROR(__xludf.DUMMYFUNCTION("""COMPUTED_VALUE"""),"glt")</f>
        <v>glt</v>
      </c>
      <c r="C5163" s="4" t="str">
        <f>IFERROR(__xludf.DUMMYFUNCTION("""COMPUTED_VALUE"""),"GeoLeaf")</f>
        <v>GeoLeaf</v>
      </c>
    </row>
    <row r="5164">
      <c r="A5164" s="4" t="str">
        <f>IFERROR(__xludf.DUMMYFUNCTION("""COMPUTED_VALUE"""),"geometric-energy-corporation")</f>
        <v>geometric-energy-corporation</v>
      </c>
      <c r="B5164" s="4" t="str">
        <f>IFERROR(__xludf.DUMMYFUNCTION("""COMPUTED_VALUE"""),"gec")</f>
        <v>gec</v>
      </c>
      <c r="C5164" s="4" t="str">
        <f>IFERROR(__xludf.DUMMYFUNCTION("""COMPUTED_VALUE"""),"Geometric Energy Corporation")</f>
        <v>Geometric Energy Corporation</v>
      </c>
    </row>
    <row r="5165">
      <c r="A5165" s="4" t="str">
        <f>IFERROR(__xludf.DUMMYFUNCTION("""COMPUTED_VALUE"""),"geopoly")</f>
        <v>geopoly</v>
      </c>
      <c r="B5165" s="4" t="str">
        <f>IFERROR(__xludf.DUMMYFUNCTION("""COMPUTED_VALUE"""),"geo$")</f>
        <v>geo$</v>
      </c>
      <c r="C5165" s="4" t="str">
        <f>IFERROR(__xludf.DUMMYFUNCTION("""COMPUTED_VALUE"""),"Geopoly")</f>
        <v>Geopoly</v>
      </c>
    </row>
    <row r="5166">
      <c r="A5166" s="4" t="str">
        <f>IFERROR(__xludf.DUMMYFUNCTION("""COMPUTED_VALUE"""),"gera-coin")</f>
        <v>gera-coin</v>
      </c>
      <c r="B5166" s="4" t="str">
        <f>IFERROR(__xludf.DUMMYFUNCTION("""COMPUTED_VALUE"""),"gera")</f>
        <v>gera</v>
      </c>
      <c r="C5166" s="4" t="str">
        <f>IFERROR(__xludf.DUMMYFUNCTION("""COMPUTED_VALUE"""),"Gera Coin")</f>
        <v>Gera Coin</v>
      </c>
    </row>
    <row r="5167">
      <c r="A5167" s="4" t="str">
        <f>IFERROR(__xludf.DUMMYFUNCTION("""COMPUTED_VALUE"""),"gerowallet")</f>
        <v>gerowallet</v>
      </c>
      <c r="B5167" s="4" t="str">
        <f>IFERROR(__xludf.DUMMYFUNCTION("""COMPUTED_VALUE"""),"gero")</f>
        <v>gero</v>
      </c>
      <c r="C5167" s="4" t="str">
        <f>IFERROR(__xludf.DUMMYFUNCTION("""COMPUTED_VALUE"""),"GeroWallet")</f>
        <v>GeroWallet</v>
      </c>
    </row>
    <row r="5168">
      <c r="A5168" s="4" t="str">
        <f>IFERROR(__xludf.DUMMYFUNCTION("""COMPUTED_VALUE"""),"getaverse")</f>
        <v>getaverse</v>
      </c>
      <c r="B5168" s="4" t="str">
        <f>IFERROR(__xludf.DUMMYFUNCTION("""COMPUTED_VALUE"""),"geta")</f>
        <v>geta</v>
      </c>
      <c r="C5168" s="4" t="str">
        <f>IFERROR(__xludf.DUMMYFUNCTION("""COMPUTED_VALUE"""),"Getaverse")</f>
        <v>Getaverse</v>
      </c>
    </row>
    <row r="5169">
      <c r="A5169" s="4" t="str">
        <f>IFERROR(__xludf.DUMMYFUNCTION("""COMPUTED_VALUE"""),"getkicks")</f>
        <v>getkicks</v>
      </c>
      <c r="B5169" s="4" t="str">
        <f>IFERROR(__xludf.DUMMYFUNCTION("""COMPUTED_VALUE"""),"kicks")</f>
        <v>kicks</v>
      </c>
      <c r="C5169" s="4" t="str">
        <f>IFERROR(__xludf.DUMMYFUNCTION("""COMPUTED_VALUE"""),"GetKicks")</f>
        <v>GetKicks</v>
      </c>
    </row>
    <row r="5170">
      <c r="A5170" s="4" t="str">
        <f>IFERROR(__xludf.DUMMYFUNCTION("""COMPUTED_VALUE"""),"get-rich-with-meme")</f>
        <v>get-rich-with-meme</v>
      </c>
      <c r="B5170" s="4" t="str">
        <f>IFERROR(__xludf.DUMMYFUNCTION("""COMPUTED_VALUE"""),"$memememe$")</f>
        <v>$memememe$</v>
      </c>
      <c r="C5170" s="4" t="str">
        <f>IFERROR(__xludf.DUMMYFUNCTION("""COMPUTED_VALUE"""),"get rich with meme")</f>
        <v>get rich with meme</v>
      </c>
    </row>
    <row r="5171">
      <c r="A5171" s="4" t="str">
        <f>IFERROR(__xludf.DUMMYFUNCTION("""COMPUTED_VALUE"""),"get-token")</f>
        <v>get-token</v>
      </c>
      <c r="B5171" s="4" t="str">
        <f>IFERROR(__xludf.DUMMYFUNCTION("""COMPUTED_VALUE"""),"get")</f>
        <v>get</v>
      </c>
      <c r="C5171" s="4" t="str">
        <f>IFERROR(__xludf.DUMMYFUNCTION("""COMPUTED_VALUE"""),"GET Protocol")</f>
        <v>GET Protocol</v>
      </c>
    </row>
    <row r="5172">
      <c r="A5172" s="4" t="str">
        <f>IFERROR(__xludf.DUMMYFUNCTION("""COMPUTED_VALUE"""),"geuro")</f>
        <v>geuro</v>
      </c>
      <c r="B5172" s="4" t="str">
        <f>IFERROR(__xludf.DUMMYFUNCTION("""COMPUTED_VALUE"""),"geuro")</f>
        <v>geuro</v>
      </c>
      <c r="C5172" s="4" t="str">
        <f>IFERROR(__xludf.DUMMYFUNCTION("""COMPUTED_VALUE"""),"GEURO")</f>
        <v>GEURO</v>
      </c>
    </row>
    <row r="5173">
      <c r="A5173" s="4" t="str">
        <f>IFERROR(__xludf.DUMMYFUNCTION("""COMPUTED_VALUE"""),"gexc-finance")</f>
        <v>gexc-finance</v>
      </c>
      <c r="B5173" s="4" t="str">
        <f>IFERROR(__xludf.DUMMYFUNCTION("""COMPUTED_VALUE"""),"gexc")</f>
        <v>gexc</v>
      </c>
      <c r="C5173" s="4" t="str">
        <f>IFERROR(__xludf.DUMMYFUNCTION("""COMPUTED_VALUE"""),"GEXC FINANCE")</f>
        <v>GEXC FINANCE</v>
      </c>
    </row>
    <row r="5174">
      <c r="A5174" s="4" t="str">
        <f>IFERROR(__xludf.DUMMYFUNCTION("""COMPUTED_VALUE"""),"geyser")</f>
        <v>geyser</v>
      </c>
      <c r="B5174" s="4" t="str">
        <f>IFERROR(__xludf.DUMMYFUNCTION("""COMPUTED_VALUE"""),"gysr")</f>
        <v>gysr</v>
      </c>
      <c r="C5174" s="4" t="str">
        <f>IFERROR(__xludf.DUMMYFUNCTION("""COMPUTED_VALUE"""),"Geyser")</f>
        <v>Geyser</v>
      </c>
    </row>
    <row r="5175">
      <c r="A5175" s="4" t="str">
        <f>IFERROR(__xludf.DUMMYFUNCTION("""COMPUTED_VALUE"""),"ggtkn")</f>
        <v>ggtkn</v>
      </c>
      <c r="B5175" s="4" t="str">
        <f>IFERROR(__xludf.DUMMYFUNCTION("""COMPUTED_VALUE"""),"ggtkn")</f>
        <v>ggtkn</v>
      </c>
      <c r="C5175" s="4" t="str">
        <f>IFERROR(__xludf.DUMMYFUNCTION("""COMPUTED_VALUE"""),"GGTKN")</f>
        <v>GGTKN</v>
      </c>
    </row>
    <row r="5176">
      <c r="A5176" s="4" t="str">
        <f>IFERROR(__xludf.DUMMYFUNCTION("""COMPUTED_VALUE"""),"gg-token")</f>
        <v>gg-token</v>
      </c>
      <c r="B5176" s="4" t="str">
        <f>IFERROR(__xludf.DUMMYFUNCTION("""COMPUTED_VALUE"""),"ggtk")</f>
        <v>ggtk</v>
      </c>
      <c r="C5176" s="4" t="str">
        <f>IFERROR(__xludf.DUMMYFUNCTION("""COMPUTED_VALUE"""),"GG")</f>
        <v>GG</v>
      </c>
    </row>
    <row r="5177">
      <c r="A5177" s="4" t="str">
        <f>IFERROR(__xludf.DUMMYFUNCTION("""COMPUTED_VALUE"""),"gh0stc0in")</f>
        <v>gh0stc0in</v>
      </c>
      <c r="B5177" s="4" t="str">
        <f>IFERROR(__xludf.DUMMYFUNCTION("""COMPUTED_VALUE"""),"ghost")</f>
        <v>ghost</v>
      </c>
      <c r="C5177" s="4" t="str">
        <f>IFERROR(__xludf.DUMMYFUNCTION("""COMPUTED_VALUE"""),"gh0stc0in")</f>
        <v>gh0stc0in</v>
      </c>
    </row>
    <row r="5178">
      <c r="A5178" s="4" t="str">
        <f>IFERROR(__xludf.DUMMYFUNCTION("""COMPUTED_VALUE"""),"ghacoin")</f>
        <v>ghacoin</v>
      </c>
      <c r="B5178" s="4" t="str">
        <f>IFERROR(__xludf.DUMMYFUNCTION("""COMPUTED_VALUE"""),"ghacoin")</f>
        <v>ghacoin</v>
      </c>
      <c r="C5178" s="4" t="str">
        <f>IFERROR(__xludf.DUMMYFUNCTION("""COMPUTED_VALUE"""),"GhaCoin")</f>
        <v>GhaCoin</v>
      </c>
    </row>
    <row r="5179">
      <c r="A5179" s="4" t="str">
        <f>IFERROR(__xludf.DUMMYFUNCTION("""COMPUTED_VALUE"""),"ghast")</f>
        <v>ghast</v>
      </c>
      <c r="B5179" s="4" t="str">
        <f>IFERROR(__xludf.DUMMYFUNCTION("""COMPUTED_VALUE"""),"gha")</f>
        <v>gha</v>
      </c>
      <c r="C5179" s="4" t="str">
        <f>IFERROR(__xludf.DUMMYFUNCTION("""COMPUTED_VALUE"""),"Ghast")</f>
        <v>Ghast</v>
      </c>
    </row>
    <row r="5180">
      <c r="A5180" s="4" t="str">
        <f>IFERROR(__xludf.DUMMYFUNCTION("""COMPUTED_VALUE"""),"ghislaine-network")</f>
        <v>ghislaine-network</v>
      </c>
      <c r="B5180" s="4" t="str">
        <f>IFERROR(__xludf.DUMMYFUNCTION("""COMPUTED_VALUE"""),"ghsi")</f>
        <v>ghsi</v>
      </c>
      <c r="C5180" s="4" t="str">
        <f>IFERROR(__xludf.DUMMYFUNCTION("""COMPUTED_VALUE"""),"Ghislaine Network")</f>
        <v>Ghislaine Network</v>
      </c>
    </row>
    <row r="5181">
      <c r="A5181" s="4" t="str">
        <f>IFERROR(__xludf.DUMMYFUNCTION("""COMPUTED_VALUE"""),"gho")</f>
        <v>gho</v>
      </c>
      <c r="B5181" s="4" t="str">
        <f>IFERROR(__xludf.DUMMYFUNCTION("""COMPUTED_VALUE"""),"gho")</f>
        <v>gho</v>
      </c>
      <c r="C5181" s="4" t="str">
        <f>IFERROR(__xludf.DUMMYFUNCTION("""COMPUTED_VALUE"""),"GHO")</f>
        <v>GHO</v>
      </c>
    </row>
    <row r="5182">
      <c r="A5182" s="4" t="str">
        <f>IFERROR(__xludf.DUMMYFUNCTION("""COMPUTED_VALUE"""),"ghost")</f>
        <v>ghost</v>
      </c>
      <c r="B5182" s="4" t="str">
        <f>IFERROR(__xludf.DUMMYFUNCTION("""COMPUTED_VALUE"""),"ghost")</f>
        <v>ghost</v>
      </c>
      <c r="C5182" s="4" t="str">
        <f>IFERROR(__xludf.DUMMYFUNCTION("""COMPUTED_VALUE"""),"Ghost")</f>
        <v>Ghost</v>
      </c>
    </row>
    <row r="5183">
      <c r="A5183" s="4" t="str">
        <f>IFERROR(__xludf.DUMMYFUNCTION("""COMPUTED_VALUE"""),"ghost-by-mcafee")</f>
        <v>ghost-by-mcafee</v>
      </c>
      <c r="B5183" s="4" t="str">
        <f>IFERROR(__xludf.DUMMYFUNCTION("""COMPUTED_VALUE"""),"ghost")</f>
        <v>ghost</v>
      </c>
      <c r="C5183" s="4" t="str">
        <f>IFERROR(__xludf.DUMMYFUNCTION("""COMPUTED_VALUE"""),"Ghost")</f>
        <v>Ghost</v>
      </c>
    </row>
    <row r="5184">
      <c r="A5184" s="4" t="str">
        <f>IFERROR(__xludf.DUMMYFUNCTION("""COMPUTED_VALUE"""),"ghostdag-org")</f>
        <v>ghostdag-org</v>
      </c>
      <c r="B5184" s="4" t="str">
        <f>IFERROR(__xludf.DUMMYFUNCTION("""COMPUTED_VALUE"""),"gdag")</f>
        <v>gdag</v>
      </c>
      <c r="C5184" s="5" t="str">
        <f>IFERROR(__xludf.DUMMYFUNCTION("""COMPUTED_VALUE"""),"GhostDAG.org")</f>
        <v>GhostDAG.org</v>
      </c>
    </row>
    <row r="5185">
      <c r="A5185" s="4" t="str">
        <f>IFERROR(__xludf.DUMMYFUNCTION("""COMPUTED_VALUE"""),"ghostkids")</f>
        <v>ghostkids</v>
      </c>
      <c r="B5185" s="4" t="str">
        <f>IFERROR(__xludf.DUMMYFUNCTION("""COMPUTED_VALUE"""),"boo")</f>
        <v>boo</v>
      </c>
      <c r="C5185" s="4" t="str">
        <f>IFERROR(__xludf.DUMMYFUNCTION("""COMPUTED_VALUE"""),"GhostKids")</f>
        <v>GhostKids</v>
      </c>
    </row>
    <row r="5186">
      <c r="A5186" s="4" t="str">
        <f>IFERROR(__xludf.DUMMYFUNCTION("""COMPUTED_VALUE"""),"ghostwifhat")</f>
        <v>ghostwifhat</v>
      </c>
      <c r="B5186" s="4" t="str">
        <f>IFERROR(__xludf.DUMMYFUNCTION("""COMPUTED_VALUE"""),"gif")</f>
        <v>gif</v>
      </c>
      <c r="C5186" s="4" t="str">
        <f>IFERROR(__xludf.DUMMYFUNCTION("""COMPUTED_VALUE"""),"Ghostwifhat")</f>
        <v>Ghostwifhat</v>
      </c>
    </row>
    <row r="5187">
      <c r="A5187" s="4" t="str">
        <f>IFERROR(__xludf.DUMMYFUNCTION("""COMPUTED_VALUE"""),"ghosty")</f>
        <v>ghosty</v>
      </c>
      <c r="B5187" s="4" t="str">
        <f>IFERROR(__xludf.DUMMYFUNCTION("""COMPUTED_VALUE"""),"ghsy")</f>
        <v>ghsy</v>
      </c>
      <c r="C5187" s="4" t="str">
        <f>IFERROR(__xludf.DUMMYFUNCTION("""COMPUTED_VALUE"""),"GHOSTY")</f>
        <v>GHOSTY</v>
      </c>
    </row>
    <row r="5188">
      <c r="A5188" s="4" t="str">
        <f>IFERROR(__xludf.DUMMYFUNCTION("""COMPUTED_VALUE"""),"ghozali-404")</f>
        <v>ghozali-404</v>
      </c>
      <c r="B5188" s="4" t="str">
        <f>IFERROR(__xludf.DUMMYFUNCTION("""COMPUTED_VALUE"""),"ghzli")</f>
        <v>ghzli</v>
      </c>
      <c r="C5188" s="4" t="str">
        <f>IFERROR(__xludf.DUMMYFUNCTION("""COMPUTED_VALUE"""),"Ghozali 404")</f>
        <v>Ghozali 404</v>
      </c>
    </row>
    <row r="5189">
      <c r="A5189" s="4" t="str">
        <f>IFERROR(__xludf.DUMMYFUNCTION("""COMPUTED_VALUE"""),"giannidoge-esport")</f>
        <v>giannidoge-esport</v>
      </c>
      <c r="B5189" s="4" t="str">
        <f>IFERROR(__xludf.DUMMYFUNCTION("""COMPUTED_VALUE"""),"gde")</f>
        <v>gde</v>
      </c>
      <c r="C5189" s="4" t="str">
        <f>IFERROR(__xludf.DUMMYFUNCTION("""COMPUTED_VALUE"""),"GianniDoge Esport")</f>
        <v>GianniDoge Esport</v>
      </c>
    </row>
    <row r="5190">
      <c r="A5190" s="4" t="str">
        <f>IFERROR(__xludf.DUMMYFUNCTION("""COMPUTED_VALUE"""),"giant-mammoth")</f>
        <v>giant-mammoth</v>
      </c>
      <c r="B5190" s="4" t="str">
        <f>IFERROR(__xludf.DUMMYFUNCTION("""COMPUTED_VALUE"""),"gmmt")</f>
        <v>gmmt</v>
      </c>
      <c r="C5190" s="4" t="str">
        <f>IFERROR(__xludf.DUMMYFUNCTION("""COMPUTED_VALUE"""),"Giant Mammoth")</f>
        <v>Giant Mammoth</v>
      </c>
    </row>
    <row r="5191">
      <c r="A5191" s="4" t="str">
        <f>IFERROR(__xludf.DUMMYFUNCTION("""COMPUTED_VALUE"""),"gib")</f>
        <v>gib</v>
      </c>
      <c r="B5191" s="4" t="str">
        <f>IFERROR(__xludf.DUMMYFUNCTION("""COMPUTED_VALUE"""),"$gib")</f>
        <v>$gib</v>
      </c>
      <c r="C5191" s="4" t="str">
        <f>IFERROR(__xludf.DUMMYFUNCTION("""COMPUTED_VALUE"""),"GIB")</f>
        <v>GIB</v>
      </c>
    </row>
    <row r="5192">
      <c r="A5192" s="4" t="str">
        <f>IFERROR(__xludf.DUMMYFUNCTION("""COMPUTED_VALUE"""),"gibx-swap")</f>
        <v>gibx-swap</v>
      </c>
      <c r="B5192" s="4" t="str">
        <f>IFERROR(__xludf.DUMMYFUNCTION("""COMPUTED_VALUE"""),"x")</f>
        <v>x</v>
      </c>
      <c r="C5192" s="4" t="str">
        <f>IFERROR(__xludf.DUMMYFUNCTION("""COMPUTED_VALUE"""),"GIBX Swap")</f>
        <v>GIBX Swap</v>
      </c>
    </row>
    <row r="5193">
      <c r="A5193" s="4" t="str">
        <f>IFERROR(__xludf.DUMMYFUNCTION("""COMPUTED_VALUE"""),"gictrade")</f>
        <v>gictrade</v>
      </c>
      <c r="B5193" s="4" t="str">
        <f>IFERROR(__xludf.DUMMYFUNCTION("""COMPUTED_VALUE"""),"gict")</f>
        <v>gict</v>
      </c>
      <c r="C5193" s="4" t="str">
        <f>IFERROR(__xludf.DUMMYFUNCTION("""COMPUTED_VALUE"""),"GICTrade")</f>
        <v>GICTrade</v>
      </c>
    </row>
    <row r="5194">
      <c r="A5194" s="4" t="str">
        <f>IFERROR(__xludf.DUMMYFUNCTION("""COMPUTED_VALUE"""),"giddy")</f>
        <v>giddy</v>
      </c>
      <c r="B5194" s="4" t="str">
        <f>IFERROR(__xludf.DUMMYFUNCTION("""COMPUTED_VALUE"""),"giddy")</f>
        <v>giddy</v>
      </c>
      <c r="C5194" s="4" t="str">
        <f>IFERROR(__xludf.DUMMYFUNCTION("""COMPUTED_VALUE"""),"Giddy")</f>
        <v>Giddy</v>
      </c>
    </row>
    <row r="5195">
      <c r="A5195" s="4" t="str">
        <f>IFERROR(__xludf.DUMMYFUNCTION("""COMPUTED_VALUE"""),"gif-dao")</f>
        <v>gif-dao</v>
      </c>
      <c r="B5195" s="4" t="str">
        <f>IFERROR(__xludf.DUMMYFUNCTION("""COMPUTED_VALUE"""),"gif")</f>
        <v>gif</v>
      </c>
      <c r="C5195" s="4" t="str">
        <f>IFERROR(__xludf.DUMMYFUNCTION("""COMPUTED_VALUE"""),"GIF DAO")</f>
        <v>GIF DAO</v>
      </c>
    </row>
    <row r="5196">
      <c r="A5196" s="4" t="str">
        <f>IFERROR(__xludf.DUMMYFUNCTION("""COMPUTED_VALUE"""),"giftedhands")</f>
        <v>giftedhands</v>
      </c>
      <c r="B5196" s="4" t="str">
        <f>IFERROR(__xludf.DUMMYFUNCTION("""COMPUTED_VALUE"""),"ghd")</f>
        <v>ghd</v>
      </c>
      <c r="C5196" s="4" t="str">
        <f>IFERROR(__xludf.DUMMYFUNCTION("""COMPUTED_VALUE"""),"Giftedhands")</f>
        <v>Giftedhands</v>
      </c>
    </row>
    <row r="5197">
      <c r="A5197" s="4" t="str">
        <f>IFERROR(__xludf.DUMMYFUNCTION("""COMPUTED_VALUE"""),"gifto")</f>
        <v>gifto</v>
      </c>
      <c r="B5197" s="4" t="str">
        <f>IFERROR(__xludf.DUMMYFUNCTION("""COMPUTED_VALUE"""),"gft")</f>
        <v>gft</v>
      </c>
      <c r="C5197" s="4" t="str">
        <f>IFERROR(__xludf.DUMMYFUNCTION("""COMPUTED_VALUE"""),"Gifto")</f>
        <v>Gifto</v>
      </c>
    </row>
    <row r="5198">
      <c r="A5198" s="4" t="str">
        <f>IFERROR(__xludf.DUMMYFUNCTION("""COMPUTED_VALUE"""),"gify-ai")</f>
        <v>gify-ai</v>
      </c>
      <c r="B5198" s="4" t="str">
        <f>IFERROR(__xludf.DUMMYFUNCTION("""COMPUTED_VALUE"""),"gify")</f>
        <v>gify</v>
      </c>
      <c r="C5198" s="4" t="str">
        <f>IFERROR(__xludf.DUMMYFUNCTION("""COMPUTED_VALUE"""),"Gify AI")</f>
        <v>Gify AI</v>
      </c>
    </row>
    <row r="5199">
      <c r="A5199" s="4" t="str">
        <f>IFERROR(__xludf.DUMMYFUNCTION("""COMPUTED_VALUE"""),"giga-cat")</f>
        <v>giga-cat</v>
      </c>
      <c r="B5199" s="4" t="str">
        <f>IFERROR(__xludf.DUMMYFUNCTION("""COMPUTED_VALUE"""),"gcat")</f>
        <v>gcat</v>
      </c>
      <c r="C5199" s="4" t="str">
        <f>IFERROR(__xludf.DUMMYFUNCTION("""COMPUTED_VALUE"""),"Giga Cat")</f>
        <v>Giga Cat</v>
      </c>
    </row>
    <row r="5200">
      <c r="A5200" s="4" t="str">
        <f>IFERROR(__xludf.DUMMYFUNCTION("""COMPUTED_VALUE"""),"gigachad-2")</f>
        <v>gigachad-2</v>
      </c>
      <c r="B5200" s="4" t="str">
        <f>IFERROR(__xludf.DUMMYFUNCTION("""COMPUTED_VALUE"""),"giga")</f>
        <v>giga</v>
      </c>
      <c r="C5200" s="4" t="str">
        <f>IFERROR(__xludf.DUMMYFUNCTION("""COMPUTED_VALUE"""),"Gigachad")</f>
        <v>Gigachad</v>
      </c>
    </row>
    <row r="5201">
      <c r="A5201" s="4" t="str">
        <f>IFERROR(__xludf.DUMMYFUNCTION("""COMPUTED_VALUE"""),"gigachadgpt")</f>
        <v>gigachadgpt</v>
      </c>
      <c r="B5201" s="4" t="str">
        <f>IFERROR(__xludf.DUMMYFUNCTION("""COMPUTED_VALUE"""),"$giga")</f>
        <v>$giga</v>
      </c>
      <c r="C5201" s="4" t="str">
        <f>IFERROR(__xludf.DUMMYFUNCTION("""COMPUTED_VALUE"""),"GigaChadGPT")</f>
        <v>GigaChadGPT</v>
      </c>
    </row>
    <row r="5202">
      <c r="A5202" s="4" t="str">
        <f>IFERROR(__xludf.DUMMYFUNCTION("""COMPUTED_VALUE"""),"gigadao")</f>
        <v>gigadao</v>
      </c>
      <c r="B5202" s="4" t="str">
        <f>IFERROR(__xludf.DUMMYFUNCTION("""COMPUTED_VALUE"""),"gigs")</f>
        <v>gigs</v>
      </c>
      <c r="C5202" s="4" t="str">
        <f>IFERROR(__xludf.DUMMYFUNCTION("""COMPUTED_VALUE"""),"GigaDAO")</f>
        <v>GigaDAO</v>
      </c>
    </row>
    <row r="5203">
      <c r="A5203" s="4" t="str">
        <f>IFERROR(__xludf.DUMMYFUNCTION("""COMPUTED_VALUE"""),"gigantix-wallet")</f>
        <v>gigantix-wallet</v>
      </c>
      <c r="B5203" s="4" t="str">
        <f>IFERROR(__xludf.DUMMYFUNCTION("""COMPUTED_VALUE"""),"gtx")</f>
        <v>gtx</v>
      </c>
      <c r="C5203" s="4" t="str">
        <f>IFERROR(__xludf.DUMMYFUNCTION("""COMPUTED_VALUE"""),"Gigantix Wallet")</f>
        <v>Gigantix Wallet</v>
      </c>
    </row>
    <row r="5204">
      <c r="A5204" s="4" t="str">
        <f>IFERROR(__xludf.DUMMYFUNCTION("""COMPUTED_VALUE"""),"gigaswap")</f>
        <v>gigaswap</v>
      </c>
      <c r="B5204" s="4" t="str">
        <f>IFERROR(__xludf.DUMMYFUNCTION("""COMPUTED_VALUE"""),"giga")</f>
        <v>giga</v>
      </c>
      <c r="C5204" s="4" t="str">
        <f>IFERROR(__xludf.DUMMYFUNCTION("""COMPUTED_VALUE"""),"GigaSwap")</f>
        <v>GigaSwap</v>
      </c>
    </row>
    <row r="5205">
      <c r="A5205" s="4" t="str">
        <f>IFERROR(__xludf.DUMMYFUNCTION("""COMPUTED_VALUE"""),"gigatoken")</f>
        <v>gigatoken</v>
      </c>
      <c r="B5205" s="4" t="str">
        <f>IFERROR(__xludf.DUMMYFUNCTION("""COMPUTED_VALUE"""),"giga")</f>
        <v>giga</v>
      </c>
      <c r="C5205" s="4" t="str">
        <f>IFERROR(__xludf.DUMMYFUNCTION("""COMPUTED_VALUE"""),"GigaToken")</f>
        <v>GigaToken</v>
      </c>
    </row>
    <row r="5206">
      <c r="A5206" s="4" t="str">
        <f>IFERROR(__xludf.DUMMYFUNCTION("""COMPUTED_VALUE"""),"gilgeous")</f>
        <v>gilgeous</v>
      </c>
      <c r="B5206" s="4" t="str">
        <f>IFERROR(__xludf.DUMMYFUNCTION("""COMPUTED_VALUE"""),"glg")</f>
        <v>glg</v>
      </c>
      <c r="C5206" s="4" t="str">
        <f>IFERROR(__xludf.DUMMYFUNCTION("""COMPUTED_VALUE"""),"Gilgeous")</f>
        <v>Gilgeous</v>
      </c>
    </row>
    <row r="5207">
      <c r="A5207" s="4" t="str">
        <f>IFERROR(__xludf.DUMMYFUNCTION("""COMPUTED_VALUE"""),"ginger")</f>
        <v>ginger</v>
      </c>
      <c r="B5207" s="4" t="str">
        <f>IFERROR(__xludf.DUMMYFUNCTION("""COMPUTED_VALUE"""),"ginger")</f>
        <v>ginger</v>
      </c>
      <c r="C5207" s="4" t="str">
        <f>IFERROR(__xludf.DUMMYFUNCTION("""COMPUTED_VALUE"""),"GINGER")</f>
        <v>GINGER</v>
      </c>
    </row>
    <row r="5208">
      <c r="A5208" s="4" t="str">
        <f>IFERROR(__xludf.DUMMYFUNCTION("""COMPUTED_VALUE"""),"gingers-have-no-sol")</f>
        <v>gingers-have-no-sol</v>
      </c>
      <c r="B5208" s="4" t="str">
        <f>IFERROR(__xludf.DUMMYFUNCTION("""COMPUTED_VALUE"""),"ginger")</f>
        <v>ginger</v>
      </c>
      <c r="C5208" s="4" t="str">
        <f>IFERROR(__xludf.DUMMYFUNCTION("""COMPUTED_VALUE"""),"Gingers Have No Sol")</f>
        <v>Gingers Have No Sol</v>
      </c>
    </row>
    <row r="5209">
      <c r="A5209" s="4" t="str">
        <f>IFERROR(__xludf.DUMMYFUNCTION("""COMPUTED_VALUE"""),"ginoa")</f>
        <v>ginoa</v>
      </c>
      <c r="B5209" s="4" t="str">
        <f>IFERROR(__xludf.DUMMYFUNCTION("""COMPUTED_VALUE"""),"ginoa")</f>
        <v>ginoa</v>
      </c>
      <c r="C5209" s="4" t="str">
        <f>IFERROR(__xludf.DUMMYFUNCTION("""COMPUTED_VALUE"""),"Ginoa")</f>
        <v>Ginoa</v>
      </c>
    </row>
    <row r="5210">
      <c r="A5210" s="4" t="str">
        <f>IFERROR(__xludf.DUMMYFUNCTION("""COMPUTED_VALUE"""),"ginza-network")</f>
        <v>ginza-network</v>
      </c>
      <c r="B5210" s="4" t="str">
        <f>IFERROR(__xludf.DUMMYFUNCTION("""COMPUTED_VALUE"""),"ginza")</f>
        <v>ginza</v>
      </c>
      <c r="C5210" s="4" t="str">
        <f>IFERROR(__xludf.DUMMYFUNCTION("""COMPUTED_VALUE"""),"Ginza Network")</f>
        <v>Ginza Network</v>
      </c>
    </row>
    <row r="5211">
      <c r="A5211" s="4" t="str">
        <f>IFERROR(__xludf.DUMMYFUNCTION("""COMPUTED_VALUE"""),"gitcoin")</f>
        <v>gitcoin</v>
      </c>
      <c r="B5211" s="4" t="str">
        <f>IFERROR(__xludf.DUMMYFUNCTION("""COMPUTED_VALUE"""),"gtc")</f>
        <v>gtc</v>
      </c>
      <c r="C5211" s="4" t="str">
        <f>IFERROR(__xludf.DUMMYFUNCTION("""COMPUTED_VALUE"""),"Gitcoin")</f>
        <v>Gitcoin</v>
      </c>
    </row>
    <row r="5212">
      <c r="A5212" s="4" t="str">
        <f>IFERROR(__xludf.DUMMYFUNCTION("""COMPUTED_VALUE"""),"gitcoin-staked-eth-index")</f>
        <v>gitcoin-staked-eth-index</v>
      </c>
      <c r="B5212" s="4" t="str">
        <f>IFERROR(__xludf.DUMMYFUNCTION("""COMPUTED_VALUE"""),"gtceth")</f>
        <v>gtceth</v>
      </c>
      <c r="C5212" s="4" t="str">
        <f>IFERROR(__xludf.DUMMYFUNCTION("""COMPUTED_VALUE"""),"Gitcoin Staked ETH Index")</f>
        <v>Gitcoin Staked ETH Index</v>
      </c>
    </row>
    <row r="5213">
      <c r="A5213" s="4" t="str">
        <f>IFERROR(__xludf.DUMMYFUNCTION("""COMPUTED_VALUE"""),"gitopia")</f>
        <v>gitopia</v>
      </c>
      <c r="B5213" s="4" t="str">
        <f>IFERROR(__xludf.DUMMYFUNCTION("""COMPUTED_VALUE"""),"lore")</f>
        <v>lore</v>
      </c>
      <c r="C5213" s="4" t="str">
        <f>IFERROR(__xludf.DUMMYFUNCTION("""COMPUTED_VALUE"""),"Gitopia")</f>
        <v>Gitopia</v>
      </c>
    </row>
    <row r="5214">
      <c r="A5214" s="4" t="str">
        <f>IFERROR(__xludf.DUMMYFUNCTION("""COMPUTED_VALUE"""),"give-back-token")</f>
        <v>give-back-token</v>
      </c>
      <c r="B5214" s="4" t="str">
        <f>IFERROR(__xludf.DUMMYFUNCTION("""COMPUTED_VALUE"""),"gbt")</f>
        <v>gbt</v>
      </c>
      <c r="C5214" s="4" t="str">
        <f>IFERROR(__xludf.DUMMYFUNCTION("""COMPUTED_VALUE"""),"Give Back Token")</f>
        <v>Give Back Token</v>
      </c>
    </row>
    <row r="5215">
      <c r="A5215" s="4" t="str">
        <f>IFERROR(__xludf.DUMMYFUNCTION("""COMPUTED_VALUE"""),"givestation")</f>
        <v>givestation</v>
      </c>
      <c r="B5215" s="4" t="str">
        <f>IFERROR(__xludf.DUMMYFUNCTION("""COMPUTED_VALUE"""),"gvst")</f>
        <v>gvst</v>
      </c>
      <c r="C5215" s="4" t="str">
        <f>IFERROR(__xludf.DUMMYFUNCTION("""COMPUTED_VALUE"""),"GiveStation")</f>
        <v>GiveStation</v>
      </c>
    </row>
    <row r="5216">
      <c r="A5216" s="4" t="str">
        <f>IFERROR(__xludf.DUMMYFUNCTION("""COMPUTED_VALUE"""),"giveth")</f>
        <v>giveth</v>
      </c>
      <c r="B5216" s="4" t="str">
        <f>IFERROR(__xludf.DUMMYFUNCTION("""COMPUTED_VALUE"""),"giv")</f>
        <v>giv</v>
      </c>
      <c r="C5216" s="4" t="str">
        <f>IFERROR(__xludf.DUMMYFUNCTION("""COMPUTED_VALUE"""),"Giveth")</f>
        <v>Giveth</v>
      </c>
    </row>
    <row r="5217">
      <c r="A5217" s="4" t="str">
        <f>IFERROR(__xludf.DUMMYFUNCTION("""COMPUTED_VALUE"""),"give-tr-your-coq")</f>
        <v>give-tr-your-coq</v>
      </c>
      <c r="B5217" s="4" t="str">
        <f>IFERROR(__xludf.DUMMYFUNCTION("""COMPUTED_VALUE"""),"gtryc")</f>
        <v>gtryc</v>
      </c>
      <c r="C5217" s="4" t="str">
        <f>IFERROR(__xludf.DUMMYFUNCTION("""COMPUTED_VALUE"""),"GIVE TR YOUR COQ")</f>
        <v>GIVE TR YOUR COQ</v>
      </c>
    </row>
    <row r="5218">
      <c r="A5218" s="4" t="str">
        <f>IFERROR(__xludf.DUMMYFUNCTION("""COMPUTED_VALUE"""),"glacier")</f>
        <v>glacier</v>
      </c>
      <c r="B5218" s="4" t="str">
        <f>IFERROR(__xludf.DUMMYFUNCTION("""COMPUTED_VALUE"""),"glcr")</f>
        <v>glcr</v>
      </c>
      <c r="C5218" s="4" t="str">
        <f>IFERROR(__xludf.DUMMYFUNCTION("""COMPUTED_VALUE"""),"Glacier")</f>
        <v>Glacier</v>
      </c>
    </row>
    <row r="5219">
      <c r="A5219" s="4" t="str">
        <f>IFERROR(__xludf.DUMMYFUNCTION("""COMPUTED_VALUE"""),"gld-tokenized-stock-defichain")</f>
        <v>gld-tokenized-stock-defichain</v>
      </c>
      <c r="B5219" s="4" t="str">
        <f>IFERROR(__xludf.DUMMYFUNCTION("""COMPUTED_VALUE"""),"dgld")</f>
        <v>dgld</v>
      </c>
      <c r="C5219" s="4" t="str">
        <f>IFERROR(__xludf.DUMMYFUNCTION("""COMPUTED_VALUE"""),"SPDR Gold Shares Defichain")</f>
        <v>SPDR Gold Shares Defichain</v>
      </c>
    </row>
    <row r="5220">
      <c r="A5220" s="4" t="str">
        <f>IFERROR(__xludf.DUMMYFUNCTION("""COMPUTED_VALUE"""),"gleec-coin")</f>
        <v>gleec-coin</v>
      </c>
      <c r="B5220" s="4" t="str">
        <f>IFERROR(__xludf.DUMMYFUNCTION("""COMPUTED_VALUE"""),"gleec")</f>
        <v>gleec</v>
      </c>
      <c r="C5220" s="4" t="str">
        <f>IFERROR(__xludf.DUMMYFUNCTION("""COMPUTED_VALUE"""),"Gleec Coin")</f>
        <v>Gleec Coin</v>
      </c>
    </row>
    <row r="5221">
      <c r="A5221" s="4" t="str">
        <f>IFERROR(__xludf.DUMMYFUNCTION("""COMPUTED_VALUE"""),"gleek")</f>
        <v>gleek</v>
      </c>
      <c r="B5221" s="4" t="str">
        <f>IFERROR(__xludf.DUMMYFUNCTION("""COMPUTED_VALUE"""),"gleek")</f>
        <v>gleek</v>
      </c>
      <c r="C5221" s="4" t="str">
        <f>IFERROR(__xludf.DUMMYFUNCTION("""COMPUTED_VALUE"""),"GLEEK")</f>
        <v>GLEEK</v>
      </c>
    </row>
    <row r="5222">
      <c r="A5222" s="4" t="str">
        <f>IFERROR(__xludf.DUMMYFUNCTION("""COMPUTED_VALUE"""),"glend")</f>
        <v>glend</v>
      </c>
      <c r="B5222" s="4" t="str">
        <f>IFERROR(__xludf.DUMMYFUNCTION("""COMPUTED_VALUE"""),"glend")</f>
        <v>glend</v>
      </c>
      <c r="C5222" s="4" t="str">
        <f>IFERROR(__xludf.DUMMYFUNCTION("""COMPUTED_VALUE"""),"GLend")</f>
        <v>GLend</v>
      </c>
    </row>
    <row r="5223">
      <c r="A5223" s="4" t="str">
        <f>IFERROR(__xludf.DUMMYFUNCTION("""COMPUTED_VALUE"""),"gli")</f>
        <v>gli</v>
      </c>
      <c r="B5223" s="4" t="str">
        <f>IFERROR(__xludf.DUMMYFUNCTION("""COMPUTED_VALUE"""),"gli")</f>
        <v>gli</v>
      </c>
      <c r="C5223" s="4" t="str">
        <f>IFERROR(__xludf.DUMMYFUNCTION("""COMPUTED_VALUE"""),"GLI")</f>
        <v>GLI</v>
      </c>
    </row>
    <row r="5224">
      <c r="A5224" s="4" t="str">
        <f>IFERROR(__xludf.DUMMYFUNCTION("""COMPUTED_VALUE"""),"glide-finance")</f>
        <v>glide-finance</v>
      </c>
      <c r="B5224" s="4" t="str">
        <f>IFERROR(__xludf.DUMMYFUNCTION("""COMPUTED_VALUE"""),"glide")</f>
        <v>glide</v>
      </c>
      <c r="C5224" s="4" t="str">
        <f>IFERROR(__xludf.DUMMYFUNCTION("""COMPUTED_VALUE"""),"Glide Finance")</f>
        <v>Glide Finance</v>
      </c>
    </row>
    <row r="5225">
      <c r="A5225" s="4" t="str">
        <f>IFERROR(__xludf.DUMMYFUNCTION("""COMPUTED_VALUE"""),"glint-coin")</f>
        <v>glint-coin</v>
      </c>
      <c r="B5225" s="4" t="str">
        <f>IFERROR(__xludf.DUMMYFUNCTION("""COMPUTED_VALUE"""),"glint")</f>
        <v>glint</v>
      </c>
      <c r="C5225" s="4" t="str">
        <f>IFERROR(__xludf.DUMMYFUNCTION("""COMPUTED_VALUE"""),"Glint Coin")</f>
        <v>Glint Coin</v>
      </c>
    </row>
    <row r="5226">
      <c r="A5226" s="4" t="str">
        <f>IFERROR(__xludf.DUMMYFUNCTION("""COMPUTED_VALUE"""),"glitch-protocol")</f>
        <v>glitch-protocol</v>
      </c>
      <c r="B5226" s="4" t="str">
        <f>IFERROR(__xludf.DUMMYFUNCTION("""COMPUTED_VALUE"""),"glch")</f>
        <v>glch</v>
      </c>
      <c r="C5226" s="4" t="str">
        <f>IFERROR(__xludf.DUMMYFUNCTION("""COMPUTED_VALUE"""),"Glitch Protocol")</f>
        <v>Glitch Protocol</v>
      </c>
    </row>
    <row r="5227">
      <c r="A5227" s="4" t="str">
        <f>IFERROR(__xludf.DUMMYFUNCTION("""COMPUTED_VALUE"""),"glitter-finance")</f>
        <v>glitter-finance</v>
      </c>
      <c r="B5227" s="4" t="str">
        <f>IFERROR(__xludf.DUMMYFUNCTION("""COMPUTED_VALUE"""),"xgli")</f>
        <v>xgli</v>
      </c>
      <c r="C5227" s="4" t="str">
        <f>IFERROR(__xludf.DUMMYFUNCTION("""COMPUTED_VALUE"""),"XGLI DAO Protocol")</f>
        <v>XGLI DAO Protocol</v>
      </c>
    </row>
    <row r="5228">
      <c r="A5228" s="4" t="str">
        <f>IFERROR(__xludf.DUMMYFUNCTION("""COMPUTED_VALUE"""),"glitzkoin")</f>
        <v>glitzkoin</v>
      </c>
      <c r="B5228" s="4" t="str">
        <f>IFERROR(__xludf.DUMMYFUNCTION("""COMPUTED_VALUE"""),"gtn")</f>
        <v>gtn</v>
      </c>
      <c r="C5228" s="4" t="str">
        <f>IFERROR(__xludf.DUMMYFUNCTION("""COMPUTED_VALUE"""),"GlitzKoin")</f>
        <v>GlitzKoin</v>
      </c>
    </row>
    <row r="5229">
      <c r="A5229" s="4" t="str">
        <f>IFERROR(__xludf.DUMMYFUNCTION("""COMPUTED_VALUE"""),"globalboost")</f>
        <v>globalboost</v>
      </c>
      <c r="B5229" s="4" t="str">
        <f>IFERROR(__xludf.DUMMYFUNCTION("""COMPUTED_VALUE"""),"bsty")</f>
        <v>bsty</v>
      </c>
      <c r="C5229" s="4" t="str">
        <f>IFERROR(__xludf.DUMMYFUNCTION("""COMPUTED_VALUE"""),"GlobalBoost")</f>
        <v>GlobalBoost</v>
      </c>
    </row>
    <row r="5230">
      <c r="A5230" s="4" t="str">
        <f>IFERROR(__xludf.DUMMYFUNCTION("""COMPUTED_VALUE"""),"globalchainz")</f>
        <v>globalchainz</v>
      </c>
      <c r="B5230" s="4" t="str">
        <f>IFERROR(__xludf.DUMMYFUNCTION("""COMPUTED_VALUE"""),"gcz")</f>
        <v>gcz</v>
      </c>
      <c r="C5230" s="4" t="str">
        <f>IFERROR(__xludf.DUMMYFUNCTION("""COMPUTED_VALUE"""),"GlobalChainZ")</f>
        <v>GlobalChainZ</v>
      </c>
    </row>
    <row r="5231">
      <c r="A5231" s="4" t="str">
        <f>IFERROR(__xludf.DUMMYFUNCTION("""COMPUTED_VALUE"""),"global-coin-research")</f>
        <v>global-coin-research</v>
      </c>
      <c r="B5231" s="4" t="str">
        <f>IFERROR(__xludf.DUMMYFUNCTION("""COMPUTED_VALUE"""),"gcr")</f>
        <v>gcr</v>
      </c>
      <c r="C5231" s="4" t="str">
        <f>IFERROR(__xludf.DUMMYFUNCTION("""COMPUTED_VALUE"""),"Global Coin Research")</f>
        <v>Global Coin Research</v>
      </c>
    </row>
    <row r="5232">
      <c r="A5232" s="4" t="str">
        <f>IFERROR(__xludf.DUMMYFUNCTION("""COMPUTED_VALUE"""),"global-digital-cluster-co")</f>
        <v>global-digital-cluster-co</v>
      </c>
      <c r="B5232" s="4" t="str">
        <f>IFERROR(__xludf.DUMMYFUNCTION("""COMPUTED_VALUE"""),"gdcc")</f>
        <v>gdcc</v>
      </c>
      <c r="C5232" s="4" t="str">
        <f>IFERROR(__xludf.DUMMYFUNCTION("""COMPUTED_VALUE"""),"Global Digital Cluster Coin")</f>
        <v>Global Digital Cluster Coin</v>
      </c>
    </row>
    <row r="5233">
      <c r="A5233" s="4" t="str">
        <f>IFERROR(__xludf.DUMMYFUNCTION("""COMPUTED_VALUE"""),"global-digital-content")</f>
        <v>global-digital-content</v>
      </c>
      <c r="B5233" s="4" t="str">
        <f>IFERROR(__xludf.DUMMYFUNCTION("""COMPUTED_VALUE"""),"gdc")</f>
        <v>gdc</v>
      </c>
      <c r="C5233" s="4" t="str">
        <f>IFERROR(__xludf.DUMMYFUNCTION("""COMPUTED_VALUE"""),"Global Digital Content")</f>
        <v>Global Digital Content</v>
      </c>
    </row>
    <row r="5234">
      <c r="A5234" s="4" t="str">
        <f>IFERROR(__xludf.DUMMYFUNCTION("""COMPUTED_VALUE"""),"global-fan-token")</f>
        <v>global-fan-token</v>
      </c>
      <c r="B5234" s="4" t="str">
        <f>IFERROR(__xludf.DUMMYFUNCTION("""COMPUTED_VALUE"""),"glft")</f>
        <v>glft</v>
      </c>
      <c r="C5234" s="4" t="str">
        <f>IFERROR(__xludf.DUMMYFUNCTION("""COMPUTED_VALUE"""),"Global Fan Token")</f>
        <v>Global Fan Token</v>
      </c>
    </row>
    <row r="5235">
      <c r="A5235" s="4" t="str">
        <f>IFERROR(__xludf.DUMMYFUNCTION("""COMPUTED_VALUE"""),"global-innovation-platform")</f>
        <v>global-innovation-platform</v>
      </c>
      <c r="B5235" s="4" t="str">
        <f>IFERROR(__xludf.DUMMYFUNCTION("""COMPUTED_VALUE"""),"gip")</f>
        <v>gip</v>
      </c>
      <c r="C5235" s="4" t="str">
        <f>IFERROR(__xludf.DUMMYFUNCTION("""COMPUTED_VALUE"""),"Global Innovation Platform")</f>
        <v>Global Innovation Platform</v>
      </c>
    </row>
    <row r="5236">
      <c r="A5236" s="4" t="str">
        <f>IFERROR(__xludf.DUMMYFUNCTION("""COMPUTED_VALUE"""),"global-social-chain")</f>
        <v>global-social-chain</v>
      </c>
      <c r="B5236" s="4" t="str">
        <f>IFERROR(__xludf.DUMMYFUNCTION("""COMPUTED_VALUE"""),"gsc")</f>
        <v>gsc</v>
      </c>
      <c r="C5236" s="4" t="str">
        <f>IFERROR(__xludf.DUMMYFUNCTION("""COMPUTED_VALUE"""),"Global Social Chain")</f>
        <v>Global Social Chain</v>
      </c>
    </row>
    <row r="5237">
      <c r="A5237" s="4" t="str">
        <f>IFERROR(__xludf.DUMMYFUNCTION("""COMPUTED_VALUE"""),"global-trading-xenocurren")</f>
        <v>global-trading-xenocurren</v>
      </c>
      <c r="B5237" s="4" t="str">
        <f>IFERROR(__xludf.DUMMYFUNCTION("""COMPUTED_VALUE"""),"gtx")</f>
        <v>gtx</v>
      </c>
      <c r="C5237" s="4" t="str">
        <f>IFERROR(__xludf.DUMMYFUNCTION("""COMPUTED_VALUE"""),"Global Trading Xenocurrency")</f>
        <v>Global Trading Xenocurrency</v>
      </c>
    </row>
    <row r="5238">
      <c r="A5238" s="4" t="str">
        <f>IFERROR(__xludf.DUMMYFUNCTION("""COMPUTED_VALUE"""),"global-trust-coin")</f>
        <v>global-trust-coin</v>
      </c>
      <c r="B5238" s="4" t="str">
        <f>IFERROR(__xludf.DUMMYFUNCTION("""COMPUTED_VALUE"""),"gtc")</f>
        <v>gtc</v>
      </c>
      <c r="C5238" s="4" t="str">
        <f>IFERROR(__xludf.DUMMYFUNCTION("""COMPUTED_VALUE"""),"Global Trust Coin")</f>
        <v>Global Trust Coin</v>
      </c>
    </row>
    <row r="5239">
      <c r="A5239" s="4" t="str">
        <f>IFERROR(__xludf.DUMMYFUNCTION("""COMPUTED_VALUE"""),"global-virtual-coin")</f>
        <v>global-virtual-coin</v>
      </c>
      <c r="B5239" s="4" t="str">
        <f>IFERROR(__xludf.DUMMYFUNCTION("""COMPUTED_VALUE"""),"gvc")</f>
        <v>gvc</v>
      </c>
      <c r="C5239" s="4" t="str">
        <f>IFERROR(__xludf.DUMMYFUNCTION("""COMPUTED_VALUE"""),"Global Virtual Coin")</f>
        <v>Global Virtual Coin</v>
      </c>
    </row>
    <row r="5240">
      <c r="A5240" s="4" t="str">
        <f>IFERROR(__xludf.DUMMYFUNCTION("""COMPUTED_VALUE"""),"globe-derivative-exchange")</f>
        <v>globe-derivative-exchange</v>
      </c>
      <c r="B5240" s="4" t="str">
        <f>IFERROR(__xludf.DUMMYFUNCTION("""COMPUTED_VALUE"""),"gdt")</f>
        <v>gdt</v>
      </c>
      <c r="C5240" s="4" t="str">
        <f>IFERROR(__xludf.DUMMYFUNCTION("""COMPUTED_VALUE"""),"Globe Derivative Exchange")</f>
        <v>Globe Derivative Exchange</v>
      </c>
    </row>
    <row r="5241">
      <c r="A5241" s="4" t="str">
        <f>IFERROR(__xludf.DUMMYFUNCTION("""COMPUTED_VALUE"""),"globees")</f>
        <v>globees</v>
      </c>
      <c r="B5241" s="4" t="str">
        <f>IFERROR(__xludf.DUMMYFUNCTION("""COMPUTED_VALUE"""),"bee")</f>
        <v>bee</v>
      </c>
      <c r="C5241" s="4" t="str">
        <f>IFERROR(__xludf.DUMMYFUNCTION("""COMPUTED_VALUE"""),"Globees")</f>
        <v>Globees</v>
      </c>
    </row>
    <row r="5242">
      <c r="A5242" s="4" t="str">
        <f>IFERROR(__xludf.DUMMYFUNCTION("""COMPUTED_VALUE"""),"globel-community")</f>
        <v>globel-community</v>
      </c>
      <c r="B5242" s="4" t="str">
        <f>IFERROR(__xludf.DUMMYFUNCTION("""COMPUTED_VALUE"""),"gc")</f>
        <v>gc</v>
      </c>
      <c r="C5242" s="4" t="str">
        <f>IFERROR(__xludf.DUMMYFUNCTION("""COMPUTED_VALUE"""),"Globel Community")</f>
        <v>Globel Community</v>
      </c>
    </row>
    <row r="5243">
      <c r="A5243" s="4" t="str">
        <f>IFERROR(__xludf.DUMMYFUNCTION("""COMPUTED_VALUE"""),"globiance-exchange")</f>
        <v>globiance-exchange</v>
      </c>
      <c r="B5243" s="4" t="str">
        <f>IFERROR(__xludf.DUMMYFUNCTION("""COMPUTED_VALUE"""),"gbex")</f>
        <v>gbex</v>
      </c>
      <c r="C5243" s="4" t="str">
        <f>IFERROR(__xludf.DUMMYFUNCTION("""COMPUTED_VALUE"""),"Globiance Exchange")</f>
        <v>Globiance Exchange</v>
      </c>
    </row>
    <row r="5244">
      <c r="A5244" s="4" t="str">
        <f>IFERROR(__xludf.DUMMYFUNCTION("""COMPUTED_VALUE"""),"glo-dollar")</f>
        <v>glo-dollar</v>
      </c>
      <c r="B5244" s="4" t="str">
        <f>IFERROR(__xludf.DUMMYFUNCTION("""COMPUTED_VALUE"""),"usdglo")</f>
        <v>usdglo</v>
      </c>
      <c r="C5244" s="4" t="str">
        <f>IFERROR(__xludf.DUMMYFUNCTION("""COMPUTED_VALUE"""),"Glo Dollar")</f>
        <v>Glo Dollar</v>
      </c>
    </row>
    <row r="5245">
      <c r="A5245" s="4" t="str">
        <f>IFERROR(__xludf.DUMMYFUNCTION("""COMPUTED_VALUE"""),"glory-token")</f>
        <v>glory-token</v>
      </c>
      <c r="B5245" s="4" t="str">
        <f>IFERROR(__xludf.DUMMYFUNCTION("""COMPUTED_VALUE"""),"glr")</f>
        <v>glr</v>
      </c>
      <c r="C5245" s="4" t="str">
        <f>IFERROR(__xludf.DUMMYFUNCTION("""COMPUTED_VALUE"""),"Glory Token")</f>
        <v>Glory Token</v>
      </c>
    </row>
    <row r="5246">
      <c r="A5246" s="4" t="str">
        <f>IFERROR(__xludf.DUMMYFUNCTION("""COMPUTED_VALUE"""),"glouki")</f>
        <v>glouki</v>
      </c>
      <c r="B5246" s="4" t="str">
        <f>IFERROR(__xludf.DUMMYFUNCTION("""COMPUTED_VALUE"""),"glk")</f>
        <v>glk</v>
      </c>
      <c r="C5246" s="4" t="str">
        <f>IFERROR(__xludf.DUMMYFUNCTION("""COMPUTED_VALUE"""),"Glouki")</f>
        <v>Glouki</v>
      </c>
    </row>
    <row r="5247">
      <c r="A5247" s="4" t="str">
        <f>IFERROR(__xludf.DUMMYFUNCTION("""COMPUTED_VALUE"""),"glow-token-8fba1e9e-5643-47b4-8fef-d0eef67af854")</f>
        <v>glow-token-8fba1e9e-5643-47b4-8fef-d0eef67af854</v>
      </c>
      <c r="B5247" s="4" t="str">
        <f>IFERROR(__xludf.DUMMYFUNCTION("""COMPUTED_VALUE"""),"glow")</f>
        <v>glow</v>
      </c>
      <c r="C5247" s="4" t="str">
        <f>IFERROR(__xludf.DUMMYFUNCTION("""COMPUTED_VALUE"""),"Glow Token")</f>
        <v>Glow Token</v>
      </c>
    </row>
    <row r="5248">
      <c r="A5248" s="4" t="str">
        <f>IFERROR(__xludf.DUMMYFUNCTION("""COMPUTED_VALUE"""),"gm")</f>
        <v>gm</v>
      </c>
      <c r="B5248" s="4" t="str">
        <f>IFERROR(__xludf.DUMMYFUNCTION("""COMPUTED_VALUE"""),"gm")</f>
        <v>gm</v>
      </c>
      <c r="C5248" s="4" t="str">
        <f>IFERROR(__xludf.DUMMYFUNCTION("""COMPUTED_VALUE"""),"GM")</f>
        <v>GM</v>
      </c>
    </row>
    <row r="5249">
      <c r="A5249" s="4" t="str">
        <f>IFERROR(__xludf.DUMMYFUNCTION("""COMPUTED_VALUE"""),"gmbl-computer-chip")</f>
        <v>gmbl-computer-chip</v>
      </c>
      <c r="B5249" s="4" t="str">
        <f>IFERROR(__xludf.DUMMYFUNCTION("""COMPUTED_VALUE"""),"gmbl")</f>
        <v>gmbl</v>
      </c>
      <c r="C5249" s="4" t="str">
        <f>IFERROR(__xludf.DUMMYFUNCTION("""COMPUTED_VALUE"""),"GMBL COMPUTER CHiP")</f>
        <v>GMBL COMPUTER CHiP</v>
      </c>
    </row>
    <row r="5250">
      <c r="A5250" s="4" t="str">
        <f>IFERROR(__xludf.DUMMYFUNCTION("""COMPUTED_VALUE"""),"gmbot")</f>
        <v>gmbot</v>
      </c>
      <c r="B5250" s="4" t="str">
        <f>IFERROR(__xludf.DUMMYFUNCTION("""COMPUTED_VALUE"""),"gmbt")</f>
        <v>gmbt</v>
      </c>
      <c r="C5250" s="4" t="str">
        <f>IFERROR(__xludf.DUMMYFUNCTION("""COMPUTED_VALUE"""),"GMBot")</f>
        <v>GMBot</v>
      </c>
    </row>
    <row r="5251">
      <c r="A5251" s="4" t="str">
        <f>IFERROR(__xludf.DUMMYFUNCTION("""COMPUTED_VALUE"""),"gmcash")</f>
        <v>gmcash</v>
      </c>
      <c r="B5251" s="4" t="str">
        <f>IFERROR(__xludf.DUMMYFUNCTION("""COMPUTED_VALUE"""),"gmc")</f>
        <v>gmc</v>
      </c>
      <c r="C5251" s="4" t="str">
        <f>IFERROR(__xludf.DUMMYFUNCTION("""COMPUTED_VALUE"""),"GMCash")</f>
        <v>GMCash</v>
      </c>
    </row>
    <row r="5252">
      <c r="A5252" s="4" t="str">
        <f>IFERROR(__xludf.DUMMYFUNCTION("""COMPUTED_VALUE"""),"gmcash-share")</f>
        <v>gmcash-share</v>
      </c>
      <c r="B5252" s="4" t="str">
        <f>IFERROR(__xludf.DUMMYFUNCTION("""COMPUTED_VALUE"""),"gshare")</f>
        <v>gshare</v>
      </c>
      <c r="C5252" s="4" t="str">
        <f>IFERROR(__xludf.DUMMYFUNCTION("""COMPUTED_VALUE"""),"GMCash Share")</f>
        <v>GMCash Share</v>
      </c>
    </row>
    <row r="5253">
      <c r="A5253" s="4" t="str">
        <f>IFERROR(__xludf.DUMMYFUNCTION("""COMPUTED_VALUE"""),"gmcoin-2")</f>
        <v>gmcoin-2</v>
      </c>
      <c r="B5253" s="4" t="str">
        <f>IFERROR(__xludf.DUMMYFUNCTION("""COMPUTED_VALUE"""),"gmcoin")</f>
        <v>gmcoin</v>
      </c>
      <c r="C5253" s="4" t="str">
        <f>IFERROR(__xludf.DUMMYFUNCTION("""COMPUTED_VALUE"""),"GMCoin")</f>
        <v>GMCoin</v>
      </c>
    </row>
    <row r="5254">
      <c r="A5254" s="4" t="str">
        <f>IFERROR(__xludf.DUMMYFUNCTION("""COMPUTED_VALUE"""),"gmd-protocol")</f>
        <v>gmd-protocol</v>
      </c>
      <c r="B5254" s="4" t="str">
        <f>IFERROR(__xludf.DUMMYFUNCTION("""COMPUTED_VALUE"""),"gmd")</f>
        <v>gmd</v>
      </c>
      <c r="C5254" s="4" t="str">
        <f>IFERROR(__xludf.DUMMYFUNCTION("""COMPUTED_VALUE"""),"GMD")</f>
        <v>GMD</v>
      </c>
    </row>
    <row r="5255">
      <c r="A5255" s="4" t="str">
        <f>IFERROR(__xludf.DUMMYFUNCTION("""COMPUTED_VALUE"""),"gme")</f>
        <v>gme</v>
      </c>
      <c r="B5255" s="4" t="str">
        <f>IFERROR(__xludf.DUMMYFUNCTION("""COMPUTED_VALUE"""),"gme")</f>
        <v>gme</v>
      </c>
      <c r="C5255" s="4" t="str">
        <f>IFERROR(__xludf.DUMMYFUNCTION("""COMPUTED_VALUE"""),"GME")</f>
        <v>GME</v>
      </c>
    </row>
    <row r="5256">
      <c r="A5256" s="4" t="str">
        <f>IFERROR(__xludf.DUMMYFUNCTION("""COMPUTED_VALUE"""),"gmeow-cat")</f>
        <v>gmeow-cat</v>
      </c>
      <c r="B5256" s="4" t="str">
        <f>IFERROR(__xludf.DUMMYFUNCTION("""COMPUTED_VALUE"""),"gmeow")</f>
        <v>gmeow</v>
      </c>
      <c r="C5256" s="4" t="str">
        <f>IFERROR(__xludf.DUMMYFUNCTION("""COMPUTED_VALUE"""),"gmeow cat")</f>
        <v>gmeow cat</v>
      </c>
    </row>
    <row r="5257">
      <c r="A5257" s="4" t="str">
        <f>IFERROR(__xludf.DUMMYFUNCTION("""COMPUTED_VALUE"""),"gmfam")</f>
        <v>gmfam</v>
      </c>
      <c r="B5257" s="4" t="str">
        <f>IFERROR(__xludf.DUMMYFUNCTION("""COMPUTED_VALUE"""),"gmfam")</f>
        <v>gmfam</v>
      </c>
      <c r="C5257" s="4" t="str">
        <f>IFERROR(__xludf.DUMMYFUNCTION("""COMPUTED_VALUE"""),"GMFAM")</f>
        <v>GMFAM</v>
      </c>
    </row>
    <row r="5258">
      <c r="A5258" s="4" t="str">
        <f>IFERROR(__xludf.DUMMYFUNCTION("""COMPUTED_VALUE"""),"gmlp")</f>
        <v>gmlp</v>
      </c>
      <c r="B5258" s="4" t="str">
        <f>IFERROR(__xludf.DUMMYFUNCTION("""COMPUTED_VALUE"""),"gmlp")</f>
        <v>gmlp</v>
      </c>
      <c r="C5258" s="4" t="str">
        <f>IFERROR(__xludf.DUMMYFUNCTION("""COMPUTED_VALUE"""),"GMLP")</f>
        <v>GMLP</v>
      </c>
    </row>
    <row r="5259">
      <c r="A5259" s="4" t="str">
        <f>IFERROR(__xludf.DUMMYFUNCTION("""COMPUTED_VALUE"""),"gm-machine")</f>
        <v>gm-machine</v>
      </c>
      <c r="B5259" s="4" t="str">
        <f>IFERROR(__xludf.DUMMYFUNCTION("""COMPUTED_VALUE"""),"gm")</f>
        <v>gm</v>
      </c>
      <c r="C5259" s="4" t="str">
        <f>IFERROR(__xludf.DUMMYFUNCTION("""COMPUTED_VALUE"""),"GM Machine")</f>
        <v>GM Machine</v>
      </c>
    </row>
    <row r="5260">
      <c r="A5260" s="4" t="str">
        <f>IFERROR(__xludf.DUMMYFUNCTION("""COMPUTED_VALUE"""),"gmt-token")</f>
        <v>gmt-token</v>
      </c>
      <c r="B5260" s="4" t="str">
        <f>IFERROR(__xludf.DUMMYFUNCTION("""COMPUTED_VALUE"""),"gmt")</f>
        <v>gmt</v>
      </c>
      <c r="C5260" s="4" t="str">
        <f>IFERROR(__xludf.DUMMYFUNCTION("""COMPUTED_VALUE"""),"Gomining Token")</f>
        <v>Gomining Token</v>
      </c>
    </row>
    <row r="5261">
      <c r="A5261" s="4" t="str">
        <f>IFERROR(__xludf.DUMMYFUNCTION("""COMPUTED_VALUE"""),"gmusd")</f>
        <v>gmusd</v>
      </c>
      <c r="B5261" s="4" t="str">
        <f>IFERROR(__xludf.DUMMYFUNCTION("""COMPUTED_VALUE"""),"gmusd")</f>
        <v>gmusd</v>
      </c>
      <c r="C5261" s="4" t="str">
        <f>IFERROR(__xludf.DUMMYFUNCTION("""COMPUTED_VALUE"""),"gmUSD")</f>
        <v>gmUSD</v>
      </c>
    </row>
    <row r="5262">
      <c r="A5262" s="4" t="str">
        <f>IFERROR(__xludf.DUMMYFUNCTION("""COMPUTED_VALUE"""),"gmx")</f>
        <v>gmx</v>
      </c>
      <c r="B5262" s="4" t="str">
        <f>IFERROR(__xludf.DUMMYFUNCTION("""COMPUTED_VALUE"""),"gmx")</f>
        <v>gmx</v>
      </c>
      <c r="C5262" s="4" t="str">
        <f>IFERROR(__xludf.DUMMYFUNCTION("""COMPUTED_VALUE"""),"GMX")</f>
        <v>GMX</v>
      </c>
    </row>
    <row r="5263">
      <c r="A5263" s="4" t="str">
        <f>IFERROR(__xludf.DUMMYFUNCTION("""COMPUTED_VALUE"""),"gnd-protocol")</f>
        <v>gnd-protocol</v>
      </c>
      <c r="B5263" s="4" t="str">
        <f>IFERROR(__xludf.DUMMYFUNCTION("""COMPUTED_VALUE"""),"gnd")</f>
        <v>gnd</v>
      </c>
      <c r="C5263" s="4" t="str">
        <f>IFERROR(__xludf.DUMMYFUNCTION("""COMPUTED_VALUE"""),"GND Protocol")</f>
        <v>GND Protocol</v>
      </c>
    </row>
    <row r="5264">
      <c r="A5264" s="4" t="str">
        <f>IFERROR(__xludf.DUMMYFUNCTION("""COMPUTED_VALUE"""),"gnft")</f>
        <v>gnft</v>
      </c>
      <c r="B5264" s="4" t="str">
        <f>IFERROR(__xludf.DUMMYFUNCTION("""COMPUTED_VALUE"""),"gnft")</f>
        <v>gnft</v>
      </c>
      <c r="C5264" s="4" t="str">
        <f>IFERROR(__xludf.DUMMYFUNCTION("""COMPUTED_VALUE"""),"GNFT")</f>
        <v>GNFT</v>
      </c>
    </row>
    <row r="5265">
      <c r="A5265" s="4" t="str">
        <f>IFERROR(__xludf.DUMMYFUNCTION("""COMPUTED_VALUE"""),"gnome")</f>
        <v>gnome</v>
      </c>
      <c r="B5265" s="4" t="str">
        <f>IFERROR(__xludf.DUMMYFUNCTION("""COMPUTED_VALUE"""),"$gnome")</f>
        <v>$gnome</v>
      </c>
      <c r="C5265" s="4" t="str">
        <f>IFERROR(__xludf.DUMMYFUNCTION("""COMPUTED_VALUE"""),"GenomesDAO GNOME")</f>
        <v>GenomesDAO GNOME</v>
      </c>
    </row>
    <row r="5266">
      <c r="A5266" s="4" t="str">
        <f>IFERROR(__xludf.DUMMYFUNCTION("""COMPUTED_VALUE"""),"gnomeland")</f>
        <v>gnomeland</v>
      </c>
      <c r="B5266" s="4" t="str">
        <f>IFERROR(__xludf.DUMMYFUNCTION("""COMPUTED_VALUE"""),"gnome")</f>
        <v>gnome</v>
      </c>
      <c r="C5266" s="4" t="str">
        <f>IFERROR(__xludf.DUMMYFUNCTION("""COMPUTED_VALUE"""),"GnomeLand")</f>
        <v>GnomeLand</v>
      </c>
    </row>
    <row r="5267">
      <c r="A5267" s="4" t="str">
        <f>IFERROR(__xludf.DUMMYFUNCTION("""COMPUTED_VALUE"""),"gnosis")</f>
        <v>gnosis</v>
      </c>
      <c r="B5267" s="4" t="str">
        <f>IFERROR(__xludf.DUMMYFUNCTION("""COMPUTED_VALUE"""),"gno")</f>
        <v>gno</v>
      </c>
      <c r="C5267" s="4" t="str">
        <f>IFERROR(__xludf.DUMMYFUNCTION("""COMPUTED_VALUE"""),"Gnosis")</f>
        <v>Gnosis</v>
      </c>
    </row>
    <row r="5268">
      <c r="A5268" s="4" t="str">
        <f>IFERROR(__xludf.DUMMYFUNCTION("""COMPUTED_VALUE"""),"gnosis-xdai-bridged-eurc-gnosis")</f>
        <v>gnosis-xdai-bridged-eurc-gnosis</v>
      </c>
      <c r="B5268" s="4" t="str">
        <f>IFERROR(__xludf.DUMMYFUNCTION("""COMPUTED_VALUE"""),"eurc")</f>
        <v>eurc</v>
      </c>
      <c r="C5268" s="4" t="str">
        <f>IFERROR(__xludf.DUMMYFUNCTION("""COMPUTED_VALUE"""),"Gnosis Bridged EURC (Gnosis)")</f>
        <v>Gnosis Bridged EURC (Gnosis)</v>
      </c>
    </row>
    <row r="5269">
      <c r="A5269" s="4" t="str">
        <f>IFERROR(__xludf.DUMMYFUNCTION("""COMPUTED_VALUE"""),"gnosis-xdai-bridged-usdc-gnosis")</f>
        <v>gnosis-xdai-bridged-usdc-gnosis</v>
      </c>
      <c r="B5269" s="4" t="str">
        <f>IFERROR(__xludf.DUMMYFUNCTION("""COMPUTED_VALUE"""),"usdc")</f>
        <v>usdc</v>
      </c>
      <c r="C5269" s="4" t="str">
        <f>IFERROR(__xludf.DUMMYFUNCTION("""COMPUTED_VALUE"""),"Gnosis xDAI Bridged USDC (Gnosis)")</f>
        <v>Gnosis xDAI Bridged USDC (Gnosis)</v>
      </c>
    </row>
    <row r="5270">
      <c r="A5270" s="4" t="str">
        <f>IFERROR(__xludf.DUMMYFUNCTION("""COMPUTED_VALUE"""),"gnosis-xdai-bridged-usdt-gnosis")</f>
        <v>gnosis-xdai-bridged-usdt-gnosis</v>
      </c>
      <c r="B5270" s="4" t="str">
        <f>IFERROR(__xludf.DUMMYFUNCTION("""COMPUTED_VALUE"""),"usdt")</f>
        <v>usdt</v>
      </c>
      <c r="C5270" s="4" t="str">
        <f>IFERROR(__xludf.DUMMYFUNCTION("""COMPUTED_VALUE"""),"Gnosis xDai Bridged USDT (Gnosis)")</f>
        <v>Gnosis xDai Bridged USDT (Gnosis)</v>
      </c>
    </row>
    <row r="5271">
      <c r="A5271" s="4" t="str">
        <f>IFERROR(__xludf.DUMMYFUNCTION("""COMPUTED_VALUE"""),"gny")</f>
        <v>gny</v>
      </c>
      <c r="B5271" s="4" t="str">
        <f>IFERROR(__xludf.DUMMYFUNCTION("""COMPUTED_VALUE"""),"gny")</f>
        <v>gny</v>
      </c>
      <c r="C5271" s="4" t="str">
        <f>IFERROR(__xludf.DUMMYFUNCTION("""COMPUTED_VALUE"""),"GNY")</f>
        <v>GNY</v>
      </c>
    </row>
    <row r="5272">
      <c r="A5272" s="4" t="str">
        <f>IFERROR(__xludf.DUMMYFUNCTION("""COMPUTED_VALUE"""),"goal3")</f>
        <v>goal3</v>
      </c>
      <c r="B5272" s="4" t="str">
        <f>IFERROR(__xludf.DUMMYFUNCTION("""COMPUTED_VALUE"""),"zkusd")</f>
        <v>zkusd</v>
      </c>
      <c r="C5272" s="4" t="str">
        <f>IFERROR(__xludf.DUMMYFUNCTION("""COMPUTED_VALUE"""),"zkUSD")</f>
        <v>zkUSD</v>
      </c>
    </row>
    <row r="5273">
      <c r="A5273" s="4" t="str">
        <f>IFERROR(__xludf.DUMMYFUNCTION("""COMPUTED_VALUE"""),"goal-token")</f>
        <v>goal-token</v>
      </c>
      <c r="B5273" s="4" t="str">
        <f>IFERROR(__xludf.DUMMYFUNCTION("""COMPUTED_VALUE"""),"goal")</f>
        <v>goal</v>
      </c>
      <c r="C5273" s="4" t="str">
        <f>IFERROR(__xludf.DUMMYFUNCTION("""COMPUTED_VALUE"""),"GOAL Token")</f>
        <v>GOAL Token</v>
      </c>
    </row>
    <row r="5274">
      <c r="A5274" s="4" t="str">
        <f>IFERROR(__xludf.DUMMYFUNCTION("""COMPUTED_VALUE"""),"goat404")</f>
        <v>goat404</v>
      </c>
      <c r="B5274" s="4" t="str">
        <f>IFERROR(__xludf.DUMMYFUNCTION("""COMPUTED_VALUE"""),"goat")</f>
        <v>goat</v>
      </c>
      <c r="C5274" s="4" t="str">
        <f>IFERROR(__xludf.DUMMYFUNCTION("""COMPUTED_VALUE"""),"GOAT404")</f>
        <v>GOAT404</v>
      </c>
    </row>
    <row r="5275">
      <c r="A5275" s="4" t="str">
        <f>IFERROR(__xludf.DUMMYFUNCTION("""COMPUTED_VALUE"""),"goated")</f>
        <v>goated</v>
      </c>
      <c r="B5275" s="4" t="str">
        <f>IFERROR(__xludf.DUMMYFUNCTION("""COMPUTED_VALUE"""),"goat")</f>
        <v>goat</v>
      </c>
      <c r="C5275" s="4" t="str">
        <f>IFERROR(__xludf.DUMMYFUNCTION("""COMPUTED_VALUE"""),"GOATED")</f>
        <v>GOATED</v>
      </c>
    </row>
    <row r="5276">
      <c r="A5276" s="4" t="str">
        <f>IFERROR(__xludf.DUMMYFUNCTION("""COMPUTED_VALUE"""),"goatly-farm")</f>
        <v>goatly-farm</v>
      </c>
      <c r="B5276" s="4" t="str">
        <f>IFERROR(__xludf.DUMMYFUNCTION("""COMPUTED_VALUE"""),"gtf")</f>
        <v>gtf</v>
      </c>
      <c r="C5276" s="4" t="str">
        <f>IFERROR(__xludf.DUMMYFUNCTION("""COMPUTED_VALUE"""),"Goatly.farm")</f>
        <v>Goatly.farm</v>
      </c>
    </row>
    <row r="5277">
      <c r="A5277" s="4" t="str">
        <f>IFERROR(__xludf.DUMMYFUNCTION("""COMPUTED_VALUE"""),"goat-protocol")</f>
        <v>goat-protocol</v>
      </c>
      <c r="B5277" s="4" t="str">
        <f>IFERROR(__xludf.DUMMYFUNCTION("""COMPUTED_VALUE"""),"goa")</f>
        <v>goa</v>
      </c>
      <c r="C5277" s="4" t="str">
        <f>IFERROR(__xludf.DUMMYFUNCTION("""COMPUTED_VALUE"""),"Goat Protocol")</f>
        <v>Goat Protocol</v>
      </c>
    </row>
    <row r="5278">
      <c r="A5278" s="4" t="str">
        <f>IFERROR(__xludf.DUMMYFUNCTION("""COMPUTED_VALUE"""),"goat-trading")</f>
        <v>goat-trading</v>
      </c>
      <c r="B5278" s="4" t="str">
        <f>IFERROR(__xludf.DUMMYFUNCTION("""COMPUTED_VALUE"""),"goat")</f>
        <v>goat</v>
      </c>
      <c r="C5278" s="4" t="str">
        <f>IFERROR(__xludf.DUMMYFUNCTION("""COMPUTED_VALUE"""),"Goat Trading")</f>
        <v>Goat Trading</v>
      </c>
    </row>
    <row r="5279">
      <c r="A5279" s="4" t="str">
        <f>IFERROR(__xludf.DUMMYFUNCTION("""COMPUTED_VALUE"""),"goblin")</f>
        <v>goblin</v>
      </c>
      <c r="B5279" s="4" t="str">
        <f>IFERROR(__xludf.DUMMYFUNCTION("""COMPUTED_VALUE"""),"goblin")</f>
        <v>goblin</v>
      </c>
      <c r="C5279" s="4" t="str">
        <f>IFERROR(__xludf.DUMMYFUNCTION("""COMPUTED_VALUE"""),"Goblin")</f>
        <v>Goblin</v>
      </c>
    </row>
    <row r="5280">
      <c r="A5280" s="4" t="str">
        <f>IFERROR(__xludf.DUMMYFUNCTION("""COMPUTED_VALUE"""),"goblintown")</f>
        <v>goblintown</v>
      </c>
      <c r="B5280" s="4" t="str">
        <f>IFERROR(__xludf.DUMMYFUNCTION("""COMPUTED_VALUE"""),"goblintown")</f>
        <v>goblintown</v>
      </c>
      <c r="C5280" s="4" t="str">
        <f>IFERROR(__xludf.DUMMYFUNCTION("""COMPUTED_VALUE"""),"goblintown")</f>
        <v>goblintown</v>
      </c>
    </row>
    <row r="5281">
      <c r="A5281" s="4" t="str">
        <f>IFERROR(__xludf.DUMMYFUNCTION("""COMPUTED_VALUE"""),"gobtc")</f>
        <v>gobtc</v>
      </c>
      <c r="B5281" s="4" t="str">
        <f>IFERROR(__xludf.DUMMYFUNCTION("""COMPUTED_VALUE"""),"gobtc")</f>
        <v>gobtc</v>
      </c>
      <c r="C5281" s="4" t="str">
        <f>IFERROR(__xludf.DUMMYFUNCTION("""COMPUTED_VALUE"""),"goBTC")</f>
        <v>goBTC</v>
      </c>
    </row>
    <row r="5282">
      <c r="A5282" s="4" t="str">
        <f>IFERROR(__xludf.DUMMYFUNCTION("""COMPUTED_VALUE"""),"gobyte")</f>
        <v>gobyte</v>
      </c>
      <c r="B5282" s="4" t="str">
        <f>IFERROR(__xludf.DUMMYFUNCTION("""COMPUTED_VALUE"""),"gbx")</f>
        <v>gbx</v>
      </c>
      <c r="C5282" s="4" t="str">
        <f>IFERROR(__xludf.DUMMYFUNCTION("""COMPUTED_VALUE"""),"GoByte")</f>
        <v>GoByte</v>
      </c>
    </row>
    <row r="5283">
      <c r="A5283" s="4" t="str">
        <f>IFERROR(__xludf.DUMMYFUNCTION("""COMPUTED_VALUE"""),"gochain")</f>
        <v>gochain</v>
      </c>
      <c r="B5283" s="4" t="str">
        <f>IFERROR(__xludf.DUMMYFUNCTION("""COMPUTED_VALUE"""),"go")</f>
        <v>go</v>
      </c>
      <c r="C5283" s="4" t="str">
        <f>IFERROR(__xludf.DUMMYFUNCTION("""COMPUTED_VALUE"""),"GoChain")</f>
        <v>GoChain</v>
      </c>
    </row>
    <row r="5284">
      <c r="A5284" s="4" t="str">
        <f>IFERROR(__xludf.DUMMYFUNCTION("""COMPUTED_VALUE"""),"gocharge-tech")</f>
        <v>gocharge-tech</v>
      </c>
      <c r="B5284" s="4" t="str">
        <f>IFERROR(__xludf.DUMMYFUNCTION("""COMPUTED_VALUE"""),"charged")</f>
        <v>charged</v>
      </c>
      <c r="C5284" s="4" t="str">
        <f>IFERROR(__xludf.DUMMYFUNCTION("""COMPUTED_VALUE"""),"GoCharge Tech")</f>
        <v>GoCharge Tech</v>
      </c>
    </row>
    <row r="5285">
      <c r="A5285" s="4" t="str">
        <f>IFERROR(__xludf.DUMMYFUNCTION("""COMPUTED_VALUE"""),"gocryptome")</f>
        <v>gocryptome</v>
      </c>
      <c r="B5285" s="4" t="str">
        <f>IFERROR(__xludf.DUMMYFUNCTION("""COMPUTED_VALUE"""),"gcme")</f>
        <v>gcme</v>
      </c>
      <c r="C5285" s="4" t="str">
        <f>IFERROR(__xludf.DUMMYFUNCTION("""COMPUTED_VALUE"""),"GoCryptoMe")</f>
        <v>GoCryptoMe</v>
      </c>
    </row>
    <row r="5286">
      <c r="A5286" s="4" t="str">
        <f>IFERROR(__xludf.DUMMYFUNCTION("""COMPUTED_VALUE"""),"god")</f>
        <v>god</v>
      </c>
      <c r="B5286" s="4" t="str">
        <f>IFERROR(__xludf.DUMMYFUNCTION("""COMPUTED_VALUE"""),"god")</f>
        <v>god</v>
      </c>
      <c r="C5286" s="4" t="str">
        <f>IFERROR(__xludf.DUMMYFUNCTION("""COMPUTED_VALUE"""),"God")</f>
        <v>God</v>
      </c>
    </row>
    <row r="5287">
      <c r="A5287" s="4" t="str">
        <f>IFERROR(__xludf.DUMMYFUNCTION("""COMPUTED_VALUE"""),"god-coin")</f>
        <v>god-coin</v>
      </c>
      <c r="B5287" s="4" t="str">
        <f>IFERROR(__xludf.DUMMYFUNCTION("""COMPUTED_VALUE"""),"god")</f>
        <v>god</v>
      </c>
      <c r="C5287" s="4" t="str">
        <f>IFERROR(__xludf.DUMMYFUNCTION("""COMPUTED_VALUE"""),"GOD Coin")</f>
        <v>GOD Coin</v>
      </c>
    </row>
    <row r="5288">
      <c r="A5288" s="4" t="str">
        <f>IFERROR(__xludf.DUMMYFUNCTION("""COMPUTED_VALUE"""),"gode-chain")</f>
        <v>gode-chain</v>
      </c>
      <c r="B5288" s="4" t="str">
        <f>IFERROR(__xludf.DUMMYFUNCTION("""COMPUTED_VALUE"""),"gode")</f>
        <v>gode</v>
      </c>
      <c r="C5288" s="4" t="str">
        <f>IFERROR(__xludf.DUMMYFUNCTION("""COMPUTED_VALUE"""),"Gode Chain")</f>
        <v>Gode Chain</v>
      </c>
    </row>
    <row r="5289">
      <c r="A5289" s="4" t="str">
        <f>IFERROR(__xludf.DUMMYFUNCTION("""COMPUTED_VALUE"""),"god-of-wealth")</f>
        <v>god-of-wealth</v>
      </c>
      <c r="B5289" s="4" t="str">
        <f>IFERROR(__xludf.DUMMYFUNCTION("""COMPUTED_VALUE"""),"gow39")</f>
        <v>gow39</v>
      </c>
      <c r="C5289" s="4" t="str">
        <f>IFERROR(__xludf.DUMMYFUNCTION("""COMPUTED_VALUE"""),"God of Wealth")</f>
        <v>God of Wealth</v>
      </c>
    </row>
    <row r="5290">
      <c r="A5290" s="4" t="str">
        <f>IFERROR(__xludf.DUMMYFUNCTION("""COMPUTED_VALUE"""),"gods-unchained")</f>
        <v>gods-unchained</v>
      </c>
      <c r="B5290" s="4" t="str">
        <f>IFERROR(__xludf.DUMMYFUNCTION("""COMPUTED_VALUE"""),"gods")</f>
        <v>gods</v>
      </c>
      <c r="C5290" s="4" t="str">
        <f>IFERROR(__xludf.DUMMYFUNCTION("""COMPUTED_VALUE"""),"Gods Unchained")</f>
        <v>Gods Unchained</v>
      </c>
    </row>
    <row r="5291">
      <c r="A5291" s="4" t="str">
        <f>IFERROR(__xludf.DUMMYFUNCTION("""COMPUTED_VALUE"""),"godzilla")</f>
        <v>godzilla</v>
      </c>
      <c r="B5291" s="4" t="str">
        <f>IFERROR(__xludf.DUMMYFUNCTION("""COMPUTED_VALUE"""),"godz")</f>
        <v>godz</v>
      </c>
      <c r="C5291" s="4" t="str">
        <f>IFERROR(__xludf.DUMMYFUNCTION("""COMPUTED_VALUE"""),"Godzilla")</f>
        <v>Godzilla</v>
      </c>
    </row>
    <row r="5292">
      <c r="A5292" s="4" t="str">
        <f>IFERROR(__xludf.DUMMYFUNCTION("""COMPUTED_VALUE"""),"goerli-eth")</f>
        <v>goerli-eth</v>
      </c>
      <c r="B5292" s="4" t="str">
        <f>IFERROR(__xludf.DUMMYFUNCTION("""COMPUTED_VALUE"""),"geth")</f>
        <v>geth</v>
      </c>
      <c r="C5292" s="4" t="str">
        <f>IFERROR(__xludf.DUMMYFUNCTION("""COMPUTED_VALUE"""),"Goerli ETH")</f>
        <v>Goerli ETH</v>
      </c>
    </row>
    <row r="5293">
      <c r="A5293" s="4" t="str">
        <f>IFERROR(__xludf.DUMMYFUNCTION("""COMPUTED_VALUE"""),"goeth")</f>
        <v>goeth</v>
      </c>
      <c r="B5293" s="4" t="str">
        <f>IFERROR(__xludf.DUMMYFUNCTION("""COMPUTED_VALUE"""),"goeth")</f>
        <v>goeth</v>
      </c>
      <c r="C5293" s="4" t="str">
        <f>IFERROR(__xludf.DUMMYFUNCTION("""COMPUTED_VALUE"""),"goETH")</f>
        <v>goETH</v>
      </c>
    </row>
    <row r="5294">
      <c r="A5294" s="4" t="str">
        <f>IFERROR(__xludf.DUMMYFUNCTION("""COMPUTED_VALUE"""),"gofitterai")</f>
        <v>gofitterai</v>
      </c>
      <c r="B5294" s="4" t="str">
        <f>IFERROR(__xludf.DUMMYFUNCTION("""COMPUTED_VALUE"""),"fitai")</f>
        <v>fitai</v>
      </c>
      <c r="C5294" s="4" t="str">
        <f>IFERROR(__xludf.DUMMYFUNCTION("""COMPUTED_VALUE"""),"GoFitterAI")</f>
        <v>GoFitterAI</v>
      </c>
    </row>
    <row r="5295">
      <c r="A5295" s="4" t="str">
        <f>IFERROR(__xludf.DUMMYFUNCTION("""COMPUTED_VALUE"""),"go-fu-k-yourself")</f>
        <v>go-fu-k-yourself</v>
      </c>
      <c r="B5295" s="4" t="str">
        <f>IFERROR(__xludf.DUMMYFUNCTION("""COMPUTED_VALUE"""),"gfy")</f>
        <v>gfy</v>
      </c>
      <c r="C5295" s="4" t="str">
        <f>IFERROR(__xludf.DUMMYFUNCTION("""COMPUTED_VALUE"""),"go fu*k yourself.")</f>
        <v>go fu*k yourself.</v>
      </c>
    </row>
    <row r="5296">
      <c r="A5296" s="4" t="str">
        <f>IFERROR(__xludf.DUMMYFUNCTION("""COMPUTED_VALUE"""),"gogocoin")</f>
        <v>gogocoin</v>
      </c>
      <c r="B5296" s="4" t="str">
        <f>IFERROR(__xludf.DUMMYFUNCTION("""COMPUTED_VALUE"""),"gogo")</f>
        <v>gogo</v>
      </c>
      <c r="C5296" s="4" t="str">
        <f>IFERROR(__xludf.DUMMYFUNCTION("""COMPUTED_VALUE"""),"GOGOcoin")</f>
        <v>GOGOcoin</v>
      </c>
    </row>
    <row r="5297">
      <c r="A5297" s="4" t="str">
        <f>IFERROR(__xludf.DUMMYFUNCTION("""COMPUTED_VALUE"""),"gogolcoin")</f>
        <v>gogolcoin</v>
      </c>
      <c r="B5297" s="4" t="str">
        <f>IFERROR(__xludf.DUMMYFUNCTION("""COMPUTED_VALUE"""),"gol")</f>
        <v>gol</v>
      </c>
      <c r="C5297" s="4" t="str">
        <f>IFERROR(__xludf.DUMMYFUNCTION("""COMPUTED_VALUE"""),"GogolCoin")</f>
        <v>GogolCoin</v>
      </c>
    </row>
    <row r="5298">
      <c r="A5298" s="4" t="str">
        <f>IFERROR(__xludf.DUMMYFUNCTION("""COMPUTED_VALUE"""),"gogopool")</f>
        <v>gogopool</v>
      </c>
      <c r="B5298" s="4" t="str">
        <f>IFERROR(__xludf.DUMMYFUNCTION("""COMPUTED_VALUE"""),"ggp")</f>
        <v>ggp</v>
      </c>
      <c r="C5298" s="4" t="str">
        <f>IFERROR(__xludf.DUMMYFUNCTION("""COMPUTED_VALUE"""),"GoGoPool")</f>
        <v>GoGoPool</v>
      </c>
    </row>
    <row r="5299">
      <c r="A5299" s="4" t="str">
        <f>IFERROR(__xludf.DUMMYFUNCTION("""COMPUTED_VALUE"""),"gogopool-ggavax")</f>
        <v>gogopool-ggavax</v>
      </c>
      <c r="B5299" s="4" t="str">
        <f>IFERROR(__xludf.DUMMYFUNCTION("""COMPUTED_VALUE"""),"ggavax")</f>
        <v>ggavax</v>
      </c>
      <c r="C5299" s="4" t="str">
        <f>IFERROR(__xludf.DUMMYFUNCTION("""COMPUTED_VALUE"""),"GoGoPool ggAVAX")</f>
        <v>GoGoPool ggAVAX</v>
      </c>
    </row>
    <row r="5300">
      <c r="A5300" s="4" t="str">
        <f>IFERROR(__xludf.DUMMYFUNCTION("""COMPUTED_VALUE"""),"gogowifcone")</f>
        <v>gogowifcone</v>
      </c>
      <c r="B5300" s="4" t="str">
        <f>IFERROR(__xludf.DUMMYFUNCTION("""COMPUTED_VALUE"""),"gogo")</f>
        <v>gogo</v>
      </c>
      <c r="C5300" s="4" t="str">
        <f>IFERROR(__xludf.DUMMYFUNCTION("""COMPUTED_VALUE"""),"gogowifcone")</f>
        <v>gogowifcone</v>
      </c>
    </row>
    <row r="5301">
      <c r="A5301" s="4" t="str">
        <f>IFERROR(__xludf.DUMMYFUNCTION("""COMPUTED_VALUE"""),"going-to-the-moon")</f>
        <v>going-to-the-moon</v>
      </c>
      <c r="B5301" s="4" t="str">
        <f>IFERROR(__xludf.DUMMYFUNCTION("""COMPUTED_VALUE"""),"gttm")</f>
        <v>gttm</v>
      </c>
      <c r="C5301" s="4" t="str">
        <f>IFERROR(__xludf.DUMMYFUNCTION("""COMPUTED_VALUE"""),"Going To The Moon")</f>
        <v>Going To The Moon</v>
      </c>
    </row>
    <row r="5302">
      <c r="A5302" s="4" t="str">
        <f>IFERROR(__xludf.DUMMYFUNCTION("""COMPUTED_VALUE"""),"gojo-bsc")</f>
        <v>gojo-bsc</v>
      </c>
      <c r="B5302" s="4" t="str">
        <f>IFERROR(__xludf.DUMMYFUNCTION("""COMPUTED_VALUE"""),"gojobsc")</f>
        <v>gojobsc</v>
      </c>
      <c r="C5302" s="4" t="str">
        <f>IFERROR(__xludf.DUMMYFUNCTION("""COMPUTED_VALUE"""),"Gojo BSC")</f>
        <v>Gojo BSC</v>
      </c>
    </row>
    <row r="5303">
      <c r="A5303" s="4" t="str">
        <f>IFERROR(__xludf.DUMMYFUNCTION("""COMPUTED_VALUE"""),"goku")</f>
        <v>goku</v>
      </c>
      <c r="B5303" s="4" t="str">
        <f>IFERROR(__xludf.DUMMYFUNCTION("""COMPUTED_VALUE"""),"goku")</f>
        <v>goku</v>
      </c>
      <c r="C5303" s="4" t="str">
        <f>IFERROR(__xludf.DUMMYFUNCTION("""COMPUTED_VALUE"""),"Goku")</f>
        <v>Goku</v>
      </c>
    </row>
    <row r="5304">
      <c r="A5304" s="4" t="str">
        <f>IFERROR(__xludf.DUMMYFUNCTION("""COMPUTED_VALUE"""),"goku-money-gai")</f>
        <v>goku-money-gai</v>
      </c>
      <c r="B5304" s="4" t="str">
        <f>IFERROR(__xludf.DUMMYFUNCTION("""COMPUTED_VALUE"""),"gai")</f>
        <v>gai</v>
      </c>
      <c r="C5304" s="4" t="str">
        <f>IFERROR(__xludf.DUMMYFUNCTION("""COMPUTED_VALUE"""),"Goku Money GAI")</f>
        <v>Goku Money GAI</v>
      </c>
    </row>
    <row r="5305">
      <c r="A5305" s="4" t="str">
        <f>IFERROR(__xludf.DUMMYFUNCTION("""COMPUTED_VALUE"""),"gokuswap")</f>
        <v>gokuswap</v>
      </c>
      <c r="B5305" s="4" t="str">
        <f>IFERROR(__xludf.DUMMYFUNCTION("""COMPUTED_VALUE"""),"goku")</f>
        <v>goku</v>
      </c>
      <c r="C5305" s="4" t="str">
        <f>IFERROR(__xludf.DUMMYFUNCTION("""COMPUTED_VALUE"""),"Gokuswap")</f>
        <v>Gokuswap</v>
      </c>
    </row>
    <row r="5306">
      <c r="A5306" s="4" t="str">
        <f>IFERROR(__xludf.DUMMYFUNCTION("""COMPUTED_VALUE"""),"golcoin")</f>
        <v>golcoin</v>
      </c>
      <c r="B5306" s="4" t="str">
        <f>IFERROR(__xludf.DUMMYFUNCTION("""COMPUTED_VALUE"""),"golc")</f>
        <v>golc</v>
      </c>
      <c r="C5306" s="4" t="str">
        <f>IFERROR(__xludf.DUMMYFUNCTION("""COMPUTED_VALUE"""),"GOLCOIN")</f>
        <v>GOLCOIN</v>
      </c>
    </row>
    <row r="5307">
      <c r="A5307" s="4" t="str">
        <f>IFERROR(__xludf.DUMMYFUNCTION("""COMPUTED_VALUE"""),"gold-2")</f>
        <v>gold-2</v>
      </c>
      <c r="B5307" s="4" t="str">
        <f>IFERROR(__xludf.DUMMYFUNCTION("""COMPUTED_VALUE"""),"gold")</f>
        <v>gold</v>
      </c>
      <c r="C5307" s="4" t="str">
        <f>IFERROR(__xludf.DUMMYFUNCTION("""COMPUTED_VALUE"""),"Gold")</f>
        <v>Gold</v>
      </c>
    </row>
    <row r="5308">
      <c r="A5308" s="4" t="str">
        <f>IFERROR(__xludf.DUMMYFUNCTION("""COMPUTED_VALUE"""),"gold-3")</f>
        <v>gold-3</v>
      </c>
      <c r="B5308" s="4" t="str">
        <f>IFERROR(__xludf.DUMMYFUNCTION("""COMPUTED_VALUE"""),"gold")</f>
        <v>gold</v>
      </c>
      <c r="C5308" s="4" t="str">
        <f>IFERROR(__xludf.DUMMYFUNCTION("""COMPUTED_VALUE"""),"GOLD")</f>
        <v>GOLD</v>
      </c>
    </row>
    <row r="5309">
      <c r="A5309" s="4" t="str">
        <f>IFERROR(__xludf.DUMMYFUNCTION("""COMPUTED_VALUE"""),"goldcoin")</f>
        <v>goldcoin</v>
      </c>
      <c r="B5309" s="4" t="str">
        <f>IFERROR(__xludf.DUMMYFUNCTION("""COMPUTED_VALUE"""),"glc")</f>
        <v>glc</v>
      </c>
      <c r="C5309" s="4" t="str">
        <f>IFERROR(__xludf.DUMMYFUNCTION("""COMPUTED_VALUE"""),"Goldcoin")</f>
        <v>Goldcoin</v>
      </c>
    </row>
    <row r="5310">
      <c r="A5310" s="4" t="str">
        <f>IFERROR(__xludf.DUMMYFUNCTION("""COMPUTED_VALUE"""),"golden-ball")</f>
        <v>golden-ball</v>
      </c>
      <c r="B5310" s="4" t="str">
        <f>IFERROR(__xludf.DUMMYFUNCTION("""COMPUTED_VALUE"""),"glb")</f>
        <v>glb</v>
      </c>
      <c r="C5310" s="4" t="str">
        <f>IFERROR(__xludf.DUMMYFUNCTION("""COMPUTED_VALUE"""),"Golden Ball")</f>
        <v>Golden Ball</v>
      </c>
    </row>
    <row r="5311">
      <c r="A5311" s="4" t="str">
        <f>IFERROR(__xludf.DUMMYFUNCTION("""COMPUTED_VALUE"""),"goldenboys")</f>
        <v>goldenboys</v>
      </c>
      <c r="B5311" s="4" t="str">
        <f>IFERROR(__xludf.DUMMYFUNCTION("""COMPUTED_VALUE"""),"gold")</f>
        <v>gold</v>
      </c>
      <c r="C5311" s="4" t="str">
        <f>IFERROR(__xludf.DUMMYFUNCTION("""COMPUTED_VALUE"""),"GoldenBoys")</f>
        <v>GoldenBoys</v>
      </c>
    </row>
    <row r="5312">
      <c r="A5312" s="4" t="str">
        <f>IFERROR(__xludf.DUMMYFUNCTION("""COMPUTED_VALUE"""),"goldencoin")</f>
        <v>goldencoin</v>
      </c>
      <c r="B5312" s="4" t="str">
        <f>IFERROR(__xludf.DUMMYFUNCTION("""COMPUTED_VALUE"""),"gld")</f>
        <v>gld</v>
      </c>
      <c r="C5312" s="4" t="str">
        <f>IFERROR(__xludf.DUMMYFUNCTION("""COMPUTED_VALUE"""),"GoldenCoin")</f>
        <v>GoldenCoin</v>
      </c>
    </row>
    <row r="5313">
      <c r="A5313" s="4" t="str">
        <f>IFERROR(__xludf.DUMMYFUNCTION("""COMPUTED_VALUE"""),"golden-doge")</f>
        <v>golden-doge</v>
      </c>
      <c r="B5313" s="4" t="str">
        <f>IFERROR(__xludf.DUMMYFUNCTION("""COMPUTED_VALUE"""),"gdoge")</f>
        <v>gdoge</v>
      </c>
      <c r="C5313" s="4" t="str">
        <f>IFERROR(__xludf.DUMMYFUNCTION("""COMPUTED_VALUE"""),"Golden Doge")</f>
        <v>Golden Doge</v>
      </c>
    </row>
    <row r="5314">
      <c r="A5314" s="4" t="str">
        <f>IFERROR(__xludf.DUMMYFUNCTION("""COMPUTED_VALUE"""),"golden-goose")</f>
        <v>golden-goose</v>
      </c>
      <c r="B5314" s="4" t="str">
        <f>IFERROR(__xludf.DUMMYFUNCTION("""COMPUTED_VALUE"""),"gold")</f>
        <v>gold</v>
      </c>
      <c r="C5314" s="4" t="str">
        <f>IFERROR(__xludf.DUMMYFUNCTION("""COMPUTED_VALUE"""),"Golden Goose")</f>
        <v>Golden Goose</v>
      </c>
    </row>
    <row r="5315">
      <c r="A5315" s="4" t="str">
        <f>IFERROR(__xludf.DUMMYFUNCTION("""COMPUTED_VALUE"""),"golden-inu")</f>
        <v>golden-inu</v>
      </c>
      <c r="B5315" s="4" t="str">
        <f>IFERROR(__xludf.DUMMYFUNCTION("""COMPUTED_VALUE"""),"golden")</f>
        <v>golden</v>
      </c>
      <c r="C5315" s="4" t="str">
        <f>IFERROR(__xludf.DUMMYFUNCTION("""COMPUTED_VALUE"""),"Golden Inu")</f>
        <v>Golden Inu</v>
      </c>
    </row>
    <row r="5316">
      <c r="A5316" s="4" t="str">
        <f>IFERROR(__xludf.DUMMYFUNCTION("""COMPUTED_VALUE"""),"golden-inu-token")</f>
        <v>golden-inu-token</v>
      </c>
      <c r="B5316" s="4" t="str">
        <f>IFERROR(__xludf.DUMMYFUNCTION("""COMPUTED_VALUE"""),"golden")</f>
        <v>golden</v>
      </c>
      <c r="C5316" s="4" t="str">
        <f>IFERROR(__xludf.DUMMYFUNCTION("""COMPUTED_VALUE"""),"Golden Inu")</f>
        <v>Golden Inu</v>
      </c>
    </row>
    <row r="5317">
      <c r="A5317" s="4" t="str">
        <f>IFERROR(__xludf.DUMMYFUNCTION("""COMPUTED_VALUE"""),"golden-tiger-fund")</f>
        <v>golden-tiger-fund</v>
      </c>
      <c r="B5317" s="4" t="str">
        <f>IFERROR(__xludf.DUMMYFUNCTION("""COMPUTED_VALUE"""),"gtf")</f>
        <v>gtf</v>
      </c>
      <c r="C5317" s="4" t="str">
        <f>IFERROR(__xludf.DUMMYFUNCTION("""COMPUTED_VALUE"""),"Golden Tiger Fund")</f>
        <v>Golden Tiger Fund</v>
      </c>
    </row>
    <row r="5318">
      <c r="A5318" s="4" t="str">
        <f>IFERROR(__xludf.DUMMYFUNCTION("""COMPUTED_VALUE"""),"golden-token")</f>
        <v>golden-token</v>
      </c>
      <c r="B5318" s="4" t="str">
        <f>IFERROR(__xludf.DUMMYFUNCTION("""COMPUTED_VALUE"""),"gold")</f>
        <v>gold</v>
      </c>
      <c r="C5318" s="4" t="str">
        <f>IFERROR(__xludf.DUMMYFUNCTION("""COMPUTED_VALUE"""),"Golden")</f>
        <v>Golden</v>
      </c>
    </row>
    <row r="5319">
      <c r="A5319" s="4" t="str">
        <f>IFERROR(__xludf.DUMMYFUNCTION("""COMPUTED_VALUE"""),"golden-zen-token")</f>
        <v>golden-zen-token</v>
      </c>
      <c r="B5319" s="4" t="str">
        <f>IFERROR(__xludf.DUMMYFUNCTION("""COMPUTED_VALUE"""),"gzt")</f>
        <v>gzt</v>
      </c>
      <c r="C5319" s="4" t="str">
        <f>IFERROR(__xludf.DUMMYFUNCTION("""COMPUTED_VALUE"""),"Golden Zen Token")</f>
        <v>Golden Zen Token</v>
      </c>
    </row>
    <row r="5320">
      <c r="A5320" s="4" t="str">
        <f>IFERROR(__xludf.DUMMYFUNCTION("""COMPUTED_VALUE"""),"goldex-token")</f>
        <v>goldex-token</v>
      </c>
      <c r="B5320" s="4" t="str">
        <f>IFERROR(__xludf.DUMMYFUNCTION("""COMPUTED_VALUE"""),"gldx")</f>
        <v>gldx</v>
      </c>
      <c r="C5320" s="4" t="str">
        <f>IFERROR(__xludf.DUMMYFUNCTION("""COMPUTED_VALUE"""),"Goldex")</f>
        <v>Goldex</v>
      </c>
    </row>
    <row r="5321">
      <c r="A5321" s="4" t="str">
        <f>IFERROR(__xludf.DUMMYFUNCTION("""COMPUTED_VALUE"""),"gold-fever-native-gold")</f>
        <v>gold-fever-native-gold</v>
      </c>
      <c r="B5321" s="4" t="str">
        <f>IFERROR(__xludf.DUMMYFUNCTION("""COMPUTED_VALUE"""),"ngl")</f>
        <v>ngl</v>
      </c>
      <c r="C5321" s="4" t="str">
        <f>IFERROR(__xludf.DUMMYFUNCTION("""COMPUTED_VALUE"""),"Gold Fever Native Gold")</f>
        <v>Gold Fever Native Gold</v>
      </c>
    </row>
    <row r="5322">
      <c r="A5322" s="4" t="str">
        <f>IFERROR(__xludf.DUMMYFUNCTION("""COMPUTED_VALUE"""),"goldfinch")</f>
        <v>goldfinch</v>
      </c>
      <c r="B5322" s="4" t="str">
        <f>IFERROR(__xludf.DUMMYFUNCTION("""COMPUTED_VALUE"""),"gfi")</f>
        <v>gfi</v>
      </c>
      <c r="C5322" s="4" t="str">
        <f>IFERROR(__xludf.DUMMYFUNCTION("""COMPUTED_VALUE"""),"Goldfinch")</f>
        <v>Goldfinch</v>
      </c>
    </row>
    <row r="5323">
      <c r="A5323" s="4" t="str">
        <f>IFERROR(__xludf.DUMMYFUNCTION("""COMPUTED_VALUE"""),"goldfinx")</f>
        <v>goldfinx</v>
      </c>
      <c r="B5323" s="4" t="str">
        <f>IFERROR(__xludf.DUMMYFUNCTION("""COMPUTED_VALUE"""),"gix")</f>
        <v>gix</v>
      </c>
      <c r="C5323" s="4" t="str">
        <f>IFERROR(__xludf.DUMMYFUNCTION("""COMPUTED_VALUE"""),"GoldFinX")</f>
        <v>GoldFinX</v>
      </c>
    </row>
    <row r="5324">
      <c r="A5324" s="4" t="str">
        <f>IFERROR(__xludf.DUMMYFUNCTION("""COMPUTED_VALUE"""),"goldkash")</f>
        <v>goldkash</v>
      </c>
      <c r="B5324" s="4" t="str">
        <f>IFERROR(__xludf.DUMMYFUNCTION("""COMPUTED_VALUE"""),"xgk")</f>
        <v>xgk</v>
      </c>
      <c r="C5324" s="4" t="str">
        <f>IFERROR(__xludf.DUMMYFUNCTION("""COMPUTED_VALUE"""),"GoldKash")</f>
        <v>GoldKash</v>
      </c>
    </row>
    <row r="5325">
      <c r="A5325" s="4" t="str">
        <f>IFERROR(__xludf.DUMMYFUNCTION("""COMPUTED_VALUE"""),"goldminer")</f>
        <v>goldminer</v>
      </c>
      <c r="B5325" s="4" t="str">
        <f>IFERROR(__xludf.DUMMYFUNCTION("""COMPUTED_VALUE"""),"gm")</f>
        <v>gm</v>
      </c>
      <c r="C5325" s="4" t="str">
        <f>IFERROR(__xludf.DUMMYFUNCTION("""COMPUTED_VALUE"""),"GoldMiner")</f>
        <v>GoldMiner</v>
      </c>
    </row>
    <row r="5326">
      <c r="A5326" s="4" t="str">
        <f>IFERROR(__xludf.DUMMYFUNCTION("""COMPUTED_VALUE"""),"gold-pegged-coin")</f>
        <v>gold-pegged-coin</v>
      </c>
      <c r="B5326" s="4" t="str">
        <f>IFERROR(__xludf.DUMMYFUNCTION("""COMPUTED_VALUE"""),"gpc")</f>
        <v>gpc</v>
      </c>
      <c r="C5326" s="4" t="str">
        <f>IFERROR(__xludf.DUMMYFUNCTION("""COMPUTED_VALUE"""),"Gold Pegged Coin")</f>
        <v>Gold Pegged Coin</v>
      </c>
    </row>
    <row r="5327">
      <c r="A5327" s="4" t="str">
        <f>IFERROR(__xludf.DUMMYFUNCTION("""COMPUTED_VALUE"""),"goldpesa-option")</f>
        <v>goldpesa-option</v>
      </c>
      <c r="B5327" s="4" t="str">
        <f>IFERROR(__xludf.DUMMYFUNCTION("""COMPUTED_VALUE"""),"gpo")</f>
        <v>gpo</v>
      </c>
      <c r="C5327" s="4" t="str">
        <f>IFERROR(__xludf.DUMMYFUNCTION("""COMPUTED_VALUE"""),"GoldPesa Option")</f>
        <v>GoldPesa Option</v>
      </c>
    </row>
    <row r="5328">
      <c r="A5328" s="4" t="str">
        <f>IFERROR(__xludf.DUMMYFUNCTION("""COMPUTED_VALUE"""),"gold-secured-currency")</f>
        <v>gold-secured-currency</v>
      </c>
      <c r="B5328" s="4" t="str">
        <f>IFERROR(__xludf.DUMMYFUNCTION("""COMPUTED_VALUE"""),"gsx")</f>
        <v>gsx</v>
      </c>
      <c r="C5328" s="4" t="str">
        <f>IFERROR(__xludf.DUMMYFUNCTION("""COMPUTED_VALUE"""),"Gold Secured Currency")</f>
        <v>Gold Secured Currency</v>
      </c>
    </row>
    <row r="5329">
      <c r="A5329" s="4" t="str">
        <f>IFERROR(__xludf.DUMMYFUNCTION("""COMPUTED_VALUE"""),"gold-utility-token")</f>
        <v>gold-utility-token</v>
      </c>
      <c r="B5329" s="4" t="str">
        <f>IFERROR(__xludf.DUMMYFUNCTION("""COMPUTED_VALUE"""),"agf")</f>
        <v>agf</v>
      </c>
      <c r="C5329" s="4" t="str">
        <f>IFERROR(__xludf.DUMMYFUNCTION("""COMPUTED_VALUE"""),"Gold Utility Token")</f>
        <v>Gold Utility Token</v>
      </c>
    </row>
    <row r="5330">
      <c r="A5330" s="4" t="str">
        <f>IFERROR(__xludf.DUMMYFUNCTION("""COMPUTED_VALUE"""),"goledo")</f>
        <v>goledo</v>
      </c>
      <c r="B5330" s="4" t="str">
        <f>IFERROR(__xludf.DUMMYFUNCTION("""COMPUTED_VALUE"""),"gol")</f>
        <v>gol</v>
      </c>
      <c r="C5330" s="4" t="str">
        <f>IFERROR(__xludf.DUMMYFUNCTION("""COMPUTED_VALUE"""),"Goledo (OLD)")</f>
        <v>Goledo (OLD)</v>
      </c>
    </row>
    <row r="5331">
      <c r="A5331" s="4" t="str">
        <f>IFERROR(__xludf.DUMMYFUNCTION("""COMPUTED_VALUE"""),"goledo-2")</f>
        <v>goledo-2</v>
      </c>
      <c r="B5331" s="4" t="str">
        <f>IFERROR(__xludf.DUMMYFUNCTION("""COMPUTED_VALUE"""),"gol")</f>
        <v>gol</v>
      </c>
      <c r="C5331" s="4" t="str">
        <f>IFERROR(__xludf.DUMMYFUNCTION("""COMPUTED_VALUE"""),"Goledo")</f>
        <v>Goledo</v>
      </c>
    </row>
    <row r="5332">
      <c r="A5332" s="4" t="str">
        <f>IFERROR(__xludf.DUMMYFUNCTION("""COMPUTED_VALUE"""),"golem")</f>
        <v>golem</v>
      </c>
      <c r="B5332" s="4" t="str">
        <f>IFERROR(__xludf.DUMMYFUNCTION("""COMPUTED_VALUE"""),"glm")</f>
        <v>glm</v>
      </c>
      <c r="C5332" s="4" t="str">
        <f>IFERROR(__xludf.DUMMYFUNCTION("""COMPUTED_VALUE"""),"Golem")</f>
        <v>Golem</v>
      </c>
    </row>
    <row r="5333">
      <c r="A5333" s="4" t="str">
        <f>IFERROR(__xludf.DUMMYFUNCTION("""COMPUTED_VALUE"""),"golff")</f>
        <v>golff</v>
      </c>
      <c r="B5333" s="4" t="str">
        <f>IFERROR(__xludf.DUMMYFUNCTION("""COMPUTED_VALUE"""),"gof")</f>
        <v>gof</v>
      </c>
      <c r="C5333" s="4" t="str">
        <f>IFERROR(__xludf.DUMMYFUNCTION("""COMPUTED_VALUE"""),"Golff")</f>
        <v>Golff</v>
      </c>
    </row>
    <row r="5334">
      <c r="A5334" s="4" t="str">
        <f>IFERROR(__xludf.DUMMYFUNCTION("""COMPUTED_VALUE"""),"golteum")</f>
        <v>golteum</v>
      </c>
      <c r="B5334" s="4" t="str">
        <f>IFERROR(__xludf.DUMMYFUNCTION("""COMPUTED_VALUE"""),"gltm")</f>
        <v>gltm</v>
      </c>
      <c r="C5334" s="4" t="str">
        <f>IFERROR(__xludf.DUMMYFUNCTION("""COMPUTED_VALUE"""),"Golteum")</f>
        <v>Golteum</v>
      </c>
    </row>
    <row r="5335">
      <c r="A5335" s="4" t="str">
        <f>IFERROR(__xludf.DUMMYFUNCTION("""COMPUTED_VALUE"""),"gomdori")</f>
        <v>gomdori</v>
      </c>
      <c r="B5335" s="4" t="str">
        <f>IFERROR(__xludf.DUMMYFUNCTION("""COMPUTED_VALUE"""),"gomd")</f>
        <v>gomd</v>
      </c>
      <c r="C5335" s="4" t="str">
        <f>IFERROR(__xludf.DUMMYFUNCTION("""COMPUTED_VALUE"""),"Gomdori")</f>
        <v>Gomdori</v>
      </c>
    </row>
    <row r="5336">
      <c r="A5336" s="4" t="str">
        <f>IFERROR(__xludf.DUMMYFUNCTION("""COMPUTED_VALUE"""),"gomeat")</f>
        <v>gomeat</v>
      </c>
      <c r="B5336" s="4" t="str">
        <f>IFERROR(__xludf.DUMMYFUNCTION("""COMPUTED_VALUE"""),"gomt")</f>
        <v>gomt</v>
      </c>
      <c r="C5336" s="4" t="str">
        <f>IFERROR(__xludf.DUMMYFUNCTION("""COMPUTED_VALUE"""),"GoMeat")</f>
        <v>GoMeat</v>
      </c>
    </row>
    <row r="5337">
      <c r="A5337" s="4" t="str">
        <f>IFERROR(__xludf.DUMMYFUNCTION("""COMPUTED_VALUE"""),"gone")</f>
        <v>gone</v>
      </c>
      <c r="B5337" s="4" t="str">
        <f>IFERROR(__xludf.DUMMYFUNCTION("""COMPUTED_VALUE"""),"gone")</f>
        <v>gone</v>
      </c>
      <c r="C5337" s="4" t="str">
        <f>IFERROR(__xludf.DUMMYFUNCTION("""COMPUTED_VALUE"""),"Gone")</f>
        <v>Gone</v>
      </c>
    </row>
    <row r="5338">
      <c r="A5338" s="4" t="str">
        <f>IFERROR(__xludf.DUMMYFUNCTION("""COMPUTED_VALUE"""),"gonfty")</f>
        <v>gonfty</v>
      </c>
      <c r="B5338" s="4" t="str">
        <f>IFERROR(__xludf.DUMMYFUNCTION("""COMPUTED_VALUE"""),"gnfty")</f>
        <v>gnfty</v>
      </c>
      <c r="C5338" s="4" t="str">
        <f>IFERROR(__xludf.DUMMYFUNCTION("""COMPUTED_VALUE"""),"GoNFTY")</f>
        <v>GoNFTY</v>
      </c>
    </row>
    <row r="5339">
      <c r="A5339" s="4" t="str">
        <f>IFERROR(__xludf.DUMMYFUNCTION("""COMPUTED_VALUE"""),"gooch")</f>
        <v>gooch</v>
      </c>
      <c r="B5339" s="4" t="str">
        <f>IFERROR(__xludf.DUMMYFUNCTION("""COMPUTED_VALUE"""),"gooch")</f>
        <v>gooch</v>
      </c>
      <c r="C5339" s="4" t="str">
        <f>IFERROR(__xludf.DUMMYFUNCTION("""COMPUTED_VALUE"""),"Gooch")</f>
        <v>Gooch</v>
      </c>
    </row>
    <row r="5340">
      <c r="A5340" s="4" t="str">
        <f>IFERROR(__xludf.DUMMYFUNCTION("""COMPUTED_VALUE"""),"goodcryptox")</f>
        <v>goodcryptox</v>
      </c>
      <c r="B5340" s="4" t="str">
        <f>IFERROR(__xludf.DUMMYFUNCTION("""COMPUTED_VALUE"""),"good")</f>
        <v>good</v>
      </c>
      <c r="C5340" s="4" t="str">
        <f>IFERROR(__xludf.DUMMYFUNCTION("""COMPUTED_VALUE"""),"goodcryptoX")</f>
        <v>goodcryptoX</v>
      </c>
    </row>
    <row r="5341">
      <c r="A5341" s="4" t="str">
        <f>IFERROR(__xludf.DUMMYFUNCTION("""COMPUTED_VALUE"""),"good-dog")</f>
        <v>good-dog</v>
      </c>
      <c r="B5341" s="4" t="str">
        <f>IFERROR(__xludf.DUMMYFUNCTION("""COMPUTED_VALUE"""),"heel")</f>
        <v>heel</v>
      </c>
      <c r="C5341" s="4" t="str">
        <f>IFERROR(__xludf.DUMMYFUNCTION("""COMPUTED_VALUE"""),"Good Dog")</f>
        <v>Good Dog</v>
      </c>
    </row>
    <row r="5342">
      <c r="A5342" s="4" t="str">
        <f>IFERROR(__xludf.DUMMYFUNCTION("""COMPUTED_VALUE"""),"gooddollar")</f>
        <v>gooddollar</v>
      </c>
      <c r="B5342" s="4" t="str">
        <f>IFERROR(__xludf.DUMMYFUNCTION("""COMPUTED_VALUE"""),"$g")</f>
        <v>$g</v>
      </c>
      <c r="C5342" s="4" t="str">
        <f>IFERROR(__xludf.DUMMYFUNCTION("""COMPUTED_VALUE"""),"GoodDollar")</f>
        <v>GoodDollar</v>
      </c>
    </row>
    <row r="5343">
      <c r="A5343" s="4" t="str">
        <f>IFERROR(__xludf.DUMMYFUNCTION("""COMPUTED_VALUE"""),"good-entry")</f>
        <v>good-entry</v>
      </c>
      <c r="B5343" s="4" t="str">
        <f>IFERROR(__xludf.DUMMYFUNCTION("""COMPUTED_VALUE"""),"good")</f>
        <v>good</v>
      </c>
      <c r="C5343" s="4" t="str">
        <f>IFERROR(__xludf.DUMMYFUNCTION("""COMPUTED_VALUE"""),"Good Entry")</f>
        <v>Good Entry</v>
      </c>
    </row>
    <row r="5344">
      <c r="A5344" s="4" t="str">
        <f>IFERROR(__xludf.DUMMYFUNCTION("""COMPUTED_VALUE"""),"good-games-guild")</f>
        <v>good-games-guild</v>
      </c>
      <c r="B5344" s="4" t="str">
        <f>IFERROR(__xludf.DUMMYFUNCTION("""COMPUTED_VALUE"""),"ggg")</f>
        <v>ggg</v>
      </c>
      <c r="C5344" s="4" t="str">
        <f>IFERROR(__xludf.DUMMYFUNCTION("""COMPUTED_VALUE"""),"Good Games Guild")</f>
        <v>Good Games Guild</v>
      </c>
    </row>
    <row r="5345">
      <c r="A5345" s="4" t="str">
        <f>IFERROR(__xludf.DUMMYFUNCTION("""COMPUTED_VALUE"""),"good-gensler")</f>
        <v>good-gensler</v>
      </c>
      <c r="B5345" s="4" t="str">
        <f>IFERROR(__xludf.DUMMYFUNCTION("""COMPUTED_VALUE"""),"genslr")</f>
        <v>genslr</v>
      </c>
      <c r="C5345" s="4" t="str">
        <f>IFERROR(__xludf.DUMMYFUNCTION("""COMPUTED_VALUE"""),"Good Gensler")</f>
        <v>Good Gensler</v>
      </c>
    </row>
    <row r="5346">
      <c r="A5346" s="4" t="str">
        <f>IFERROR(__xludf.DUMMYFUNCTION("""COMPUTED_VALUE"""),"goodmeme")</f>
        <v>goodmeme</v>
      </c>
      <c r="B5346" s="4" t="str">
        <f>IFERROR(__xludf.DUMMYFUNCTION("""COMPUTED_VALUE"""),"gmeme")</f>
        <v>gmeme</v>
      </c>
      <c r="C5346" s="4" t="str">
        <f>IFERROR(__xludf.DUMMYFUNCTION("""COMPUTED_VALUE"""),"GoodMeme")</f>
        <v>GoodMeme</v>
      </c>
    </row>
    <row r="5347">
      <c r="A5347" s="4" t="str">
        <f>IFERROR(__xludf.DUMMYFUNCTION("""COMPUTED_VALUE"""),"good-morning-2")</f>
        <v>good-morning-2</v>
      </c>
      <c r="B5347" s="4" t="str">
        <f>IFERROR(__xludf.DUMMYFUNCTION("""COMPUTED_VALUE"""),"gm")</f>
        <v>gm</v>
      </c>
      <c r="C5347" s="4" t="str">
        <f>IFERROR(__xludf.DUMMYFUNCTION("""COMPUTED_VALUE"""),"Good Morning")</f>
        <v>Good Morning</v>
      </c>
    </row>
    <row r="5348">
      <c r="A5348" s="4" t="str">
        <f>IFERROR(__xludf.DUMMYFUNCTION("""COMPUTED_VALUE"""),"good-old-fashioned-un-registered-security")</f>
        <v>good-old-fashioned-un-registered-security</v>
      </c>
      <c r="B5348" s="4" t="str">
        <f>IFERROR(__xludf.DUMMYFUNCTION("""COMPUTED_VALUE"""),"gofurs")</f>
        <v>gofurs</v>
      </c>
      <c r="C5348" s="4" t="str">
        <f>IFERROR(__xludf.DUMMYFUNCTION("""COMPUTED_VALUE"""),"Good Old Fashioned Un Registered Security")</f>
        <v>Good Old Fashioned Un Registered Security</v>
      </c>
    </row>
    <row r="5349">
      <c r="A5349" s="4" t="str">
        <f>IFERROR(__xludf.DUMMYFUNCTION("""COMPUTED_VALUE"""),"good-person-coin")</f>
        <v>good-person-coin</v>
      </c>
      <c r="B5349" s="4" t="str">
        <f>IFERROR(__xludf.DUMMYFUNCTION("""COMPUTED_VALUE"""),"gpcx")</f>
        <v>gpcx</v>
      </c>
      <c r="C5349" s="4" t="str">
        <f>IFERROR(__xludf.DUMMYFUNCTION("""COMPUTED_VALUE"""),"Good Person Coin")</f>
        <v>Good Person Coin</v>
      </c>
    </row>
    <row r="5350">
      <c r="A5350" s="4" t="str">
        <f>IFERROR(__xludf.DUMMYFUNCTION("""COMPUTED_VALUE"""),"gooeys")</f>
        <v>gooeys</v>
      </c>
      <c r="B5350" s="4" t="str">
        <f>IFERROR(__xludf.DUMMYFUNCTION("""COMPUTED_VALUE"""),"goo")</f>
        <v>goo</v>
      </c>
      <c r="C5350" s="4" t="str">
        <f>IFERROR(__xludf.DUMMYFUNCTION("""COMPUTED_VALUE"""),"Gooeys")</f>
        <v>Gooeys</v>
      </c>
    </row>
    <row r="5351">
      <c r="A5351" s="4" t="str">
        <f>IFERROR(__xludf.DUMMYFUNCTION("""COMPUTED_VALUE"""),"goofy-inu")</f>
        <v>goofy-inu</v>
      </c>
      <c r="B5351" s="4" t="str">
        <f>IFERROR(__xludf.DUMMYFUNCTION("""COMPUTED_VALUE"""),"goofy")</f>
        <v>goofy</v>
      </c>
      <c r="C5351" s="4" t="str">
        <f>IFERROR(__xludf.DUMMYFUNCTION("""COMPUTED_VALUE"""),"Goofy Inu")</f>
        <v>Goofy Inu</v>
      </c>
    </row>
    <row r="5352">
      <c r="A5352" s="4" t="str">
        <f>IFERROR(__xludf.DUMMYFUNCTION("""COMPUTED_VALUE"""),"google-tokenized-stock-defichain")</f>
        <v>google-tokenized-stock-defichain</v>
      </c>
      <c r="B5352" s="4" t="str">
        <f>IFERROR(__xludf.DUMMYFUNCTION("""COMPUTED_VALUE"""),"dgoogl")</f>
        <v>dgoogl</v>
      </c>
      <c r="C5352" s="4" t="str">
        <f>IFERROR(__xludf.DUMMYFUNCTION("""COMPUTED_VALUE"""),"Google Tokenized Stock Defichain")</f>
        <v>Google Tokenized Stock Defichain</v>
      </c>
    </row>
    <row r="5353">
      <c r="A5353" s="4" t="str">
        <f>IFERROR(__xludf.DUMMYFUNCTION("""COMPUTED_VALUE"""),"goon")</f>
        <v>goon</v>
      </c>
      <c r="B5353" s="4" t="str">
        <f>IFERROR(__xludf.DUMMYFUNCTION("""COMPUTED_VALUE"""),"goon")</f>
        <v>goon</v>
      </c>
      <c r="C5353" s="4" t="str">
        <f>IFERROR(__xludf.DUMMYFUNCTION("""COMPUTED_VALUE"""),"GOON")</f>
        <v>GOON</v>
      </c>
    </row>
    <row r="5354">
      <c r="A5354" s="4" t="str">
        <f>IFERROR(__xludf.DUMMYFUNCTION("""COMPUTED_VALUE"""),"goons-of-balatroon")</f>
        <v>goons-of-balatroon</v>
      </c>
      <c r="B5354" s="4" t="str">
        <f>IFERROR(__xludf.DUMMYFUNCTION("""COMPUTED_VALUE"""),"gob")</f>
        <v>gob</v>
      </c>
      <c r="C5354" s="4" t="str">
        <f>IFERROR(__xludf.DUMMYFUNCTION("""COMPUTED_VALUE"""),"Goons of Balatroon")</f>
        <v>Goons of Balatroon</v>
      </c>
    </row>
    <row r="5355">
      <c r="A5355" s="4" t="str">
        <f>IFERROR(__xludf.DUMMYFUNCTION("""COMPUTED_VALUE"""),"goose-finance")</f>
        <v>goose-finance</v>
      </c>
      <c r="B5355" s="4" t="str">
        <f>IFERROR(__xludf.DUMMYFUNCTION("""COMPUTED_VALUE"""),"egg")</f>
        <v>egg</v>
      </c>
      <c r="C5355" s="4" t="str">
        <f>IFERROR(__xludf.DUMMYFUNCTION("""COMPUTED_VALUE"""),"Goose Finance")</f>
        <v>Goose Finance</v>
      </c>
    </row>
    <row r="5356">
      <c r="A5356" s="4" t="str">
        <f>IFERROR(__xludf.DUMMYFUNCTION("""COMPUTED_VALUE"""),"goosefx")</f>
        <v>goosefx</v>
      </c>
      <c r="B5356" s="4" t="str">
        <f>IFERROR(__xludf.DUMMYFUNCTION("""COMPUTED_VALUE"""),"gofx")</f>
        <v>gofx</v>
      </c>
      <c r="C5356" s="4" t="str">
        <f>IFERROR(__xludf.DUMMYFUNCTION("""COMPUTED_VALUE"""),"GooseFX")</f>
        <v>GooseFX</v>
      </c>
    </row>
    <row r="5357">
      <c r="A5357" s="4" t="str">
        <f>IFERROR(__xludf.DUMMYFUNCTION("""COMPUTED_VALUE"""),"goracle-network")</f>
        <v>goracle-network</v>
      </c>
      <c r="B5357" s="4" t="str">
        <f>IFERROR(__xludf.DUMMYFUNCTION("""COMPUTED_VALUE"""),"gora")</f>
        <v>gora</v>
      </c>
      <c r="C5357" s="4" t="str">
        <f>IFERROR(__xludf.DUMMYFUNCTION("""COMPUTED_VALUE"""),"Gora")</f>
        <v>Gora</v>
      </c>
    </row>
    <row r="5358">
      <c r="A5358" s="4" t="str">
        <f>IFERROR(__xludf.DUMMYFUNCTION("""COMPUTED_VALUE"""),"goricher")</f>
        <v>goricher</v>
      </c>
      <c r="B5358" s="4" t="str">
        <f>IFERROR(__xludf.DUMMYFUNCTION("""COMPUTED_VALUE"""),"goricher")</f>
        <v>goricher</v>
      </c>
      <c r="C5358" s="4" t="str">
        <f>IFERROR(__xludf.DUMMYFUNCTION("""COMPUTED_VALUE"""),"Goricher")</f>
        <v>Goricher</v>
      </c>
    </row>
    <row r="5359">
      <c r="A5359" s="4" t="str">
        <f>IFERROR(__xludf.DUMMYFUNCTION("""COMPUTED_VALUE"""),"gorilla")</f>
        <v>gorilla</v>
      </c>
      <c r="B5359" s="4" t="str">
        <f>IFERROR(__xludf.DUMMYFUNCTION("""COMPUTED_VALUE"""),"gorilla")</f>
        <v>gorilla</v>
      </c>
      <c r="C5359" s="4" t="str">
        <f>IFERROR(__xludf.DUMMYFUNCTION("""COMPUTED_VALUE"""),"Gorilla")</f>
        <v>Gorilla</v>
      </c>
    </row>
    <row r="5360">
      <c r="A5360" s="4" t="str">
        <f>IFERROR(__xludf.DUMMYFUNCTION("""COMPUTED_VALUE"""),"gorilla-2")</f>
        <v>gorilla-2</v>
      </c>
      <c r="B5360" s="4" t="str">
        <f>IFERROR(__xludf.DUMMYFUNCTION("""COMPUTED_VALUE"""),"gorilla")</f>
        <v>gorilla</v>
      </c>
      <c r="C5360" s="4" t="str">
        <f>IFERROR(__xludf.DUMMYFUNCTION("""COMPUTED_VALUE"""),"GORILLA")</f>
        <v>GORILLA</v>
      </c>
    </row>
    <row r="5361">
      <c r="A5361" s="4" t="str">
        <f>IFERROR(__xludf.DUMMYFUNCTION("""COMPUTED_VALUE"""),"gorilla-finance")</f>
        <v>gorilla-finance</v>
      </c>
      <c r="B5361" s="4" t="str">
        <f>IFERROR(__xludf.DUMMYFUNCTION("""COMPUTED_VALUE"""),"gorilla")</f>
        <v>gorilla</v>
      </c>
      <c r="C5361" s="4" t="str">
        <f>IFERROR(__xludf.DUMMYFUNCTION("""COMPUTED_VALUE"""),"Gorilla Finance")</f>
        <v>Gorilla Finance</v>
      </c>
    </row>
    <row r="5362">
      <c r="A5362" s="4" t="str">
        <f>IFERROR(__xludf.DUMMYFUNCTION("""COMPUTED_VALUE"""),"gorilla-in-a-coupe")</f>
        <v>gorilla-in-a-coupe</v>
      </c>
      <c r="B5362" s="4" t="str">
        <f>IFERROR(__xludf.DUMMYFUNCTION("""COMPUTED_VALUE"""),"giac")</f>
        <v>giac</v>
      </c>
      <c r="C5362" s="4" t="str">
        <f>IFERROR(__xludf.DUMMYFUNCTION("""COMPUTED_VALUE"""),"Gorilla In A Coupe")</f>
        <v>Gorilla In A Coupe</v>
      </c>
    </row>
    <row r="5363">
      <c r="A5363" s="4" t="str">
        <f>IFERROR(__xludf.DUMMYFUNCTION("""COMPUTED_VALUE"""),"gosh")</f>
        <v>gosh</v>
      </c>
      <c r="B5363" s="4" t="str">
        <f>IFERROR(__xludf.DUMMYFUNCTION("""COMPUTED_VALUE"""),"gosh")</f>
        <v>gosh</v>
      </c>
      <c r="C5363" s="4" t="str">
        <f>IFERROR(__xludf.DUMMYFUNCTION("""COMPUTED_VALUE"""),"GOSH")</f>
        <v>GOSH</v>
      </c>
    </row>
    <row r="5364">
      <c r="A5364" s="4" t="str">
        <f>IFERROR(__xludf.DUMMYFUNCTION("""COMPUTED_VALUE"""),"gotem")</f>
        <v>gotem</v>
      </c>
      <c r="B5364" s="4" t="str">
        <f>IFERROR(__xludf.DUMMYFUNCTION("""COMPUTED_VALUE"""),"gotem")</f>
        <v>gotem</v>
      </c>
      <c r="C5364" s="4" t="str">
        <f>IFERROR(__xludf.DUMMYFUNCTION("""COMPUTED_VALUE"""),"gotEM")</f>
        <v>gotEM</v>
      </c>
    </row>
    <row r="5365">
      <c r="A5365" s="4" t="str">
        <f>IFERROR(__xludf.DUMMYFUNCTION("""COMPUTED_VALUE"""),"got-guaranteed")</f>
        <v>got-guaranteed</v>
      </c>
      <c r="B5365" s="4" t="str">
        <f>IFERROR(__xludf.DUMMYFUNCTION("""COMPUTED_VALUE"""),"gotg")</f>
        <v>gotg</v>
      </c>
      <c r="C5365" s="4" t="str">
        <f>IFERROR(__xludf.DUMMYFUNCTION("""COMPUTED_VALUE"""),"Got Guaranteed")</f>
        <v>Got Guaranteed</v>
      </c>
    </row>
    <row r="5366">
      <c r="A5366" s="4" t="str">
        <f>IFERROR(__xludf.DUMMYFUNCTION("""COMPUTED_VALUE"""),"gourmetgalaxy")</f>
        <v>gourmetgalaxy</v>
      </c>
      <c r="B5366" s="4" t="str">
        <f>IFERROR(__xludf.DUMMYFUNCTION("""COMPUTED_VALUE"""),"gum")</f>
        <v>gum</v>
      </c>
      <c r="C5366" s="4" t="str">
        <f>IFERROR(__xludf.DUMMYFUNCTION("""COMPUTED_VALUE"""),"Gourmet Galaxy")</f>
        <v>Gourmet Galaxy</v>
      </c>
    </row>
    <row r="5367">
      <c r="A5367" s="4" t="str">
        <f>IFERROR(__xludf.DUMMYFUNCTION("""COMPUTED_VALUE"""),"governance-algo")</f>
        <v>governance-algo</v>
      </c>
      <c r="B5367" s="4" t="str">
        <f>IFERROR(__xludf.DUMMYFUNCTION("""COMPUTED_VALUE"""),"galgo")</f>
        <v>galgo</v>
      </c>
      <c r="C5367" s="4" t="str">
        <f>IFERROR(__xludf.DUMMYFUNCTION("""COMPUTED_VALUE"""),"Governance Algo")</f>
        <v>Governance Algo</v>
      </c>
    </row>
    <row r="5368">
      <c r="A5368" s="4" t="str">
        <f>IFERROR(__xludf.DUMMYFUNCTION("""COMPUTED_VALUE"""),"governance-ohm")</f>
        <v>governance-ohm</v>
      </c>
      <c r="B5368" s="4" t="str">
        <f>IFERROR(__xludf.DUMMYFUNCTION("""COMPUTED_VALUE"""),"gohm")</f>
        <v>gohm</v>
      </c>
      <c r="C5368" s="4" t="str">
        <f>IFERROR(__xludf.DUMMYFUNCTION("""COMPUTED_VALUE"""),"Governance OHM")</f>
        <v>Governance OHM</v>
      </c>
    </row>
    <row r="5369">
      <c r="A5369" s="4" t="str">
        <f>IFERROR(__xludf.DUMMYFUNCTION("""COMPUTED_VALUE"""),"governance-vec")</f>
        <v>governance-vec</v>
      </c>
      <c r="B5369" s="4" t="str">
        <f>IFERROR(__xludf.DUMMYFUNCTION("""COMPUTED_VALUE"""),"gvec")</f>
        <v>gvec</v>
      </c>
      <c r="C5369" s="4" t="str">
        <f>IFERROR(__xludf.DUMMYFUNCTION("""COMPUTED_VALUE"""),"Governance VEC")</f>
        <v>Governance VEC</v>
      </c>
    </row>
    <row r="5370">
      <c r="A5370" s="4" t="str">
        <f>IFERROR(__xludf.DUMMYFUNCTION("""COMPUTED_VALUE"""),"governance-xalgo")</f>
        <v>governance-xalgo</v>
      </c>
      <c r="B5370" s="4" t="str">
        <f>IFERROR(__xludf.DUMMYFUNCTION("""COMPUTED_VALUE"""),"xalgo")</f>
        <v>xalgo</v>
      </c>
      <c r="C5370" s="4" t="str">
        <f>IFERROR(__xludf.DUMMYFUNCTION("""COMPUTED_VALUE"""),"Governance xALGO")</f>
        <v>Governance xALGO</v>
      </c>
    </row>
    <row r="5371">
      <c r="A5371" s="4" t="str">
        <f>IFERROR(__xludf.DUMMYFUNCTION("""COMPUTED_VALUE"""),"governance-zil")</f>
        <v>governance-zil</v>
      </c>
      <c r="B5371" s="4" t="str">
        <f>IFERROR(__xludf.DUMMYFUNCTION("""COMPUTED_VALUE"""),"gzil")</f>
        <v>gzil</v>
      </c>
      <c r="C5371" s="4" t="str">
        <f>IFERROR(__xludf.DUMMYFUNCTION("""COMPUTED_VALUE"""),"governance ZIL")</f>
        <v>governance ZIL</v>
      </c>
    </row>
    <row r="5372">
      <c r="A5372" s="4" t="str">
        <f>IFERROR(__xludf.DUMMYFUNCTION("""COMPUTED_VALUE"""),"governor-dao")</f>
        <v>governor-dao</v>
      </c>
      <c r="B5372" s="4" t="str">
        <f>IFERROR(__xludf.DUMMYFUNCTION("""COMPUTED_VALUE"""),"gdao")</f>
        <v>gdao</v>
      </c>
      <c r="C5372" s="4" t="str">
        <f>IFERROR(__xludf.DUMMYFUNCTION("""COMPUTED_VALUE"""),"Governor DAO")</f>
        <v>Governor DAO</v>
      </c>
    </row>
    <row r="5373">
      <c r="A5373" s="4" t="str">
        <f>IFERROR(__xludf.DUMMYFUNCTION("""COMPUTED_VALUE"""),"govi")</f>
        <v>govi</v>
      </c>
      <c r="B5373" s="4" t="str">
        <f>IFERROR(__xludf.DUMMYFUNCTION("""COMPUTED_VALUE"""),"govi")</f>
        <v>govi</v>
      </c>
      <c r="C5373" s="4" t="str">
        <f>IFERROR(__xludf.DUMMYFUNCTION("""COMPUTED_VALUE"""),"CVI")</f>
        <v>CVI</v>
      </c>
    </row>
    <row r="5374">
      <c r="A5374" s="4" t="str">
        <f>IFERROR(__xludf.DUMMYFUNCTION("""COMPUTED_VALUE"""),"govworld")</f>
        <v>govworld</v>
      </c>
      <c r="B5374" s="4" t="str">
        <f>IFERROR(__xludf.DUMMYFUNCTION("""COMPUTED_VALUE"""),"gov")</f>
        <v>gov</v>
      </c>
      <c r="C5374" s="4" t="str">
        <f>IFERROR(__xludf.DUMMYFUNCTION("""COMPUTED_VALUE"""),"GovWorld")</f>
        <v>GovWorld</v>
      </c>
    </row>
    <row r="5375">
      <c r="A5375" s="4" t="str">
        <f>IFERROR(__xludf.DUMMYFUNCTION("""COMPUTED_VALUE"""),"gowithmi")</f>
        <v>gowithmi</v>
      </c>
      <c r="B5375" s="4" t="str">
        <f>IFERROR(__xludf.DUMMYFUNCTION("""COMPUTED_VALUE"""),"gmat")</f>
        <v>gmat</v>
      </c>
      <c r="C5375" s="4" t="str">
        <f>IFERROR(__xludf.DUMMYFUNCTION("""COMPUTED_VALUE"""),"GoWithMi")</f>
        <v>GoWithMi</v>
      </c>
    </row>
    <row r="5376">
      <c r="A5376" s="4" t="str">
        <f>IFERROR(__xludf.DUMMYFUNCTION("""COMPUTED_VALUE"""),"gowrap")</f>
        <v>gowrap</v>
      </c>
      <c r="B5376" s="4" t="str">
        <f>IFERROR(__xludf.DUMMYFUNCTION("""COMPUTED_VALUE"""),"gwgw")</f>
        <v>gwgw</v>
      </c>
      <c r="C5376" s="4" t="str">
        <f>IFERROR(__xludf.DUMMYFUNCTION("""COMPUTED_VALUE"""),"GoWrap")</f>
        <v>GoWrap</v>
      </c>
    </row>
    <row r="5377">
      <c r="A5377" s="4" t="str">
        <f>IFERROR(__xludf.DUMMYFUNCTION("""COMPUTED_VALUE"""),"goyoo")</f>
        <v>goyoo</v>
      </c>
      <c r="B5377" s="4" t="str">
        <f>IFERROR(__xludf.DUMMYFUNCTION("""COMPUTED_VALUE"""),"goyoo")</f>
        <v>goyoo</v>
      </c>
      <c r="C5377" s="4" t="str">
        <f>IFERROR(__xludf.DUMMYFUNCTION("""COMPUTED_VALUE"""),"GoYoo")</f>
        <v>GoYoo</v>
      </c>
    </row>
    <row r="5378">
      <c r="A5378" s="4" t="str">
        <f>IFERROR(__xludf.DUMMYFUNCTION("""COMPUTED_VALUE"""),"goztepe-s-k-fan-token")</f>
        <v>goztepe-s-k-fan-token</v>
      </c>
      <c r="B5378" s="4" t="str">
        <f>IFERROR(__xludf.DUMMYFUNCTION("""COMPUTED_VALUE"""),"goz")</f>
        <v>goz</v>
      </c>
      <c r="C5378" s="4" t="str">
        <f>IFERROR(__xludf.DUMMYFUNCTION("""COMPUTED_VALUE"""),"Göztepe S.K. Fan Token")</f>
        <v>Göztepe S.K. Fan Token</v>
      </c>
    </row>
    <row r="5379">
      <c r="A5379" s="4" t="str">
        <f>IFERROR(__xludf.DUMMYFUNCTION("""COMPUTED_VALUE"""),"gp-coin")</f>
        <v>gp-coin</v>
      </c>
      <c r="B5379" s="4" t="str">
        <f>IFERROR(__xludf.DUMMYFUNCTION("""COMPUTED_VALUE"""),"xgp")</f>
        <v>xgp</v>
      </c>
      <c r="C5379" s="4" t="str">
        <f>IFERROR(__xludf.DUMMYFUNCTION("""COMPUTED_VALUE"""),"GP Coin")</f>
        <v>GP Coin</v>
      </c>
    </row>
    <row r="5380">
      <c r="A5380" s="4" t="str">
        <f>IFERROR(__xludf.DUMMYFUNCTION("""COMPUTED_VALUE"""),"gpt-ai")</f>
        <v>gpt-ai</v>
      </c>
      <c r="B5380" s="4" t="str">
        <f>IFERROR(__xludf.DUMMYFUNCTION("""COMPUTED_VALUE"""),"ai")</f>
        <v>ai</v>
      </c>
      <c r="C5380" s="4" t="str">
        <f>IFERROR(__xludf.DUMMYFUNCTION("""COMPUTED_VALUE"""),"GPT AI")</f>
        <v>GPT AI</v>
      </c>
    </row>
    <row r="5381">
      <c r="A5381" s="4" t="str">
        <f>IFERROR(__xludf.DUMMYFUNCTION("""COMPUTED_VALUE"""),"gptplus")</f>
        <v>gptplus</v>
      </c>
      <c r="B5381" s="4" t="str">
        <f>IFERROR(__xludf.DUMMYFUNCTION("""COMPUTED_VALUE"""),"gptplus")</f>
        <v>gptplus</v>
      </c>
      <c r="C5381" s="4" t="str">
        <f>IFERROR(__xludf.DUMMYFUNCTION("""COMPUTED_VALUE"""),"GPTPlus")</f>
        <v>GPTPlus</v>
      </c>
    </row>
    <row r="5382">
      <c r="A5382" s="4" t="str">
        <f>IFERROR(__xludf.DUMMYFUNCTION("""COMPUTED_VALUE"""),"gpt-protocol")</f>
        <v>gpt-protocol</v>
      </c>
      <c r="B5382" s="4" t="str">
        <f>IFERROR(__xludf.DUMMYFUNCTION("""COMPUTED_VALUE"""),"gpt")</f>
        <v>gpt</v>
      </c>
      <c r="C5382" s="4" t="str">
        <f>IFERROR(__xludf.DUMMYFUNCTION("""COMPUTED_VALUE"""),"GPT Protocol")</f>
        <v>GPT Protocol</v>
      </c>
    </row>
    <row r="5383">
      <c r="A5383" s="4" t="str">
        <f>IFERROR(__xludf.DUMMYFUNCTION("""COMPUTED_VALUE"""),"gptverse")</f>
        <v>gptverse</v>
      </c>
      <c r="B5383" s="4" t="str">
        <f>IFERROR(__xludf.DUMMYFUNCTION("""COMPUTED_VALUE"""),"gptv")</f>
        <v>gptv</v>
      </c>
      <c r="C5383" s="4" t="str">
        <f>IFERROR(__xludf.DUMMYFUNCTION("""COMPUTED_VALUE"""),"GPTVerse")</f>
        <v>GPTVerse</v>
      </c>
    </row>
    <row r="5384">
      <c r="A5384" s="4" t="str">
        <f>IFERROR(__xludf.DUMMYFUNCTION("""COMPUTED_VALUE"""),"gpubot")</f>
        <v>gpubot</v>
      </c>
      <c r="B5384" s="4" t="str">
        <f>IFERROR(__xludf.DUMMYFUNCTION("""COMPUTED_VALUE"""),"gpubot")</f>
        <v>gpubot</v>
      </c>
      <c r="C5384" s="4" t="str">
        <f>IFERROR(__xludf.DUMMYFUNCTION("""COMPUTED_VALUE"""),"GPUBot")</f>
        <v>GPUBot</v>
      </c>
    </row>
    <row r="5385">
      <c r="A5385" s="4" t="str">
        <f>IFERROR(__xludf.DUMMYFUNCTION("""COMPUTED_VALUE"""),"gpu-inu")</f>
        <v>gpu-inu</v>
      </c>
      <c r="B5385" s="4" t="str">
        <f>IFERROR(__xludf.DUMMYFUNCTION("""COMPUTED_VALUE"""),"gpuinu")</f>
        <v>gpuinu</v>
      </c>
      <c r="C5385" s="4" t="str">
        <f>IFERROR(__xludf.DUMMYFUNCTION("""COMPUTED_VALUE"""),"GPU Inu")</f>
        <v>GPU Inu</v>
      </c>
    </row>
    <row r="5386">
      <c r="A5386" s="4" t="str">
        <f>IFERROR(__xludf.DUMMYFUNCTION("""COMPUTED_VALUE"""),"grabcoinclub")</f>
        <v>grabcoinclub</v>
      </c>
      <c r="B5386" s="4" t="str">
        <f>IFERROR(__xludf.DUMMYFUNCTION("""COMPUTED_VALUE"""),"gc")</f>
        <v>gc</v>
      </c>
      <c r="C5386" s="4" t="str">
        <f>IFERROR(__xludf.DUMMYFUNCTION("""COMPUTED_VALUE"""),"GrabCoinClub")</f>
        <v>GrabCoinClub</v>
      </c>
    </row>
    <row r="5387">
      <c r="A5387" s="4" t="str">
        <f>IFERROR(__xludf.DUMMYFUNCTION("""COMPUTED_VALUE"""),"grabpenny")</f>
        <v>grabpenny</v>
      </c>
      <c r="B5387" s="4" t="str">
        <f>IFERROR(__xludf.DUMMYFUNCTION("""COMPUTED_VALUE"""),"gp")</f>
        <v>gp</v>
      </c>
      <c r="C5387" s="4" t="str">
        <f>IFERROR(__xludf.DUMMYFUNCTION("""COMPUTED_VALUE"""),"GrabPenny")</f>
        <v>GrabPenny</v>
      </c>
    </row>
    <row r="5388">
      <c r="A5388" s="4" t="str">
        <f>IFERROR(__xludf.DUMMYFUNCTION("""COMPUTED_VALUE"""),"gracy")</f>
        <v>gracy</v>
      </c>
      <c r="B5388" s="4" t="str">
        <f>IFERROR(__xludf.DUMMYFUNCTION("""COMPUTED_VALUE"""),"gracy")</f>
        <v>gracy</v>
      </c>
      <c r="C5388" s="4" t="str">
        <f>IFERROR(__xludf.DUMMYFUNCTION("""COMPUTED_VALUE"""),"Gracy")</f>
        <v>Gracy</v>
      </c>
    </row>
    <row r="5389">
      <c r="A5389" s="4" t="str">
        <f>IFERROR(__xludf.DUMMYFUNCTION("""COMPUTED_VALUE"""),"grai")</f>
        <v>grai</v>
      </c>
      <c r="B5389" s="4" t="str">
        <f>IFERROR(__xludf.DUMMYFUNCTION("""COMPUTED_VALUE"""),"grai")</f>
        <v>grai</v>
      </c>
      <c r="C5389" s="4" t="str">
        <f>IFERROR(__xludf.DUMMYFUNCTION("""COMPUTED_VALUE"""),"Grai")</f>
        <v>Grai</v>
      </c>
    </row>
    <row r="5390">
      <c r="A5390" s="4" t="str">
        <f>IFERROR(__xludf.DUMMYFUNCTION("""COMPUTED_VALUE"""),"grail-inu")</f>
        <v>grail-inu</v>
      </c>
      <c r="B5390" s="4" t="str">
        <f>IFERROR(__xludf.DUMMYFUNCTION("""COMPUTED_VALUE"""),"igrail")</f>
        <v>igrail</v>
      </c>
      <c r="C5390" s="4" t="str">
        <f>IFERROR(__xludf.DUMMYFUNCTION("""COMPUTED_VALUE"""),"Grail Inu")</f>
        <v>Grail Inu</v>
      </c>
    </row>
    <row r="5391">
      <c r="A5391" s="4" t="str">
        <f>IFERROR(__xludf.DUMMYFUNCTION("""COMPUTED_VALUE"""),"gram-2")</f>
        <v>gram-2</v>
      </c>
      <c r="B5391" s="4" t="str">
        <f>IFERROR(__xludf.DUMMYFUNCTION("""COMPUTED_VALUE"""),"gram")</f>
        <v>gram</v>
      </c>
      <c r="C5391" s="4" t="str">
        <f>IFERROR(__xludf.DUMMYFUNCTION("""COMPUTED_VALUE"""),"Gram")</f>
        <v>Gram</v>
      </c>
    </row>
    <row r="5392">
      <c r="A5392" s="4" t="str">
        <f>IFERROR(__xludf.DUMMYFUNCTION("""COMPUTED_VALUE"""),"gram-gold")</f>
        <v>gram-gold</v>
      </c>
      <c r="B5392" s="4" t="str">
        <f>IFERROR(__xludf.DUMMYFUNCTION("""COMPUTED_VALUE"""),"gramg")</f>
        <v>gramg</v>
      </c>
      <c r="C5392" s="4" t="str">
        <f>IFERROR(__xludf.DUMMYFUNCTION("""COMPUTED_VALUE"""),"Gram Gold")</f>
        <v>Gram Gold</v>
      </c>
    </row>
    <row r="5393">
      <c r="A5393" s="4" t="str">
        <f>IFERROR(__xludf.DUMMYFUNCTION("""COMPUTED_VALUE"""),"gram-platinum")</f>
        <v>gram-platinum</v>
      </c>
      <c r="B5393" s="4" t="str">
        <f>IFERROR(__xludf.DUMMYFUNCTION("""COMPUTED_VALUE"""),"gramp")</f>
        <v>gramp</v>
      </c>
      <c r="C5393" s="4" t="str">
        <f>IFERROR(__xludf.DUMMYFUNCTION("""COMPUTED_VALUE"""),"Gram Platinum")</f>
        <v>Gram Platinum</v>
      </c>
    </row>
    <row r="5394">
      <c r="A5394" s="4" t="str">
        <f>IFERROR(__xludf.DUMMYFUNCTION("""COMPUTED_VALUE"""),"gram-silver")</f>
        <v>gram-silver</v>
      </c>
      <c r="B5394" s="4" t="str">
        <f>IFERROR(__xludf.DUMMYFUNCTION("""COMPUTED_VALUE"""),"grams")</f>
        <v>grams</v>
      </c>
      <c r="C5394" s="4" t="str">
        <f>IFERROR(__xludf.DUMMYFUNCTION("""COMPUTED_VALUE"""),"Gram Silver")</f>
        <v>Gram Silver</v>
      </c>
    </row>
    <row r="5395">
      <c r="A5395" s="4" t="str">
        <f>IFERROR(__xludf.DUMMYFUNCTION("""COMPUTED_VALUE"""),"granary")</f>
        <v>granary</v>
      </c>
      <c r="B5395" s="4" t="str">
        <f>IFERROR(__xludf.DUMMYFUNCTION("""COMPUTED_VALUE"""),"grain")</f>
        <v>grain</v>
      </c>
      <c r="C5395" s="4" t="str">
        <f>IFERROR(__xludf.DUMMYFUNCTION("""COMPUTED_VALUE"""),"Granary")</f>
        <v>Granary</v>
      </c>
    </row>
    <row r="5396">
      <c r="A5396" s="4" t="str">
        <f>IFERROR(__xludf.DUMMYFUNCTION("""COMPUTED_VALUE"""),"grand-base")</f>
        <v>grand-base</v>
      </c>
      <c r="B5396" s="4" t="str">
        <f>IFERROR(__xludf.DUMMYFUNCTION("""COMPUTED_VALUE"""),"gb")</f>
        <v>gb</v>
      </c>
      <c r="C5396" s="4" t="str">
        <f>IFERROR(__xludf.DUMMYFUNCTION("""COMPUTED_VALUE"""),"Grand Base")</f>
        <v>Grand Base</v>
      </c>
    </row>
    <row r="5397">
      <c r="A5397" s="4" t="str">
        <f>IFERROR(__xludf.DUMMYFUNCTION("""COMPUTED_VALUE"""),"grand-theft-degens")</f>
        <v>grand-theft-degens</v>
      </c>
      <c r="B5397" s="4" t="str">
        <f>IFERROR(__xludf.DUMMYFUNCTION("""COMPUTED_VALUE"""),"gtd")</f>
        <v>gtd</v>
      </c>
      <c r="C5397" s="4" t="str">
        <f>IFERROR(__xludf.DUMMYFUNCTION("""COMPUTED_VALUE"""),"Grand Theft Degens")</f>
        <v>Grand Theft Degens</v>
      </c>
    </row>
    <row r="5398">
      <c r="A5398" s="4" t="str">
        <f>IFERROR(__xludf.DUMMYFUNCTION("""COMPUTED_VALUE"""),"grape-2")</f>
        <v>grape-2</v>
      </c>
      <c r="B5398" s="4" t="str">
        <f>IFERROR(__xludf.DUMMYFUNCTION("""COMPUTED_VALUE"""),"grape")</f>
        <v>grape</v>
      </c>
      <c r="C5398" s="4" t="str">
        <f>IFERROR(__xludf.DUMMYFUNCTION("""COMPUTED_VALUE"""),"Grape Protocol")</f>
        <v>Grape Protocol</v>
      </c>
    </row>
    <row r="5399">
      <c r="A5399" s="4" t="str">
        <f>IFERROR(__xludf.DUMMYFUNCTION("""COMPUTED_VALUE"""),"grape-2-2")</f>
        <v>grape-2-2</v>
      </c>
      <c r="B5399" s="4" t="str">
        <f>IFERROR(__xludf.DUMMYFUNCTION("""COMPUTED_VALUE"""),"grp")</f>
        <v>grp</v>
      </c>
      <c r="C5399" s="4" t="str">
        <f>IFERROR(__xludf.DUMMYFUNCTION("""COMPUTED_VALUE"""),"Grape")</f>
        <v>Grape</v>
      </c>
    </row>
    <row r="5400">
      <c r="A5400" s="4" t="str">
        <f>IFERROR(__xludf.DUMMYFUNCTION("""COMPUTED_VALUE"""),"grape-finance")</f>
        <v>grape-finance</v>
      </c>
      <c r="B5400" s="4" t="str">
        <f>IFERROR(__xludf.DUMMYFUNCTION("""COMPUTED_VALUE"""),"grape")</f>
        <v>grape</v>
      </c>
      <c r="C5400" s="4" t="str">
        <f>IFERROR(__xludf.DUMMYFUNCTION("""COMPUTED_VALUE"""),"Grape Finance")</f>
        <v>Grape Finance</v>
      </c>
    </row>
    <row r="5401">
      <c r="A5401" s="4" t="str">
        <f>IFERROR(__xludf.DUMMYFUNCTION("""COMPUTED_VALUE"""),"grape-governance-token")</f>
        <v>grape-governance-token</v>
      </c>
      <c r="B5401" s="4" t="str">
        <f>IFERROR(__xludf.DUMMYFUNCTION("""COMPUTED_VALUE"""),"ggt")</f>
        <v>ggt</v>
      </c>
      <c r="C5401" s="4" t="str">
        <f>IFERROR(__xludf.DUMMYFUNCTION("""COMPUTED_VALUE"""),"Grape Governance Token")</f>
        <v>Grape Governance Token</v>
      </c>
    </row>
    <row r="5402">
      <c r="A5402" s="4" t="str">
        <f>IFERROR(__xludf.DUMMYFUNCTION("""COMPUTED_VALUE"""),"graphite-protocol")</f>
        <v>graphite-protocol</v>
      </c>
      <c r="B5402" s="4" t="str">
        <f>IFERROR(__xludf.DUMMYFUNCTION("""COMPUTED_VALUE"""),"gp")</f>
        <v>gp</v>
      </c>
      <c r="C5402" s="4" t="str">
        <f>IFERROR(__xludf.DUMMYFUNCTION("""COMPUTED_VALUE"""),"Graphite Protocol")</f>
        <v>Graphite Protocol</v>
      </c>
    </row>
    <row r="5403">
      <c r="A5403" s="4" t="str">
        <f>IFERROR(__xludf.DUMMYFUNCTION("""COMPUTED_VALUE"""),"graphlinq-protocol")</f>
        <v>graphlinq-protocol</v>
      </c>
      <c r="B5403" s="4" t="str">
        <f>IFERROR(__xludf.DUMMYFUNCTION("""COMPUTED_VALUE"""),"glq")</f>
        <v>glq</v>
      </c>
      <c r="C5403" s="4" t="str">
        <f>IFERROR(__xludf.DUMMYFUNCTION("""COMPUTED_VALUE"""),"GraphLinq Chain")</f>
        <v>GraphLinq Chain</v>
      </c>
    </row>
    <row r="5404">
      <c r="A5404" s="4" t="str">
        <f>IFERROR(__xludf.DUMMYFUNCTION("""COMPUTED_VALUE"""),"grave")</f>
        <v>grave</v>
      </c>
      <c r="B5404" s="4" t="str">
        <f>IFERROR(__xludf.DUMMYFUNCTION("""COMPUTED_VALUE"""),"grve")</f>
        <v>grve</v>
      </c>
      <c r="C5404" s="4" t="str">
        <f>IFERROR(__xludf.DUMMYFUNCTION("""COMPUTED_VALUE"""),"Grave")</f>
        <v>Grave</v>
      </c>
    </row>
    <row r="5405">
      <c r="A5405" s="4" t="str">
        <f>IFERROR(__xludf.DUMMYFUNCTION("""COMPUTED_VALUE"""),"graviocoin")</f>
        <v>graviocoin</v>
      </c>
      <c r="B5405" s="4" t="str">
        <f>IFERROR(__xludf.DUMMYFUNCTION("""COMPUTED_VALUE"""),"gio")</f>
        <v>gio</v>
      </c>
      <c r="C5405" s="4" t="str">
        <f>IFERROR(__xludf.DUMMYFUNCTION("""COMPUTED_VALUE"""),"Graviocoin")</f>
        <v>Graviocoin</v>
      </c>
    </row>
    <row r="5406">
      <c r="A5406" s="4" t="str">
        <f>IFERROR(__xludf.DUMMYFUNCTION("""COMPUTED_VALUE"""),"gravitas")</f>
        <v>gravitas</v>
      </c>
      <c r="B5406" s="4" t="str">
        <f>IFERROR(__xludf.DUMMYFUNCTION("""COMPUTED_VALUE"""),"gravitas")</f>
        <v>gravitas</v>
      </c>
      <c r="C5406" s="4" t="str">
        <f>IFERROR(__xludf.DUMMYFUNCTION("""COMPUTED_VALUE"""),"Gravitas")</f>
        <v>Gravitas</v>
      </c>
    </row>
    <row r="5407">
      <c r="A5407" s="4" t="str">
        <f>IFERROR(__xludf.DUMMYFUNCTION("""COMPUTED_VALUE"""),"graviton")</f>
        <v>graviton</v>
      </c>
      <c r="B5407" s="4" t="str">
        <f>IFERROR(__xludf.DUMMYFUNCTION("""COMPUTED_VALUE"""),"grav")</f>
        <v>grav</v>
      </c>
      <c r="C5407" s="4" t="str">
        <f>IFERROR(__xludf.DUMMYFUNCTION("""COMPUTED_VALUE"""),"Graviton")</f>
        <v>Graviton</v>
      </c>
    </row>
    <row r="5408">
      <c r="A5408" s="4" t="str">
        <f>IFERROR(__xludf.DUMMYFUNCTION("""COMPUTED_VALUE"""),"gravitron")</f>
        <v>gravitron</v>
      </c>
      <c r="B5408" s="4" t="str">
        <f>IFERROR(__xludf.DUMMYFUNCTION("""COMPUTED_VALUE"""),"gtron")</f>
        <v>gtron</v>
      </c>
      <c r="C5408" s="4" t="str">
        <f>IFERROR(__xludf.DUMMYFUNCTION("""COMPUTED_VALUE"""),"Gravitron")</f>
        <v>Gravitron</v>
      </c>
    </row>
    <row r="5409">
      <c r="A5409" s="4" t="str">
        <f>IFERROR(__xludf.DUMMYFUNCTION("""COMPUTED_VALUE"""),"gravity-bridge-dai")</f>
        <v>gravity-bridge-dai</v>
      </c>
      <c r="B5409" s="4" t="str">
        <f>IFERROR(__xludf.DUMMYFUNCTION("""COMPUTED_VALUE"""),"g-dai")</f>
        <v>g-dai</v>
      </c>
      <c r="C5409" s="4" t="str">
        <f>IFERROR(__xludf.DUMMYFUNCTION("""COMPUTED_VALUE"""),"Gravity Bridge DAI")</f>
        <v>Gravity Bridge DAI</v>
      </c>
    </row>
    <row r="5410">
      <c r="A5410" s="4" t="str">
        <f>IFERROR(__xludf.DUMMYFUNCTION("""COMPUTED_VALUE"""),"gravity-bridge-usdc")</f>
        <v>gravity-bridge-usdc</v>
      </c>
      <c r="B5410" s="4" t="str">
        <f>IFERROR(__xludf.DUMMYFUNCTION("""COMPUTED_VALUE"""),"g-usdc")</f>
        <v>g-usdc</v>
      </c>
      <c r="C5410" s="4" t="str">
        <f>IFERROR(__xludf.DUMMYFUNCTION("""COMPUTED_VALUE"""),"Bridged USD Coin (Gravity Bridge)")</f>
        <v>Bridged USD Coin (Gravity Bridge)</v>
      </c>
    </row>
    <row r="5411">
      <c r="A5411" s="4" t="str">
        <f>IFERROR(__xludf.DUMMYFUNCTION("""COMPUTED_VALUE"""),"gravity-finance")</f>
        <v>gravity-finance</v>
      </c>
      <c r="B5411" s="4" t="str">
        <f>IFERROR(__xludf.DUMMYFUNCTION("""COMPUTED_VALUE"""),"gfi")</f>
        <v>gfi</v>
      </c>
      <c r="C5411" s="4" t="str">
        <f>IFERROR(__xludf.DUMMYFUNCTION("""COMPUTED_VALUE"""),"Gravity Finance")</f>
        <v>Gravity Finance</v>
      </c>
    </row>
    <row r="5412">
      <c r="A5412" s="4" t="str">
        <f>IFERROR(__xludf.DUMMYFUNCTION("""COMPUTED_VALUE"""),"greasycex")</f>
        <v>greasycex</v>
      </c>
      <c r="B5412" s="4" t="str">
        <f>IFERROR(__xludf.DUMMYFUNCTION("""COMPUTED_VALUE"""),"gcx")</f>
        <v>gcx</v>
      </c>
      <c r="C5412" s="4" t="str">
        <f>IFERROR(__xludf.DUMMYFUNCTION("""COMPUTED_VALUE"""),"GreasyCEX")</f>
        <v>GreasyCEX</v>
      </c>
    </row>
    <row r="5413">
      <c r="A5413" s="4" t="str">
        <f>IFERROR(__xludf.DUMMYFUNCTION("""COMPUTED_VALUE"""),"great-bounty-dealer")</f>
        <v>great-bounty-dealer</v>
      </c>
      <c r="B5413" s="4" t="str">
        <f>IFERROR(__xludf.DUMMYFUNCTION("""COMPUTED_VALUE"""),"gbd")</f>
        <v>gbd</v>
      </c>
      <c r="C5413" s="4" t="str">
        <f>IFERROR(__xludf.DUMMYFUNCTION("""COMPUTED_VALUE"""),"Great Bounty Dealer")</f>
        <v>Great Bounty Dealer</v>
      </c>
    </row>
    <row r="5414">
      <c r="A5414" s="4" t="str">
        <f>IFERROR(__xludf.DUMMYFUNCTION("""COMPUTED_VALUE"""),"greelance")</f>
        <v>greelance</v>
      </c>
      <c r="B5414" s="4" t="str">
        <f>IFERROR(__xludf.DUMMYFUNCTION("""COMPUTED_VALUE"""),"$grl")</f>
        <v>$grl</v>
      </c>
      <c r="C5414" s="4" t="str">
        <f>IFERROR(__xludf.DUMMYFUNCTION("""COMPUTED_VALUE"""),"Greelance")</f>
        <v>Greelance</v>
      </c>
    </row>
    <row r="5415">
      <c r="A5415" s="4" t="str">
        <f>IFERROR(__xludf.DUMMYFUNCTION("""COMPUTED_VALUE"""),"greenart-coin")</f>
        <v>greenart-coin</v>
      </c>
      <c r="B5415" s="4" t="str">
        <f>IFERROR(__xludf.DUMMYFUNCTION("""COMPUTED_VALUE"""),"gac")</f>
        <v>gac</v>
      </c>
      <c r="C5415" s="4" t="str">
        <f>IFERROR(__xludf.DUMMYFUNCTION("""COMPUTED_VALUE"""),"Greenart Coin")</f>
        <v>Greenart Coin</v>
      </c>
    </row>
    <row r="5416">
      <c r="A5416" s="4" t="str">
        <f>IFERROR(__xludf.DUMMYFUNCTION("""COMPUTED_VALUE"""),"green-beli")</f>
        <v>green-beli</v>
      </c>
      <c r="B5416" s="4" t="str">
        <f>IFERROR(__xludf.DUMMYFUNCTION("""COMPUTED_VALUE"""),"grbe")</f>
        <v>grbe</v>
      </c>
      <c r="C5416" s="4" t="str">
        <f>IFERROR(__xludf.DUMMYFUNCTION("""COMPUTED_VALUE"""),"Green Beli")</f>
        <v>Green Beli</v>
      </c>
    </row>
    <row r="5417">
      <c r="A5417" s="4" t="str">
        <f>IFERROR(__xludf.DUMMYFUNCTION("""COMPUTED_VALUE"""),"green-ben")</f>
        <v>green-ben</v>
      </c>
      <c r="B5417" s="4" t="str">
        <f>IFERROR(__xludf.DUMMYFUNCTION("""COMPUTED_VALUE"""),"eben")</f>
        <v>eben</v>
      </c>
      <c r="C5417" s="4" t="str">
        <f>IFERROR(__xludf.DUMMYFUNCTION("""COMPUTED_VALUE"""),"Green Ben")</f>
        <v>Green Ben</v>
      </c>
    </row>
    <row r="5418">
      <c r="A5418" s="4" t="str">
        <f>IFERROR(__xludf.DUMMYFUNCTION("""COMPUTED_VALUE"""),"green-block")</f>
        <v>green-block</v>
      </c>
      <c r="B5418" s="4" t="str">
        <f>IFERROR(__xludf.DUMMYFUNCTION("""COMPUTED_VALUE"""),"gbt")</f>
        <v>gbt</v>
      </c>
      <c r="C5418" s="4" t="str">
        <f>IFERROR(__xludf.DUMMYFUNCTION("""COMPUTED_VALUE"""),"Green Block")</f>
        <v>Green Block</v>
      </c>
    </row>
    <row r="5419">
      <c r="A5419" s="4" t="str">
        <f>IFERROR(__xludf.DUMMYFUNCTION("""COMPUTED_VALUE"""),"green-block-capital")</f>
        <v>green-block-capital</v>
      </c>
      <c r="B5419" s="4" t="str">
        <f>IFERROR(__xludf.DUMMYFUNCTION("""COMPUTED_VALUE"""),"gbc")</f>
        <v>gbc</v>
      </c>
      <c r="C5419" s="4" t="str">
        <f>IFERROR(__xludf.DUMMYFUNCTION("""COMPUTED_VALUE"""),"Green Block Capital")</f>
        <v>Green Block Capital</v>
      </c>
    </row>
    <row r="5420">
      <c r="A5420" s="4" t="str">
        <f>IFERROR(__xludf.DUMMYFUNCTION("""COMPUTED_VALUE"""),"greendex")</f>
        <v>greendex</v>
      </c>
      <c r="B5420" s="4" t="str">
        <f>IFERROR(__xludf.DUMMYFUNCTION("""COMPUTED_VALUE"""),"ged")</f>
        <v>ged</v>
      </c>
      <c r="C5420" s="4" t="str">
        <f>IFERROR(__xludf.DUMMYFUNCTION("""COMPUTED_VALUE"""),"GreenDex")</f>
        <v>GreenDex</v>
      </c>
    </row>
    <row r="5421">
      <c r="A5421" s="4" t="str">
        <f>IFERROR(__xludf.DUMMYFUNCTION("""COMPUTED_VALUE"""),"greenenvcoalition")</f>
        <v>greenenvcoalition</v>
      </c>
      <c r="B5421" s="4" t="str">
        <f>IFERROR(__xludf.DUMMYFUNCTION("""COMPUTED_VALUE"""),"gec")</f>
        <v>gec</v>
      </c>
      <c r="C5421" s="4" t="str">
        <f>IFERROR(__xludf.DUMMYFUNCTION("""COMPUTED_VALUE"""),"GreenEnvCoalition")</f>
        <v>GreenEnvCoalition</v>
      </c>
    </row>
    <row r="5422">
      <c r="A5422" s="4" t="str">
        <f>IFERROR(__xludf.DUMMYFUNCTION("""COMPUTED_VALUE"""),"greenenvironmentalcoins")</f>
        <v>greenenvironmentalcoins</v>
      </c>
      <c r="B5422" s="4" t="str">
        <f>IFERROR(__xludf.DUMMYFUNCTION("""COMPUTED_VALUE"""),"gec")</f>
        <v>gec</v>
      </c>
      <c r="C5422" s="4" t="str">
        <f>IFERROR(__xludf.DUMMYFUNCTION("""COMPUTED_VALUE"""),"GreenEnvironmentalCoins")</f>
        <v>GreenEnvironmentalCoins</v>
      </c>
    </row>
    <row r="5423">
      <c r="A5423" s="4" t="str">
        <f>IFERROR(__xludf.DUMMYFUNCTION("""COMPUTED_VALUE"""),"greenercoin")</f>
        <v>greenercoin</v>
      </c>
      <c r="B5423" s="4" t="str">
        <f>IFERROR(__xludf.DUMMYFUNCTION("""COMPUTED_VALUE"""),"gnc")</f>
        <v>gnc</v>
      </c>
      <c r="C5423" s="4" t="str">
        <f>IFERROR(__xludf.DUMMYFUNCTION("""COMPUTED_VALUE"""),"Greenercoin")</f>
        <v>Greenercoin</v>
      </c>
    </row>
    <row r="5424">
      <c r="A5424" s="4" t="str">
        <f>IFERROR(__xludf.DUMMYFUNCTION("""COMPUTED_VALUE"""),"green-foundation")</f>
        <v>green-foundation</v>
      </c>
      <c r="B5424" s="4" t="str">
        <f>IFERROR(__xludf.DUMMYFUNCTION("""COMPUTED_VALUE"""),"tripx")</f>
        <v>tripx</v>
      </c>
      <c r="C5424" s="4" t="str">
        <f>IFERROR(__xludf.DUMMYFUNCTION("""COMPUTED_VALUE"""),"Green Foundation")</f>
        <v>Green Foundation</v>
      </c>
    </row>
    <row r="5425">
      <c r="A5425" s="4" t="str">
        <f>IFERROR(__xludf.DUMMYFUNCTION("""COMPUTED_VALUE"""),"greengold")</f>
        <v>greengold</v>
      </c>
      <c r="B5425" s="4" t="str">
        <f>IFERROR(__xludf.DUMMYFUNCTION("""COMPUTED_VALUE"""),"$greengold")</f>
        <v>$greengold</v>
      </c>
      <c r="C5425" s="4" t="str">
        <f>IFERROR(__xludf.DUMMYFUNCTION("""COMPUTED_VALUE"""),"GREENGOLD")</f>
        <v>GREENGOLD</v>
      </c>
    </row>
    <row r="5426">
      <c r="A5426" s="4" t="str">
        <f>IFERROR(__xludf.DUMMYFUNCTION("""COMPUTED_VALUE"""),"green-grass-hopper")</f>
        <v>green-grass-hopper</v>
      </c>
      <c r="B5426" s="4" t="str">
        <f>IFERROR(__xludf.DUMMYFUNCTION("""COMPUTED_VALUE"""),"$ggh")</f>
        <v>$ggh</v>
      </c>
      <c r="C5426" s="4" t="str">
        <f>IFERROR(__xludf.DUMMYFUNCTION("""COMPUTED_VALUE"""),"Green Grass Hopper")</f>
        <v>Green Grass Hopper</v>
      </c>
    </row>
    <row r="5427">
      <c r="A5427" s="4" t="str">
        <f>IFERROR(__xludf.DUMMYFUNCTION("""COMPUTED_VALUE"""),"greenheart-cbd")</f>
        <v>greenheart-cbd</v>
      </c>
      <c r="B5427" s="4" t="str">
        <f>IFERROR(__xludf.DUMMYFUNCTION("""COMPUTED_VALUE"""),"cbd")</f>
        <v>cbd</v>
      </c>
      <c r="C5427" s="4" t="str">
        <f>IFERROR(__xludf.DUMMYFUNCTION("""COMPUTED_VALUE"""),"Greenheart CBD")</f>
        <v>Greenheart CBD</v>
      </c>
    </row>
    <row r="5428">
      <c r="A5428" s="4" t="str">
        <f>IFERROR(__xludf.DUMMYFUNCTION("""COMPUTED_VALUE"""),"green-life-energy")</f>
        <v>green-life-energy</v>
      </c>
      <c r="B5428" s="4" t="str">
        <f>IFERROR(__xludf.DUMMYFUNCTION("""COMPUTED_VALUE"""),"gle")</f>
        <v>gle</v>
      </c>
      <c r="C5428" s="4" t="str">
        <f>IFERROR(__xludf.DUMMYFUNCTION("""COMPUTED_VALUE"""),"Green Life Energy")</f>
        <v>Green Life Energy</v>
      </c>
    </row>
    <row r="5429">
      <c r="A5429" s="4" t="str">
        <f>IFERROR(__xludf.DUMMYFUNCTION("""COMPUTED_VALUE"""),"green-planet")</f>
        <v>green-planet</v>
      </c>
      <c r="B5429" s="4" t="str">
        <f>IFERROR(__xludf.DUMMYFUNCTION("""COMPUTED_VALUE"""),"gamma")</f>
        <v>gamma</v>
      </c>
      <c r="C5429" s="4" t="str">
        <f>IFERROR(__xludf.DUMMYFUNCTION("""COMPUTED_VALUE"""),"Green Planet")</f>
        <v>Green Planet</v>
      </c>
    </row>
    <row r="5430">
      <c r="A5430" s="4" t="str">
        <f>IFERROR(__xludf.DUMMYFUNCTION("""COMPUTED_VALUE"""),"green-satoshi-token")</f>
        <v>green-satoshi-token</v>
      </c>
      <c r="B5430" s="4" t="str">
        <f>IFERROR(__xludf.DUMMYFUNCTION("""COMPUTED_VALUE"""),"gst-sol")</f>
        <v>gst-sol</v>
      </c>
      <c r="C5430" s="4" t="str">
        <f>IFERROR(__xludf.DUMMYFUNCTION("""COMPUTED_VALUE"""),"STEPN Green Satoshi Token on Solana")</f>
        <v>STEPN Green Satoshi Token on Solana</v>
      </c>
    </row>
    <row r="5431">
      <c r="A5431" s="4" t="str">
        <f>IFERROR(__xludf.DUMMYFUNCTION("""COMPUTED_VALUE"""),"green-satoshi-token-bsc")</f>
        <v>green-satoshi-token-bsc</v>
      </c>
      <c r="B5431" s="4" t="str">
        <f>IFERROR(__xludf.DUMMYFUNCTION("""COMPUTED_VALUE"""),"gst-bsc")</f>
        <v>gst-bsc</v>
      </c>
      <c r="C5431" s="4" t="str">
        <f>IFERROR(__xludf.DUMMYFUNCTION("""COMPUTED_VALUE"""),"STEPN Green Satoshi Token on BSC")</f>
        <v>STEPN Green Satoshi Token on BSC</v>
      </c>
    </row>
    <row r="5432">
      <c r="A5432" s="4" t="str">
        <f>IFERROR(__xludf.DUMMYFUNCTION("""COMPUTED_VALUE"""),"green-satoshi-token-on-eth")</f>
        <v>green-satoshi-token-on-eth</v>
      </c>
      <c r="B5432" s="4" t="str">
        <f>IFERROR(__xludf.DUMMYFUNCTION("""COMPUTED_VALUE"""),"gst-eth")</f>
        <v>gst-eth</v>
      </c>
      <c r="C5432" s="4" t="str">
        <f>IFERROR(__xludf.DUMMYFUNCTION("""COMPUTED_VALUE"""),"STEPN Green Satoshi Token on ETH")</f>
        <v>STEPN Green Satoshi Token on ETH</v>
      </c>
    </row>
    <row r="5433">
      <c r="A5433" s="4" t="str">
        <f>IFERROR(__xludf.DUMMYFUNCTION("""COMPUTED_VALUE"""),"green-shiba-inu")</f>
        <v>green-shiba-inu</v>
      </c>
      <c r="B5433" s="4" t="str">
        <f>IFERROR(__xludf.DUMMYFUNCTION("""COMPUTED_VALUE"""),"ginux")</f>
        <v>ginux</v>
      </c>
      <c r="C5433" s="4" t="str">
        <f>IFERROR(__xludf.DUMMYFUNCTION("""COMPUTED_VALUE"""),"Green Shiba Inu")</f>
        <v>Green Shiba Inu</v>
      </c>
    </row>
    <row r="5434">
      <c r="A5434" s="4" t="str">
        <f>IFERROR(__xludf.DUMMYFUNCTION("""COMPUTED_VALUE"""),"greentrust")</f>
        <v>greentrust</v>
      </c>
      <c r="B5434" s="4" t="str">
        <f>IFERROR(__xludf.DUMMYFUNCTION("""COMPUTED_VALUE"""),"gnt")</f>
        <v>gnt</v>
      </c>
      <c r="C5434" s="4" t="str">
        <f>IFERROR(__xludf.DUMMYFUNCTION("""COMPUTED_VALUE"""),"GreenTrust")</f>
        <v>GreenTrust</v>
      </c>
    </row>
    <row r="5435">
      <c r="A5435" s="4" t="str">
        <f>IFERROR(__xludf.DUMMYFUNCTION("""COMPUTED_VALUE"""),"greenworld")</f>
        <v>greenworld</v>
      </c>
      <c r="B5435" s="4" t="str">
        <f>IFERROR(__xludf.DUMMYFUNCTION("""COMPUTED_VALUE"""),"gwd")</f>
        <v>gwd</v>
      </c>
      <c r="C5435" s="4" t="str">
        <f>IFERROR(__xludf.DUMMYFUNCTION("""COMPUTED_VALUE"""),"GreenWorld")</f>
        <v>GreenWorld</v>
      </c>
    </row>
    <row r="5436">
      <c r="A5436" s="4" t="str">
        <f>IFERROR(__xludf.DUMMYFUNCTION("""COMPUTED_VALUE"""),"greenzonex")</f>
        <v>greenzonex</v>
      </c>
      <c r="B5436" s="4" t="str">
        <f>IFERROR(__xludf.DUMMYFUNCTION("""COMPUTED_VALUE"""),"gzx")</f>
        <v>gzx</v>
      </c>
      <c r="C5436" s="4" t="str">
        <f>IFERROR(__xludf.DUMMYFUNCTION("""COMPUTED_VALUE"""),"GreenZoneX")</f>
        <v>GreenZoneX</v>
      </c>
    </row>
    <row r="5437">
      <c r="A5437" s="4" t="str">
        <f>IFERROR(__xludf.DUMMYFUNCTION("""COMPUTED_VALUE"""),"greg")</f>
        <v>greg</v>
      </c>
      <c r="B5437" s="4" t="str">
        <f>IFERROR(__xludf.DUMMYFUNCTION("""COMPUTED_VALUE"""),"greg")</f>
        <v>greg</v>
      </c>
      <c r="C5437" s="4" t="str">
        <f>IFERROR(__xludf.DUMMYFUNCTION("""COMPUTED_VALUE"""),"greg")</f>
        <v>greg</v>
      </c>
    </row>
    <row r="5438">
      <c r="A5438" s="4" t="str">
        <f>IFERROR(__xludf.DUMMYFUNCTION("""COMPUTED_VALUE"""),"gre-labs")</f>
        <v>gre-labs</v>
      </c>
      <c r="B5438" s="4" t="str">
        <f>IFERROR(__xludf.DUMMYFUNCTION("""COMPUTED_VALUE"""),"gre")</f>
        <v>gre</v>
      </c>
      <c r="C5438" s="4" t="str">
        <f>IFERROR(__xludf.DUMMYFUNCTION("""COMPUTED_VALUE"""),"GRE Labs")</f>
        <v>GRE Labs</v>
      </c>
    </row>
    <row r="5439">
      <c r="A5439" s="4" t="str">
        <f>IFERROR(__xludf.DUMMYFUNCTION("""COMPUTED_VALUE"""),"grelf")</f>
        <v>grelf</v>
      </c>
      <c r="B5439" s="4" t="str">
        <f>IFERROR(__xludf.DUMMYFUNCTION("""COMPUTED_VALUE"""),"grelf")</f>
        <v>grelf</v>
      </c>
      <c r="C5439" s="4" t="str">
        <f>IFERROR(__xludf.DUMMYFUNCTION("""COMPUTED_VALUE"""),"GRELF")</f>
        <v>GRELF</v>
      </c>
    </row>
    <row r="5440">
      <c r="A5440" s="4" t="str">
        <f>IFERROR(__xludf.DUMMYFUNCTION("""COMPUTED_VALUE"""),"g-revolution")</f>
        <v>g-revolution</v>
      </c>
      <c r="B5440" s="4" t="str">
        <f>IFERROR(__xludf.DUMMYFUNCTION("""COMPUTED_VALUE"""),"g")</f>
        <v>g</v>
      </c>
      <c r="C5440" s="4" t="str">
        <f>IFERROR(__xludf.DUMMYFUNCTION("""COMPUTED_VALUE"""),"G Revolution")</f>
        <v>G Revolution</v>
      </c>
    </row>
    <row r="5441">
      <c r="A5441" s="4" t="str">
        <f>IFERROR(__xludf.DUMMYFUNCTION("""COMPUTED_VALUE"""),"greyhound")</f>
        <v>greyhound</v>
      </c>
      <c r="B5441" s="4" t="str">
        <f>IFERROR(__xludf.DUMMYFUNCTION("""COMPUTED_VALUE"""),"greyhound")</f>
        <v>greyhound</v>
      </c>
      <c r="C5441" s="4" t="str">
        <f>IFERROR(__xludf.DUMMYFUNCTION("""COMPUTED_VALUE"""),"Greyhound")</f>
        <v>Greyhound</v>
      </c>
    </row>
    <row r="5442">
      <c r="A5442" s="4" t="str">
        <f>IFERROR(__xludf.DUMMYFUNCTION("""COMPUTED_VALUE"""),"gridcoin-research")</f>
        <v>gridcoin-research</v>
      </c>
      <c r="B5442" s="4" t="str">
        <f>IFERROR(__xludf.DUMMYFUNCTION("""COMPUTED_VALUE"""),"grc")</f>
        <v>grc</v>
      </c>
      <c r="C5442" s="4" t="str">
        <f>IFERROR(__xludf.DUMMYFUNCTION("""COMPUTED_VALUE"""),"Gridcoin")</f>
        <v>Gridcoin</v>
      </c>
    </row>
    <row r="5443">
      <c r="A5443" s="4" t="str">
        <f>IFERROR(__xludf.DUMMYFUNCTION("""COMPUTED_VALUE"""),"grid-operating-systems")</f>
        <v>grid-operating-systems</v>
      </c>
      <c r="B5443" s="4" t="str">
        <f>IFERROR(__xludf.DUMMYFUNCTION("""COMPUTED_VALUE"""),"gos")</f>
        <v>gos</v>
      </c>
      <c r="C5443" s="4" t="str">
        <f>IFERROR(__xludf.DUMMYFUNCTION("""COMPUTED_VALUE"""),"Grid Operating Systems")</f>
        <v>Grid Operating Systems</v>
      </c>
    </row>
    <row r="5444">
      <c r="A5444" s="4" t="str">
        <f>IFERROR(__xludf.DUMMYFUNCTION("""COMPUTED_VALUE"""),"griffin-art-ecosystem")</f>
        <v>griffin-art-ecosystem</v>
      </c>
      <c r="B5444" s="4" t="str">
        <f>IFERROR(__xludf.DUMMYFUNCTION("""COMPUTED_VALUE"""),"gart")</f>
        <v>gart</v>
      </c>
      <c r="C5444" s="4" t="str">
        <f>IFERROR(__xludf.DUMMYFUNCTION("""COMPUTED_VALUE"""),"Griffin Art Ecosystem")</f>
        <v>Griffin Art Ecosystem</v>
      </c>
    </row>
    <row r="5445">
      <c r="A5445" s="4" t="str">
        <f>IFERROR(__xludf.DUMMYFUNCTION("""COMPUTED_VALUE"""),"grimace")</f>
        <v>grimace</v>
      </c>
      <c r="B5445" s="4" t="str">
        <f>IFERROR(__xludf.DUMMYFUNCTION("""COMPUTED_VALUE"""),"grimace")</f>
        <v>grimace</v>
      </c>
      <c r="C5445" s="4" t="str">
        <f>IFERROR(__xludf.DUMMYFUNCTION("""COMPUTED_VALUE"""),"Grimace")</f>
        <v>Grimace</v>
      </c>
    </row>
    <row r="5446">
      <c r="A5446" s="4" t="str">
        <f>IFERROR(__xludf.DUMMYFUNCTION("""COMPUTED_VALUE"""),"grimace-coin")</f>
        <v>grimace-coin</v>
      </c>
      <c r="B5446" s="4" t="str">
        <f>IFERROR(__xludf.DUMMYFUNCTION("""COMPUTED_VALUE"""),"grimace")</f>
        <v>grimace</v>
      </c>
      <c r="C5446" s="4" t="str">
        <f>IFERROR(__xludf.DUMMYFUNCTION("""COMPUTED_VALUE"""),"Grimace Coin")</f>
        <v>Grimace Coin</v>
      </c>
    </row>
    <row r="5447">
      <c r="A5447" s="4" t="str">
        <f>IFERROR(__xludf.DUMMYFUNCTION("""COMPUTED_VALUE"""),"grim-evo")</f>
        <v>grim-evo</v>
      </c>
      <c r="B5447" s="4" t="str">
        <f>IFERROR(__xludf.DUMMYFUNCTION("""COMPUTED_VALUE"""),"grim evo")</f>
        <v>grim evo</v>
      </c>
      <c r="C5447" s="4" t="str">
        <f>IFERROR(__xludf.DUMMYFUNCTION("""COMPUTED_VALUE"""),"Grim EVO")</f>
        <v>Grim EVO</v>
      </c>
    </row>
    <row r="5448">
      <c r="A5448" s="4" t="str">
        <f>IFERROR(__xludf.DUMMYFUNCTION("""COMPUTED_VALUE"""),"grimoire-finance-token")</f>
        <v>grimoire-finance-token</v>
      </c>
      <c r="B5448" s="4" t="str">
        <f>IFERROR(__xludf.DUMMYFUNCTION("""COMPUTED_VALUE"""),"grim")</f>
        <v>grim</v>
      </c>
      <c r="C5448" s="4" t="str">
        <f>IFERROR(__xludf.DUMMYFUNCTION("""COMPUTED_VALUE"""),"Grimoire Finance Token")</f>
        <v>Grimoire Finance Token</v>
      </c>
    </row>
    <row r="5449">
      <c r="A5449" s="4" t="str">
        <f>IFERROR(__xludf.DUMMYFUNCTION("""COMPUTED_VALUE"""),"grimreaper")</f>
        <v>grimreaper</v>
      </c>
      <c r="B5449" s="4" t="str">
        <f>IFERROR(__xludf.DUMMYFUNCTION("""COMPUTED_VALUE"""),"grim")</f>
        <v>grim</v>
      </c>
      <c r="C5449" s="4" t="str">
        <f>IFERROR(__xludf.DUMMYFUNCTION("""COMPUTED_VALUE"""),"Grimreaper")</f>
        <v>Grimreaper</v>
      </c>
    </row>
    <row r="5450">
      <c r="A5450" s="4" t="str">
        <f>IFERROR(__xludf.DUMMYFUNCTION("""COMPUTED_VALUE"""),"grin")</f>
        <v>grin</v>
      </c>
      <c r="B5450" s="4" t="str">
        <f>IFERROR(__xludf.DUMMYFUNCTION("""COMPUTED_VALUE"""),"grin")</f>
        <v>grin</v>
      </c>
      <c r="C5450" s="4" t="str">
        <f>IFERROR(__xludf.DUMMYFUNCTION("""COMPUTED_VALUE"""),"Grin")</f>
        <v>Grin</v>
      </c>
    </row>
    <row r="5451">
      <c r="A5451" s="4" t="str">
        <f>IFERROR(__xludf.DUMMYFUNCTION("""COMPUTED_VALUE"""),"grizzly-bot")</f>
        <v>grizzly-bot</v>
      </c>
      <c r="B5451" s="4" t="str">
        <f>IFERROR(__xludf.DUMMYFUNCTION("""COMPUTED_VALUE"""),"grizzly")</f>
        <v>grizzly</v>
      </c>
      <c r="C5451" s="4" t="str">
        <f>IFERROR(__xludf.DUMMYFUNCTION("""COMPUTED_VALUE"""),"Grizzly Bot")</f>
        <v>Grizzly Bot</v>
      </c>
    </row>
    <row r="5452">
      <c r="A5452" s="4" t="str">
        <f>IFERROR(__xludf.DUMMYFUNCTION("""COMPUTED_VALUE"""),"grizzly-honey")</f>
        <v>grizzly-honey</v>
      </c>
      <c r="B5452" s="4" t="str">
        <f>IFERROR(__xludf.DUMMYFUNCTION("""COMPUTED_VALUE"""),"ghny")</f>
        <v>ghny</v>
      </c>
      <c r="C5452" s="4" t="str">
        <f>IFERROR(__xludf.DUMMYFUNCTION("""COMPUTED_VALUE"""),"Grizzly Honey")</f>
        <v>Grizzly Honey</v>
      </c>
    </row>
    <row r="5453">
      <c r="A5453" s="4" t="str">
        <f>IFERROR(__xludf.DUMMYFUNCTION("""COMPUTED_VALUE"""),"grn-grid")</f>
        <v>grn-grid</v>
      </c>
      <c r="B5453" s="4" t="str">
        <f>IFERROR(__xludf.DUMMYFUNCTION("""COMPUTED_VALUE"""),"g")</f>
        <v>g</v>
      </c>
      <c r="C5453" s="4" t="str">
        <f>IFERROR(__xludf.DUMMYFUNCTION("""COMPUTED_VALUE"""),"GRNGrid")</f>
        <v>GRNGrid</v>
      </c>
    </row>
    <row r="5454">
      <c r="A5454" s="4" t="str">
        <f>IFERROR(__xludf.DUMMYFUNCTION("""COMPUTED_VALUE"""),"groceryfi")</f>
        <v>groceryfi</v>
      </c>
      <c r="B5454" s="4" t="str">
        <f>IFERROR(__xludf.DUMMYFUNCTION("""COMPUTED_VALUE"""),"gfi")</f>
        <v>gfi</v>
      </c>
      <c r="C5454" s="4" t="str">
        <f>IFERROR(__xludf.DUMMYFUNCTION("""COMPUTED_VALUE"""),"GroceryFi")</f>
        <v>GroceryFi</v>
      </c>
    </row>
    <row r="5455">
      <c r="A5455" s="4" t="str">
        <f>IFERROR(__xludf.DUMMYFUNCTION("""COMPUTED_VALUE"""),"groestlcoin")</f>
        <v>groestlcoin</v>
      </c>
      <c r="B5455" s="4" t="str">
        <f>IFERROR(__xludf.DUMMYFUNCTION("""COMPUTED_VALUE"""),"grs")</f>
        <v>grs</v>
      </c>
      <c r="C5455" s="4" t="str">
        <f>IFERROR(__xludf.DUMMYFUNCTION("""COMPUTED_VALUE"""),"Groestlcoin")</f>
        <v>Groestlcoin</v>
      </c>
    </row>
    <row r="5456">
      <c r="A5456" s="4" t="str">
        <f>IFERROR(__xludf.DUMMYFUNCTION("""COMPUTED_VALUE"""),"groge")</f>
        <v>groge</v>
      </c>
      <c r="B5456" s="4" t="str">
        <f>IFERROR(__xludf.DUMMYFUNCTION("""COMPUTED_VALUE"""),"groge")</f>
        <v>groge</v>
      </c>
      <c r="C5456" s="4" t="str">
        <f>IFERROR(__xludf.DUMMYFUNCTION("""COMPUTED_VALUE"""),"Groge")</f>
        <v>Groge</v>
      </c>
    </row>
    <row r="5457">
      <c r="A5457" s="4" t="str">
        <f>IFERROR(__xludf.DUMMYFUNCTION("""COMPUTED_VALUE"""),"grok1-5")</f>
        <v>grok1-5</v>
      </c>
      <c r="B5457" s="4" t="str">
        <f>IFERROR(__xludf.DUMMYFUNCTION("""COMPUTED_VALUE"""),"grok1.5")</f>
        <v>grok1.5</v>
      </c>
      <c r="C5457" s="4" t="str">
        <f>IFERROR(__xludf.DUMMYFUNCTION("""COMPUTED_VALUE"""),"Grok1.5")</f>
        <v>Grok1.5</v>
      </c>
    </row>
    <row r="5458">
      <c r="A5458" s="4" t="str">
        <f>IFERROR(__xludf.DUMMYFUNCTION("""COMPUTED_VALUE"""),"grok-2")</f>
        <v>grok-2</v>
      </c>
      <c r="B5458" s="4" t="str">
        <f>IFERROR(__xludf.DUMMYFUNCTION("""COMPUTED_VALUE"""),"$grok")</f>
        <v>$grok</v>
      </c>
      <c r="C5458" s="4" t="str">
        <f>IFERROR(__xludf.DUMMYFUNCTION("""COMPUTED_VALUE"""),"Grok")</f>
        <v>Grok</v>
      </c>
    </row>
    <row r="5459">
      <c r="A5459" s="4" t="str">
        <f>IFERROR(__xludf.DUMMYFUNCTION("""COMPUTED_VALUE"""),"grok-2-0")</f>
        <v>grok-2-0</v>
      </c>
      <c r="B5459" s="4" t="str">
        <f>IFERROR(__xludf.DUMMYFUNCTION("""COMPUTED_VALUE"""),"grok2")</f>
        <v>grok2</v>
      </c>
      <c r="C5459" s="4" t="str">
        <f>IFERROR(__xludf.DUMMYFUNCTION("""COMPUTED_VALUE"""),"GROK 2.0")</f>
        <v>GROK 2.0</v>
      </c>
    </row>
    <row r="5460">
      <c r="A5460" s="4" t="str">
        <f>IFERROR(__xludf.DUMMYFUNCTION("""COMPUTED_VALUE"""),"grok2-0")</f>
        <v>grok2-0</v>
      </c>
      <c r="B5460" s="4" t="str">
        <f>IFERROR(__xludf.DUMMYFUNCTION("""COMPUTED_VALUE"""),"grok2.0")</f>
        <v>grok2.0</v>
      </c>
      <c r="C5460" s="4" t="str">
        <f>IFERROR(__xludf.DUMMYFUNCTION("""COMPUTED_VALUE"""),"Grok2.0")</f>
        <v>Grok2.0</v>
      </c>
    </row>
    <row r="5461">
      <c r="A5461" s="4" t="str">
        <f>IFERROR(__xludf.DUMMYFUNCTION("""COMPUTED_VALUE"""),"grok2-0-2")</f>
        <v>grok2-0-2</v>
      </c>
      <c r="B5461" s="4" t="str">
        <f>IFERROR(__xludf.DUMMYFUNCTION("""COMPUTED_VALUE"""),"grok2.0")</f>
        <v>grok2.0</v>
      </c>
      <c r="C5461" s="4" t="str">
        <f>IFERROR(__xludf.DUMMYFUNCTION("""COMPUTED_VALUE"""),"GROK2.0")</f>
        <v>GROK2.0</v>
      </c>
    </row>
    <row r="5462">
      <c r="A5462" s="4" t="str">
        <f>IFERROR(__xludf.DUMMYFUNCTION("""COMPUTED_VALUE"""),"grok-3")</f>
        <v>grok-3</v>
      </c>
      <c r="B5462" s="4" t="str">
        <f>IFERROR(__xludf.DUMMYFUNCTION("""COMPUTED_VALUE"""),"xai")</f>
        <v>xai</v>
      </c>
      <c r="C5462" s="4" t="str">
        <f>IFERROR(__xludf.DUMMYFUNCTION("""COMPUTED_VALUE"""),"Grok")</f>
        <v>Grok</v>
      </c>
    </row>
    <row r="5463">
      <c r="A5463" s="4" t="str">
        <f>IFERROR(__xludf.DUMMYFUNCTION("""COMPUTED_VALUE"""),"grok-4")</f>
        <v>grok-4</v>
      </c>
      <c r="B5463" s="4" t="str">
        <f>IFERROR(__xludf.DUMMYFUNCTION("""COMPUTED_VALUE"""),"grok")</f>
        <v>grok</v>
      </c>
      <c r="C5463" s="4" t="str">
        <f>IFERROR(__xludf.DUMMYFUNCTION("""COMPUTED_VALUE"""),"GROK")</f>
        <v>GROK</v>
      </c>
    </row>
    <row r="5464">
      <c r="A5464" s="4" t="str">
        <f>IFERROR(__xludf.DUMMYFUNCTION("""COMPUTED_VALUE"""),"grok-5")</f>
        <v>grok-5</v>
      </c>
      <c r="B5464" s="4" t="str">
        <f>IFERROR(__xludf.DUMMYFUNCTION("""COMPUTED_VALUE"""),"grok")</f>
        <v>grok</v>
      </c>
      <c r="C5464" s="4" t="str">
        <f>IFERROR(__xludf.DUMMYFUNCTION("""COMPUTED_VALUE"""),"GROK")</f>
        <v>GROK</v>
      </c>
    </row>
    <row r="5465">
      <c r="A5465" s="4" t="str">
        <f>IFERROR(__xludf.DUMMYFUNCTION("""COMPUTED_VALUE"""),"grok-6")</f>
        <v>grok-6</v>
      </c>
      <c r="B5465" s="4" t="str">
        <f>IFERROR(__xludf.DUMMYFUNCTION("""COMPUTED_VALUE"""),"grok")</f>
        <v>grok</v>
      </c>
      <c r="C5465" s="4" t="str">
        <f>IFERROR(__xludf.DUMMYFUNCTION("""COMPUTED_VALUE"""),"GROK")</f>
        <v>GROK</v>
      </c>
    </row>
    <row r="5466">
      <c r="A5466" s="4" t="str">
        <f>IFERROR(__xludf.DUMMYFUNCTION("""COMPUTED_VALUE"""),"grok-bank")</f>
        <v>grok-bank</v>
      </c>
      <c r="B5466" s="4" t="str">
        <f>IFERROR(__xludf.DUMMYFUNCTION("""COMPUTED_VALUE"""),"grokbank")</f>
        <v>grokbank</v>
      </c>
      <c r="C5466" s="4" t="str">
        <f>IFERROR(__xludf.DUMMYFUNCTION("""COMPUTED_VALUE"""),"Grok Bank")</f>
        <v>Grok Bank</v>
      </c>
    </row>
    <row r="5467">
      <c r="A5467" s="4" t="str">
        <f>IFERROR(__xludf.DUMMYFUNCTION("""COMPUTED_VALUE"""),"grokbot")</f>
        <v>grokbot</v>
      </c>
      <c r="B5467" s="4" t="str">
        <f>IFERROR(__xludf.DUMMYFUNCTION("""COMPUTED_VALUE"""),"grokbot")</f>
        <v>grokbot</v>
      </c>
      <c r="C5467" s="4" t="str">
        <f>IFERROR(__xludf.DUMMYFUNCTION("""COMPUTED_VALUE"""),"GROKBOT")</f>
        <v>GROKBOT</v>
      </c>
    </row>
    <row r="5468">
      <c r="A5468" s="4" t="str">
        <f>IFERROR(__xludf.DUMMYFUNCTION("""COMPUTED_VALUE"""),"grokboy")</f>
        <v>grokboy</v>
      </c>
      <c r="B5468" s="4" t="str">
        <f>IFERROR(__xludf.DUMMYFUNCTION("""COMPUTED_VALUE"""),"grokboy")</f>
        <v>grokboy</v>
      </c>
      <c r="C5468" s="4" t="str">
        <f>IFERROR(__xludf.DUMMYFUNCTION("""COMPUTED_VALUE"""),"grokboy")</f>
        <v>grokboy</v>
      </c>
    </row>
    <row r="5469">
      <c r="A5469" s="4" t="str">
        <f>IFERROR(__xludf.DUMMYFUNCTION("""COMPUTED_VALUE"""),"grok-bull")</f>
        <v>grok-bull</v>
      </c>
      <c r="B5469" s="4" t="str">
        <f>IFERROR(__xludf.DUMMYFUNCTION("""COMPUTED_VALUE"""),"grokbull")</f>
        <v>grokbull</v>
      </c>
      <c r="C5469" s="4" t="str">
        <f>IFERROR(__xludf.DUMMYFUNCTION("""COMPUTED_VALUE"""),"Grok Bull")</f>
        <v>Grok Bull</v>
      </c>
    </row>
    <row r="5470">
      <c r="A5470" s="4" t="str">
        <f>IFERROR(__xludf.DUMMYFUNCTION("""COMPUTED_VALUE"""),"grok-by-grok-com")</f>
        <v>grok-by-grok-com</v>
      </c>
      <c r="B5470" s="4" t="str">
        <f>IFERROR(__xludf.DUMMYFUNCTION("""COMPUTED_VALUE"""),"grōk")</f>
        <v>grōk</v>
      </c>
      <c r="C5470" s="4" t="str">
        <f>IFERROR(__xludf.DUMMYFUNCTION("""COMPUTED_VALUE"""),"Grok by Grōk.com")</f>
        <v>Grok by Grōk.com</v>
      </c>
    </row>
    <row r="5471">
      <c r="A5471" s="4" t="str">
        <f>IFERROR(__xludf.DUMMYFUNCTION("""COMPUTED_VALUE"""),"grok-cat")</f>
        <v>grok-cat</v>
      </c>
      <c r="B5471" s="4" t="str">
        <f>IFERROR(__xludf.DUMMYFUNCTION("""COMPUTED_VALUE"""),"grokcat")</f>
        <v>grokcat</v>
      </c>
      <c r="C5471" s="4" t="str">
        <f>IFERROR(__xludf.DUMMYFUNCTION("""COMPUTED_VALUE"""),"Grok Cat")</f>
        <v>Grok Cat</v>
      </c>
    </row>
    <row r="5472">
      <c r="A5472" s="4" t="str">
        <f>IFERROR(__xludf.DUMMYFUNCTION("""COMPUTED_VALUE"""),"grok-ceo")</f>
        <v>grok-ceo</v>
      </c>
      <c r="B5472" s="4" t="str">
        <f>IFERROR(__xludf.DUMMYFUNCTION("""COMPUTED_VALUE"""),"grokceo")</f>
        <v>grokceo</v>
      </c>
      <c r="C5472" s="4" t="str">
        <f>IFERROR(__xludf.DUMMYFUNCTION("""COMPUTED_VALUE"""),"GROK CEO")</f>
        <v>GROK CEO</v>
      </c>
    </row>
    <row r="5473">
      <c r="A5473" s="4" t="str">
        <f>IFERROR(__xludf.DUMMYFUNCTION("""COMPUTED_VALUE"""),"grok-chain")</f>
        <v>grok-chain</v>
      </c>
      <c r="B5473" s="4" t="str">
        <f>IFERROR(__xludf.DUMMYFUNCTION("""COMPUTED_VALUE"""),"groc")</f>
        <v>groc</v>
      </c>
      <c r="C5473" s="4" t="str">
        <f>IFERROR(__xludf.DUMMYFUNCTION("""COMPUTED_VALUE"""),"Grok Chain")</f>
        <v>Grok Chain</v>
      </c>
    </row>
    <row r="5474">
      <c r="A5474" s="4" t="str">
        <f>IFERROR(__xludf.DUMMYFUNCTION("""COMPUTED_VALUE"""),"grok-codes")</f>
        <v>grok-codes</v>
      </c>
      <c r="B5474" s="4" t="str">
        <f>IFERROR(__xludf.DUMMYFUNCTION("""COMPUTED_VALUE"""),"grok")</f>
        <v>grok</v>
      </c>
      <c r="C5474" s="4" t="str">
        <f>IFERROR(__xludf.DUMMYFUNCTION("""COMPUTED_VALUE"""),"Grok Codes")</f>
        <v>Grok Codes</v>
      </c>
    </row>
    <row r="5475">
      <c r="A5475" s="4" t="str">
        <f>IFERROR(__xludf.DUMMYFUNCTION("""COMPUTED_VALUE"""),"grok-community")</f>
        <v>grok-community</v>
      </c>
      <c r="B5475" s="4" t="str">
        <f>IFERROR(__xludf.DUMMYFUNCTION("""COMPUTED_VALUE"""),"grok cm")</f>
        <v>grok cm</v>
      </c>
      <c r="C5475" s="4" t="str">
        <f>IFERROR(__xludf.DUMMYFUNCTION("""COMPUTED_VALUE"""),"Grok Community")</f>
        <v>Grok Community</v>
      </c>
    </row>
    <row r="5476">
      <c r="A5476" s="4" t="str">
        <f>IFERROR(__xludf.DUMMYFUNCTION("""COMPUTED_VALUE"""),"grokdoge")</f>
        <v>grokdoge</v>
      </c>
      <c r="B5476" s="4" t="str">
        <f>IFERROR(__xludf.DUMMYFUNCTION("""COMPUTED_VALUE"""),"grokdoge")</f>
        <v>grokdoge</v>
      </c>
      <c r="C5476" s="4" t="str">
        <f>IFERROR(__xludf.DUMMYFUNCTION("""COMPUTED_VALUE"""),"GrokDoge")</f>
        <v>GrokDoge</v>
      </c>
    </row>
    <row r="5477">
      <c r="A5477" s="4" t="str">
        <f>IFERROR(__xludf.DUMMYFUNCTION("""COMPUTED_VALUE"""),"grokdogex")</f>
        <v>grokdogex</v>
      </c>
      <c r="B5477" s="4" t="str">
        <f>IFERROR(__xludf.DUMMYFUNCTION("""COMPUTED_VALUE"""),"gdx")</f>
        <v>gdx</v>
      </c>
      <c r="C5477" s="4" t="str">
        <f>IFERROR(__xludf.DUMMYFUNCTION("""COMPUTED_VALUE"""),"GrokDogeX")</f>
        <v>GrokDogeX</v>
      </c>
    </row>
    <row r="5478">
      <c r="A5478" s="4" t="str">
        <f>IFERROR(__xludf.DUMMYFUNCTION("""COMPUTED_VALUE"""),"grok-elo")</f>
        <v>grok-elo</v>
      </c>
      <c r="B5478" s="4" t="str">
        <f>IFERROR(__xludf.DUMMYFUNCTION("""COMPUTED_VALUE"""),"gelo")</f>
        <v>gelo</v>
      </c>
      <c r="C5478" s="4" t="str">
        <f>IFERROR(__xludf.DUMMYFUNCTION("""COMPUTED_VALUE"""),"Grok Elo")</f>
        <v>Grok Elo</v>
      </c>
    </row>
    <row r="5479">
      <c r="A5479" s="4" t="str">
        <f>IFERROR(__xludf.DUMMYFUNCTION("""COMPUTED_VALUE"""),"grok-girl")</f>
        <v>grok-girl</v>
      </c>
      <c r="B5479" s="4" t="str">
        <f>IFERROR(__xludf.DUMMYFUNCTION("""COMPUTED_VALUE"""),"grokgirl")</f>
        <v>grokgirl</v>
      </c>
      <c r="C5479" s="4" t="str">
        <f>IFERROR(__xludf.DUMMYFUNCTION("""COMPUTED_VALUE"""),"Grok Girl")</f>
        <v>Grok Girl</v>
      </c>
    </row>
    <row r="5480">
      <c r="A5480" s="4" t="str">
        <f>IFERROR(__xludf.DUMMYFUNCTION("""COMPUTED_VALUE"""),"grokgrow")</f>
        <v>grokgrow</v>
      </c>
      <c r="B5480" s="4" t="str">
        <f>IFERROR(__xludf.DUMMYFUNCTION("""COMPUTED_VALUE"""),"grokgrow")</f>
        <v>grokgrow</v>
      </c>
      <c r="C5480" s="4" t="str">
        <f>IFERROR(__xludf.DUMMYFUNCTION("""COMPUTED_VALUE"""),"GrokGrow")</f>
        <v>GrokGrow</v>
      </c>
    </row>
    <row r="5481">
      <c r="A5481" s="4" t="str">
        <f>IFERROR(__xludf.DUMMYFUNCTION("""COMPUTED_VALUE"""),"grok-heroes")</f>
        <v>grok-heroes</v>
      </c>
      <c r="B5481" s="4" t="str">
        <f>IFERROR(__xludf.DUMMYFUNCTION("""COMPUTED_VALUE"""),"grokheroes")</f>
        <v>grokheroes</v>
      </c>
      <c r="C5481" s="4" t="str">
        <f>IFERROR(__xludf.DUMMYFUNCTION("""COMPUTED_VALUE"""),"GROK heroes")</f>
        <v>GROK heroes</v>
      </c>
    </row>
    <row r="5482">
      <c r="A5482" s="4" t="str">
        <f>IFERROR(__xludf.DUMMYFUNCTION("""COMPUTED_VALUE"""),"grok-inu")</f>
        <v>grok-inu</v>
      </c>
      <c r="B5482" s="4" t="str">
        <f>IFERROR(__xludf.DUMMYFUNCTION("""COMPUTED_VALUE"""),"grokinu")</f>
        <v>grokinu</v>
      </c>
      <c r="C5482" s="4" t="str">
        <f>IFERROR(__xludf.DUMMYFUNCTION("""COMPUTED_VALUE"""),"Grok Inu")</f>
        <v>Grok Inu</v>
      </c>
    </row>
    <row r="5483">
      <c r="A5483" s="4" t="str">
        <f>IFERROR(__xludf.DUMMYFUNCTION("""COMPUTED_VALUE"""),"grokking")</f>
        <v>grokking</v>
      </c>
      <c r="B5483" s="4" t="str">
        <f>IFERROR(__xludf.DUMMYFUNCTION("""COMPUTED_VALUE"""),"grokking")</f>
        <v>grokking</v>
      </c>
      <c r="C5483" s="4" t="str">
        <f>IFERROR(__xludf.DUMMYFUNCTION("""COMPUTED_VALUE"""),"GrokKing")</f>
        <v>GrokKing</v>
      </c>
    </row>
    <row r="5484">
      <c r="A5484" s="4" t="str">
        <f>IFERROR(__xludf.DUMMYFUNCTION("""COMPUTED_VALUE"""),"grokky")</f>
        <v>grokky</v>
      </c>
      <c r="B5484" s="4" t="str">
        <f>IFERROR(__xludf.DUMMYFUNCTION("""COMPUTED_VALUE"""),"grokky")</f>
        <v>grokky</v>
      </c>
      <c r="C5484" s="4" t="str">
        <f>IFERROR(__xludf.DUMMYFUNCTION("""COMPUTED_VALUE"""),"GroKKy")</f>
        <v>GroKKy</v>
      </c>
    </row>
    <row r="5485">
      <c r="A5485" s="4" t="str">
        <f>IFERROR(__xludf.DUMMYFUNCTION("""COMPUTED_VALUE"""),"grok-moon")</f>
        <v>grok-moon</v>
      </c>
      <c r="B5485" s="4" t="str">
        <f>IFERROR(__xludf.DUMMYFUNCTION("""COMPUTED_VALUE"""),"grokmoon")</f>
        <v>grokmoon</v>
      </c>
      <c r="C5485" s="4" t="str">
        <f>IFERROR(__xludf.DUMMYFUNCTION("""COMPUTED_VALUE"""),"Grok Moon")</f>
        <v>Grok Moon</v>
      </c>
    </row>
    <row r="5486">
      <c r="A5486" s="4" t="str">
        <f>IFERROR(__xludf.DUMMYFUNCTION("""COMPUTED_VALUE"""),"grok-queen")</f>
        <v>grok-queen</v>
      </c>
      <c r="B5486" s="4" t="str">
        <f>IFERROR(__xludf.DUMMYFUNCTION("""COMPUTED_VALUE"""),"grokqueen")</f>
        <v>grokqueen</v>
      </c>
      <c r="C5486" s="4" t="str">
        <f>IFERROR(__xludf.DUMMYFUNCTION("""COMPUTED_VALUE"""),"Grok Queen")</f>
        <v>Grok Queen</v>
      </c>
    </row>
    <row r="5487">
      <c r="A5487" s="4" t="str">
        <f>IFERROR(__xludf.DUMMYFUNCTION("""COMPUTED_VALUE"""),"groktether")</f>
        <v>groktether</v>
      </c>
      <c r="B5487" s="4" t="str">
        <f>IFERROR(__xludf.DUMMYFUNCTION("""COMPUTED_VALUE"""),"groktether")</f>
        <v>groktether</v>
      </c>
      <c r="C5487" s="4" t="str">
        <f>IFERROR(__xludf.DUMMYFUNCTION("""COMPUTED_VALUE"""),"GrokTether")</f>
        <v>GrokTether</v>
      </c>
    </row>
    <row r="5488">
      <c r="A5488" s="4" t="str">
        <f>IFERROR(__xludf.DUMMYFUNCTION("""COMPUTED_VALUE"""),"grokx")</f>
        <v>grokx</v>
      </c>
      <c r="B5488" s="4" t="str">
        <f>IFERROR(__xludf.DUMMYFUNCTION("""COMPUTED_VALUE"""),"grokx")</f>
        <v>grokx</v>
      </c>
      <c r="C5488" s="4" t="str">
        <f>IFERROR(__xludf.DUMMYFUNCTION("""COMPUTED_VALUE"""),"GROKX")</f>
        <v>GROKX</v>
      </c>
    </row>
    <row r="5489">
      <c r="A5489" s="4" t="str">
        <f>IFERROR(__xludf.DUMMYFUNCTION("""COMPUTED_VALUE"""),"grok-x")</f>
        <v>grok-x</v>
      </c>
      <c r="B5489" s="4" t="str">
        <f>IFERROR(__xludf.DUMMYFUNCTION("""COMPUTED_VALUE"""),"grok x")</f>
        <v>grok x</v>
      </c>
      <c r="C5489" s="4" t="str">
        <f>IFERROR(__xludf.DUMMYFUNCTION("""COMPUTED_VALUE"""),"Grok X")</f>
        <v>Grok X</v>
      </c>
    </row>
    <row r="5490">
      <c r="A5490" s="4" t="str">
        <f>IFERROR(__xludf.DUMMYFUNCTION("""COMPUTED_VALUE"""),"grok-x-ai")</f>
        <v>grok-x-ai</v>
      </c>
      <c r="B5490" s="4" t="str">
        <f>IFERROR(__xludf.DUMMYFUNCTION("""COMPUTED_VALUE"""),"grok x ai")</f>
        <v>grok x ai</v>
      </c>
      <c r="C5490" s="4" t="str">
        <f>IFERROR(__xludf.DUMMYFUNCTION("""COMPUTED_VALUE"""),"Grok X Ai")</f>
        <v>Grok X Ai</v>
      </c>
    </row>
    <row r="5491">
      <c r="A5491" s="4" t="str">
        <f>IFERROR(__xludf.DUMMYFUNCTION("""COMPUTED_VALUE"""),"grom")</f>
        <v>grom</v>
      </c>
      <c r="B5491" s="4" t="str">
        <f>IFERROR(__xludf.DUMMYFUNCTION("""COMPUTED_VALUE"""),"gr")</f>
        <v>gr</v>
      </c>
      <c r="C5491" s="4" t="str">
        <f>IFERROR(__xludf.DUMMYFUNCTION("""COMPUTED_VALUE"""),"GROM")</f>
        <v>GROM</v>
      </c>
    </row>
    <row r="5492">
      <c r="A5492" s="4" t="str">
        <f>IFERROR(__xludf.DUMMYFUNCTION("""COMPUTED_VALUE"""),"groooook")</f>
        <v>groooook</v>
      </c>
      <c r="B5492" s="4" t="str">
        <f>IFERROR(__xludf.DUMMYFUNCTION("""COMPUTED_VALUE"""),"groooook")</f>
        <v>groooook</v>
      </c>
      <c r="C5492" s="4" t="str">
        <f>IFERROR(__xludf.DUMMYFUNCTION("""COMPUTED_VALUE"""),"Groooook")</f>
        <v>Groooook</v>
      </c>
    </row>
    <row r="5493">
      <c r="A5493" s="4" t="str">
        <f>IFERROR(__xludf.DUMMYFUNCTION("""COMPUTED_VALUE"""),"groq")</f>
        <v>groq</v>
      </c>
      <c r="B5493" s="4" t="str">
        <f>IFERROR(__xludf.DUMMYFUNCTION("""COMPUTED_VALUE"""),"groq")</f>
        <v>groq</v>
      </c>
      <c r="C5493" s="4" t="str">
        <f>IFERROR(__xludf.DUMMYFUNCTION("""COMPUTED_VALUE"""),"GROQ")</f>
        <v>GROQ</v>
      </c>
    </row>
    <row r="5494">
      <c r="A5494" s="4" t="str">
        <f>IFERROR(__xludf.DUMMYFUNCTION("""COMPUTED_VALUE"""),"grove")</f>
        <v>grove</v>
      </c>
      <c r="B5494" s="4" t="str">
        <f>IFERROR(__xludf.DUMMYFUNCTION("""COMPUTED_VALUE"""),"grv")</f>
        <v>grv</v>
      </c>
      <c r="C5494" s="4" t="str">
        <f>IFERROR(__xludf.DUMMYFUNCTION("""COMPUTED_VALUE"""),"GroveCoin")</f>
        <v>GroveCoin</v>
      </c>
    </row>
    <row r="5495">
      <c r="A5495" s="4" t="str">
        <f>IFERROR(__xludf.DUMMYFUNCTION("""COMPUTED_VALUE"""),"grovecoin-gburn")</f>
        <v>grovecoin-gburn</v>
      </c>
      <c r="B5495" s="4" t="str">
        <f>IFERROR(__xludf.DUMMYFUNCTION("""COMPUTED_VALUE"""),"gburn")</f>
        <v>gburn</v>
      </c>
      <c r="C5495" s="4" t="str">
        <f>IFERROR(__xludf.DUMMYFUNCTION("""COMPUTED_VALUE"""),"GBURN")</f>
        <v>GBURN</v>
      </c>
    </row>
    <row r="5496">
      <c r="A5496" s="4" t="str">
        <f>IFERROR(__xludf.DUMMYFUNCTION("""COMPUTED_VALUE"""),"grumpy")</f>
        <v>grumpy</v>
      </c>
      <c r="B5496" s="4" t="str">
        <f>IFERROR(__xludf.DUMMYFUNCTION("""COMPUTED_VALUE"""),"grum")</f>
        <v>grum</v>
      </c>
      <c r="C5496" s="4" t="str">
        <f>IFERROR(__xludf.DUMMYFUNCTION("""COMPUTED_VALUE"""),"Grumpy")</f>
        <v>Grumpy</v>
      </c>
    </row>
    <row r="5497">
      <c r="A5497" s="4" t="str">
        <f>IFERROR(__xludf.DUMMYFUNCTION("""COMPUTED_VALUE"""),"grumpy-cat-2c33af8d-87a8-4154-b004-0686166bdc45")</f>
        <v>grumpy-cat-2c33af8d-87a8-4154-b004-0686166bdc45</v>
      </c>
      <c r="B5497" s="4" t="str">
        <f>IFERROR(__xludf.DUMMYFUNCTION("""COMPUTED_VALUE"""),"grumpycat")</f>
        <v>grumpycat</v>
      </c>
      <c r="C5497" s="4" t="str">
        <f>IFERROR(__xludf.DUMMYFUNCTION("""COMPUTED_VALUE"""),"Grumpy Cat")</f>
        <v>Grumpy Cat</v>
      </c>
    </row>
    <row r="5498">
      <c r="A5498" s="4" t="str">
        <f>IFERROR(__xludf.DUMMYFUNCTION("""COMPUTED_VALUE"""),"gscarab")</f>
        <v>gscarab</v>
      </c>
      <c r="B5498" s="4" t="str">
        <f>IFERROR(__xludf.DUMMYFUNCTION("""COMPUTED_VALUE"""),"gscarab")</f>
        <v>gscarab</v>
      </c>
      <c r="C5498" s="4" t="str">
        <f>IFERROR(__xludf.DUMMYFUNCTION("""COMPUTED_VALUE"""),"GScarab")</f>
        <v>GScarab</v>
      </c>
    </row>
    <row r="5499">
      <c r="A5499" s="4" t="str">
        <f>IFERROR(__xludf.DUMMYFUNCTION("""COMPUTED_VALUE"""),"gsenetwork")</f>
        <v>gsenetwork</v>
      </c>
      <c r="B5499" s="4" t="str">
        <f>IFERROR(__xludf.DUMMYFUNCTION("""COMPUTED_VALUE"""),"gse")</f>
        <v>gse</v>
      </c>
      <c r="C5499" s="4" t="str">
        <f>IFERROR(__xludf.DUMMYFUNCTION("""COMPUTED_VALUE"""),"GSENetwork")</f>
        <v>GSENetwork</v>
      </c>
    </row>
    <row r="5500">
      <c r="A5500" s="4" t="str">
        <f>IFERROR(__xludf.DUMMYFUNCTION("""COMPUTED_VALUE"""),"gstcoin")</f>
        <v>gstcoin</v>
      </c>
      <c r="B5500" s="4" t="str">
        <f>IFERROR(__xludf.DUMMYFUNCTION("""COMPUTED_VALUE"""),"gst")</f>
        <v>gst</v>
      </c>
      <c r="C5500" s="4" t="str">
        <f>IFERROR(__xludf.DUMMYFUNCTION("""COMPUTED_VALUE"""),"GSTCOIN")</f>
        <v>GSTCOIN</v>
      </c>
    </row>
    <row r="5501">
      <c r="A5501" s="4" t="str">
        <f>IFERROR(__xludf.DUMMYFUNCTION("""COMPUTED_VALUE"""),"gta-token")</f>
        <v>gta-token</v>
      </c>
      <c r="B5501" s="4" t="str">
        <f>IFERROR(__xludf.DUMMYFUNCTION("""COMPUTED_VALUE"""),"gta")</f>
        <v>gta</v>
      </c>
      <c r="C5501" s="4" t="str">
        <f>IFERROR(__xludf.DUMMYFUNCTION("""COMPUTED_VALUE"""),"GTA Token")</f>
        <v>GTA Token</v>
      </c>
    </row>
    <row r="5502">
      <c r="A5502" s="4" t="str">
        <f>IFERROR(__xludf.DUMMYFUNCTION("""COMPUTED_VALUE"""),"gt-protocol")</f>
        <v>gt-protocol</v>
      </c>
      <c r="B5502" s="4" t="str">
        <f>IFERROR(__xludf.DUMMYFUNCTION("""COMPUTED_VALUE"""),"gtai")</f>
        <v>gtai</v>
      </c>
      <c r="C5502" s="4" t="str">
        <f>IFERROR(__xludf.DUMMYFUNCTION("""COMPUTED_VALUE"""),"GT-Protocol")</f>
        <v>GT-Protocol</v>
      </c>
    </row>
    <row r="5503">
      <c r="A5503" s="4" t="str">
        <f>IFERROR(__xludf.DUMMYFUNCTION("""COMPUTED_VALUE"""),"gtrok")</f>
        <v>gtrok</v>
      </c>
      <c r="B5503" s="4" t="str">
        <f>IFERROR(__xludf.DUMMYFUNCTION("""COMPUTED_VALUE"""),"gtrok")</f>
        <v>gtrok</v>
      </c>
      <c r="C5503" s="4" t="str">
        <f>IFERROR(__xludf.DUMMYFUNCTION("""COMPUTED_VALUE"""),"GTROK")</f>
        <v>GTROK</v>
      </c>
    </row>
    <row r="5504">
      <c r="A5504" s="4" t="str">
        <f>IFERROR(__xludf.DUMMYFUNCTION("""COMPUTED_VALUE"""),"gu")</f>
        <v>gu</v>
      </c>
      <c r="B5504" s="4" t="str">
        <f>IFERROR(__xludf.DUMMYFUNCTION("""COMPUTED_VALUE"""),"gu")</f>
        <v>gu</v>
      </c>
      <c r="C5504" s="4" t="str">
        <f>IFERROR(__xludf.DUMMYFUNCTION("""COMPUTED_VALUE"""),"Kugle GU")</f>
        <v>Kugle GU</v>
      </c>
    </row>
    <row r="5505">
      <c r="A5505" s="4" t="str">
        <f>IFERROR(__xludf.DUMMYFUNCTION("""COMPUTED_VALUE"""),"guacamole")</f>
        <v>guacamole</v>
      </c>
      <c r="B5505" s="4" t="str">
        <f>IFERROR(__xludf.DUMMYFUNCTION("""COMPUTED_VALUE"""),"guac")</f>
        <v>guac</v>
      </c>
      <c r="C5505" s="4" t="str">
        <f>IFERROR(__xludf.DUMMYFUNCTION("""COMPUTED_VALUE"""),"Guacamole")</f>
        <v>Guacamole</v>
      </c>
    </row>
    <row r="5506">
      <c r="A5506" s="4" t="str">
        <f>IFERROR(__xludf.DUMMYFUNCTION("""COMPUTED_VALUE"""),"guapcoin")</f>
        <v>guapcoin</v>
      </c>
      <c r="B5506" s="4" t="str">
        <f>IFERROR(__xludf.DUMMYFUNCTION("""COMPUTED_VALUE"""),"guap")</f>
        <v>guap</v>
      </c>
      <c r="C5506" s="4" t="str">
        <f>IFERROR(__xludf.DUMMYFUNCTION("""COMPUTED_VALUE"""),"Guapcoin")</f>
        <v>Guapcoin</v>
      </c>
    </row>
    <row r="5507">
      <c r="A5507" s="4" t="str">
        <f>IFERROR(__xludf.DUMMYFUNCTION("""COMPUTED_VALUE"""),"guarantee")</f>
        <v>guarantee</v>
      </c>
      <c r="B5507" s="4" t="str">
        <f>IFERROR(__xludf.DUMMYFUNCTION("""COMPUTED_VALUE"""),"tee")</f>
        <v>tee</v>
      </c>
      <c r="C5507" s="4" t="str">
        <f>IFERROR(__xludf.DUMMYFUNCTION("""COMPUTED_VALUE"""),"Guarantee")</f>
        <v>Guarantee</v>
      </c>
    </row>
    <row r="5508">
      <c r="A5508" s="4" t="str">
        <f>IFERROR(__xludf.DUMMYFUNCTION("""COMPUTED_VALUE"""),"guardai")</f>
        <v>guardai</v>
      </c>
      <c r="B5508" s="4" t="str">
        <f>IFERROR(__xludf.DUMMYFUNCTION("""COMPUTED_VALUE"""),"guardai")</f>
        <v>guardai</v>
      </c>
      <c r="C5508" s="4" t="str">
        <f>IFERROR(__xludf.DUMMYFUNCTION("""COMPUTED_VALUE"""),"GuardAI")</f>
        <v>GuardAI</v>
      </c>
    </row>
    <row r="5509">
      <c r="A5509" s="4" t="str">
        <f>IFERROR(__xludf.DUMMYFUNCTION("""COMPUTED_VALUE"""),"guarded-ether")</f>
        <v>guarded-ether</v>
      </c>
      <c r="B5509" s="4" t="str">
        <f>IFERROR(__xludf.DUMMYFUNCTION("""COMPUTED_VALUE"""),"geth")</f>
        <v>geth</v>
      </c>
      <c r="C5509" s="4" t="str">
        <f>IFERROR(__xludf.DUMMYFUNCTION("""COMPUTED_VALUE"""),"Guarded Ether")</f>
        <v>Guarded Ether</v>
      </c>
    </row>
    <row r="5510">
      <c r="A5510" s="4" t="str">
        <f>IFERROR(__xludf.DUMMYFUNCTION("""COMPUTED_VALUE"""),"guardian-ai")</f>
        <v>guardian-ai</v>
      </c>
      <c r="B5510" s="4" t="str">
        <f>IFERROR(__xludf.DUMMYFUNCTION("""COMPUTED_VALUE"""),"guardian")</f>
        <v>guardian</v>
      </c>
      <c r="C5510" s="4" t="str">
        <f>IFERROR(__xludf.DUMMYFUNCTION("""COMPUTED_VALUE"""),"Guardian AI")</f>
        <v>Guardian AI</v>
      </c>
    </row>
    <row r="5511">
      <c r="A5511" s="4" t="str">
        <f>IFERROR(__xludf.DUMMYFUNCTION("""COMPUTED_VALUE"""),"guardian-token")</f>
        <v>guardian-token</v>
      </c>
      <c r="B5511" s="4" t="str">
        <f>IFERROR(__xludf.DUMMYFUNCTION("""COMPUTED_VALUE"""),"guard")</f>
        <v>guard</v>
      </c>
      <c r="C5511" s="4" t="str">
        <f>IFERROR(__xludf.DUMMYFUNCTION("""COMPUTED_VALUE"""),"Guardian GUARD")</f>
        <v>Guardian GUARD</v>
      </c>
    </row>
    <row r="5512">
      <c r="A5512" s="4" t="str">
        <f>IFERROR(__xludf.DUMMYFUNCTION("""COMPUTED_VALUE"""),"guccipepe")</f>
        <v>guccipepe</v>
      </c>
      <c r="B5512" s="4" t="str">
        <f>IFERROR(__xludf.DUMMYFUNCTION("""COMPUTED_VALUE"""),"guccipepe")</f>
        <v>guccipepe</v>
      </c>
      <c r="C5512" s="4" t="str">
        <f>IFERROR(__xludf.DUMMYFUNCTION("""COMPUTED_VALUE"""),"GucciPepe")</f>
        <v>GucciPepe</v>
      </c>
    </row>
    <row r="5513">
      <c r="A5513" s="4" t="str">
        <f>IFERROR(__xludf.DUMMYFUNCTION("""COMPUTED_VALUE"""),"guessonchain")</f>
        <v>guessonchain</v>
      </c>
      <c r="B5513" s="4" t="str">
        <f>IFERROR(__xludf.DUMMYFUNCTION("""COMPUTED_VALUE"""),"guess")</f>
        <v>guess</v>
      </c>
      <c r="C5513" s="4" t="str">
        <f>IFERROR(__xludf.DUMMYFUNCTION("""COMPUTED_VALUE"""),"GuessOnChain")</f>
        <v>GuessOnChain</v>
      </c>
    </row>
    <row r="5514">
      <c r="A5514" s="4" t="str">
        <f>IFERROR(__xludf.DUMMYFUNCTION("""COMPUTED_VALUE"""),"gui-inu")</f>
        <v>gui-inu</v>
      </c>
      <c r="B5514" s="4" t="str">
        <f>IFERROR(__xludf.DUMMYFUNCTION("""COMPUTED_VALUE"""),"gui")</f>
        <v>gui</v>
      </c>
      <c r="C5514" s="4" t="str">
        <f>IFERROR(__xludf.DUMMYFUNCTION("""COMPUTED_VALUE"""),"Gui Inu")</f>
        <v>Gui Inu</v>
      </c>
    </row>
    <row r="5515">
      <c r="A5515" s="4" t="str">
        <f>IFERROR(__xludf.DUMMYFUNCTION("""COMPUTED_VALUE"""),"guildfi")</f>
        <v>guildfi</v>
      </c>
      <c r="B5515" s="4" t="str">
        <f>IFERROR(__xludf.DUMMYFUNCTION("""COMPUTED_VALUE"""),"gf")</f>
        <v>gf</v>
      </c>
      <c r="C5515" s="4" t="str">
        <f>IFERROR(__xludf.DUMMYFUNCTION("""COMPUTED_VALUE"""),"GuildFi")</f>
        <v>GuildFi</v>
      </c>
    </row>
    <row r="5516">
      <c r="A5516" s="4" t="str">
        <f>IFERROR(__xludf.DUMMYFUNCTION("""COMPUTED_VALUE"""),"guild-of-guardians")</f>
        <v>guild-of-guardians</v>
      </c>
      <c r="B5516" s="4" t="str">
        <f>IFERROR(__xludf.DUMMYFUNCTION("""COMPUTED_VALUE"""),"gog")</f>
        <v>gog</v>
      </c>
      <c r="C5516" s="4" t="str">
        <f>IFERROR(__xludf.DUMMYFUNCTION("""COMPUTED_VALUE"""),"Guild of Guardians")</f>
        <v>Guild of Guardians</v>
      </c>
    </row>
    <row r="5517">
      <c r="A5517" s="4" t="str">
        <f>IFERROR(__xludf.DUMMYFUNCTION("""COMPUTED_VALUE"""),"guiser")</f>
        <v>guiser</v>
      </c>
      <c r="B5517" s="4" t="str">
        <f>IFERROR(__xludf.DUMMYFUNCTION("""COMPUTED_VALUE"""),"guise")</f>
        <v>guise</v>
      </c>
      <c r="C5517" s="4" t="str">
        <f>IFERROR(__xludf.DUMMYFUNCTION("""COMPUTED_VALUE"""),"Guiser")</f>
        <v>Guiser</v>
      </c>
    </row>
    <row r="5518">
      <c r="A5518" s="4" t="str">
        <f>IFERROR(__xludf.DUMMYFUNCTION("""COMPUTED_VALUE"""),"gulfcoin-2")</f>
        <v>gulfcoin-2</v>
      </c>
      <c r="B5518" s="4" t="str">
        <f>IFERROR(__xludf.DUMMYFUNCTION("""COMPUTED_VALUE"""),"gulf")</f>
        <v>gulf</v>
      </c>
      <c r="C5518" s="4" t="str">
        <f>IFERROR(__xludf.DUMMYFUNCTION("""COMPUTED_VALUE"""),"GulfCoin")</f>
        <v>GulfCoin</v>
      </c>
    </row>
    <row r="5519">
      <c r="A5519" s="4" t="str">
        <f>IFERROR(__xludf.DUMMYFUNCTION("""COMPUTED_VALUE"""),"gumball-machine")</f>
        <v>gumball-machine</v>
      </c>
      <c r="B5519" s="4" t="str">
        <f>IFERROR(__xludf.DUMMYFUNCTION("""COMPUTED_VALUE"""),"gum")</f>
        <v>gum</v>
      </c>
      <c r="C5519" s="4" t="str">
        <f>IFERROR(__xludf.DUMMYFUNCTION("""COMPUTED_VALUE"""),"Gumball Machine")</f>
        <v>Gumball Machine</v>
      </c>
    </row>
    <row r="5520">
      <c r="A5520" s="4" t="str">
        <f>IFERROR(__xludf.DUMMYFUNCTION("""COMPUTED_VALUE"""),"gumbovile")</f>
        <v>gumbovile</v>
      </c>
      <c r="B5520" s="4" t="str">
        <f>IFERROR(__xludf.DUMMYFUNCTION("""COMPUTED_VALUE"""),"bo")</f>
        <v>bo</v>
      </c>
      <c r="C5520" s="4" t="str">
        <f>IFERROR(__xludf.DUMMYFUNCTION("""COMPUTED_VALUE"""),"gumBOvile")</f>
        <v>gumBOvile</v>
      </c>
    </row>
    <row r="5521">
      <c r="A5521" s="4" t="str">
        <f>IFERROR(__xludf.DUMMYFUNCTION("""COMPUTED_VALUE"""),"gunstar-metaverse")</f>
        <v>gunstar-metaverse</v>
      </c>
      <c r="B5521" s="4" t="str">
        <f>IFERROR(__xludf.DUMMYFUNCTION("""COMPUTED_VALUE"""),"gsts")</f>
        <v>gsts</v>
      </c>
      <c r="C5521" s="4" t="str">
        <f>IFERROR(__xludf.DUMMYFUNCTION("""COMPUTED_VALUE"""),"Gunstar Metaverse")</f>
        <v>Gunstar Metaverse</v>
      </c>
    </row>
    <row r="5522">
      <c r="A5522" s="4" t="str">
        <f>IFERROR(__xludf.DUMMYFUNCTION("""COMPUTED_VALUE"""),"gursonavax")</f>
        <v>gursonavax</v>
      </c>
      <c r="B5522" s="4" t="str">
        <f>IFERROR(__xludf.DUMMYFUNCTION("""COMPUTED_VALUE"""),"gurs")</f>
        <v>gurs</v>
      </c>
      <c r="C5522" s="4" t="str">
        <f>IFERROR(__xludf.DUMMYFUNCTION("""COMPUTED_VALUE"""),"GursOnAVAX")</f>
        <v>GursOnAVAX</v>
      </c>
    </row>
    <row r="5523">
      <c r="A5523" s="4" t="str">
        <f>IFERROR(__xludf.DUMMYFUNCTION("""COMPUTED_VALUE"""),"gus")</f>
        <v>gus</v>
      </c>
      <c r="B5523" s="4" t="str">
        <f>IFERROR(__xludf.DUMMYFUNCTION("""COMPUTED_VALUE"""),"gus")</f>
        <v>gus</v>
      </c>
      <c r="C5523" s="4" t="str">
        <f>IFERROR(__xludf.DUMMYFUNCTION("""COMPUTED_VALUE"""),"GUS")</f>
        <v>GUS</v>
      </c>
    </row>
    <row r="5524">
      <c r="A5524" s="4" t="str">
        <f>IFERROR(__xludf.DUMMYFUNCTION("""COMPUTED_VALUE"""),"gusd-token-49eca0d2-b7ae-4a58-bef7-2310688658f2")</f>
        <v>gusd-token-49eca0d2-b7ae-4a58-bef7-2310688658f2</v>
      </c>
      <c r="B5524" s="4" t="str">
        <f>IFERROR(__xludf.DUMMYFUNCTION("""COMPUTED_VALUE"""),"gusd")</f>
        <v>gusd</v>
      </c>
      <c r="C5524" s="4" t="str">
        <f>IFERROR(__xludf.DUMMYFUNCTION("""COMPUTED_VALUE"""),"GUSD Token (Gaura)")</f>
        <v>GUSD Token (Gaura)</v>
      </c>
    </row>
    <row r="5525">
      <c r="A5525" s="4" t="str">
        <f>IFERROR(__xludf.DUMMYFUNCTION("""COMPUTED_VALUE"""),"guys")</f>
        <v>guys</v>
      </c>
      <c r="B5525" s="4" t="str">
        <f>IFERROR(__xludf.DUMMYFUNCTION("""COMPUTED_VALUE"""),"hole")</f>
        <v>hole</v>
      </c>
      <c r="C5525" s="4" t="str">
        <f>IFERROR(__xludf.DUMMYFUNCTION("""COMPUTED_VALUE"""),"Hole Guys")</f>
        <v>Hole Guys</v>
      </c>
    </row>
    <row r="5526">
      <c r="A5526" s="4" t="str">
        <f>IFERROR(__xludf.DUMMYFUNCTION("""COMPUTED_VALUE"""),"guzzler")</f>
        <v>guzzler</v>
      </c>
      <c r="B5526" s="4" t="str">
        <f>IFERROR(__xludf.DUMMYFUNCTION("""COMPUTED_VALUE"""),"gzlr")</f>
        <v>gzlr</v>
      </c>
      <c r="C5526" s="4" t="str">
        <f>IFERROR(__xludf.DUMMYFUNCTION("""COMPUTED_VALUE"""),"Guzzler")</f>
        <v>Guzzler</v>
      </c>
    </row>
    <row r="5527">
      <c r="A5527" s="4" t="str">
        <f>IFERROR(__xludf.DUMMYFUNCTION("""COMPUTED_VALUE"""),"gvs")</f>
        <v>gvs</v>
      </c>
      <c r="B5527" s="4" t="str">
        <f>IFERROR(__xludf.DUMMYFUNCTION("""COMPUTED_VALUE"""),"gvs")</f>
        <v>gvs</v>
      </c>
      <c r="C5527" s="4" t="str">
        <f>IFERROR(__xludf.DUMMYFUNCTION("""COMPUTED_VALUE"""),"GVS")</f>
        <v>GVS</v>
      </c>
    </row>
    <row r="5528">
      <c r="A5528" s="4" t="str">
        <f>IFERROR(__xludf.DUMMYFUNCTION("""COMPUTED_VALUE"""),"gxchain")</f>
        <v>gxchain</v>
      </c>
      <c r="B5528" s="4" t="str">
        <f>IFERROR(__xludf.DUMMYFUNCTION("""COMPUTED_VALUE"""),"gxc")</f>
        <v>gxc</v>
      </c>
      <c r="C5528" s="4" t="str">
        <f>IFERROR(__xludf.DUMMYFUNCTION("""COMPUTED_VALUE"""),"GXChain")</f>
        <v>GXChain</v>
      </c>
    </row>
    <row r="5529">
      <c r="A5529" s="4" t="str">
        <f>IFERROR(__xludf.DUMMYFUNCTION("""COMPUTED_VALUE"""),"gyen")</f>
        <v>gyen</v>
      </c>
      <c r="B5529" s="4" t="str">
        <f>IFERROR(__xludf.DUMMYFUNCTION("""COMPUTED_VALUE"""),"gyen")</f>
        <v>gyen</v>
      </c>
      <c r="C5529" s="4" t="str">
        <f>IFERROR(__xludf.DUMMYFUNCTION("""COMPUTED_VALUE"""),"GYEN")</f>
        <v>GYEN</v>
      </c>
    </row>
    <row r="5530">
      <c r="A5530" s="4" t="str">
        <f>IFERROR(__xludf.DUMMYFUNCTION("""COMPUTED_VALUE"""),"gym-ai")</f>
        <v>gym-ai</v>
      </c>
      <c r="B5530" s="4" t="str">
        <f>IFERROR(__xludf.DUMMYFUNCTION("""COMPUTED_VALUE"""),"gym ai")</f>
        <v>gym ai</v>
      </c>
      <c r="C5530" s="4" t="str">
        <f>IFERROR(__xludf.DUMMYFUNCTION("""COMPUTED_VALUE"""),"Gym AI")</f>
        <v>Gym AI</v>
      </c>
    </row>
    <row r="5531">
      <c r="A5531" s="4" t="str">
        <f>IFERROR(__xludf.DUMMYFUNCTION("""COMPUTED_VALUE"""),"gym-network")</f>
        <v>gym-network</v>
      </c>
      <c r="B5531" s="4" t="str">
        <f>IFERROR(__xludf.DUMMYFUNCTION("""COMPUTED_VALUE"""),"gymnet")</f>
        <v>gymnet</v>
      </c>
      <c r="C5531" s="4" t="str">
        <f>IFERROR(__xludf.DUMMYFUNCTION("""COMPUTED_VALUE"""),"Gym Network")</f>
        <v>Gym Network</v>
      </c>
    </row>
    <row r="5532">
      <c r="A5532" s="4" t="str">
        <f>IFERROR(__xludf.DUMMYFUNCTION("""COMPUTED_VALUE"""),"gyoshi")</f>
        <v>gyoshi</v>
      </c>
      <c r="B5532" s="4" t="str">
        <f>IFERROR(__xludf.DUMMYFUNCTION("""COMPUTED_VALUE"""),"gyoshi")</f>
        <v>gyoshi</v>
      </c>
      <c r="C5532" s="4" t="str">
        <f>IFERROR(__xludf.DUMMYFUNCTION("""COMPUTED_VALUE"""),"GYOSHI")</f>
        <v>GYOSHI</v>
      </c>
    </row>
    <row r="5533">
      <c r="A5533" s="4" t="str">
        <f>IFERROR(__xludf.DUMMYFUNCTION("""COMPUTED_VALUE"""),"gyoza")</f>
        <v>gyoza</v>
      </c>
      <c r="B5533" s="4" t="str">
        <f>IFERROR(__xludf.DUMMYFUNCTION("""COMPUTED_VALUE"""),"gyoza")</f>
        <v>gyoza</v>
      </c>
      <c r="C5533" s="4" t="str">
        <f>IFERROR(__xludf.DUMMYFUNCTION("""COMPUTED_VALUE"""),"Gyoza")</f>
        <v>Gyoza</v>
      </c>
    </row>
    <row r="5534">
      <c r="A5534" s="4" t="str">
        <f>IFERROR(__xludf.DUMMYFUNCTION("""COMPUTED_VALUE"""),"gyroscope")</f>
        <v>gyroscope</v>
      </c>
      <c r="B5534" s="4" t="str">
        <f>IFERROR(__xludf.DUMMYFUNCTION("""COMPUTED_VALUE"""),"gyfi")</f>
        <v>gyfi</v>
      </c>
      <c r="C5534" s="4" t="str">
        <f>IFERROR(__xludf.DUMMYFUNCTION("""COMPUTED_VALUE"""),"Gyroscope")</f>
        <v>Gyroscope</v>
      </c>
    </row>
    <row r="5535">
      <c r="A5535" s="4" t="str">
        <f>IFERROR(__xludf.DUMMYFUNCTION("""COMPUTED_VALUE"""),"gyroscope-gyd")</f>
        <v>gyroscope-gyd</v>
      </c>
      <c r="B5535" s="4" t="str">
        <f>IFERROR(__xludf.DUMMYFUNCTION("""COMPUTED_VALUE"""),"gyd")</f>
        <v>gyd</v>
      </c>
      <c r="C5535" s="4" t="str">
        <f>IFERROR(__xludf.DUMMYFUNCTION("""COMPUTED_VALUE"""),"Gyroscope GYD")</f>
        <v>Gyroscope GYD</v>
      </c>
    </row>
    <row r="5536">
      <c r="A5536" s="4" t="str">
        <f>IFERROR(__xludf.DUMMYFUNCTION("""COMPUTED_VALUE"""),"gyrowin")</f>
        <v>gyrowin</v>
      </c>
      <c r="B5536" s="4" t="str">
        <f>IFERROR(__xludf.DUMMYFUNCTION("""COMPUTED_VALUE"""),"gw")</f>
        <v>gw</v>
      </c>
      <c r="C5536" s="4" t="str">
        <f>IFERROR(__xludf.DUMMYFUNCTION("""COMPUTED_VALUE"""),"Gyrowin")</f>
        <v>Gyrowin</v>
      </c>
    </row>
    <row r="5537">
      <c r="A5537" s="4" t="str">
        <f>IFERROR(__xludf.DUMMYFUNCTION("""COMPUTED_VALUE"""),"h2finance")</f>
        <v>h2finance</v>
      </c>
      <c r="B5537" s="4" t="str">
        <f>IFERROR(__xludf.DUMMYFUNCTION("""COMPUTED_VALUE"""),"yfih2")</f>
        <v>yfih2</v>
      </c>
      <c r="C5537" s="4" t="str">
        <f>IFERROR(__xludf.DUMMYFUNCTION("""COMPUTED_VALUE"""),"H2Finance")</f>
        <v>H2Finance</v>
      </c>
    </row>
    <row r="5538">
      <c r="A5538" s="4" t="str">
        <f>IFERROR(__xludf.DUMMYFUNCTION("""COMPUTED_VALUE"""),"h2o-dao")</f>
        <v>h2o-dao</v>
      </c>
      <c r="B5538" s="4" t="str">
        <f>IFERROR(__xludf.DUMMYFUNCTION("""COMPUTED_VALUE"""),"h2o")</f>
        <v>h2o</v>
      </c>
      <c r="C5538" s="4" t="str">
        <f>IFERROR(__xludf.DUMMYFUNCTION("""COMPUTED_VALUE"""),"H2O Dao")</f>
        <v>H2O Dao</v>
      </c>
    </row>
    <row r="5539">
      <c r="A5539" s="4" t="str">
        <f>IFERROR(__xludf.DUMMYFUNCTION("""COMPUTED_VALUE"""),"h2o-securities")</f>
        <v>h2o-securities</v>
      </c>
      <c r="B5539" s="4" t="str">
        <f>IFERROR(__xludf.DUMMYFUNCTION("""COMPUTED_VALUE"""),"h2on")</f>
        <v>h2on</v>
      </c>
      <c r="C5539" s="4" t="str">
        <f>IFERROR(__xludf.DUMMYFUNCTION("""COMPUTED_VALUE"""),"H2O Securities")</f>
        <v>H2O Securities</v>
      </c>
    </row>
    <row r="5540">
      <c r="A5540" s="4" t="str">
        <f>IFERROR(__xludf.DUMMYFUNCTION("""COMPUTED_VALUE"""),"habibi")</f>
        <v>habibi</v>
      </c>
      <c r="B5540" s="4" t="str">
        <f>IFERROR(__xludf.DUMMYFUNCTION("""COMPUTED_VALUE"""),"habibi")</f>
        <v>habibi</v>
      </c>
      <c r="C5540" s="4" t="str">
        <f>IFERROR(__xludf.DUMMYFUNCTION("""COMPUTED_VALUE"""),"Habibi")</f>
        <v>Habibi</v>
      </c>
    </row>
    <row r="5541">
      <c r="A5541" s="4" t="str">
        <f>IFERROR(__xludf.DUMMYFUNCTION("""COMPUTED_VALUE"""),"hacash")</f>
        <v>hacash</v>
      </c>
      <c r="B5541" s="4" t="str">
        <f>IFERROR(__xludf.DUMMYFUNCTION("""COMPUTED_VALUE"""),"hac")</f>
        <v>hac</v>
      </c>
      <c r="C5541" s="4" t="str">
        <f>IFERROR(__xludf.DUMMYFUNCTION("""COMPUTED_VALUE"""),"Hacash")</f>
        <v>Hacash</v>
      </c>
    </row>
    <row r="5542">
      <c r="A5542" s="4" t="str">
        <f>IFERROR(__xludf.DUMMYFUNCTION("""COMPUTED_VALUE"""),"hacash-diamond")</f>
        <v>hacash-diamond</v>
      </c>
      <c r="B5542" s="4" t="str">
        <f>IFERROR(__xludf.DUMMYFUNCTION("""COMPUTED_VALUE"""),"hacd")</f>
        <v>hacd</v>
      </c>
      <c r="C5542" s="4" t="str">
        <f>IFERROR(__xludf.DUMMYFUNCTION("""COMPUTED_VALUE"""),"Hacash Diamond")</f>
        <v>Hacash Diamond</v>
      </c>
    </row>
    <row r="5543">
      <c r="A5543" s="4" t="str">
        <f>IFERROR(__xludf.DUMMYFUNCTION("""COMPUTED_VALUE"""),"hachi")</f>
        <v>hachi</v>
      </c>
      <c r="B5543" s="4" t="str">
        <f>IFERROR(__xludf.DUMMYFUNCTION("""COMPUTED_VALUE"""),"hachi")</f>
        <v>hachi</v>
      </c>
      <c r="C5543" s="4" t="str">
        <f>IFERROR(__xludf.DUMMYFUNCTION("""COMPUTED_VALUE"""),"Hachi")</f>
        <v>Hachi</v>
      </c>
    </row>
    <row r="5544">
      <c r="A5544" s="4" t="str">
        <f>IFERROR(__xludf.DUMMYFUNCTION("""COMPUTED_VALUE"""),"hachiko-era")</f>
        <v>hachiko-era</v>
      </c>
      <c r="B5544" s="4" t="str">
        <f>IFERROR(__xludf.DUMMYFUNCTION("""COMPUTED_VALUE"""),"haki")</f>
        <v>haki</v>
      </c>
      <c r="C5544" s="4" t="str">
        <f>IFERROR(__xludf.DUMMYFUNCTION("""COMPUTED_VALUE"""),"Hachiko Inu")</f>
        <v>Hachiko Inu</v>
      </c>
    </row>
    <row r="5545">
      <c r="A5545" s="4" t="str">
        <f>IFERROR(__xludf.DUMMYFUNCTION("""COMPUTED_VALUE"""),"hachiko-injective")</f>
        <v>hachiko-injective</v>
      </c>
      <c r="B5545" s="4" t="str">
        <f>IFERROR(__xludf.DUMMYFUNCTION("""COMPUTED_VALUE"""),"hachi")</f>
        <v>hachi</v>
      </c>
      <c r="C5545" s="4" t="str">
        <f>IFERROR(__xludf.DUMMYFUNCTION("""COMPUTED_VALUE"""),"Hachikō (Injective)")</f>
        <v>Hachikō (Injective)</v>
      </c>
    </row>
    <row r="5546">
      <c r="A5546" s="4" t="str">
        <f>IFERROR(__xludf.DUMMYFUNCTION("""COMPUTED_VALUE"""),"hachikoinu")</f>
        <v>hachikoinu</v>
      </c>
      <c r="B5546" s="4" t="str">
        <f>IFERROR(__xludf.DUMMYFUNCTION("""COMPUTED_VALUE"""),"inu")</f>
        <v>inu</v>
      </c>
      <c r="C5546" s="4" t="str">
        <f>IFERROR(__xludf.DUMMYFUNCTION("""COMPUTED_VALUE"""),"HachikoInu")</f>
        <v>HachikoInu</v>
      </c>
    </row>
    <row r="5547">
      <c r="A5547" s="4" t="str">
        <f>IFERROR(__xludf.DUMMYFUNCTION("""COMPUTED_VALUE"""),"hachikosolana")</f>
        <v>hachikosolana</v>
      </c>
      <c r="B5547" s="4" t="str">
        <f>IFERROR(__xludf.DUMMYFUNCTION("""COMPUTED_VALUE"""),"hachi")</f>
        <v>hachi</v>
      </c>
      <c r="C5547" s="4" t="str">
        <f>IFERROR(__xludf.DUMMYFUNCTION("""COMPUTED_VALUE"""),"HachikoSolana")</f>
        <v>HachikoSolana</v>
      </c>
    </row>
    <row r="5548">
      <c r="A5548" s="4" t="str">
        <f>IFERROR(__xludf.DUMMYFUNCTION("""COMPUTED_VALUE"""),"hackenai")</f>
        <v>hackenai</v>
      </c>
      <c r="B5548" s="4" t="str">
        <f>IFERROR(__xludf.DUMMYFUNCTION("""COMPUTED_VALUE"""),"hai")</f>
        <v>hai</v>
      </c>
      <c r="C5548" s="4" t="str">
        <f>IFERROR(__xludf.DUMMYFUNCTION("""COMPUTED_VALUE"""),"Hacken")</f>
        <v>Hacken</v>
      </c>
    </row>
    <row r="5549">
      <c r="A5549" s="4" t="str">
        <f>IFERROR(__xludf.DUMMYFUNCTION("""COMPUTED_VALUE"""),"hades")</f>
        <v>hades</v>
      </c>
      <c r="B5549" s="4" t="str">
        <f>IFERROR(__xludf.DUMMYFUNCTION("""COMPUTED_VALUE"""),"hades")</f>
        <v>hades</v>
      </c>
      <c r="C5549" s="4" t="str">
        <f>IFERROR(__xludf.DUMMYFUNCTION("""COMPUTED_VALUE"""),"Hades")</f>
        <v>Hades</v>
      </c>
    </row>
    <row r="5550">
      <c r="A5550" s="4" t="str">
        <f>IFERROR(__xludf.DUMMYFUNCTION("""COMPUTED_VALUE"""),"hades-2")</f>
        <v>hades-2</v>
      </c>
      <c r="B5550" s="4" t="str">
        <f>IFERROR(__xludf.DUMMYFUNCTION("""COMPUTED_VALUE"""),"hades")</f>
        <v>hades</v>
      </c>
      <c r="C5550" s="4" t="str">
        <f>IFERROR(__xludf.DUMMYFUNCTION("""COMPUTED_VALUE"""),"Hades")</f>
        <v>Hades</v>
      </c>
    </row>
    <row r="5551">
      <c r="A5551" s="4" t="str">
        <f>IFERROR(__xludf.DUMMYFUNCTION("""COMPUTED_VALUE"""),"haedal-staked-sui")</f>
        <v>haedal-staked-sui</v>
      </c>
      <c r="B5551" s="4" t="str">
        <f>IFERROR(__xludf.DUMMYFUNCTION("""COMPUTED_VALUE"""),"hasui")</f>
        <v>hasui</v>
      </c>
      <c r="C5551" s="4" t="str">
        <f>IFERROR(__xludf.DUMMYFUNCTION("""COMPUTED_VALUE"""),"Haedal Staked SUI")</f>
        <v>Haedal Staked SUI</v>
      </c>
    </row>
    <row r="5552">
      <c r="A5552" s="4" t="str">
        <f>IFERROR(__xludf.DUMMYFUNCTION("""COMPUTED_VALUE"""),"haggord")</f>
        <v>haggord</v>
      </c>
      <c r="B5552" s="4" t="str">
        <f>IFERROR(__xludf.DUMMYFUNCTION("""COMPUTED_VALUE"""),"haggord")</f>
        <v>haggord</v>
      </c>
      <c r="C5552" s="4" t="str">
        <f>IFERROR(__xludf.DUMMYFUNCTION("""COMPUTED_VALUE"""),"HAGGORD")</f>
        <v>HAGGORD</v>
      </c>
    </row>
    <row r="5553">
      <c r="A5553" s="4" t="str">
        <f>IFERROR(__xludf.DUMMYFUNCTION("""COMPUTED_VALUE"""),"haha")</f>
        <v>haha</v>
      </c>
      <c r="B5553" s="4" t="str">
        <f>IFERROR(__xludf.DUMMYFUNCTION("""COMPUTED_VALUE"""),"haha")</f>
        <v>haha</v>
      </c>
      <c r="C5553" s="4" t="str">
        <f>IFERROR(__xludf.DUMMYFUNCTION("""COMPUTED_VALUE"""),"HAHA")</f>
        <v>HAHA</v>
      </c>
    </row>
    <row r="5554">
      <c r="A5554" s="4" t="str">
        <f>IFERROR(__xludf.DUMMYFUNCTION("""COMPUTED_VALUE"""),"hairdao")</f>
        <v>hairdao</v>
      </c>
      <c r="B5554" s="4" t="str">
        <f>IFERROR(__xludf.DUMMYFUNCTION("""COMPUTED_VALUE"""),"hair")</f>
        <v>hair</v>
      </c>
      <c r="C5554" s="4" t="str">
        <f>IFERROR(__xludf.DUMMYFUNCTION("""COMPUTED_VALUE"""),"HairDAO")</f>
        <v>HairDAO</v>
      </c>
    </row>
    <row r="5555">
      <c r="A5555" s="4" t="str">
        <f>IFERROR(__xludf.DUMMYFUNCTION("""COMPUTED_VALUE"""),"hairyplotterftx")</f>
        <v>hairyplotterftx</v>
      </c>
      <c r="B5555" s="4" t="str">
        <f>IFERROR(__xludf.DUMMYFUNCTION("""COMPUTED_VALUE"""),"ftx")</f>
        <v>ftx</v>
      </c>
      <c r="C5555" s="4" t="str">
        <f>IFERROR(__xludf.DUMMYFUNCTION("""COMPUTED_VALUE"""),"HairyPlotterFTX")</f>
        <v>HairyPlotterFTX</v>
      </c>
    </row>
    <row r="5556">
      <c r="A5556" s="4" t="str">
        <f>IFERROR(__xludf.DUMMYFUNCTION("""COMPUTED_VALUE"""),"hairypotheadtrempsanic69inu")</f>
        <v>hairypotheadtrempsanic69inu</v>
      </c>
      <c r="B5556" s="4" t="str">
        <f>IFERROR(__xludf.DUMMYFUNCTION("""COMPUTED_VALUE"""),"solana")</f>
        <v>solana</v>
      </c>
      <c r="C5556" s="4" t="str">
        <f>IFERROR(__xludf.DUMMYFUNCTION("""COMPUTED_VALUE"""),"HAIRYPOTHEADTREMPSANIC69INU")</f>
        <v>HAIRYPOTHEADTREMPSANIC69INU</v>
      </c>
    </row>
    <row r="5557">
      <c r="A5557" s="4" t="str">
        <f>IFERROR(__xludf.DUMMYFUNCTION("""COMPUTED_VALUE"""),"haki-token")</f>
        <v>haki-token</v>
      </c>
      <c r="B5557" s="4" t="str">
        <f>IFERROR(__xludf.DUMMYFUNCTION("""COMPUTED_VALUE"""),"haki")</f>
        <v>haki</v>
      </c>
      <c r="C5557" s="4" t="str">
        <f>IFERROR(__xludf.DUMMYFUNCTION("""COMPUTED_VALUE"""),"HAKI Token")</f>
        <v>HAKI Token</v>
      </c>
    </row>
    <row r="5558">
      <c r="A5558" s="4" t="str">
        <f>IFERROR(__xludf.DUMMYFUNCTION("""COMPUTED_VALUE"""),"hakka-finance")</f>
        <v>hakka-finance</v>
      </c>
      <c r="B5558" s="4" t="str">
        <f>IFERROR(__xludf.DUMMYFUNCTION("""COMPUTED_VALUE"""),"hakka")</f>
        <v>hakka</v>
      </c>
      <c r="C5558" s="4" t="str">
        <f>IFERROR(__xludf.DUMMYFUNCTION("""COMPUTED_VALUE"""),"Hakka Finance")</f>
        <v>Hakka Finance</v>
      </c>
    </row>
    <row r="5559">
      <c r="A5559" s="4" t="str">
        <f>IFERROR(__xludf.DUMMYFUNCTION("""COMPUTED_VALUE"""),"haku-ryujin")</f>
        <v>haku-ryujin</v>
      </c>
      <c r="B5559" s="4" t="str">
        <f>IFERROR(__xludf.DUMMYFUNCTION("""COMPUTED_VALUE"""),"haku")</f>
        <v>haku</v>
      </c>
      <c r="C5559" s="4" t="str">
        <f>IFERROR(__xludf.DUMMYFUNCTION("""COMPUTED_VALUE"""),"Haku Ryujin")</f>
        <v>Haku Ryujin</v>
      </c>
    </row>
    <row r="5560">
      <c r="A5560" s="4" t="str">
        <f>IFERROR(__xludf.DUMMYFUNCTION("""COMPUTED_VALUE"""),"hakuswap")</f>
        <v>hakuswap</v>
      </c>
      <c r="B5560" s="4" t="str">
        <f>IFERROR(__xludf.DUMMYFUNCTION("""COMPUTED_VALUE"""),"haku")</f>
        <v>haku</v>
      </c>
      <c r="C5560" s="4" t="str">
        <f>IFERROR(__xludf.DUMMYFUNCTION("""COMPUTED_VALUE"""),"HakuSwap")</f>
        <v>HakuSwap</v>
      </c>
    </row>
    <row r="5561">
      <c r="A5561" s="4" t="str">
        <f>IFERROR(__xludf.DUMMYFUNCTION("""COMPUTED_VALUE"""),"halcyon")</f>
        <v>halcyon</v>
      </c>
      <c r="B5561" s="4" t="str">
        <f>IFERROR(__xludf.DUMMYFUNCTION("""COMPUTED_VALUE"""),"hal")</f>
        <v>hal</v>
      </c>
      <c r="C5561" s="4" t="str">
        <f>IFERROR(__xludf.DUMMYFUNCTION("""COMPUTED_VALUE"""),"Halcyon")</f>
        <v>Halcyon</v>
      </c>
    </row>
    <row r="5562">
      <c r="A5562" s="4" t="str">
        <f>IFERROR(__xludf.DUMMYFUNCTION("""COMPUTED_VALUE"""),"halfpizza")</f>
        <v>halfpizza</v>
      </c>
      <c r="B5562" s="4" t="str">
        <f>IFERROR(__xludf.DUMMYFUNCTION("""COMPUTED_VALUE"""),"piza")</f>
        <v>piza</v>
      </c>
      <c r="C5562" s="4" t="str">
        <f>IFERROR(__xludf.DUMMYFUNCTION("""COMPUTED_VALUE"""),"Half Pizza")</f>
        <v>Half Pizza</v>
      </c>
    </row>
    <row r="5563">
      <c r="A5563" s="4" t="str">
        <f>IFERROR(__xludf.DUMMYFUNCTION("""COMPUTED_VALUE"""),"half-shiba-inu")</f>
        <v>half-shiba-inu</v>
      </c>
      <c r="B5563" s="4" t="str">
        <f>IFERROR(__xludf.DUMMYFUNCTION("""COMPUTED_VALUE"""),"shib0.5")</f>
        <v>shib0.5</v>
      </c>
      <c r="C5563" s="4" t="str">
        <f>IFERROR(__xludf.DUMMYFUNCTION("""COMPUTED_VALUE"""),"Half Shiba Inu")</f>
        <v>Half Shiba Inu</v>
      </c>
    </row>
    <row r="5564">
      <c r="A5564" s="4" t="str">
        <f>IFERROR(__xludf.DUMMYFUNCTION("""COMPUTED_VALUE"""),"halisworld")</f>
        <v>halisworld</v>
      </c>
      <c r="B5564" s="4" t="str">
        <f>IFERROR(__xludf.DUMMYFUNCTION("""COMPUTED_VALUE"""),"hls")</f>
        <v>hls</v>
      </c>
      <c r="C5564" s="4" t="str">
        <f>IFERROR(__xludf.DUMMYFUNCTION("""COMPUTED_VALUE"""),"HalisWorld")</f>
        <v>HalisWorld</v>
      </c>
    </row>
    <row r="5565">
      <c r="A5565" s="4" t="str">
        <f>IFERROR(__xludf.DUMMYFUNCTION("""COMPUTED_VALUE"""),"halloween-2")</f>
        <v>halloween-2</v>
      </c>
      <c r="B5565" s="4" t="str">
        <f>IFERROR(__xludf.DUMMYFUNCTION("""COMPUTED_VALUE"""),"halloween")</f>
        <v>halloween</v>
      </c>
      <c r="C5565" s="4" t="str">
        <f>IFERROR(__xludf.DUMMYFUNCTION("""COMPUTED_VALUE"""),"HALLOWEEN")</f>
        <v>HALLOWEEN</v>
      </c>
    </row>
    <row r="5566">
      <c r="A5566" s="4" t="str">
        <f>IFERROR(__xludf.DUMMYFUNCTION("""COMPUTED_VALUE"""),"halo-coin")</f>
        <v>halo-coin</v>
      </c>
      <c r="B5566" s="4" t="str">
        <f>IFERROR(__xludf.DUMMYFUNCTION("""COMPUTED_VALUE"""),"halo")</f>
        <v>halo</v>
      </c>
      <c r="C5566" s="4" t="str">
        <f>IFERROR(__xludf.DUMMYFUNCTION("""COMPUTED_VALUE"""),"Halo Coin")</f>
        <v>Halo Coin</v>
      </c>
    </row>
    <row r="5567">
      <c r="A5567" s="4" t="str">
        <f>IFERROR(__xludf.DUMMYFUNCTION("""COMPUTED_VALUE"""),"halo-network")</f>
        <v>halo-network</v>
      </c>
      <c r="B5567" s="4" t="str">
        <f>IFERROR(__xludf.DUMMYFUNCTION("""COMPUTED_VALUE"""),"ho")</f>
        <v>ho</v>
      </c>
      <c r="C5567" s="4" t="str">
        <f>IFERROR(__xludf.DUMMYFUNCTION("""COMPUTED_VALUE"""),"HALO Network")</f>
        <v>HALO Network</v>
      </c>
    </row>
    <row r="5568">
      <c r="A5568" s="4" t="str">
        <f>IFERROR(__xludf.DUMMYFUNCTION("""COMPUTED_VALUE"""),"halonft-art")</f>
        <v>halonft-art</v>
      </c>
      <c r="B5568" s="4" t="str">
        <f>IFERROR(__xludf.DUMMYFUNCTION("""COMPUTED_VALUE"""),"halo")</f>
        <v>halo</v>
      </c>
      <c r="C5568" s="4" t="str">
        <f>IFERROR(__xludf.DUMMYFUNCTION("""COMPUTED_VALUE"""),"HALOnft.art")</f>
        <v>HALOnft.art</v>
      </c>
    </row>
    <row r="5569">
      <c r="A5569" s="4" t="str">
        <f>IFERROR(__xludf.DUMMYFUNCTION("""COMPUTED_VALUE"""),"halving")</f>
        <v>halving</v>
      </c>
      <c r="B5569" s="4" t="str">
        <f>IFERROR(__xludf.DUMMYFUNCTION("""COMPUTED_VALUE"""),"halving")</f>
        <v>halving</v>
      </c>
      <c r="C5569" s="4" t="str">
        <f>IFERROR(__xludf.DUMMYFUNCTION("""COMPUTED_VALUE"""),"Halving")</f>
        <v>Halving</v>
      </c>
    </row>
    <row r="5570">
      <c r="A5570" s="4" t="str">
        <f>IFERROR(__xludf.DUMMYFUNCTION("""COMPUTED_VALUE"""),"hamachi-finance")</f>
        <v>hamachi-finance</v>
      </c>
      <c r="B5570" s="4" t="str">
        <f>IFERROR(__xludf.DUMMYFUNCTION("""COMPUTED_VALUE"""),"hami")</f>
        <v>hami</v>
      </c>
      <c r="C5570" s="4" t="str">
        <f>IFERROR(__xludf.DUMMYFUNCTION("""COMPUTED_VALUE"""),"Hamachi Finance")</f>
        <v>Hamachi Finance</v>
      </c>
    </row>
    <row r="5571">
      <c r="A5571" s="4" t="str">
        <f>IFERROR(__xludf.DUMMYFUNCTION("""COMPUTED_VALUE"""),"hami")</f>
        <v>hami</v>
      </c>
      <c r="B5571" s="4" t="str">
        <f>IFERROR(__xludf.DUMMYFUNCTION("""COMPUTED_VALUE"""),"$hami")</f>
        <v>$hami</v>
      </c>
      <c r="C5571" s="4" t="str">
        <f>IFERROR(__xludf.DUMMYFUNCTION("""COMPUTED_VALUE"""),"HAMI")</f>
        <v>HAMI</v>
      </c>
    </row>
    <row r="5572">
      <c r="A5572" s="4" t="str">
        <f>IFERROR(__xludf.DUMMYFUNCTION("""COMPUTED_VALUE"""),"hamster")</f>
        <v>hamster</v>
      </c>
      <c r="B5572" s="4" t="str">
        <f>IFERROR(__xludf.DUMMYFUNCTION("""COMPUTED_VALUE"""),"ham")</f>
        <v>ham</v>
      </c>
      <c r="C5572" s="4" t="str">
        <f>IFERROR(__xludf.DUMMYFUNCTION("""COMPUTED_VALUE"""),"Hamster")</f>
        <v>Hamster</v>
      </c>
    </row>
    <row r="5573">
      <c r="A5573" s="4" t="str">
        <f>IFERROR(__xludf.DUMMYFUNCTION("""COMPUTED_VALUE"""),"hamster-groomers")</f>
        <v>hamster-groomers</v>
      </c>
      <c r="B5573" s="4" t="str">
        <f>IFERROR(__xludf.DUMMYFUNCTION("""COMPUTED_VALUE"""),"groomer")</f>
        <v>groomer</v>
      </c>
      <c r="C5573" s="4" t="str">
        <f>IFERROR(__xludf.DUMMYFUNCTION("""COMPUTED_VALUE"""),"Hamster Groomers")</f>
        <v>Hamster Groomers</v>
      </c>
    </row>
    <row r="5574">
      <c r="A5574" s="4" t="str">
        <f>IFERROR(__xludf.DUMMYFUNCTION("""COMPUTED_VALUE"""),"hamsters")</f>
        <v>hamsters</v>
      </c>
      <c r="B5574" s="4" t="str">
        <f>IFERROR(__xludf.DUMMYFUNCTION("""COMPUTED_VALUE"""),"hams")</f>
        <v>hams</v>
      </c>
      <c r="C5574" s="4" t="str">
        <f>IFERROR(__xludf.DUMMYFUNCTION("""COMPUTED_VALUE"""),"Hamsters")</f>
        <v>Hamsters</v>
      </c>
    </row>
    <row r="5575">
      <c r="A5575" s="4" t="str">
        <f>IFERROR(__xludf.DUMMYFUNCTION("""COMPUTED_VALUE"""),"hanchain")</f>
        <v>hanchain</v>
      </c>
      <c r="B5575" s="4" t="str">
        <f>IFERROR(__xludf.DUMMYFUNCTION("""COMPUTED_VALUE"""),"han")</f>
        <v>han</v>
      </c>
      <c r="C5575" s="4" t="str">
        <f>IFERROR(__xludf.DUMMYFUNCTION("""COMPUTED_VALUE"""),"HanChain")</f>
        <v>HanChain</v>
      </c>
    </row>
    <row r="5576">
      <c r="A5576" s="4" t="str">
        <f>IFERROR(__xludf.DUMMYFUNCTION("""COMPUTED_VALUE"""),"handle-fi")</f>
        <v>handle-fi</v>
      </c>
      <c r="B5576" s="4" t="str">
        <f>IFERROR(__xludf.DUMMYFUNCTION("""COMPUTED_VALUE"""),"forex")</f>
        <v>forex</v>
      </c>
      <c r="C5576" s="5" t="str">
        <f>IFERROR(__xludf.DUMMYFUNCTION("""COMPUTED_VALUE"""),"handle.fi")</f>
        <v>handle.fi</v>
      </c>
    </row>
    <row r="5577">
      <c r="A5577" s="4" t="str">
        <f>IFERROR(__xludf.DUMMYFUNCTION("""COMPUTED_VALUE"""),"handleusd")</f>
        <v>handleusd</v>
      </c>
      <c r="B5577" s="4" t="str">
        <f>IFERROR(__xludf.DUMMYFUNCTION("""COMPUTED_VALUE"""),"fxusd")</f>
        <v>fxusd</v>
      </c>
      <c r="C5577" s="4" t="str">
        <f>IFERROR(__xludf.DUMMYFUNCTION("""COMPUTED_VALUE"""),"handleUSD")</f>
        <v>handleUSD</v>
      </c>
    </row>
    <row r="5578">
      <c r="A5578" s="4" t="str">
        <f>IFERROR(__xludf.DUMMYFUNCTION("""COMPUTED_VALUE"""),"handshake")</f>
        <v>handshake</v>
      </c>
      <c r="B5578" s="4" t="str">
        <f>IFERROR(__xludf.DUMMYFUNCTION("""COMPUTED_VALUE"""),"hns")</f>
        <v>hns</v>
      </c>
      <c r="C5578" s="4" t="str">
        <f>IFERROR(__xludf.DUMMYFUNCTION("""COMPUTED_VALUE"""),"Handshake")</f>
        <v>Handshake</v>
      </c>
    </row>
    <row r="5579">
      <c r="A5579" s="4" t="str">
        <f>IFERROR(__xludf.DUMMYFUNCTION("""COMPUTED_VALUE"""),"handy")</f>
        <v>handy</v>
      </c>
      <c r="B5579" s="4" t="str">
        <f>IFERROR(__xludf.DUMMYFUNCTION("""COMPUTED_VALUE"""),"handy")</f>
        <v>handy</v>
      </c>
      <c r="C5579" s="4" t="str">
        <f>IFERROR(__xludf.DUMMYFUNCTION("""COMPUTED_VALUE"""),"Handy")</f>
        <v>Handy</v>
      </c>
    </row>
    <row r="5580">
      <c r="A5580" s="4" t="str">
        <f>IFERROR(__xludf.DUMMYFUNCTION("""COMPUTED_VALUE"""),"handz-of-gods")</f>
        <v>handz-of-gods</v>
      </c>
      <c r="B5580" s="4" t="str">
        <f>IFERROR(__xludf.DUMMYFUNCTION("""COMPUTED_VALUE"""),"handz")</f>
        <v>handz</v>
      </c>
      <c r="C5580" s="4" t="str">
        <f>IFERROR(__xludf.DUMMYFUNCTION("""COMPUTED_VALUE"""),"Handz of Gods")</f>
        <v>Handz of Gods</v>
      </c>
    </row>
    <row r="5581">
      <c r="A5581" s="4" t="str">
        <f>IFERROR(__xludf.DUMMYFUNCTION("""COMPUTED_VALUE"""),"haneplatform")</f>
        <v>haneplatform</v>
      </c>
      <c r="B5581" s="4" t="str">
        <f>IFERROR(__xludf.DUMMYFUNCTION("""COMPUTED_VALUE"""),"hanep")</f>
        <v>hanep</v>
      </c>
      <c r="C5581" s="4" t="str">
        <f>IFERROR(__xludf.DUMMYFUNCTION("""COMPUTED_VALUE"""),"HANePlatform")</f>
        <v>HANePlatform</v>
      </c>
    </row>
    <row r="5582">
      <c r="A5582" s="4" t="str">
        <f>IFERROR(__xludf.DUMMYFUNCTION("""COMPUTED_VALUE"""),"hanuman-universe")</f>
        <v>hanuman-universe</v>
      </c>
      <c r="B5582" s="4" t="str">
        <f>IFERROR(__xludf.DUMMYFUNCTION("""COMPUTED_VALUE"""),"hut")</f>
        <v>hut</v>
      </c>
      <c r="C5582" s="4" t="str">
        <f>IFERROR(__xludf.DUMMYFUNCTION("""COMPUTED_VALUE"""),"Hanuman Universe")</f>
        <v>Hanuman Universe</v>
      </c>
    </row>
    <row r="5583">
      <c r="A5583" s="4" t="str">
        <f>IFERROR(__xludf.DUMMYFUNCTION("""COMPUTED_VALUE"""),"hanu-yokia")</f>
        <v>hanu-yokia</v>
      </c>
      <c r="B5583" s="4" t="str">
        <f>IFERROR(__xludf.DUMMYFUNCTION("""COMPUTED_VALUE"""),"hanu")</f>
        <v>hanu</v>
      </c>
      <c r="C5583" s="4" t="str">
        <f>IFERROR(__xludf.DUMMYFUNCTION("""COMPUTED_VALUE"""),"Hanu Yokia")</f>
        <v>Hanu Yokia</v>
      </c>
    </row>
    <row r="5584">
      <c r="A5584" s="4" t="str">
        <f>IFERROR(__xludf.DUMMYFUNCTION("""COMPUTED_VALUE"""),"hapi")</f>
        <v>hapi</v>
      </c>
      <c r="B5584" s="4" t="str">
        <f>IFERROR(__xludf.DUMMYFUNCTION("""COMPUTED_VALUE"""),"hapi")</f>
        <v>hapi</v>
      </c>
      <c r="C5584" s="4" t="str">
        <f>IFERROR(__xludf.DUMMYFUNCTION("""COMPUTED_VALUE"""),"HAPI")</f>
        <v>HAPI</v>
      </c>
    </row>
    <row r="5585">
      <c r="A5585" s="4" t="str">
        <f>IFERROR(__xludf.DUMMYFUNCTION("""COMPUTED_VALUE"""),"happi-cat")</f>
        <v>happi-cat</v>
      </c>
      <c r="B5585" s="4" t="str">
        <f>IFERROR(__xludf.DUMMYFUNCTION("""COMPUTED_VALUE"""),"happi")</f>
        <v>happi</v>
      </c>
      <c r="C5585" s="4" t="str">
        <f>IFERROR(__xludf.DUMMYFUNCTION("""COMPUTED_VALUE"""),"happi cat")</f>
        <v>happi cat</v>
      </c>
    </row>
    <row r="5586">
      <c r="A5586" s="4" t="str">
        <f>IFERROR(__xludf.DUMMYFUNCTION("""COMPUTED_VALUE"""),"happyai")</f>
        <v>happyai</v>
      </c>
      <c r="B5586" s="4" t="str">
        <f>IFERROR(__xludf.DUMMYFUNCTION("""COMPUTED_VALUE"""),"smileai")</f>
        <v>smileai</v>
      </c>
      <c r="C5586" s="4" t="str">
        <f>IFERROR(__xludf.DUMMYFUNCTION("""COMPUTED_VALUE"""),"HappyAI")</f>
        <v>HappyAI</v>
      </c>
    </row>
    <row r="5587">
      <c r="A5587" s="4" t="str">
        <f>IFERROR(__xludf.DUMMYFUNCTION("""COMPUTED_VALUE"""),"happybear")</f>
        <v>happybear</v>
      </c>
      <c r="B5587" s="4" t="str">
        <f>IFERROR(__xludf.DUMMYFUNCTION("""COMPUTED_VALUE"""),"happy")</f>
        <v>happy</v>
      </c>
      <c r="C5587" s="4" t="str">
        <f>IFERROR(__xludf.DUMMYFUNCTION("""COMPUTED_VALUE"""),"HappyBear")</f>
        <v>HappyBear</v>
      </c>
    </row>
    <row r="5588">
      <c r="A5588" s="4" t="str">
        <f>IFERROR(__xludf.DUMMYFUNCTION("""COMPUTED_VALUE"""),"happy-birthday-coin")</f>
        <v>happy-birthday-coin</v>
      </c>
      <c r="B5588" s="4" t="str">
        <f>IFERROR(__xludf.DUMMYFUNCTION("""COMPUTED_VALUE"""),"hbdc")</f>
        <v>hbdc</v>
      </c>
      <c r="C5588" s="4" t="str">
        <f>IFERROR(__xludf.DUMMYFUNCTION("""COMPUTED_VALUE"""),"Happy Birthday Coin")</f>
        <v>Happy Birthday Coin</v>
      </c>
    </row>
    <row r="5589">
      <c r="A5589" s="4" t="str">
        <f>IFERROR(__xludf.DUMMYFUNCTION("""COMPUTED_VALUE"""),"happyfans")</f>
        <v>happyfans</v>
      </c>
      <c r="B5589" s="4" t="str">
        <f>IFERROR(__xludf.DUMMYFUNCTION("""COMPUTED_VALUE"""),"happy")</f>
        <v>happy</v>
      </c>
      <c r="C5589" s="4" t="str">
        <f>IFERROR(__xludf.DUMMYFUNCTION("""COMPUTED_VALUE"""),"HappyFans")</f>
        <v>HappyFans</v>
      </c>
    </row>
    <row r="5590">
      <c r="A5590" s="4" t="str">
        <f>IFERROR(__xludf.DUMMYFUNCTION("""COMPUTED_VALUE"""),"happy-puppy-club")</f>
        <v>happy-puppy-club</v>
      </c>
      <c r="B5590" s="4" t="str">
        <f>IFERROR(__xludf.DUMMYFUNCTION("""COMPUTED_VALUE"""),"hpc")</f>
        <v>hpc</v>
      </c>
      <c r="C5590" s="4" t="str">
        <f>IFERROR(__xludf.DUMMYFUNCTION("""COMPUTED_VALUE"""),"Happy Puppy Club")</f>
        <v>Happy Puppy Club</v>
      </c>
    </row>
    <row r="5591">
      <c r="A5591" s="4" t="str">
        <f>IFERROR(__xludf.DUMMYFUNCTION("""COMPUTED_VALUE"""),"happy-train")</f>
        <v>happy-train</v>
      </c>
      <c r="B5591" s="4" t="str">
        <f>IFERROR(__xludf.DUMMYFUNCTION("""COMPUTED_VALUE"""),"htr")</f>
        <v>htr</v>
      </c>
      <c r="C5591" s="4" t="str">
        <f>IFERROR(__xludf.DUMMYFUNCTION("""COMPUTED_VALUE"""),"Happy Train")</f>
        <v>Happy Train</v>
      </c>
    </row>
    <row r="5592">
      <c r="A5592" s="4" t="str">
        <f>IFERROR(__xludf.DUMMYFUNCTION("""COMPUTED_VALUE"""),"haram")</f>
        <v>haram</v>
      </c>
      <c r="B5592" s="4" t="str">
        <f>IFERROR(__xludf.DUMMYFUNCTION("""COMPUTED_VALUE"""),"$haram")</f>
        <v>$haram</v>
      </c>
      <c r="C5592" s="4" t="str">
        <f>IFERROR(__xludf.DUMMYFUNCTION("""COMPUTED_VALUE"""),"Haram")</f>
        <v>Haram</v>
      </c>
    </row>
    <row r="5593">
      <c r="A5593" s="4" t="str">
        <f>IFERROR(__xludf.DUMMYFUNCTION("""COMPUTED_VALUE"""),"harambe")</f>
        <v>harambe</v>
      </c>
      <c r="B5593" s="4" t="str">
        <f>IFERROR(__xludf.DUMMYFUNCTION("""COMPUTED_VALUE"""),"harambe")</f>
        <v>harambe</v>
      </c>
      <c r="C5593" s="4" t="str">
        <f>IFERROR(__xludf.DUMMYFUNCTION("""COMPUTED_VALUE"""),"Harambe")</f>
        <v>Harambe</v>
      </c>
    </row>
    <row r="5594">
      <c r="A5594" s="4" t="str">
        <f>IFERROR(__xludf.DUMMYFUNCTION("""COMPUTED_VALUE"""),"harambe-2")</f>
        <v>harambe-2</v>
      </c>
      <c r="B5594" s="4" t="str">
        <f>IFERROR(__xludf.DUMMYFUNCTION("""COMPUTED_VALUE"""),"harambe")</f>
        <v>harambe</v>
      </c>
      <c r="C5594" s="4" t="str">
        <f>IFERROR(__xludf.DUMMYFUNCTION("""COMPUTED_VALUE"""),"Harambe on Solana")</f>
        <v>Harambe on Solana</v>
      </c>
    </row>
    <row r="5595">
      <c r="A5595" s="4" t="str">
        <f>IFERROR(__xludf.DUMMYFUNCTION("""COMPUTED_VALUE"""),"harambecoin")</f>
        <v>harambecoin</v>
      </c>
      <c r="B5595" s="4" t="str">
        <f>IFERROR(__xludf.DUMMYFUNCTION("""COMPUTED_VALUE"""),"harambe")</f>
        <v>harambe</v>
      </c>
      <c r="C5595" s="4" t="str">
        <f>IFERROR(__xludf.DUMMYFUNCTION("""COMPUTED_VALUE"""),"HarambeCoin")</f>
        <v>HarambeCoin</v>
      </c>
    </row>
    <row r="5596">
      <c r="A5596" s="4" t="str">
        <f>IFERROR(__xludf.DUMMYFUNCTION("""COMPUTED_VALUE"""),"harambe-wisdom")</f>
        <v>harambe-wisdom</v>
      </c>
      <c r="B5596" s="4" t="str">
        <f>IFERROR(__xludf.DUMMYFUNCTION("""COMPUTED_VALUE"""),"rambe")</f>
        <v>rambe</v>
      </c>
      <c r="C5596" s="4" t="str">
        <f>IFERROR(__xludf.DUMMYFUNCTION("""COMPUTED_VALUE"""),"Harambe Wisdom")</f>
        <v>Harambe Wisdom</v>
      </c>
    </row>
    <row r="5597">
      <c r="A5597" s="4" t="str">
        <f>IFERROR(__xludf.DUMMYFUNCTION("""COMPUTED_VALUE"""),"hara-token")</f>
        <v>hara-token</v>
      </c>
      <c r="B5597" s="4" t="str">
        <f>IFERROR(__xludf.DUMMYFUNCTION("""COMPUTED_VALUE"""),"hart")</f>
        <v>hart</v>
      </c>
      <c r="C5597" s="4" t="str">
        <f>IFERROR(__xludf.DUMMYFUNCTION("""COMPUTED_VALUE"""),"Hara")</f>
        <v>Hara</v>
      </c>
    </row>
    <row r="5598">
      <c r="A5598" s="4" t="str">
        <f>IFERROR(__xludf.DUMMYFUNCTION("""COMPUTED_VALUE"""),"harbor-2")</f>
        <v>harbor-2</v>
      </c>
      <c r="B5598" s="4" t="str">
        <f>IFERROR(__xludf.DUMMYFUNCTION("""COMPUTED_VALUE"""),"harbor")</f>
        <v>harbor</v>
      </c>
      <c r="C5598" s="4" t="str">
        <f>IFERROR(__xludf.DUMMYFUNCTION("""COMPUTED_VALUE"""),"Harbor Protocol")</f>
        <v>Harbor Protocol</v>
      </c>
    </row>
    <row r="5599">
      <c r="A5599" s="4" t="str">
        <f>IFERROR(__xludf.DUMMYFUNCTION("""COMPUTED_VALUE"""),"harbor-3")</f>
        <v>harbor-3</v>
      </c>
      <c r="B5599" s="4" t="str">
        <f>IFERROR(__xludf.DUMMYFUNCTION("""COMPUTED_VALUE"""),"hbr")</f>
        <v>hbr</v>
      </c>
      <c r="C5599" s="4" t="str">
        <f>IFERROR(__xludf.DUMMYFUNCTION("""COMPUTED_VALUE"""),"Harbor")</f>
        <v>Harbor</v>
      </c>
    </row>
    <row r="5600">
      <c r="A5600" s="4" t="str">
        <f>IFERROR(__xludf.DUMMYFUNCTION("""COMPUTED_VALUE"""),"hard-frog-nick")</f>
        <v>hard-frog-nick</v>
      </c>
      <c r="B5600" s="4" t="str">
        <f>IFERROR(__xludf.DUMMYFUNCTION("""COMPUTED_VALUE"""),"nick")</f>
        <v>nick</v>
      </c>
      <c r="C5600" s="4" t="str">
        <f>IFERROR(__xludf.DUMMYFUNCTION("""COMPUTED_VALUE"""),"Hard Frog Nick")</f>
        <v>Hard Frog Nick</v>
      </c>
    </row>
    <row r="5601">
      <c r="A5601" s="4" t="str">
        <f>IFERROR(__xludf.DUMMYFUNCTION("""COMPUTED_VALUE"""),"hare-token")</f>
        <v>hare-token</v>
      </c>
      <c r="B5601" s="4" t="str">
        <f>IFERROR(__xludf.DUMMYFUNCTION("""COMPUTED_VALUE"""),"hare")</f>
        <v>hare</v>
      </c>
      <c r="C5601" s="4" t="str">
        <f>IFERROR(__xludf.DUMMYFUNCTION("""COMPUTED_VALUE"""),"Hare [OLD]")</f>
        <v>Hare [OLD]</v>
      </c>
    </row>
    <row r="5602">
      <c r="A5602" s="4" t="str">
        <f>IFERROR(__xludf.DUMMYFUNCTION("""COMPUTED_VALUE"""),"harlequins-fan-token")</f>
        <v>harlequins-fan-token</v>
      </c>
      <c r="B5602" s="4" t="str">
        <f>IFERROR(__xludf.DUMMYFUNCTION("""COMPUTED_VALUE"""),"quins")</f>
        <v>quins</v>
      </c>
      <c r="C5602" s="4" t="str">
        <f>IFERROR(__xludf.DUMMYFUNCTION("""COMPUTED_VALUE"""),"Harlequins Fan Token")</f>
        <v>Harlequins Fan Token</v>
      </c>
    </row>
    <row r="5603">
      <c r="A5603" s="4" t="str">
        <f>IFERROR(__xludf.DUMMYFUNCTION("""COMPUTED_VALUE"""),"harmony")</f>
        <v>harmony</v>
      </c>
      <c r="B5603" s="4" t="str">
        <f>IFERROR(__xludf.DUMMYFUNCTION("""COMPUTED_VALUE"""),"one")</f>
        <v>one</v>
      </c>
      <c r="C5603" s="4" t="str">
        <f>IFERROR(__xludf.DUMMYFUNCTION("""COMPUTED_VALUE"""),"Harmony")</f>
        <v>Harmony</v>
      </c>
    </row>
    <row r="5604">
      <c r="A5604" s="4" t="str">
        <f>IFERROR(__xludf.DUMMYFUNCTION("""COMPUTED_VALUE"""),"harmony-horizen-bridged-busd-harmony")</f>
        <v>harmony-horizen-bridged-busd-harmony</v>
      </c>
      <c r="B5604" s="4" t="str">
        <f>IFERROR(__xludf.DUMMYFUNCTION("""COMPUTED_VALUE"""),"busd")</f>
        <v>busd</v>
      </c>
      <c r="C5604" s="4" t="str">
        <f>IFERROR(__xludf.DUMMYFUNCTION("""COMPUTED_VALUE"""),"Harmony Horizen Bridged BUSD (Harmony)")</f>
        <v>Harmony Horizen Bridged BUSD (Harmony)</v>
      </c>
    </row>
    <row r="5605">
      <c r="A5605" s="4" t="str">
        <f>IFERROR(__xludf.DUMMYFUNCTION("""COMPUTED_VALUE"""),"harmony-horizen-bridged-usdc-harmony")</f>
        <v>harmony-horizen-bridged-usdc-harmony</v>
      </c>
      <c r="B5605" s="4" t="str">
        <f>IFERROR(__xludf.DUMMYFUNCTION("""COMPUTED_VALUE"""),"usdc")</f>
        <v>usdc</v>
      </c>
      <c r="C5605" s="4" t="str">
        <f>IFERROR(__xludf.DUMMYFUNCTION("""COMPUTED_VALUE"""),"Harmony Horizen Bridged USDC (Harmony)")</f>
        <v>Harmony Horizen Bridged USDC (Harmony)</v>
      </c>
    </row>
    <row r="5606">
      <c r="A5606" s="4" t="str">
        <f>IFERROR(__xludf.DUMMYFUNCTION("""COMPUTED_VALUE"""),"harold")</f>
        <v>harold</v>
      </c>
      <c r="B5606" s="4" t="str">
        <f>IFERROR(__xludf.DUMMYFUNCTION("""COMPUTED_VALUE"""),"harold")</f>
        <v>harold</v>
      </c>
      <c r="C5606" s="4" t="str">
        <f>IFERROR(__xludf.DUMMYFUNCTION("""COMPUTED_VALUE"""),"Harold")</f>
        <v>Harold</v>
      </c>
    </row>
    <row r="5607">
      <c r="A5607" s="4" t="str">
        <f>IFERROR(__xludf.DUMMYFUNCTION("""COMPUTED_VALUE"""),"haroldcoin")</f>
        <v>haroldcoin</v>
      </c>
      <c r="B5607" s="4" t="str">
        <f>IFERROR(__xludf.DUMMYFUNCTION("""COMPUTED_VALUE"""),"hrld")</f>
        <v>hrld</v>
      </c>
      <c r="C5607" s="4" t="str">
        <f>IFERROR(__xludf.DUMMYFUNCTION("""COMPUTED_VALUE"""),"Haroldcoin")</f>
        <v>Haroldcoin</v>
      </c>
    </row>
    <row r="5608">
      <c r="A5608" s="4" t="str">
        <f>IFERROR(__xludf.DUMMYFUNCTION("""COMPUTED_VALUE"""),"harpoon")</f>
        <v>harpoon</v>
      </c>
      <c r="B5608" s="4" t="str">
        <f>IFERROR(__xludf.DUMMYFUNCTION("""COMPUTED_VALUE"""),"hrp")</f>
        <v>hrp</v>
      </c>
      <c r="C5608" s="4" t="str">
        <f>IFERROR(__xludf.DUMMYFUNCTION("""COMPUTED_VALUE"""),"Harpoon")</f>
        <v>Harpoon</v>
      </c>
    </row>
    <row r="5609">
      <c r="A5609" s="4" t="str">
        <f>IFERROR(__xludf.DUMMYFUNCTION("""COMPUTED_VALUE"""),"harrypotterobamainu")</f>
        <v>harrypotterobamainu</v>
      </c>
      <c r="B5609" s="4" t="str">
        <f>IFERROR(__xludf.DUMMYFUNCTION("""COMPUTED_VALUE"""),"inu")</f>
        <v>inu</v>
      </c>
      <c r="C5609" s="4" t="str">
        <f>IFERROR(__xludf.DUMMYFUNCTION("""COMPUTED_VALUE"""),"HarryPotterObamaInu")</f>
        <v>HarryPotterObamaInu</v>
      </c>
    </row>
    <row r="5610">
      <c r="A5610" s="4" t="str">
        <f>IFERROR(__xludf.DUMMYFUNCTION("""COMPUTED_VALUE"""),"harrypotterobamapacman8inu")</f>
        <v>harrypotterobamapacman8inu</v>
      </c>
      <c r="B5610" s="4" t="str">
        <f>IFERROR(__xludf.DUMMYFUNCTION("""COMPUTED_VALUE"""),"xrp")</f>
        <v>xrp</v>
      </c>
      <c r="C5610" s="4" t="str">
        <f>IFERROR(__xludf.DUMMYFUNCTION("""COMPUTED_VALUE"""),"HarryPotterObamaPacMan8Inu")</f>
        <v>HarryPotterObamaPacMan8Inu</v>
      </c>
    </row>
    <row r="5611">
      <c r="A5611" s="4" t="str">
        <f>IFERROR(__xludf.DUMMYFUNCTION("""COMPUTED_VALUE"""),"harrypotterobamasonic10in")</f>
        <v>harrypotterobamasonic10in</v>
      </c>
      <c r="B5611" s="4" t="str">
        <f>IFERROR(__xludf.DUMMYFUNCTION("""COMPUTED_VALUE"""),"bitcoin")</f>
        <v>bitcoin</v>
      </c>
      <c r="C5611" s="4" t="str">
        <f>IFERROR(__xludf.DUMMYFUNCTION("""COMPUTED_VALUE"""),"HarryPotterObamaSonic10Inu (ETH)")</f>
        <v>HarryPotterObamaSonic10Inu (ETH)</v>
      </c>
    </row>
    <row r="5612">
      <c r="A5612" s="4" t="str">
        <f>IFERROR(__xludf.DUMMYFUNCTION("""COMPUTED_VALUE"""),"harrypotterobamasonic10inu")</f>
        <v>harrypotterobamasonic10inu</v>
      </c>
      <c r="B5612" s="4" t="str">
        <f>IFERROR(__xludf.DUMMYFUNCTION("""COMPUTED_VALUE"""),"bitcoin")</f>
        <v>bitcoin</v>
      </c>
      <c r="C5612" s="4" t="str">
        <f>IFERROR(__xludf.DUMMYFUNCTION("""COMPUTED_VALUE"""),"HarryPotterObamaSonic10Inu")</f>
        <v>HarryPotterObamaSonic10Inu</v>
      </c>
    </row>
    <row r="5613">
      <c r="A5613" s="4" t="str">
        <f>IFERROR(__xludf.DUMMYFUNCTION("""COMPUTED_VALUE"""),"harrypotterrussellsonic1inu")</f>
        <v>harrypotterrussellsonic1inu</v>
      </c>
      <c r="B5613" s="4" t="str">
        <f>IFERROR(__xludf.DUMMYFUNCTION("""COMPUTED_VALUE"""),"saitama")</f>
        <v>saitama</v>
      </c>
      <c r="C5613" s="4" t="str">
        <f>IFERROR(__xludf.DUMMYFUNCTION("""COMPUTED_VALUE"""),"HarryPotterRussellSonic1Inu")</f>
        <v>HarryPotterRussellSonic1Inu</v>
      </c>
    </row>
    <row r="5614">
      <c r="A5614" s="4" t="str">
        <f>IFERROR(__xludf.DUMMYFUNCTION("""COMPUTED_VALUE"""),"harrypottertrumphomersimpson777inu")</f>
        <v>harrypottertrumphomersimpson777inu</v>
      </c>
      <c r="B5614" s="4" t="str">
        <f>IFERROR(__xludf.DUMMYFUNCTION("""COMPUTED_VALUE"""),"ethereum")</f>
        <v>ethereum</v>
      </c>
      <c r="C5614" s="4" t="str">
        <f>IFERROR(__xludf.DUMMYFUNCTION("""COMPUTED_VALUE"""),"HarryPotterTrumpHomerSimpson777Inu")</f>
        <v>HarryPotterTrumpHomerSimpson777Inu</v>
      </c>
    </row>
    <row r="5615">
      <c r="A5615" s="4" t="str">
        <f>IFERROR(__xludf.DUMMYFUNCTION("""COMPUTED_VALUE"""),"harrypotterwifhatmyrowynn")</f>
        <v>harrypotterwifhatmyrowynn</v>
      </c>
      <c r="B5615" s="4" t="str">
        <f>IFERROR(__xludf.DUMMYFUNCTION("""COMPUTED_VALUE"""),"solana")</f>
        <v>solana</v>
      </c>
      <c r="C5615" s="4" t="str">
        <f>IFERROR(__xludf.DUMMYFUNCTION("""COMPUTED_VALUE"""),"HarryPotterWifHatMyroWynn")</f>
        <v>HarryPotterWifHatMyroWynn</v>
      </c>
    </row>
    <row r="5616">
      <c r="A5616" s="4" t="str">
        <f>IFERROR(__xludf.DUMMYFUNCTION("""COMPUTED_VALUE"""),"harvest-finance")</f>
        <v>harvest-finance</v>
      </c>
      <c r="B5616" s="4" t="str">
        <f>IFERROR(__xludf.DUMMYFUNCTION("""COMPUTED_VALUE"""),"farm")</f>
        <v>farm</v>
      </c>
      <c r="C5616" s="4" t="str">
        <f>IFERROR(__xludf.DUMMYFUNCTION("""COMPUTED_VALUE"""),"Harvest Finance")</f>
        <v>Harvest Finance</v>
      </c>
    </row>
    <row r="5617">
      <c r="A5617" s="4" t="str">
        <f>IFERROR(__xludf.DUMMYFUNCTION("""COMPUTED_VALUE"""),"hashai")</f>
        <v>hashai</v>
      </c>
      <c r="B5617" s="4" t="str">
        <f>IFERROR(__xludf.DUMMYFUNCTION("""COMPUTED_VALUE"""),"hashai")</f>
        <v>hashai</v>
      </c>
      <c r="C5617" s="4" t="str">
        <f>IFERROR(__xludf.DUMMYFUNCTION("""COMPUTED_VALUE"""),"HashAI")</f>
        <v>HashAI</v>
      </c>
    </row>
    <row r="5618">
      <c r="A5618" s="4" t="str">
        <f>IFERROR(__xludf.DUMMYFUNCTION("""COMPUTED_VALUE"""),"hashbit")</f>
        <v>hashbit</v>
      </c>
      <c r="B5618" s="4" t="str">
        <f>IFERROR(__xludf.DUMMYFUNCTION("""COMPUTED_VALUE"""),"hbit")</f>
        <v>hbit</v>
      </c>
      <c r="C5618" s="4" t="str">
        <f>IFERROR(__xludf.DUMMYFUNCTION("""COMPUTED_VALUE"""),"HashBit [OLD]")</f>
        <v>HashBit [OLD]</v>
      </c>
    </row>
    <row r="5619">
      <c r="A5619" s="4" t="str">
        <f>IFERROR(__xludf.DUMMYFUNCTION("""COMPUTED_VALUE"""),"hashbit-2")</f>
        <v>hashbit-2</v>
      </c>
      <c r="B5619" s="4" t="str">
        <f>IFERROR(__xludf.DUMMYFUNCTION("""COMPUTED_VALUE"""),"hbit")</f>
        <v>hbit</v>
      </c>
      <c r="C5619" s="4" t="str">
        <f>IFERROR(__xludf.DUMMYFUNCTION("""COMPUTED_VALUE"""),"HashBit")</f>
        <v>HashBit</v>
      </c>
    </row>
    <row r="5620">
      <c r="A5620" s="4" t="str">
        <f>IFERROR(__xludf.DUMMYFUNCTION("""COMPUTED_VALUE"""),"hash-bridge-oracle")</f>
        <v>hash-bridge-oracle</v>
      </c>
      <c r="B5620" s="4" t="str">
        <f>IFERROR(__xludf.DUMMYFUNCTION("""COMPUTED_VALUE"""),"hbo")</f>
        <v>hbo</v>
      </c>
      <c r="C5620" s="4" t="str">
        <f>IFERROR(__xludf.DUMMYFUNCTION("""COMPUTED_VALUE"""),"Hash Bridge Oracle")</f>
        <v>Hash Bridge Oracle</v>
      </c>
    </row>
    <row r="5621">
      <c r="A5621" s="4" t="str">
        <f>IFERROR(__xludf.DUMMYFUNCTION("""COMPUTED_VALUE"""),"hashcoin")</f>
        <v>hashcoin</v>
      </c>
      <c r="B5621" s="4" t="str">
        <f>IFERROR(__xludf.DUMMYFUNCTION("""COMPUTED_VALUE"""),"hsc")</f>
        <v>hsc</v>
      </c>
      <c r="C5621" s="4" t="str">
        <f>IFERROR(__xludf.DUMMYFUNCTION("""COMPUTED_VALUE"""),"HashCoin")</f>
        <v>HashCoin</v>
      </c>
    </row>
    <row r="5622">
      <c r="A5622" s="4" t="str">
        <f>IFERROR(__xludf.DUMMYFUNCTION("""COMPUTED_VALUE"""),"hashflow")</f>
        <v>hashflow</v>
      </c>
      <c r="B5622" s="4" t="str">
        <f>IFERROR(__xludf.DUMMYFUNCTION("""COMPUTED_VALUE"""),"hft")</f>
        <v>hft</v>
      </c>
      <c r="C5622" s="4" t="str">
        <f>IFERROR(__xludf.DUMMYFUNCTION("""COMPUTED_VALUE"""),"Hashflow")</f>
        <v>Hashflow</v>
      </c>
    </row>
    <row r="5623">
      <c r="A5623" s="4" t="str">
        <f>IFERROR(__xludf.DUMMYFUNCTION("""COMPUTED_VALUE"""),"hashgard")</f>
        <v>hashgard</v>
      </c>
      <c r="B5623" s="4" t="str">
        <f>IFERROR(__xludf.DUMMYFUNCTION("""COMPUTED_VALUE"""),"gard")</f>
        <v>gard</v>
      </c>
      <c r="C5623" s="4" t="str">
        <f>IFERROR(__xludf.DUMMYFUNCTION("""COMPUTED_VALUE"""),"Hashgard")</f>
        <v>Hashgard</v>
      </c>
    </row>
    <row r="5624">
      <c r="A5624" s="4" t="str">
        <f>IFERROR(__xludf.DUMMYFUNCTION("""COMPUTED_VALUE"""),"hashkey-ecopoints")</f>
        <v>hashkey-ecopoints</v>
      </c>
      <c r="B5624" s="4" t="str">
        <f>IFERROR(__xludf.DUMMYFUNCTION("""COMPUTED_VALUE"""),"hsk")</f>
        <v>hsk</v>
      </c>
      <c r="C5624" s="4" t="str">
        <f>IFERROR(__xludf.DUMMYFUNCTION("""COMPUTED_VALUE"""),"Hashkey EcoPoints")</f>
        <v>Hashkey EcoPoints</v>
      </c>
    </row>
    <row r="5625">
      <c r="A5625" s="4" t="str">
        <f>IFERROR(__xludf.DUMMYFUNCTION("""COMPUTED_VALUE"""),"hashmind")</f>
        <v>hashmind</v>
      </c>
      <c r="B5625" s="4" t="str">
        <f>IFERROR(__xludf.DUMMYFUNCTION("""COMPUTED_VALUE"""),"hash")</f>
        <v>hash</v>
      </c>
      <c r="C5625" s="4" t="str">
        <f>IFERROR(__xludf.DUMMYFUNCTION("""COMPUTED_VALUE"""),"HashMind")</f>
        <v>HashMind</v>
      </c>
    </row>
    <row r="5626">
      <c r="A5626" s="4" t="str">
        <f>IFERROR(__xludf.DUMMYFUNCTION("""COMPUTED_VALUE"""),"hashpad")</f>
        <v>hashpad</v>
      </c>
      <c r="B5626" s="4" t="str">
        <f>IFERROR(__xludf.DUMMYFUNCTION("""COMPUTED_VALUE"""),"hpad")</f>
        <v>hpad</v>
      </c>
      <c r="C5626" s="4" t="str">
        <f>IFERROR(__xludf.DUMMYFUNCTION("""COMPUTED_VALUE"""),"Hashpad")</f>
        <v>Hashpad</v>
      </c>
    </row>
    <row r="5627">
      <c r="A5627" s="4" t="str">
        <f>IFERROR(__xludf.DUMMYFUNCTION("""COMPUTED_VALUE"""),"hashpanda")</f>
        <v>hashpanda</v>
      </c>
      <c r="B5627" s="4" t="str">
        <f>IFERROR(__xludf.DUMMYFUNCTION("""COMPUTED_VALUE"""),"panda")</f>
        <v>panda</v>
      </c>
      <c r="C5627" s="4" t="str">
        <f>IFERROR(__xludf.DUMMYFUNCTION("""COMPUTED_VALUE"""),"HashPanda")</f>
        <v>HashPanda</v>
      </c>
    </row>
    <row r="5628">
      <c r="A5628" s="4" t="str">
        <f>IFERROR(__xludf.DUMMYFUNCTION("""COMPUTED_VALUE"""),"hashport-bridged-link")</f>
        <v>hashport-bridged-link</v>
      </c>
      <c r="B5628" s="4" t="str">
        <f>IFERROR(__xludf.DUMMYFUNCTION("""COMPUTED_VALUE"""),"link[hts]")</f>
        <v>link[hts]</v>
      </c>
      <c r="C5628" s="4" t="str">
        <f>IFERROR(__xludf.DUMMYFUNCTION("""COMPUTED_VALUE"""),"Hashport Bridged LINK")</f>
        <v>Hashport Bridged LINK</v>
      </c>
    </row>
    <row r="5629">
      <c r="A5629" s="4" t="str">
        <f>IFERROR(__xludf.DUMMYFUNCTION("""COMPUTED_VALUE"""),"hashport-bridged-qnt")</f>
        <v>hashport-bridged-qnt</v>
      </c>
      <c r="B5629" s="4" t="str">
        <f>IFERROR(__xludf.DUMMYFUNCTION("""COMPUTED_VALUE"""),"qnt[hts]")</f>
        <v>qnt[hts]</v>
      </c>
      <c r="C5629" s="4" t="str">
        <f>IFERROR(__xludf.DUMMYFUNCTION("""COMPUTED_VALUE"""),"Hashport Bridged QNT")</f>
        <v>Hashport Bridged QNT</v>
      </c>
    </row>
    <row r="5630">
      <c r="A5630" s="4" t="str">
        <f>IFERROR(__xludf.DUMMYFUNCTION("""COMPUTED_VALUE"""),"hashport-bridged-wavax")</f>
        <v>hashport-bridged-wavax</v>
      </c>
      <c r="B5630" s="4" t="str">
        <f>IFERROR(__xludf.DUMMYFUNCTION("""COMPUTED_VALUE"""),"wavax[hts]")</f>
        <v>wavax[hts]</v>
      </c>
      <c r="C5630" s="4" t="str">
        <f>IFERROR(__xludf.DUMMYFUNCTION("""COMPUTED_VALUE"""),"Hashport Bridged wAVAX")</f>
        <v>Hashport Bridged wAVAX</v>
      </c>
    </row>
    <row r="5631">
      <c r="A5631" s="4" t="str">
        <f>IFERROR(__xludf.DUMMYFUNCTION("""COMPUTED_VALUE"""),"hashpower-ai")</f>
        <v>hashpower-ai</v>
      </c>
      <c r="B5631" s="4" t="str">
        <f>IFERROR(__xludf.DUMMYFUNCTION("""COMPUTED_VALUE"""),"hash")</f>
        <v>hash</v>
      </c>
      <c r="C5631" s="4" t="str">
        <f>IFERROR(__xludf.DUMMYFUNCTION("""COMPUTED_VALUE"""),"HashPower AI")</f>
        <v>HashPower AI</v>
      </c>
    </row>
    <row r="5632">
      <c r="A5632" s="4" t="str">
        <f>IFERROR(__xludf.DUMMYFUNCTION("""COMPUTED_VALUE"""),"hashtagger")</f>
        <v>hashtagger</v>
      </c>
      <c r="B5632" s="4" t="str">
        <f>IFERROR(__xludf.DUMMYFUNCTION("""COMPUTED_VALUE"""),"mooo")</f>
        <v>mooo</v>
      </c>
      <c r="C5632" s="4" t="str">
        <f>IFERROR(__xludf.DUMMYFUNCTION("""COMPUTED_VALUE"""),"Hashtagger")</f>
        <v>Hashtagger</v>
      </c>
    </row>
    <row r="5633">
      <c r="A5633" s="4" t="str">
        <f>IFERROR(__xludf.DUMMYFUNCTION("""COMPUTED_VALUE"""),"hashtag-united-fan-token")</f>
        <v>hashtag-united-fan-token</v>
      </c>
      <c r="B5633" s="4" t="str">
        <f>IFERROR(__xludf.DUMMYFUNCTION("""COMPUTED_VALUE"""),"hashtag")</f>
        <v>hashtag</v>
      </c>
      <c r="C5633" s="4" t="str">
        <f>IFERROR(__xludf.DUMMYFUNCTION("""COMPUTED_VALUE"""),"Hashtag United Fan Token")</f>
        <v>Hashtag United Fan Token</v>
      </c>
    </row>
    <row r="5634">
      <c r="A5634" s="4" t="str">
        <f>IFERROR(__xludf.DUMMYFUNCTION("""COMPUTED_VALUE"""),"hatchypocket")</f>
        <v>hatchypocket</v>
      </c>
      <c r="B5634" s="4" t="str">
        <f>IFERROR(__xludf.DUMMYFUNCTION("""COMPUTED_VALUE"""),"hatchy")</f>
        <v>hatchy</v>
      </c>
      <c r="C5634" s="4" t="str">
        <f>IFERROR(__xludf.DUMMYFUNCTION("""COMPUTED_VALUE"""),"HatchyPocket")</f>
        <v>HatchyPocket</v>
      </c>
    </row>
    <row r="5635">
      <c r="A5635" s="4" t="str">
        <f>IFERROR(__xludf.DUMMYFUNCTION("""COMPUTED_VALUE"""),"hathor")</f>
        <v>hathor</v>
      </c>
      <c r="B5635" s="4" t="str">
        <f>IFERROR(__xludf.DUMMYFUNCTION("""COMPUTED_VALUE"""),"htr")</f>
        <v>htr</v>
      </c>
      <c r="C5635" s="4" t="str">
        <f>IFERROR(__xludf.DUMMYFUNCTION("""COMPUTED_VALUE"""),"Hathor")</f>
        <v>Hathor</v>
      </c>
    </row>
    <row r="5636">
      <c r="A5636" s="4" t="str">
        <f>IFERROR(__xludf.DUMMYFUNCTION("""COMPUTED_VALUE"""),"hatom")</f>
        <v>hatom</v>
      </c>
      <c r="B5636" s="4" t="str">
        <f>IFERROR(__xludf.DUMMYFUNCTION("""COMPUTED_VALUE"""),"htm")</f>
        <v>htm</v>
      </c>
      <c r="C5636" s="4" t="str">
        <f>IFERROR(__xludf.DUMMYFUNCTION("""COMPUTED_VALUE"""),"Hatom")</f>
        <v>Hatom</v>
      </c>
    </row>
    <row r="5637">
      <c r="A5637" s="4" t="str">
        <f>IFERROR(__xludf.DUMMYFUNCTION("""COMPUTED_VALUE"""),"hat-solana")</f>
        <v>hat-solana</v>
      </c>
      <c r="B5637" s="4" t="str">
        <f>IFERROR(__xludf.DUMMYFUNCTION("""COMPUTED_VALUE"""),"hat")</f>
        <v>hat</v>
      </c>
      <c r="C5637" s="4" t="str">
        <f>IFERROR(__xludf.DUMMYFUNCTION("""COMPUTED_VALUE"""),"HAT Solana")</f>
        <v>HAT Solana</v>
      </c>
    </row>
    <row r="5638">
      <c r="A5638" s="4" t="str">
        <f>IFERROR(__xludf.DUMMYFUNCTION("""COMPUTED_VALUE"""),"hava-coin")</f>
        <v>hava-coin</v>
      </c>
      <c r="B5638" s="4" t="str">
        <f>IFERROR(__xludf.DUMMYFUNCTION("""COMPUTED_VALUE"""),"hava")</f>
        <v>hava</v>
      </c>
      <c r="C5638" s="4" t="str">
        <f>IFERROR(__xludf.DUMMYFUNCTION("""COMPUTED_VALUE"""),"Hava Coin")</f>
        <v>Hava Coin</v>
      </c>
    </row>
    <row r="5639">
      <c r="A5639" s="4" t="str">
        <f>IFERROR(__xludf.DUMMYFUNCTION("""COMPUTED_VALUE"""),"havah")</f>
        <v>havah</v>
      </c>
      <c r="B5639" s="4" t="str">
        <f>IFERROR(__xludf.DUMMYFUNCTION("""COMPUTED_VALUE"""),"hvh")</f>
        <v>hvh</v>
      </c>
      <c r="C5639" s="4" t="str">
        <f>IFERROR(__xludf.DUMMYFUNCTION("""COMPUTED_VALUE"""),"HAVAH")</f>
        <v>HAVAH</v>
      </c>
    </row>
    <row r="5640">
      <c r="A5640" s="4" t="str">
        <f>IFERROR(__xludf.DUMMYFUNCTION("""COMPUTED_VALUE"""),"have-fun-598a6209-8136-4282-a14c-1f2b2b5d0c26")</f>
        <v>have-fun-598a6209-8136-4282-a14c-1f2b2b5d0c26</v>
      </c>
      <c r="B5640" s="4" t="str">
        <f>IFERROR(__xludf.DUMMYFUNCTION("""COMPUTED_VALUE"""),"hf")</f>
        <v>hf</v>
      </c>
      <c r="C5640" s="4" t="str">
        <f>IFERROR(__xludf.DUMMYFUNCTION("""COMPUTED_VALUE"""),"Have Fun Token")</f>
        <v>Have Fun Token</v>
      </c>
    </row>
    <row r="5641">
      <c r="A5641" s="4" t="str">
        <f>IFERROR(__xludf.DUMMYFUNCTION("""COMPUTED_VALUE"""),"haven")</f>
        <v>haven</v>
      </c>
      <c r="B5641" s="4" t="str">
        <f>IFERROR(__xludf.DUMMYFUNCTION("""COMPUTED_VALUE"""),"xhv")</f>
        <v>xhv</v>
      </c>
      <c r="C5641" s="4" t="str">
        <f>IFERROR(__xludf.DUMMYFUNCTION("""COMPUTED_VALUE"""),"Haven")</f>
        <v>Haven</v>
      </c>
    </row>
    <row r="5642">
      <c r="A5642" s="4" t="str">
        <f>IFERROR(__xludf.DUMMYFUNCTION("""COMPUTED_VALUE"""),"haven1")</f>
        <v>haven1</v>
      </c>
      <c r="B5642" s="4" t="str">
        <f>IFERROR(__xludf.DUMMYFUNCTION("""COMPUTED_VALUE"""),"h1")</f>
        <v>h1</v>
      </c>
      <c r="C5642" s="4" t="str">
        <f>IFERROR(__xludf.DUMMYFUNCTION("""COMPUTED_VALUE"""),"Haven1")</f>
        <v>Haven1</v>
      </c>
    </row>
    <row r="5643">
      <c r="A5643" s="4" t="str">
        <f>IFERROR(__xludf.DUMMYFUNCTION("""COMPUTED_VALUE"""),"haven-token")</f>
        <v>haven-token</v>
      </c>
      <c r="B5643" s="4" t="str">
        <f>IFERROR(__xludf.DUMMYFUNCTION("""COMPUTED_VALUE"""),"haven")</f>
        <v>haven</v>
      </c>
      <c r="C5643" s="4" t="str">
        <f>IFERROR(__xludf.DUMMYFUNCTION("""COMPUTED_VALUE"""),"Safehaven DeFi")</f>
        <v>Safehaven DeFi</v>
      </c>
    </row>
    <row r="5644">
      <c r="A5644" s="4" t="str">
        <f>IFERROR(__xludf.DUMMYFUNCTION("""COMPUTED_VALUE"""),"havoc")</f>
        <v>havoc</v>
      </c>
      <c r="B5644" s="4" t="str">
        <f>IFERROR(__xludf.DUMMYFUNCTION("""COMPUTED_VALUE"""),"havoc")</f>
        <v>havoc</v>
      </c>
      <c r="C5644" s="4" t="str">
        <f>IFERROR(__xludf.DUMMYFUNCTION("""COMPUTED_VALUE"""),"havoc")</f>
        <v>havoc</v>
      </c>
    </row>
    <row r="5645">
      <c r="A5645" s="4" t="str">
        <f>IFERROR(__xludf.DUMMYFUNCTION("""COMPUTED_VALUE"""),"havven")</f>
        <v>havven</v>
      </c>
      <c r="B5645" s="4" t="str">
        <f>IFERROR(__xludf.DUMMYFUNCTION("""COMPUTED_VALUE"""),"snx")</f>
        <v>snx</v>
      </c>
      <c r="C5645" s="4" t="str">
        <f>IFERROR(__xludf.DUMMYFUNCTION("""COMPUTED_VALUE"""),"Synthetix Network")</f>
        <v>Synthetix Network</v>
      </c>
    </row>
    <row r="5646">
      <c r="A5646" s="4" t="str">
        <f>IFERROR(__xludf.DUMMYFUNCTION("""COMPUTED_VALUE"""),"hawex")</f>
        <v>hawex</v>
      </c>
      <c r="B5646" s="4" t="str">
        <f>IFERROR(__xludf.DUMMYFUNCTION("""COMPUTED_VALUE"""),"hawex")</f>
        <v>hawex</v>
      </c>
      <c r="C5646" s="4" t="str">
        <f>IFERROR(__xludf.DUMMYFUNCTION("""COMPUTED_VALUE"""),"Hawex")</f>
        <v>Hawex</v>
      </c>
    </row>
    <row r="5647">
      <c r="A5647" s="4" t="str">
        <f>IFERROR(__xludf.DUMMYFUNCTION("""COMPUTED_VALUE"""),"hawksight")</f>
        <v>hawksight</v>
      </c>
      <c r="B5647" s="4" t="str">
        <f>IFERROR(__xludf.DUMMYFUNCTION("""COMPUTED_VALUE"""),"hawk")</f>
        <v>hawk</v>
      </c>
      <c r="C5647" s="4" t="str">
        <f>IFERROR(__xludf.DUMMYFUNCTION("""COMPUTED_VALUE"""),"Hawksight")</f>
        <v>Hawksight</v>
      </c>
    </row>
    <row r="5648">
      <c r="A5648" s="4" t="str">
        <f>IFERROR(__xludf.DUMMYFUNCTION("""COMPUTED_VALUE"""),"haycoin")</f>
        <v>haycoin</v>
      </c>
      <c r="B5648" s="4" t="str">
        <f>IFERROR(__xludf.DUMMYFUNCTION("""COMPUTED_VALUE"""),"hay")</f>
        <v>hay</v>
      </c>
      <c r="C5648" s="4" t="str">
        <f>IFERROR(__xludf.DUMMYFUNCTION("""COMPUTED_VALUE"""),"HayCoin")</f>
        <v>HayCoin</v>
      </c>
    </row>
    <row r="5649">
      <c r="A5649" s="4" t="str">
        <f>IFERROR(__xludf.DUMMYFUNCTION("""COMPUTED_VALUE"""),"hbarbarian")</f>
        <v>hbarbarian</v>
      </c>
      <c r="B5649" s="4" t="str">
        <f>IFERROR(__xludf.DUMMYFUNCTION("""COMPUTED_VALUE"""),"hbarbarian")</f>
        <v>hbarbarian</v>
      </c>
      <c r="C5649" s="4" t="str">
        <f>IFERROR(__xludf.DUMMYFUNCTION("""COMPUTED_VALUE"""),"HBARbarian")</f>
        <v>HBARbarian</v>
      </c>
    </row>
    <row r="5650">
      <c r="A5650" s="4" t="str">
        <f>IFERROR(__xludf.DUMMYFUNCTION("""COMPUTED_VALUE"""),"hbarx")</f>
        <v>hbarx</v>
      </c>
      <c r="B5650" s="4" t="str">
        <f>IFERROR(__xludf.DUMMYFUNCTION("""COMPUTED_VALUE"""),"hbarx")</f>
        <v>hbarx</v>
      </c>
      <c r="C5650" s="4" t="str">
        <f>IFERROR(__xludf.DUMMYFUNCTION("""COMPUTED_VALUE"""),"HBARX")</f>
        <v>HBARX</v>
      </c>
    </row>
    <row r="5651">
      <c r="A5651" s="4" t="str">
        <f>IFERROR(__xludf.DUMMYFUNCTION("""COMPUTED_VALUE"""),"h-df0f364f-76a6-47fd-9c38-f8a239a4faad")</f>
        <v>h-df0f364f-76a6-47fd-9c38-f8a239a4faad</v>
      </c>
      <c r="B5651" s="4" t="str">
        <f>IFERROR(__xludf.DUMMYFUNCTION("""COMPUTED_VALUE"""),"h")</f>
        <v>h</v>
      </c>
      <c r="C5651" s="4" t="str">
        <f>IFERROR(__xludf.DUMMYFUNCTION("""COMPUTED_VALUE"""),"H")</f>
        <v>H</v>
      </c>
    </row>
    <row r="5652">
      <c r="A5652" s="4" t="str">
        <f>IFERROR(__xludf.DUMMYFUNCTION("""COMPUTED_VALUE"""),"hdoki")</f>
        <v>hdoki</v>
      </c>
      <c r="B5652" s="4" t="str">
        <f>IFERROR(__xludf.DUMMYFUNCTION("""COMPUTED_VALUE"""),"oki")</f>
        <v>oki</v>
      </c>
      <c r="C5652" s="4" t="str">
        <f>IFERROR(__xludf.DUMMYFUNCTION("""COMPUTED_VALUE"""),"HDOKI")</f>
        <v>HDOKI</v>
      </c>
    </row>
    <row r="5653">
      <c r="A5653" s="4" t="str">
        <f>IFERROR(__xludf.DUMMYFUNCTION("""COMPUTED_VALUE"""),"headline")</f>
        <v>headline</v>
      </c>
      <c r="B5653" s="4" t="str">
        <f>IFERROR(__xludf.DUMMYFUNCTION("""COMPUTED_VALUE"""),"hdl")</f>
        <v>hdl</v>
      </c>
      <c r="C5653" s="4" t="str">
        <f>IFERROR(__xludf.DUMMYFUNCTION("""COMPUTED_VALUE"""),"Headline")</f>
        <v>Headline</v>
      </c>
    </row>
    <row r="5654">
      <c r="A5654" s="4" t="str">
        <f>IFERROR(__xludf.DUMMYFUNCTION("""COMPUTED_VALUE"""),"headstarter")</f>
        <v>headstarter</v>
      </c>
      <c r="B5654" s="4" t="str">
        <f>IFERROR(__xludf.DUMMYFUNCTION("""COMPUTED_VALUE"""),"hst")</f>
        <v>hst</v>
      </c>
      <c r="C5654" s="4" t="str">
        <f>IFERROR(__xludf.DUMMYFUNCTION("""COMPUTED_VALUE"""),"HeadStarter")</f>
        <v>HeadStarter</v>
      </c>
    </row>
    <row r="5655">
      <c r="A5655" s="4" t="str">
        <f>IFERROR(__xludf.DUMMYFUNCTION("""COMPUTED_VALUE"""),"heartx-utility-token")</f>
        <v>heartx-utility-token</v>
      </c>
      <c r="B5655" s="4" t="str">
        <f>IFERROR(__xludf.DUMMYFUNCTION("""COMPUTED_VALUE"""),"hnx")</f>
        <v>hnx</v>
      </c>
      <c r="C5655" s="4" t="str">
        <f>IFERROR(__xludf.DUMMYFUNCTION("""COMPUTED_VALUE"""),"HeartX Utility Token")</f>
        <v>HeartX Utility Token</v>
      </c>
    </row>
    <row r="5656">
      <c r="A5656" s="4" t="str">
        <f>IFERROR(__xludf.DUMMYFUNCTION("""COMPUTED_VALUE"""),"heavenland-hto")</f>
        <v>heavenland-hto</v>
      </c>
      <c r="B5656" s="4" t="str">
        <f>IFERROR(__xludf.DUMMYFUNCTION("""COMPUTED_VALUE"""),"hto")</f>
        <v>hto</v>
      </c>
      <c r="C5656" s="4" t="str">
        <f>IFERROR(__xludf.DUMMYFUNCTION("""COMPUTED_VALUE"""),"Heavenland HTO")</f>
        <v>Heavenland HTO</v>
      </c>
    </row>
    <row r="5657">
      <c r="A5657" s="4" t="str">
        <f>IFERROR(__xludf.DUMMYFUNCTION("""COMPUTED_VALUE"""),"hebeblock")</f>
        <v>hebeblock</v>
      </c>
      <c r="B5657" s="4" t="str">
        <f>IFERROR(__xludf.DUMMYFUNCTION("""COMPUTED_VALUE"""),"hebe")</f>
        <v>hebe</v>
      </c>
      <c r="C5657" s="4" t="str">
        <f>IFERROR(__xludf.DUMMYFUNCTION("""COMPUTED_VALUE"""),"HebeBlock")</f>
        <v>HebeBlock</v>
      </c>
    </row>
    <row r="5658">
      <c r="A5658" s="4" t="str">
        <f>IFERROR(__xludf.DUMMYFUNCTION("""COMPUTED_VALUE"""),"hecofi")</f>
        <v>hecofi</v>
      </c>
      <c r="B5658" s="4" t="str">
        <f>IFERROR(__xludf.DUMMYFUNCTION("""COMPUTED_VALUE"""),"hfi")</f>
        <v>hfi</v>
      </c>
      <c r="C5658" s="4" t="str">
        <f>IFERROR(__xludf.DUMMYFUNCTION("""COMPUTED_VALUE"""),"HecoFi")</f>
        <v>HecoFi</v>
      </c>
    </row>
    <row r="5659">
      <c r="A5659" s="4" t="str">
        <f>IFERROR(__xludf.DUMMYFUNCTION("""COMPUTED_VALUE"""),"heco-peg-bnb")</f>
        <v>heco-peg-bnb</v>
      </c>
      <c r="B5659" s="4" t="str">
        <f>IFERROR(__xludf.DUMMYFUNCTION("""COMPUTED_VALUE"""),"bnb")</f>
        <v>bnb</v>
      </c>
      <c r="C5659" s="4" t="str">
        <f>IFERROR(__xludf.DUMMYFUNCTION("""COMPUTED_VALUE"""),"Heco-Peg Binance Coin")</f>
        <v>Heco-Peg Binance Coin</v>
      </c>
    </row>
    <row r="5660">
      <c r="A5660" s="4" t="str">
        <f>IFERROR(__xludf.DUMMYFUNCTION("""COMPUTED_VALUE"""),"heco-peg-xrp")</f>
        <v>heco-peg-xrp</v>
      </c>
      <c r="B5660" s="4" t="str">
        <f>IFERROR(__xludf.DUMMYFUNCTION("""COMPUTED_VALUE"""),"xrp")</f>
        <v>xrp</v>
      </c>
      <c r="C5660" s="4" t="str">
        <f>IFERROR(__xludf.DUMMYFUNCTION("""COMPUTED_VALUE"""),"Heco-Peg XRP")</f>
        <v>Heco-Peg XRP</v>
      </c>
    </row>
    <row r="5661">
      <c r="A5661" s="4" t="str">
        <f>IFERROR(__xludf.DUMMYFUNCTION("""COMPUTED_VALUE"""),"hectic-turkey")</f>
        <v>hectic-turkey</v>
      </c>
      <c r="B5661" s="4" t="str">
        <f>IFERROR(__xludf.DUMMYFUNCTION("""COMPUTED_VALUE"""),"hect")</f>
        <v>hect</v>
      </c>
      <c r="C5661" s="4" t="str">
        <f>IFERROR(__xludf.DUMMYFUNCTION("""COMPUTED_VALUE"""),"Hectic Turkey")</f>
        <v>Hectic Turkey</v>
      </c>
    </row>
    <row r="5662">
      <c r="A5662" s="4" t="str">
        <f>IFERROR(__xludf.DUMMYFUNCTION("""COMPUTED_VALUE"""),"hector-dao")</f>
        <v>hector-dao</v>
      </c>
      <c r="B5662" s="4" t="str">
        <f>IFERROR(__xludf.DUMMYFUNCTION("""COMPUTED_VALUE"""),"hec")</f>
        <v>hec</v>
      </c>
      <c r="C5662" s="4" t="str">
        <f>IFERROR(__xludf.DUMMYFUNCTION("""COMPUTED_VALUE"""),"Hector Network")</f>
        <v>Hector Network</v>
      </c>
    </row>
    <row r="5663">
      <c r="A5663" s="4" t="str">
        <f>IFERROR(__xludf.DUMMYFUNCTION("""COMPUTED_VALUE"""),"hedera-hashgraph")</f>
        <v>hedera-hashgraph</v>
      </c>
      <c r="B5663" s="4" t="str">
        <f>IFERROR(__xludf.DUMMYFUNCTION("""COMPUTED_VALUE"""),"hbar")</f>
        <v>hbar</v>
      </c>
      <c r="C5663" s="4" t="str">
        <f>IFERROR(__xludf.DUMMYFUNCTION("""COMPUTED_VALUE"""),"Hedera")</f>
        <v>Hedera</v>
      </c>
    </row>
    <row r="5664">
      <c r="A5664" s="4" t="str">
        <f>IFERROR(__xludf.DUMMYFUNCTION("""COMPUTED_VALUE"""),"hedex")</f>
        <v>hedex</v>
      </c>
      <c r="B5664" s="4" t="str">
        <f>IFERROR(__xludf.DUMMYFUNCTION("""COMPUTED_VALUE"""),"hedex")</f>
        <v>hedex</v>
      </c>
      <c r="C5664" s="4" t="str">
        <f>IFERROR(__xludf.DUMMYFUNCTION("""COMPUTED_VALUE"""),"Hedex")</f>
        <v>Hedex</v>
      </c>
    </row>
    <row r="5665">
      <c r="A5665" s="4" t="str">
        <f>IFERROR(__xludf.DUMMYFUNCTION("""COMPUTED_VALUE"""),"hedgehog")</f>
        <v>hedgehog</v>
      </c>
      <c r="B5665" s="4" t="str">
        <f>IFERROR(__xludf.DUMMYFUNCTION("""COMPUTED_VALUE"""),"hedgehog")</f>
        <v>hedgehog</v>
      </c>
      <c r="C5665" s="4" t="str">
        <f>IFERROR(__xludf.DUMMYFUNCTION("""COMPUTED_VALUE"""),"Hedgehog")</f>
        <v>Hedgehog</v>
      </c>
    </row>
    <row r="5666">
      <c r="A5666" s="4" t="str">
        <f>IFERROR(__xludf.DUMMYFUNCTION("""COMPUTED_VALUE"""),"hedge-on-sol")</f>
        <v>hedge-on-sol</v>
      </c>
      <c r="B5666" s="4" t="str">
        <f>IFERROR(__xludf.DUMMYFUNCTION("""COMPUTED_VALUE"""),"hedge")</f>
        <v>hedge</v>
      </c>
      <c r="C5666" s="4" t="str">
        <f>IFERROR(__xludf.DUMMYFUNCTION("""COMPUTED_VALUE"""),"HEDGE on Sol")</f>
        <v>HEDGE on Sol</v>
      </c>
    </row>
    <row r="5667">
      <c r="A5667" s="4" t="str">
        <f>IFERROR(__xludf.DUMMYFUNCTION("""COMPUTED_VALUE"""),"hedgepay")</f>
        <v>hedgepay</v>
      </c>
      <c r="B5667" s="4" t="str">
        <f>IFERROR(__xludf.DUMMYFUNCTION("""COMPUTED_VALUE"""),"hpay")</f>
        <v>hpay</v>
      </c>
      <c r="C5667" s="4" t="str">
        <f>IFERROR(__xludf.DUMMYFUNCTION("""COMPUTED_VALUE"""),"HedgePay")</f>
        <v>HedgePay</v>
      </c>
    </row>
    <row r="5668">
      <c r="A5668" s="4" t="str">
        <f>IFERROR(__xludf.DUMMYFUNCTION("""COMPUTED_VALUE"""),"hedget")</f>
        <v>hedget</v>
      </c>
      <c r="B5668" s="4" t="str">
        <f>IFERROR(__xludf.DUMMYFUNCTION("""COMPUTED_VALUE"""),"hget")</f>
        <v>hget</v>
      </c>
      <c r="C5668" s="4" t="str">
        <f>IFERROR(__xludf.DUMMYFUNCTION("""COMPUTED_VALUE"""),"Hedget")</f>
        <v>Hedget</v>
      </c>
    </row>
    <row r="5669">
      <c r="A5669" s="4" t="str">
        <f>IFERROR(__xludf.DUMMYFUNCTION("""COMPUTED_VALUE"""),"hedgetrade")</f>
        <v>hedgetrade</v>
      </c>
      <c r="B5669" s="4" t="str">
        <f>IFERROR(__xludf.DUMMYFUNCTION("""COMPUTED_VALUE"""),"hedg")</f>
        <v>hedg</v>
      </c>
      <c r="C5669" s="4" t="str">
        <f>IFERROR(__xludf.DUMMYFUNCTION("""COMPUTED_VALUE"""),"HedgeTrade")</f>
        <v>HedgeTrade</v>
      </c>
    </row>
    <row r="5670">
      <c r="A5670" s="4" t="str">
        <f>IFERROR(__xludf.DUMMYFUNCTION("""COMPUTED_VALUE"""),"hedge-usd")</f>
        <v>hedge-usd</v>
      </c>
      <c r="B5670" s="4" t="str">
        <f>IFERROR(__xludf.DUMMYFUNCTION("""COMPUTED_VALUE"""),"ush")</f>
        <v>ush</v>
      </c>
      <c r="C5670" s="4" t="str">
        <f>IFERROR(__xludf.DUMMYFUNCTION("""COMPUTED_VALUE"""),"Hedge USD")</f>
        <v>Hedge USD</v>
      </c>
    </row>
    <row r="5671">
      <c r="A5671" s="4" t="str">
        <f>IFERROR(__xludf.DUMMYFUNCTION("""COMPUTED_VALUE"""),"hedpay")</f>
        <v>hedpay</v>
      </c>
      <c r="B5671" s="4" t="str">
        <f>IFERROR(__xludf.DUMMYFUNCTION("""COMPUTED_VALUE"""),"hdp.ф")</f>
        <v>hdp.ф</v>
      </c>
      <c r="C5671" s="4" t="str">
        <f>IFERROR(__xludf.DUMMYFUNCTION("""COMPUTED_VALUE"""),"HEdpAY")</f>
        <v>HEdpAY</v>
      </c>
    </row>
    <row r="5672">
      <c r="A5672" s="4" t="str">
        <f>IFERROR(__xludf.DUMMYFUNCTION("""COMPUTED_VALUE"""),"hedron")</f>
        <v>hedron</v>
      </c>
      <c r="B5672" s="4" t="str">
        <f>IFERROR(__xludf.DUMMYFUNCTION("""COMPUTED_VALUE"""),"hdrn")</f>
        <v>hdrn</v>
      </c>
      <c r="C5672" s="4" t="str">
        <f>IFERROR(__xludf.DUMMYFUNCTION("""COMPUTED_VALUE"""),"Hedron")</f>
        <v>Hedron</v>
      </c>
    </row>
    <row r="5673">
      <c r="A5673" s="4" t="str">
        <f>IFERROR(__xludf.DUMMYFUNCTION("""COMPUTED_VALUE"""),"hefi")</f>
        <v>hefi</v>
      </c>
      <c r="B5673" s="4" t="str">
        <f>IFERROR(__xludf.DUMMYFUNCTION("""COMPUTED_VALUE"""),"hefi")</f>
        <v>hefi</v>
      </c>
      <c r="C5673" s="4" t="str">
        <f>IFERROR(__xludf.DUMMYFUNCTION("""COMPUTED_VALUE"""),"HeFi")</f>
        <v>HeFi</v>
      </c>
    </row>
    <row r="5674">
      <c r="A5674" s="4" t="str">
        <f>IFERROR(__xludf.DUMMYFUNCTION("""COMPUTED_VALUE"""),"hege")</f>
        <v>hege</v>
      </c>
      <c r="B5674" s="4" t="str">
        <f>IFERROR(__xludf.DUMMYFUNCTION("""COMPUTED_VALUE"""),"$hege")</f>
        <v>$hege</v>
      </c>
      <c r="C5674" s="4" t="str">
        <f>IFERROR(__xludf.DUMMYFUNCTION("""COMPUTED_VALUE"""),"Hege")</f>
        <v>Hege</v>
      </c>
    </row>
    <row r="5675">
      <c r="A5675" s="4" t="str">
        <f>IFERROR(__xludf.DUMMYFUNCTION("""COMPUTED_VALUE"""),"hegic")</f>
        <v>hegic</v>
      </c>
      <c r="B5675" s="4" t="str">
        <f>IFERROR(__xludf.DUMMYFUNCTION("""COMPUTED_VALUE"""),"hegic")</f>
        <v>hegic</v>
      </c>
      <c r="C5675" s="4" t="str">
        <f>IFERROR(__xludf.DUMMYFUNCTION("""COMPUTED_VALUE"""),"Hegic")</f>
        <v>Hegic</v>
      </c>
    </row>
    <row r="5676">
      <c r="A5676" s="4" t="str">
        <f>IFERROR(__xludf.DUMMYFUNCTION("""COMPUTED_VALUE"""),"hegic-yvault")</f>
        <v>hegic-yvault</v>
      </c>
      <c r="B5676" s="4" t="str">
        <f>IFERROR(__xludf.DUMMYFUNCTION("""COMPUTED_VALUE"""),"yvhegic")</f>
        <v>yvhegic</v>
      </c>
      <c r="C5676" s="4" t="str">
        <f>IFERROR(__xludf.DUMMYFUNCTION("""COMPUTED_VALUE"""),"HEGIC yVault")</f>
        <v>HEGIC yVault</v>
      </c>
    </row>
    <row r="5677">
      <c r="A5677" s="4" t="str">
        <f>IFERROR(__xludf.DUMMYFUNCTION("""COMPUTED_VALUE"""),"hehe")</f>
        <v>hehe</v>
      </c>
      <c r="B5677" s="4" t="str">
        <f>IFERROR(__xludf.DUMMYFUNCTION("""COMPUTED_VALUE"""),"hehe")</f>
        <v>hehe</v>
      </c>
      <c r="C5677" s="4" t="str">
        <f>IFERROR(__xludf.DUMMYFUNCTION("""COMPUTED_VALUE"""),"HeHe")</f>
        <v>HeHe</v>
      </c>
    </row>
    <row r="5678">
      <c r="A5678" s="4" t="str">
        <f>IFERROR(__xludf.DUMMYFUNCTION("""COMPUTED_VALUE"""),"hela")</f>
        <v>hela</v>
      </c>
      <c r="B5678" s="4" t="str">
        <f>IFERROR(__xludf.DUMMYFUNCTION("""COMPUTED_VALUE"""),"hela")</f>
        <v>hela</v>
      </c>
      <c r="C5678" s="4" t="str">
        <f>IFERROR(__xludf.DUMMYFUNCTION("""COMPUTED_VALUE"""),"HeLa")</f>
        <v>HeLa</v>
      </c>
    </row>
    <row r="5679">
      <c r="A5679" s="4" t="str">
        <f>IFERROR(__xludf.DUMMYFUNCTION("""COMPUTED_VALUE"""),"helena")</f>
        <v>helena</v>
      </c>
      <c r="B5679" s="4" t="str">
        <f>IFERROR(__xludf.DUMMYFUNCTION("""COMPUTED_VALUE"""),"helena")</f>
        <v>helena</v>
      </c>
      <c r="C5679" s="4" t="str">
        <f>IFERROR(__xludf.DUMMYFUNCTION("""COMPUTED_VALUE"""),"Helena Financial [OLD]")</f>
        <v>Helena Financial [OLD]</v>
      </c>
    </row>
    <row r="5680">
      <c r="A5680" s="4" t="str">
        <f>IFERROR(__xludf.DUMMYFUNCTION("""COMPUTED_VALUE"""),"helga-inu")</f>
        <v>helga-inu</v>
      </c>
      <c r="B5680" s="4" t="str">
        <f>IFERROR(__xludf.DUMMYFUNCTION("""COMPUTED_VALUE"""),"helga")</f>
        <v>helga</v>
      </c>
      <c r="C5680" s="4" t="str">
        <f>IFERROR(__xludf.DUMMYFUNCTION("""COMPUTED_VALUE"""),"Helga Inu")</f>
        <v>Helga Inu</v>
      </c>
    </row>
    <row r="5681">
      <c r="A5681" s="4" t="str">
        <f>IFERROR(__xludf.DUMMYFUNCTION("""COMPUTED_VALUE"""),"helicopter-finance")</f>
        <v>helicopter-finance</v>
      </c>
      <c r="B5681" s="4" t="str">
        <f>IFERROR(__xludf.DUMMYFUNCTION("""COMPUTED_VALUE"""),"copter")</f>
        <v>copter</v>
      </c>
      <c r="C5681" s="4" t="str">
        <f>IFERROR(__xludf.DUMMYFUNCTION("""COMPUTED_VALUE"""),"Helicopter Finance")</f>
        <v>Helicopter Finance</v>
      </c>
    </row>
    <row r="5682">
      <c r="A5682" s="4" t="str">
        <f>IFERROR(__xludf.DUMMYFUNCTION("""COMPUTED_VALUE"""),"heli-doge")</f>
        <v>heli-doge</v>
      </c>
      <c r="B5682" s="4" t="str">
        <f>IFERROR(__xludf.DUMMYFUNCTION("""COMPUTED_VALUE"""),"hd")</f>
        <v>hd</v>
      </c>
      <c r="C5682" s="4" t="str">
        <f>IFERROR(__xludf.DUMMYFUNCTION("""COMPUTED_VALUE"""),"HELI Doge")</f>
        <v>HELI Doge</v>
      </c>
    </row>
    <row r="5683">
      <c r="A5683" s="4" t="str">
        <f>IFERROR(__xludf.DUMMYFUNCTION("""COMPUTED_VALUE"""),"helio-protocol-hay")</f>
        <v>helio-protocol-hay</v>
      </c>
      <c r="B5683" s="4" t="str">
        <f>IFERROR(__xludf.DUMMYFUNCTION("""COMPUTED_VALUE"""),"lisusd")</f>
        <v>lisusd</v>
      </c>
      <c r="C5683" s="4" t="str">
        <f>IFERROR(__xludf.DUMMYFUNCTION("""COMPUTED_VALUE"""),"Lista USD")</f>
        <v>Lista USD</v>
      </c>
    </row>
    <row r="5684">
      <c r="A5684" s="4" t="str">
        <f>IFERROR(__xludf.DUMMYFUNCTION("""COMPUTED_VALUE"""),"helios")</f>
        <v>helios</v>
      </c>
      <c r="B5684" s="4" t="str">
        <f>IFERROR(__xludf.DUMMYFUNCTION("""COMPUTED_VALUE"""),"hlx")</f>
        <v>hlx</v>
      </c>
      <c r="C5684" s="4" t="str">
        <f>IFERROR(__xludf.DUMMYFUNCTION("""COMPUTED_VALUE"""),"HELIOS")</f>
        <v>HELIOS</v>
      </c>
    </row>
    <row r="5685">
      <c r="A5685" s="4" t="str">
        <f>IFERROR(__xludf.DUMMYFUNCTION("""COMPUTED_VALUE"""),"heliswap")</f>
        <v>heliswap</v>
      </c>
      <c r="B5685" s="4" t="str">
        <f>IFERROR(__xludf.DUMMYFUNCTION("""COMPUTED_VALUE"""),"heli")</f>
        <v>heli</v>
      </c>
      <c r="C5685" s="4" t="str">
        <f>IFERROR(__xludf.DUMMYFUNCTION("""COMPUTED_VALUE"""),"HeliSwap")</f>
        <v>HeliSwap</v>
      </c>
    </row>
    <row r="5686">
      <c r="A5686" s="4" t="str">
        <f>IFERROR(__xludf.DUMMYFUNCTION("""COMPUTED_VALUE"""),"heliswap-bridged-usdc-hts")</f>
        <v>heliswap-bridged-usdc-hts</v>
      </c>
      <c r="B5686" s="4" t="str">
        <f>IFERROR(__xludf.DUMMYFUNCTION("""COMPUTED_VALUE"""),"usdc[hts]")</f>
        <v>usdc[hts]</v>
      </c>
      <c r="C5686" s="4" t="str">
        <f>IFERROR(__xludf.DUMMYFUNCTION("""COMPUTED_VALUE"""),"Bridged USDC (Hashport)")</f>
        <v>Bridged USDC (Hashport)</v>
      </c>
    </row>
    <row r="5687">
      <c r="A5687" s="4" t="str">
        <f>IFERROR(__xludf.DUMMYFUNCTION("""COMPUTED_VALUE"""),"helium")</f>
        <v>helium</v>
      </c>
      <c r="B5687" s="4" t="str">
        <f>IFERROR(__xludf.DUMMYFUNCTION("""COMPUTED_VALUE"""),"hnt")</f>
        <v>hnt</v>
      </c>
      <c r="C5687" s="4" t="str">
        <f>IFERROR(__xludf.DUMMYFUNCTION("""COMPUTED_VALUE"""),"Helium")</f>
        <v>Helium</v>
      </c>
    </row>
    <row r="5688">
      <c r="A5688" s="4" t="str">
        <f>IFERROR(__xludf.DUMMYFUNCTION("""COMPUTED_VALUE"""),"helium-iot")</f>
        <v>helium-iot</v>
      </c>
      <c r="B5688" s="4" t="str">
        <f>IFERROR(__xludf.DUMMYFUNCTION("""COMPUTED_VALUE"""),"iot")</f>
        <v>iot</v>
      </c>
      <c r="C5688" s="4" t="str">
        <f>IFERROR(__xludf.DUMMYFUNCTION("""COMPUTED_VALUE"""),"Helium IOT")</f>
        <v>Helium IOT</v>
      </c>
    </row>
    <row r="5689">
      <c r="A5689" s="4" t="str">
        <f>IFERROR(__xludf.DUMMYFUNCTION("""COMPUTED_VALUE"""),"helium-mobile")</f>
        <v>helium-mobile</v>
      </c>
      <c r="B5689" s="4" t="str">
        <f>IFERROR(__xludf.DUMMYFUNCTION("""COMPUTED_VALUE"""),"mobile")</f>
        <v>mobile</v>
      </c>
      <c r="C5689" s="4" t="str">
        <f>IFERROR(__xludf.DUMMYFUNCTION("""COMPUTED_VALUE"""),"Helium Mobile")</f>
        <v>Helium Mobile</v>
      </c>
    </row>
    <row r="5690">
      <c r="A5690" s="4" t="str">
        <f>IFERROR(__xludf.DUMMYFUNCTION("""COMPUTED_VALUE"""),"hellar")</f>
        <v>hellar</v>
      </c>
      <c r="B5690" s="4" t="str">
        <f>IFERROR(__xludf.DUMMYFUNCTION("""COMPUTED_VALUE"""),"hel")</f>
        <v>hel</v>
      </c>
      <c r="C5690" s="4" t="str">
        <f>IFERROR(__xludf.DUMMYFUNCTION("""COMPUTED_VALUE"""),"Hellar")</f>
        <v>Hellar</v>
      </c>
    </row>
    <row r="5691">
      <c r="A5691" s="4" t="str">
        <f>IFERROR(__xludf.DUMMYFUNCTION("""COMPUTED_VALUE"""),"helleniccoin")</f>
        <v>helleniccoin</v>
      </c>
      <c r="B5691" s="4" t="str">
        <f>IFERROR(__xludf.DUMMYFUNCTION("""COMPUTED_VALUE"""),"hnc")</f>
        <v>hnc</v>
      </c>
      <c r="C5691" s="4" t="str">
        <f>IFERROR(__xludf.DUMMYFUNCTION("""COMPUTED_VALUE"""),"HNC Coin")</f>
        <v>HNC Coin</v>
      </c>
    </row>
    <row r="5692">
      <c r="A5692" s="4" t="str">
        <f>IFERROR(__xludf.DUMMYFUNCTION("""COMPUTED_VALUE"""),"hello-art")</f>
        <v>hello-art</v>
      </c>
      <c r="B5692" s="4" t="str">
        <f>IFERROR(__xludf.DUMMYFUNCTION("""COMPUTED_VALUE"""),"htt")</f>
        <v>htt</v>
      </c>
      <c r="C5692" s="4" t="str">
        <f>IFERROR(__xludf.DUMMYFUNCTION("""COMPUTED_VALUE"""),"Hello Art")</f>
        <v>Hello Art</v>
      </c>
    </row>
    <row r="5693">
      <c r="A5693" s="4" t="str">
        <f>IFERROR(__xludf.DUMMYFUNCTION("""COMPUTED_VALUE"""),"hello-labs")</f>
        <v>hello-labs</v>
      </c>
      <c r="B5693" s="4" t="str">
        <f>IFERROR(__xludf.DUMMYFUNCTION("""COMPUTED_VALUE"""),"hello")</f>
        <v>hello</v>
      </c>
      <c r="C5693" s="4" t="str">
        <f>IFERROR(__xludf.DUMMYFUNCTION("""COMPUTED_VALUE"""),"HELLO")</f>
        <v>HELLO</v>
      </c>
    </row>
    <row r="5694">
      <c r="A5694" s="4" t="str">
        <f>IFERROR(__xludf.DUMMYFUNCTION("""COMPUTED_VALUE"""),"helmet-insure")</f>
        <v>helmet-insure</v>
      </c>
      <c r="B5694" s="4" t="str">
        <f>IFERROR(__xludf.DUMMYFUNCTION("""COMPUTED_VALUE"""),"helmet")</f>
        <v>helmet</v>
      </c>
      <c r="C5694" s="4" t="str">
        <f>IFERROR(__xludf.DUMMYFUNCTION("""COMPUTED_VALUE"""),"Helmet Insure")</f>
        <v>Helmet Insure</v>
      </c>
    </row>
    <row r="5695">
      <c r="A5695" s="4" t="str">
        <f>IFERROR(__xludf.DUMMYFUNCTION("""COMPUTED_VALUE"""),"helpico")</f>
        <v>helpico</v>
      </c>
      <c r="B5695" s="4" t="str">
        <f>IFERROR(__xludf.DUMMYFUNCTION("""COMPUTED_VALUE"""),"help")</f>
        <v>help</v>
      </c>
      <c r="C5695" s="4" t="str">
        <f>IFERROR(__xludf.DUMMYFUNCTION("""COMPUTED_VALUE"""),"Helpico")</f>
        <v>Helpico</v>
      </c>
    </row>
    <row r="5696">
      <c r="A5696" s="4" t="str">
        <f>IFERROR(__xludf.DUMMYFUNCTION("""COMPUTED_VALUE"""),"helpkidz-coin")</f>
        <v>helpkidz-coin</v>
      </c>
      <c r="B5696" s="4" t="str">
        <f>IFERROR(__xludf.DUMMYFUNCTION("""COMPUTED_VALUE"""),"hkc")</f>
        <v>hkc</v>
      </c>
      <c r="C5696" s="4" t="str">
        <f>IFERROR(__xludf.DUMMYFUNCTION("""COMPUTED_VALUE"""),"HelpKidz Coin")</f>
        <v>HelpKidz Coin</v>
      </c>
    </row>
    <row r="5697">
      <c r="A5697" s="4" t="str">
        <f>IFERROR(__xludf.DUMMYFUNCTION("""COMPUTED_VALUE"""),"help-the-homeless-coin")</f>
        <v>help-the-homeless-coin</v>
      </c>
      <c r="B5697" s="4" t="str">
        <f>IFERROR(__xludf.DUMMYFUNCTION("""COMPUTED_VALUE"""),"hth")</f>
        <v>hth</v>
      </c>
      <c r="C5697" s="4" t="str">
        <f>IFERROR(__xludf.DUMMYFUNCTION("""COMPUTED_VALUE"""),"Help The Homeless Coin")</f>
        <v>Help The Homeless Coin</v>
      </c>
    </row>
    <row r="5698">
      <c r="A5698" s="4" t="str">
        <f>IFERROR(__xludf.DUMMYFUNCTION("""COMPUTED_VALUE"""),"hempcoin-thc")</f>
        <v>hempcoin-thc</v>
      </c>
      <c r="B5698" s="4" t="str">
        <f>IFERROR(__xludf.DUMMYFUNCTION("""COMPUTED_VALUE"""),"thc")</f>
        <v>thc</v>
      </c>
      <c r="C5698" s="4" t="str">
        <f>IFERROR(__xludf.DUMMYFUNCTION("""COMPUTED_VALUE"""),"Hempcoin")</f>
        <v>Hempcoin</v>
      </c>
    </row>
    <row r="5699">
      <c r="A5699" s="4" t="str">
        <f>IFERROR(__xludf.DUMMYFUNCTION("""COMPUTED_VALUE"""),"hemule")</f>
        <v>hemule</v>
      </c>
      <c r="B5699" s="4" t="str">
        <f>IFERROR(__xludf.DUMMYFUNCTION("""COMPUTED_VALUE"""),"hemule")</f>
        <v>hemule</v>
      </c>
      <c r="C5699" s="4" t="str">
        <f>IFERROR(__xludf.DUMMYFUNCTION("""COMPUTED_VALUE"""),"Hemule")</f>
        <v>Hemule</v>
      </c>
    </row>
    <row r="5700">
      <c r="A5700" s="4" t="str">
        <f>IFERROR(__xludf.DUMMYFUNCTION("""COMPUTED_VALUE"""),"heptafranc")</f>
        <v>heptafranc</v>
      </c>
      <c r="B5700" s="4" t="str">
        <f>IFERROR(__xludf.DUMMYFUNCTION("""COMPUTED_VALUE"""),"hptf")</f>
        <v>hptf</v>
      </c>
      <c r="C5700" s="4" t="str">
        <f>IFERROR(__xludf.DUMMYFUNCTION("""COMPUTED_VALUE"""),"HEPTAFRANC")</f>
        <v>HEPTAFRANC</v>
      </c>
    </row>
    <row r="5701">
      <c r="A5701" s="4" t="str">
        <f>IFERROR(__xludf.DUMMYFUNCTION("""COMPUTED_VALUE"""),"hepton")</f>
        <v>hepton</v>
      </c>
      <c r="B5701" s="4" t="str">
        <f>IFERROR(__xludf.DUMMYFUNCTION("""COMPUTED_VALUE"""),"hte")</f>
        <v>hte</v>
      </c>
      <c r="C5701" s="4" t="str">
        <f>IFERROR(__xludf.DUMMYFUNCTION("""COMPUTED_VALUE"""),"Hepton")</f>
        <v>Hepton</v>
      </c>
    </row>
    <row r="5702">
      <c r="A5702" s="4" t="str">
        <f>IFERROR(__xludf.DUMMYFUNCTION("""COMPUTED_VALUE"""),"hera-finance")</f>
        <v>hera-finance</v>
      </c>
      <c r="B5702" s="4" t="str">
        <f>IFERROR(__xludf.DUMMYFUNCTION("""COMPUTED_VALUE"""),"hera")</f>
        <v>hera</v>
      </c>
      <c r="C5702" s="4" t="str">
        <f>IFERROR(__xludf.DUMMYFUNCTION("""COMPUTED_VALUE"""),"Hera Finance")</f>
        <v>Hera Finance</v>
      </c>
    </row>
    <row r="5703">
      <c r="A5703" s="4" t="str">
        <f>IFERROR(__xludf.DUMMYFUNCTION("""COMPUTED_VALUE"""),"her-ai")</f>
        <v>her-ai</v>
      </c>
      <c r="B5703" s="4" t="str">
        <f>IFERROR(__xludf.DUMMYFUNCTION("""COMPUTED_VALUE"""),"her")</f>
        <v>her</v>
      </c>
      <c r="C5703" s="5" t="str">
        <f>IFERROR(__xludf.DUMMYFUNCTION("""COMPUTED_VALUE"""),"Her.AI")</f>
        <v>Her.AI</v>
      </c>
    </row>
    <row r="5704">
      <c r="A5704" s="4" t="str">
        <f>IFERROR(__xludf.DUMMYFUNCTION("""COMPUTED_VALUE"""),"herbalist-token")</f>
        <v>herbalist-token</v>
      </c>
      <c r="B5704" s="4" t="str">
        <f>IFERROR(__xludf.DUMMYFUNCTION("""COMPUTED_VALUE"""),"herb")</f>
        <v>herb</v>
      </c>
      <c r="C5704" s="4" t="str">
        <f>IFERROR(__xludf.DUMMYFUNCTION("""COMPUTED_VALUE"""),"Herbalist")</f>
        <v>Herbalist</v>
      </c>
    </row>
    <row r="5705">
      <c r="A5705" s="4" t="str">
        <f>IFERROR(__xludf.DUMMYFUNCTION("""COMPUTED_VALUE"""),"hercules-token")</f>
        <v>hercules-token</v>
      </c>
      <c r="B5705" s="4" t="str">
        <f>IFERROR(__xludf.DUMMYFUNCTION("""COMPUTED_VALUE"""),"torch")</f>
        <v>torch</v>
      </c>
      <c r="C5705" s="4" t="str">
        <f>IFERROR(__xludf.DUMMYFUNCTION("""COMPUTED_VALUE"""),"Hercules Token")</f>
        <v>Hercules Token</v>
      </c>
    </row>
    <row r="5706">
      <c r="A5706" s="4" t="str">
        <f>IFERROR(__xludf.DUMMYFUNCTION("""COMPUTED_VALUE"""),"herity-network")</f>
        <v>herity-network</v>
      </c>
      <c r="B5706" s="4" t="str">
        <f>IFERROR(__xludf.DUMMYFUNCTION("""COMPUTED_VALUE"""),"her")</f>
        <v>her</v>
      </c>
      <c r="C5706" s="4" t="str">
        <f>IFERROR(__xludf.DUMMYFUNCTION("""COMPUTED_VALUE"""),"Herity Network")</f>
        <v>Herity Network</v>
      </c>
    </row>
    <row r="5707">
      <c r="A5707" s="4" t="str">
        <f>IFERROR(__xludf.DUMMYFUNCTION("""COMPUTED_VALUE"""),"hermes-dao")</f>
        <v>hermes-dao</v>
      </c>
      <c r="B5707" s="4" t="str">
        <f>IFERROR(__xludf.DUMMYFUNCTION("""COMPUTED_VALUE"""),"hmx")</f>
        <v>hmx</v>
      </c>
      <c r="C5707" s="4" t="str">
        <f>IFERROR(__xludf.DUMMYFUNCTION("""COMPUTED_VALUE"""),"Hermes DAO")</f>
        <v>Hermes DAO</v>
      </c>
    </row>
    <row r="5708">
      <c r="A5708" s="4" t="str">
        <f>IFERROR(__xludf.DUMMYFUNCTION("""COMPUTED_VALUE"""),"hermes-protocol")</f>
        <v>hermes-protocol</v>
      </c>
      <c r="B5708" s="4" t="str">
        <f>IFERROR(__xludf.DUMMYFUNCTION("""COMPUTED_VALUE"""),"hermes")</f>
        <v>hermes</v>
      </c>
      <c r="C5708" s="4" t="str">
        <f>IFERROR(__xludf.DUMMYFUNCTION("""COMPUTED_VALUE"""),"Hermes Protocol")</f>
        <v>Hermes Protocol</v>
      </c>
    </row>
    <row r="5709">
      <c r="A5709" s="4" t="str">
        <f>IFERROR(__xludf.DUMMYFUNCTION("""COMPUTED_VALUE"""),"hermez-network-token")</f>
        <v>hermez-network-token</v>
      </c>
      <c r="B5709" s="4" t="str">
        <f>IFERROR(__xludf.DUMMYFUNCTION("""COMPUTED_VALUE"""),"hez")</f>
        <v>hez</v>
      </c>
      <c r="C5709" s="4" t="str">
        <f>IFERROR(__xludf.DUMMYFUNCTION("""COMPUTED_VALUE"""),"Hermez Network")</f>
        <v>Hermez Network</v>
      </c>
    </row>
    <row r="5710">
      <c r="A5710" s="4" t="str">
        <f>IFERROR(__xludf.DUMMYFUNCTION("""COMPUTED_VALUE"""),"hero-arena")</f>
        <v>hero-arena</v>
      </c>
      <c r="B5710" s="4" t="str">
        <f>IFERROR(__xludf.DUMMYFUNCTION("""COMPUTED_VALUE"""),"hera")</f>
        <v>hera</v>
      </c>
      <c r="C5710" s="4" t="str">
        <f>IFERROR(__xludf.DUMMYFUNCTION("""COMPUTED_VALUE"""),"Hero Arena")</f>
        <v>Hero Arena</v>
      </c>
    </row>
    <row r="5711">
      <c r="A5711" s="4" t="str">
        <f>IFERROR(__xludf.DUMMYFUNCTION("""COMPUTED_VALUE"""),"hero-blaze-three-kingdoms")</f>
        <v>hero-blaze-three-kingdoms</v>
      </c>
      <c r="B5711" s="4" t="str">
        <f>IFERROR(__xludf.DUMMYFUNCTION("""COMPUTED_VALUE"""),"mudol2")</f>
        <v>mudol2</v>
      </c>
      <c r="C5711" s="4" t="str">
        <f>IFERROR(__xludf.DUMMYFUNCTION("""COMPUTED_VALUE"""),"Hero Blaze: Three Kingdoms")</f>
        <v>Hero Blaze: Three Kingdoms</v>
      </c>
    </row>
    <row r="5712">
      <c r="A5712" s="4" t="str">
        <f>IFERROR(__xludf.DUMMYFUNCTION("""COMPUTED_VALUE"""),"hero-cat-token")</f>
        <v>hero-cat-token</v>
      </c>
      <c r="B5712" s="4" t="str">
        <f>IFERROR(__xludf.DUMMYFUNCTION("""COMPUTED_VALUE"""),"hct")</f>
        <v>hct</v>
      </c>
      <c r="C5712" s="4" t="str">
        <f>IFERROR(__xludf.DUMMYFUNCTION("""COMPUTED_VALUE"""),"Hero Cat")</f>
        <v>Hero Cat</v>
      </c>
    </row>
    <row r="5713">
      <c r="A5713" s="4" t="str">
        <f>IFERROR(__xludf.DUMMYFUNCTION("""COMPUTED_VALUE"""),"herocoin")</f>
        <v>herocoin</v>
      </c>
      <c r="B5713" s="4" t="str">
        <f>IFERROR(__xludf.DUMMYFUNCTION("""COMPUTED_VALUE"""),"play")</f>
        <v>play</v>
      </c>
      <c r="C5713" s="4" t="str">
        <f>IFERROR(__xludf.DUMMYFUNCTION("""COMPUTED_VALUE"""),"HEROcoin")</f>
        <v>HEROcoin</v>
      </c>
    </row>
    <row r="5714">
      <c r="A5714" s="4" t="str">
        <f>IFERROR(__xludf.DUMMYFUNCTION("""COMPUTED_VALUE"""),"heroeschained")</f>
        <v>heroeschained</v>
      </c>
      <c r="B5714" s="4" t="str">
        <f>IFERROR(__xludf.DUMMYFUNCTION("""COMPUTED_VALUE"""),"hec")</f>
        <v>hec</v>
      </c>
      <c r="C5714" s="4" t="str">
        <f>IFERROR(__xludf.DUMMYFUNCTION("""COMPUTED_VALUE"""),"HeroesChained")</f>
        <v>HeroesChained</v>
      </c>
    </row>
    <row r="5715">
      <c r="A5715" s="4" t="str">
        <f>IFERROR(__xludf.DUMMYFUNCTION("""COMPUTED_VALUE"""),"heroes-empires")</f>
        <v>heroes-empires</v>
      </c>
      <c r="B5715" s="4" t="str">
        <f>IFERROR(__xludf.DUMMYFUNCTION("""COMPUTED_VALUE"""),"he")</f>
        <v>he</v>
      </c>
      <c r="C5715" s="4" t="str">
        <f>IFERROR(__xludf.DUMMYFUNCTION("""COMPUTED_VALUE"""),"Heroes &amp; Empires")</f>
        <v>Heroes &amp; Empires</v>
      </c>
    </row>
    <row r="5716">
      <c r="A5716" s="4" t="str">
        <f>IFERROR(__xludf.DUMMYFUNCTION("""COMPUTED_VALUE"""),"heroes-of-mavia")</f>
        <v>heroes-of-mavia</v>
      </c>
      <c r="B5716" s="4" t="str">
        <f>IFERROR(__xludf.DUMMYFUNCTION("""COMPUTED_VALUE"""),"mavia")</f>
        <v>mavia</v>
      </c>
      <c r="C5716" s="4" t="str">
        <f>IFERROR(__xludf.DUMMYFUNCTION("""COMPUTED_VALUE"""),"Heroes of Mavia")</f>
        <v>Heroes of Mavia</v>
      </c>
    </row>
    <row r="5717">
      <c r="A5717" s="4" t="str">
        <f>IFERROR(__xludf.DUMMYFUNCTION("""COMPUTED_VALUE"""),"heroes-of-nft")</f>
        <v>heroes-of-nft</v>
      </c>
      <c r="B5717" s="4" t="str">
        <f>IFERROR(__xludf.DUMMYFUNCTION("""COMPUTED_VALUE"""),"hon")</f>
        <v>hon</v>
      </c>
      <c r="C5717" s="4" t="str">
        <f>IFERROR(__xludf.DUMMYFUNCTION("""COMPUTED_VALUE"""),"Heroes of NFT")</f>
        <v>Heroes of NFT</v>
      </c>
    </row>
    <row r="5718">
      <c r="A5718" s="4" t="str">
        <f>IFERROR(__xludf.DUMMYFUNCTION("""COMPUTED_VALUE"""),"heroes-td")</f>
        <v>heroes-td</v>
      </c>
      <c r="B5718" s="4" t="str">
        <f>IFERROR(__xludf.DUMMYFUNCTION("""COMPUTED_VALUE"""),"htd")</f>
        <v>htd</v>
      </c>
      <c r="C5718" s="4" t="str">
        <f>IFERROR(__xludf.DUMMYFUNCTION("""COMPUTED_VALUE"""),"Heroes TD")</f>
        <v>Heroes TD</v>
      </c>
    </row>
    <row r="5719">
      <c r="A5719" s="4" t="str">
        <f>IFERROR(__xludf.DUMMYFUNCTION("""COMPUTED_VALUE"""),"heroestd-cgc")</f>
        <v>heroestd-cgc</v>
      </c>
      <c r="B5719" s="4" t="str">
        <f>IFERROR(__xludf.DUMMYFUNCTION("""COMPUTED_VALUE"""),"cgc")</f>
        <v>cgc</v>
      </c>
      <c r="C5719" s="4" t="str">
        <f>IFERROR(__xludf.DUMMYFUNCTION("""COMPUTED_VALUE"""),"HeroesTD CGC")</f>
        <v>HeroesTD CGC</v>
      </c>
    </row>
    <row r="5720">
      <c r="A5720" s="4" t="str">
        <f>IFERROR(__xludf.DUMMYFUNCTION("""COMPUTED_VALUE"""),"herofi-token-2")</f>
        <v>herofi-token-2</v>
      </c>
      <c r="B5720" s="4" t="str">
        <f>IFERROR(__xludf.DUMMYFUNCTION("""COMPUTED_VALUE"""),"rofi")</f>
        <v>rofi</v>
      </c>
      <c r="C5720" s="4" t="str">
        <f>IFERROR(__xludf.DUMMYFUNCTION("""COMPUTED_VALUE"""),"HeroFi ROFI")</f>
        <v>HeroFi ROFI</v>
      </c>
    </row>
    <row r="5721">
      <c r="A5721" s="4" t="str">
        <f>IFERROR(__xludf.DUMMYFUNCTION("""COMPUTED_VALUE"""),"heropark")</f>
        <v>heropark</v>
      </c>
      <c r="B5721" s="4" t="str">
        <f>IFERROR(__xludf.DUMMYFUNCTION("""COMPUTED_VALUE"""),"hp")</f>
        <v>hp</v>
      </c>
      <c r="C5721" s="4" t="str">
        <f>IFERROR(__xludf.DUMMYFUNCTION("""COMPUTED_VALUE"""),"HeroPark")</f>
        <v>HeroPark</v>
      </c>
    </row>
    <row r="5722">
      <c r="A5722" s="4" t="str">
        <f>IFERROR(__xludf.DUMMYFUNCTION("""COMPUTED_VALUE"""),"hex")</f>
        <v>hex</v>
      </c>
      <c r="B5722" s="4" t="str">
        <f>IFERROR(__xludf.DUMMYFUNCTION("""COMPUTED_VALUE"""),"hex")</f>
        <v>hex</v>
      </c>
      <c r="C5722" s="4" t="str">
        <f>IFERROR(__xludf.DUMMYFUNCTION("""COMPUTED_VALUE"""),"HEX")</f>
        <v>HEX</v>
      </c>
    </row>
    <row r="5723">
      <c r="A5723" s="4" t="str">
        <f>IFERROR(__xludf.DUMMYFUNCTION("""COMPUTED_VALUE"""),"hex-orange-address")</f>
        <v>hex-orange-address</v>
      </c>
      <c r="B5723" s="4" t="str">
        <f>IFERROR(__xludf.DUMMYFUNCTION("""COMPUTED_VALUE"""),"hoa")</f>
        <v>hoa</v>
      </c>
      <c r="C5723" s="4" t="str">
        <f>IFERROR(__xludf.DUMMYFUNCTION("""COMPUTED_VALUE"""),"Hex Orange Address")</f>
        <v>Hex Orange Address</v>
      </c>
    </row>
    <row r="5724">
      <c r="A5724" s="4" t="str">
        <f>IFERROR(__xludf.DUMMYFUNCTION("""COMPUTED_VALUE"""),"hex-pulsechain")</f>
        <v>hex-pulsechain</v>
      </c>
      <c r="B5724" s="4" t="str">
        <f>IFERROR(__xludf.DUMMYFUNCTION("""COMPUTED_VALUE"""),"hex")</f>
        <v>hex</v>
      </c>
      <c r="C5724" s="4" t="str">
        <f>IFERROR(__xludf.DUMMYFUNCTION("""COMPUTED_VALUE"""),"HEX (PulseChain)")</f>
        <v>HEX (PulseChain)</v>
      </c>
    </row>
    <row r="5725">
      <c r="A5725" s="4" t="str">
        <f>IFERROR(__xludf.DUMMYFUNCTION("""COMPUTED_VALUE"""),"heyflokiai")</f>
        <v>heyflokiai</v>
      </c>
      <c r="B5725" s="4" t="str">
        <f>IFERROR(__xludf.DUMMYFUNCTION("""COMPUTED_VALUE"""),"a2e")</f>
        <v>a2e</v>
      </c>
      <c r="C5725" s="4" t="str">
        <f>IFERROR(__xludf.DUMMYFUNCTION("""COMPUTED_VALUE"""),"Hey Floki Ai")</f>
        <v>Hey Floki Ai</v>
      </c>
    </row>
    <row r="5726">
      <c r="A5726" s="4" t="str">
        <f>IFERROR(__xludf.DUMMYFUNCTION("""COMPUTED_VALUE"""),"hey-reborn-new")</f>
        <v>hey-reborn-new</v>
      </c>
      <c r="B5726" s="4" t="str">
        <f>IFERROR(__xludf.DUMMYFUNCTION("""COMPUTED_VALUE"""),"rb")</f>
        <v>rb</v>
      </c>
      <c r="C5726" s="4" t="str">
        <f>IFERROR(__xludf.DUMMYFUNCTION("""COMPUTED_VALUE"""),"Hey Reborn [NEW]")</f>
        <v>Hey Reborn [NEW]</v>
      </c>
    </row>
    <row r="5727">
      <c r="A5727" s="4" t="str">
        <f>IFERROR(__xludf.DUMMYFUNCTION("""COMPUTED_VALUE"""),"hiazuki")</f>
        <v>hiazuki</v>
      </c>
      <c r="B5727" s="4" t="str">
        <f>IFERROR(__xludf.DUMMYFUNCTION("""COMPUTED_VALUE"""),"hiazuki")</f>
        <v>hiazuki</v>
      </c>
      <c r="C5727" s="4" t="str">
        <f>IFERROR(__xludf.DUMMYFUNCTION("""COMPUTED_VALUE"""),"hiAZUKI")</f>
        <v>hiAZUKI</v>
      </c>
    </row>
    <row r="5728">
      <c r="A5728" s="4" t="str">
        <f>IFERROR(__xludf.DUMMYFUNCTION("""COMPUTED_VALUE"""),"hibakc")</f>
        <v>hibakc</v>
      </c>
      <c r="B5728" s="4" t="str">
        <f>IFERROR(__xludf.DUMMYFUNCTION("""COMPUTED_VALUE"""),"hibakc")</f>
        <v>hibakc</v>
      </c>
      <c r="C5728" s="4" t="str">
        <f>IFERROR(__xludf.DUMMYFUNCTION("""COMPUTED_VALUE"""),"hiBAKC")</f>
        <v>hiBAKC</v>
      </c>
    </row>
    <row r="5729">
      <c r="A5729" s="4" t="str">
        <f>IFERROR(__xludf.DUMMYFUNCTION("""COMPUTED_VALUE"""),"hibayc")</f>
        <v>hibayc</v>
      </c>
      <c r="B5729" s="4" t="str">
        <f>IFERROR(__xludf.DUMMYFUNCTION("""COMPUTED_VALUE"""),"hibayc")</f>
        <v>hibayc</v>
      </c>
      <c r="C5729" s="4" t="str">
        <f>IFERROR(__xludf.DUMMYFUNCTION("""COMPUTED_VALUE"""),"hiBAYC")</f>
        <v>hiBAYC</v>
      </c>
    </row>
    <row r="5730">
      <c r="A5730" s="4" t="str">
        <f>IFERROR(__xludf.DUMMYFUNCTION("""COMPUTED_VALUE"""),"hibeanz")</f>
        <v>hibeanz</v>
      </c>
      <c r="B5730" s="4" t="str">
        <f>IFERROR(__xludf.DUMMYFUNCTION("""COMPUTED_VALUE"""),"hibeanz")</f>
        <v>hibeanz</v>
      </c>
      <c r="C5730" s="4" t="str">
        <f>IFERROR(__xludf.DUMMYFUNCTION("""COMPUTED_VALUE"""),"hiBEANZ")</f>
        <v>hiBEANZ</v>
      </c>
    </row>
    <row r="5731">
      <c r="A5731" s="4" t="str">
        <f>IFERROR(__xludf.DUMMYFUNCTION("""COMPUTED_VALUE"""),"hibiki-run")</f>
        <v>hibiki-run</v>
      </c>
      <c r="B5731" s="4" t="str">
        <f>IFERROR(__xludf.DUMMYFUNCTION("""COMPUTED_VALUE"""),"hut")</f>
        <v>hut</v>
      </c>
      <c r="C5731" s="4" t="str">
        <f>IFERROR(__xludf.DUMMYFUNCTION("""COMPUTED_VALUE"""),"Hibiki Run")</f>
        <v>Hibiki Run</v>
      </c>
    </row>
    <row r="5732">
      <c r="A5732" s="4" t="str">
        <f>IFERROR(__xludf.DUMMYFUNCTION("""COMPUTED_VALUE"""),"hiblocks")</f>
        <v>hiblocks</v>
      </c>
      <c r="B5732" s="4" t="str">
        <f>IFERROR(__xludf.DUMMYFUNCTION("""COMPUTED_VALUE"""),"hibs")</f>
        <v>hibs</v>
      </c>
      <c r="C5732" s="4" t="str">
        <f>IFERROR(__xludf.DUMMYFUNCTION("""COMPUTED_VALUE"""),"Hiblocks")</f>
        <v>Hiblocks</v>
      </c>
    </row>
    <row r="5733">
      <c r="A5733" s="4" t="str">
        <f>IFERROR(__xludf.DUMMYFUNCTION("""COMPUTED_VALUE"""),"hic-et-nunc-dao")</f>
        <v>hic-et-nunc-dao</v>
      </c>
      <c r="B5733" s="4" t="str">
        <f>IFERROR(__xludf.DUMMYFUNCTION("""COMPUTED_VALUE"""),"hdao")</f>
        <v>hdao</v>
      </c>
      <c r="C5733" s="4" t="str">
        <f>IFERROR(__xludf.DUMMYFUNCTION("""COMPUTED_VALUE"""),"Hic et nunc DAO")</f>
        <v>Hic et nunc DAO</v>
      </c>
    </row>
    <row r="5734">
      <c r="A5734" s="4" t="str">
        <f>IFERROR(__xludf.DUMMYFUNCTION("""COMPUTED_VALUE"""),"hiclonex")</f>
        <v>hiclonex</v>
      </c>
      <c r="B5734" s="4" t="str">
        <f>IFERROR(__xludf.DUMMYFUNCTION("""COMPUTED_VALUE"""),"hiclonex")</f>
        <v>hiclonex</v>
      </c>
      <c r="C5734" s="4" t="str">
        <f>IFERROR(__xludf.DUMMYFUNCTION("""COMPUTED_VALUE"""),"hiCLONEX")</f>
        <v>hiCLONEX</v>
      </c>
    </row>
    <row r="5735">
      <c r="A5735" s="4" t="str">
        <f>IFERROR(__xludf.DUMMYFUNCTION("""COMPUTED_VALUE"""),"hicoolcats")</f>
        <v>hicoolcats</v>
      </c>
      <c r="B5735" s="4" t="str">
        <f>IFERROR(__xludf.DUMMYFUNCTION("""COMPUTED_VALUE"""),"hicoolcats")</f>
        <v>hicoolcats</v>
      </c>
      <c r="C5735" s="4" t="str">
        <f>IFERROR(__xludf.DUMMYFUNCTION("""COMPUTED_VALUE"""),"hiCOOLCATS")</f>
        <v>hiCOOLCATS</v>
      </c>
    </row>
    <row r="5736">
      <c r="A5736" s="4" t="str">
        <f>IFERROR(__xludf.DUMMYFUNCTION("""COMPUTED_VALUE"""),"hi-dollar")</f>
        <v>hi-dollar</v>
      </c>
      <c r="B5736" s="4" t="str">
        <f>IFERROR(__xludf.DUMMYFUNCTION("""COMPUTED_VALUE"""),"hi")</f>
        <v>hi</v>
      </c>
      <c r="C5736" s="4" t="str">
        <f>IFERROR(__xludf.DUMMYFUNCTION("""COMPUTED_VALUE"""),"hi Dollar")</f>
        <v>hi Dollar</v>
      </c>
    </row>
    <row r="5737">
      <c r="A5737" s="4" t="str">
        <f>IFERROR(__xludf.DUMMYFUNCTION("""COMPUTED_VALUE"""),"hidoodles")</f>
        <v>hidoodles</v>
      </c>
      <c r="B5737" s="4" t="str">
        <f>IFERROR(__xludf.DUMMYFUNCTION("""COMPUTED_VALUE"""),"hidoodles")</f>
        <v>hidoodles</v>
      </c>
      <c r="C5737" s="4" t="str">
        <f>IFERROR(__xludf.DUMMYFUNCTION("""COMPUTED_VALUE"""),"hiDOODLES")</f>
        <v>hiDOODLES</v>
      </c>
    </row>
    <row r="5738">
      <c r="A5738" s="4" t="str">
        <f>IFERROR(__xludf.DUMMYFUNCTION("""COMPUTED_VALUE"""),"hiens3")</f>
        <v>hiens3</v>
      </c>
      <c r="B5738" s="4" t="str">
        <f>IFERROR(__xludf.DUMMYFUNCTION("""COMPUTED_VALUE"""),"hiens3")</f>
        <v>hiens3</v>
      </c>
      <c r="C5738" s="4" t="str">
        <f>IFERROR(__xludf.DUMMYFUNCTION("""COMPUTED_VALUE"""),"hiENS3")</f>
        <v>hiENS3</v>
      </c>
    </row>
    <row r="5739">
      <c r="A5739" s="4" t="str">
        <f>IFERROR(__xludf.DUMMYFUNCTION("""COMPUTED_VALUE"""),"hiens4")</f>
        <v>hiens4</v>
      </c>
      <c r="B5739" s="4" t="str">
        <f>IFERROR(__xludf.DUMMYFUNCTION("""COMPUTED_VALUE"""),"hiens4")</f>
        <v>hiens4</v>
      </c>
      <c r="C5739" s="4" t="str">
        <f>IFERROR(__xludf.DUMMYFUNCTION("""COMPUTED_VALUE"""),"hiENS4")</f>
        <v>hiENS4</v>
      </c>
    </row>
    <row r="5740">
      <c r="A5740" s="4" t="str">
        <f>IFERROR(__xludf.DUMMYFUNCTION("""COMPUTED_VALUE"""),"hifidenza")</f>
        <v>hifidenza</v>
      </c>
      <c r="B5740" s="4" t="str">
        <f>IFERROR(__xludf.DUMMYFUNCTION("""COMPUTED_VALUE"""),"hifidenza")</f>
        <v>hifidenza</v>
      </c>
      <c r="C5740" s="4" t="str">
        <f>IFERROR(__xludf.DUMMYFUNCTION("""COMPUTED_VALUE"""),"hiFIDENZA")</f>
        <v>hiFIDENZA</v>
      </c>
    </row>
    <row r="5741">
      <c r="A5741" s="4" t="str">
        <f>IFERROR(__xludf.DUMMYFUNCTION("""COMPUTED_VALUE"""),"hifi-finance")</f>
        <v>hifi-finance</v>
      </c>
      <c r="B5741" s="4" t="str">
        <f>IFERROR(__xludf.DUMMYFUNCTION("""COMPUTED_VALUE"""),"hifi")</f>
        <v>hifi</v>
      </c>
      <c r="C5741" s="4" t="str">
        <f>IFERROR(__xludf.DUMMYFUNCTION("""COMPUTED_VALUE"""),"Hifi Finance")</f>
        <v>Hifi Finance</v>
      </c>
    </row>
    <row r="5742">
      <c r="A5742" s="4" t="str">
        <f>IFERROR(__xludf.DUMMYFUNCTION("""COMPUTED_VALUE"""),"hifluf")</f>
        <v>hifluf</v>
      </c>
      <c r="B5742" s="4" t="str">
        <f>IFERROR(__xludf.DUMMYFUNCTION("""COMPUTED_VALUE"""),"hifluf")</f>
        <v>hifluf</v>
      </c>
      <c r="C5742" s="4" t="str">
        <f>IFERROR(__xludf.DUMMYFUNCTION("""COMPUTED_VALUE"""),"hiFLUF")</f>
        <v>hiFLUF</v>
      </c>
    </row>
    <row r="5743">
      <c r="A5743" s="4" t="str">
        <f>IFERROR(__xludf.DUMMYFUNCTION("""COMPUTED_VALUE"""),"hifriends")</f>
        <v>hifriends</v>
      </c>
      <c r="B5743" s="4" t="str">
        <f>IFERROR(__xludf.DUMMYFUNCTION("""COMPUTED_VALUE"""),"hifriends")</f>
        <v>hifriends</v>
      </c>
      <c r="C5743" s="4" t="str">
        <f>IFERROR(__xludf.DUMMYFUNCTION("""COMPUTED_VALUE"""),"hiFRIENDS")</f>
        <v>hiFRIENDS</v>
      </c>
    </row>
    <row r="5744">
      <c r="A5744" s="4" t="str">
        <f>IFERROR(__xludf.DUMMYFUNCTION("""COMPUTED_VALUE"""),"higazers")</f>
        <v>higazers</v>
      </c>
      <c r="B5744" s="4" t="str">
        <f>IFERROR(__xludf.DUMMYFUNCTION("""COMPUTED_VALUE"""),"higazers")</f>
        <v>higazers</v>
      </c>
      <c r="C5744" s="4" t="str">
        <f>IFERROR(__xludf.DUMMYFUNCTION("""COMPUTED_VALUE"""),"hiGAZERS")</f>
        <v>hiGAZERS</v>
      </c>
    </row>
    <row r="5745">
      <c r="A5745" s="4" t="str">
        <f>IFERROR(__xludf.DUMMYFUNCTION("""COMPUTED_VALUE"""),"high")</f>
        <v>high</v>
      </c>
      <c r="B5745" s="4" t="str">
        <f>IFERROR(__xludf.DUMMYFUNCTION("""COMPUTED_VALUE"""),"high")</f>
        <v>high</v>
      </c>
      <c r="C5745" s="4" t="str">
        <f>IFERROR(__xludf.DUMMYFUNCTION("""COMPUTED_VALUE"""),"High")</f>
        <v>High</v>
      </c>
    </row>
    <row r="5746">
      <c r="A5746" s="4" t="str">
        <f>IFERROR(__xludf.DUMMYFUNCTION("""COMPUTED_VALUE"""),"higher")</f>
        <v>higher</v>
      </c>
      <c r="B5746" s="4" t="str">
        <f>IFERROR(__xludf.DUMMYFUNCTION("""COMPUTED_VALUE"""),"higher")</f>
        <v>higher</v>
      </c>
      <c r="C5746" s="4" t="str">
        <f>IFERROR(__xludf.DUMMYFUNCTION("""COMPUTED_VALUE"""),"higher")</f>
        <v>higher</v>
      </c>
    </row>
    <row r="5747">
      <c r="A5747" s="4" t="str">
        <f>IFERROR(__xludf.DUMMYFUNCTION("""COMPUTED_VALUE"""),"higher-imo")</f>
        <v>higher-imo</v>
      </c>
      <c r="B5747" s="4" t="str">
        <f>IFERROR(__xludf.DUMMYFUNCTION("""COMPUTED_VALUE"""),"higher")</f>
        <v>higher</v>
      </c>
      <c r="C5747" s="4" t="str">
        <f>IFERROR(__xludf.DUMMYFUNCTION("""COMPUTED_VALUE"""),"HIgher IMO")</f>
        <v>HIgher IMO</v>
      </c>
    </row>
    <row r="5748">
      <c r="A5748" s="4" t="str">
        <f>IFERROR(__xludf.DUMMYFUNCTION("""COMPUTED_VALUE"""),"highnoon")</f>
        <v>highnoon</v>
      </c>
      <c r="B5748" s="4" t="str">
        <f>IFERROR(__xludf.DUMMYFUNCTION("""COMPUTED_VALUE"""),"noon")</f>
        <v>noon</v>
      </c>
      <c r="C5748" s="4" t="str">
        <f>IFERROR(__xludf.DUMMYFUNCTION("""COMPUTED_VALUE"""),"HighNoon")</f>
        <v>HighNoon</v>
      </c>
    </row>
    <row r="5749">
      <c r="A5749" s="4" t="str">
        <f>IFERROR(__xludf.DUMMYFUNCTION("""COMPUTED_VALUE"""),"high-performance-blockchain")</f>
        <v>high-performance-blockchain</v>
      </c>
      <c r="B5749" s="4" t="str">
        <f>IFERROR(__xludf.DUMMYFUNCTION("""COMPUTED_VALUE"""),"hpb")</f>
        <v>hpb</v>
      </c>
      <c r="C5749" s="4" t="str">
        <f>IFERROR(__xludf.DUMMYFUNCTION("""COMPUTED_VALUE"""),"High Performance Blockchain")</f>
        <v>High Performance Blockchain</v>
      </c>
    </row>
    <row r="5750">
      <c r="A5750" s="4" t="str">
        <f>IFERROR(__xludf.DUMMYFUNCTION("""COMPUTED_VALUE"""),"high-roller-hippo-clique")</f>
        <v>high-roller-hippo-clique</v>
      </c>
      <c r="B5750" s="4" t="str">
        <f>IFERROR(__xludf.DUMMYFUNCTION("""COMPUTED_VALUE"""),"roll")</f>
        <v>roll</v>
      </c>
      <c r="C5750" s="4" t="str">
        <f>IFERROR(__xludf.DUMMYFUNCTION("""COMPUTED_VALUE"""),"High Roller Hippo Clique")</f>
        <v>High Roller Hippo Clique</v>
      </c>
    </row>
    <row r="5751">
      <c r="A5751" s="4" t="str">
        <f>IFERROR(__xludf.DUMMYFUNCTION("""COMPUTED_VALUE"""),"highstreet")</f>
        <v>highstreet</v>
      </c>
      <c r="B5751" s="4" t="str">
        <f>IFERROR(__xludf.DUMMYFUNCTION("""COMPUTED_VALUE"""),"high")</f>
        <v>high</v>
      </c>
      <c r="C5751" s="4" t="str">
        <f>IFERROR(__xludf.DUMMYFUNCTION("""COMPUTED_VALUE"""),"Highstreet")</f>
        <v>Highstreet</v>
      </c>
    </row>
    <row r="5752">
      <c r="A5752" s="4" t="str">
        <f>IFERROR(__xludf.DUMMYFUNCTION("""COMPUTED_VALUE"""),"high-yield-usd")</f>
        <v>high-yield-usd</v>
      </c>
      <c r="B5752" s="4" t="str">
        <f>IFERROR(__xludf.DUMMYFUNCTION("""COMPUTED_VALUE"""),"hyusd")</f>
        <v>hyusd</v>
      </c>
      <c r="C5752" s="4" t="str">
        <f>IFERROR(__xludf.DUMMYFUNCTION("""COMPUTED_VALUE"""),"High Yield USD")</f>
        <v>High Yield USD</v>
      </c>
    </row>
    <row r="5753">
      <c r="A5753" s="4" t="str">
        <f>IFERROR(__xludf.DUMMYFUNCTION("""COMPUTED_VALUE"""),"high-yield-usd-base")</f>
        <v>high-yield-usd-base</v>
      </c>
      <c r="B5753" s="4" t="str">
        <f>IFERROR(__xludf.DUMMYFUNCTION("""COMPUTED_VALUE"""),"hyusd")</f>
        <v>hyusd</v>
      </c>
      <c r="C5753" s="4" t="str">
        <f>IFERROR(__xludf.DUMMYFUNCTION("""COMPUTED_VALUE"""),"High Yield USD (Base)")</f>
        <v>High Yield USD (Base)</v>
      </c>
    </row>
    <row r="5754">
      <c r="A5754" s="4" t="str">
        <f>IFERROR(__xludf.DUMMYFUNCTION("""COMPUTED_VALUE"""),"hikari-protocol")</f>
        <v>hikari-protocol</v>
      </c>
      <c r="B5754" s="4" t="str">
        <f>IFERROR(__xludf.DUMMYFUNCTION("""COMPUTED_VALUE"""),"hikari")</f>
        <v>hikari</v>
      </c>
      <c r="C5754" s="4" t="str">
        <f>IFERROR(__xludf.DUMMYFUNCTION("""COMPUTED_VALUE"""),"Hikari Protocol")</f>
        <v>Hikari Protocol</v>
      </c>
    </row>
    <row r="5755">
      <c r="A5755" s="4" t="str">
        <f>IFERROR(__xludf.DUMMYFUNCTION("""COMPUTED_VALUE"""),"hillstone")</f>
        <v>hillstone</v>
      </c>
      <c r="B5755" s="4" t="str">
        <f>IFERROR(__xludf.DUMMYFUNCTION("""COMPUTED_VALUE"""),"hsf")</f>
        <v>hsf</v>
      </c>
      <c r="C5755" s="4" t="str">
        <f>IFERROR(__xludf.DUMMYFUNCTION("""COMPUTED_VALUE"""),"Hillstone Finance")</f>
        <v>Hillstone Finance</v>
      </c>
    </row>
    <row r="5756">
      <c r="A5756" s="4" t="str">
        <f>IFERROR(__xludf.DUMMYFUNCTION("""COMPUTED_VALUE"""),"hilo")</f>
        <v>hilo</v>
      </c>
      <c r="B5756" s="4" t="str">
        <f>IFERROR(__xludf.DUMMYFUNCTION("""COMPUTED_VALUE"""),"hilo")</f>
        <v>hilo</v>
      </c>
      <c r="C5756" s="4" t="str">
        <f>IFERROR(__xludf.DUMMYFUNCTION("""COMPUTED_VALUE"""),"HILO")</f>
        <v>HILO</v>
      </c>
    </row>
    <row r="5757">
      <c r="A5757" s="4" t="str">
        <f>IFERROR(__xludf.DUMMYFUNCTION("""COMPUTED_VALUE"""),"himayc")</f>
        <v>himayc</v>
      </c>
      <c r="B5757" s="4" t="str">
        <f>IFERROR(__xludf.DUMMYFUNCTION("""COMPUTED_VALUE"""),"himayc")</f>
        <v>himayc</v>
      </c>
      <c r="C5757" s="4" t="str">
        <f>IFERROR(__xludf.DUMMYFUNCTION("""COMPUTED_VALUE"""),"hiMAYC")</f>
        <v>hiMAYC</v>
      </c>
    </row>
    <row r="5758">
      <c r="A5758" s="4" t="str">
        <f>IFERROR(__xludf.DUMMYFUNCTION("""COMPUTED_VALUE"""),"himeebits")</f>
        <v>himeebits</v>
      </c>
      <c r="B5758" s="4" t="str">
        <f>IFERROR(__xludf.DUMMYFUNCTION("""COMPUTED_VALUE"""),"himeebits")</f>
        <v>himeebits</v>
      </c>
      <c r="C5758" s="4" t="str">
        <f>IFERROR(__xludf.DUMMYFUNCTION("""COMPUTED_VALUE"""),"hiMEEBITS")</f>
        <v>hiMEEBITS</v>
      </c>
    </row>
    <row r="5759">
      <c r="A5759" s="4" t="str">
        <f>IFERROR(__xludf.DUMMYFUNCTION("""COMPUTED_VALUE"""),"himfers")</f>
        <v>himfers</v>
      </c>
      <c r="B5759" s="4" t="str">
        <f>IFERROR(__xludf.DUMMYFUNCTION("""COMPUTED_VALUE"""),"himfers")</f>
        <v>himfers</v>
      </c>
      <c r="C5759" s="4" t="str">
        <f>IFERROR(__xludf.DUMMYFUNCTION("""COMPUTED_VALUE"""),"hiMFERS")</f>
        <v>hiMFERS</v>
      </c>
    </row>
    <row r="5760">
      <c r="A5760" s="4" t="str">
        <f>IFERROR(__xludf.DUMMYFUNCTION("""COMPUTED_VALUE"""),"himoonbirds")</f>
        <v>himoonbirds</v>
      </c>
      <c r="B5760" s="4" t="str">
        <f>IFERROR(__xludf.DUMMYFUNCTION("""COMPUTED_VALUE"""),"himoonbirds")</f>
        <v>himoonbirds</v>
      </c>
      <c r="C5760" s="4" t="str">
        <f>IFERROR(__xludf.DUMMYFUNCTION("""COMPUTED_VALUE"""),"hiMOONBIRDS")</f>
        <v>hiMOONBIRDS</v>
      </c>
    </row>
    <row r="5761">
      <c r="A5761" s="4" t="str">
        <f>IFERROR(__xludf.DUMMYFUNCTION("""COMPUTED_VALUE"""),"himo-world")</f>
        <v>himo-world</v>
      </c>
      <c r="B5761" s="4" t="str">
        <f>IFERROR(__xludf.DUMMYFUNCTION("""COMPUTED_VALUE"""),"himo")</f>
        <v>himo</v>
      </c>
      <c r="C5761" s="4" t="str">
        <f>IFERROR(__xludf.DUMMYFUNCTION("""COMPUTED_VALUE"""),"Himo World")</f>
        <v>Himo World</v>
      </c>
    </row>
    <row r="5762">
      <c r="A5762" s="4" t="str">
        <f>IFERROR(__xludf.DUMMYFUNCTION("""COMPUTED_VALUE"""),"hinoki-protocol")</f>
        <v>hinoki-protocol</v>
      </c>
      <c r="B5762" s="4" t="str">
        <f>IFERROR(__xludf.DUMMYFUNCTION("""COMPUTED_VALUE"""),"hnk")</f>
        <v>hnk</v>
      </c>
      <c r="C5762" s="4" t="str">
        <f>IFERROR(__xludf.DUMMYFUNCTION("""COMPUTED_VALUE"""),"Hinoki Protocol")</f>
        <v>Hinoki Protocol</v>
      </c>
    </row>
    <row r="5763">
      <c r="A5763" s="4" t="str">
        <f>IFERROR(__xludf.DUMMYFUNCTION("""COMPUTED_VALUE"""),"hiod")</f>
        <v>hiod</v>
      </c>
      <c r="B5763" s="4" t="str">
        <f>IFERROR(__xludf.DUMMYFUNCTION("""COMPUTED_VALUE"""),"hiod")</f>
        <v>hiod</v>
      </c>
      <c r="C5763" s="4" t="str">
        <f>IFERROR(__xludf.DUMMYFUNCTION("""COMPUTED_VALUE"""),"hiOD")</f>
        <v>hiOD</v>
      </c>
    </row>
    <row r="5764">
      <c r="A5764" s="4" t="str">
        <f>IFERROR(__xludf.DUMMYFUNCTION("""COMPUTED_VALUE"""),"hiodbs")</f>
        <v>hiodbs</v>
      </c>
      <c r="B5764" s="4" t="str">
        <f>IFERROR(__xludf.DUMMYFUNCTION("""COMPUTED_VALUE"""),"hiodbs")</f>
        <v>hiodbs</v>
      </c>
      <c r="C5764" s="4" t="str">
        <f>IFERROR(__xludf.DUMMYFUNCTION("""COMPUTED_VALUE"""),"hiODBS")</f>
        <v>hiODBS</v>
      </c>
    </row>
    <row r="5765">
      <c r="A5765" s="4" t="str">
        <f>IFERROR(__xludf.DUMMYFUNCTION("""COMPUTED_VALUE"""),"hipenguins")</f>
        <v>hipenguins</v>
      </c>
      <c r="B5765" s="4" t="str">
        <f>IFERROR(__xludf.DUMMYFUNCTION("""COMPUTED_VALUE"""),"hipenguins")</f>
        <v>hipenguins</v>
      </c>
      <c r="C5765" s="4" t="str">
        <f>IFERROR(__xludf.DUMMYFUNCTION("""COMPUTED_VALUE"""),"hiPENGUINS")</f>
        <v>hiPENGUINS</v>
      </c>
    </row>
    <row r="5766">
      <c r="A5766" s="4" t="str">
        <f>IFERROR(__xludf.DUMMYFUNCTION("""COMPUTED_VALUE"""),"hippopotamus")</f>
        <v>hippopotamus</v>
      </c>
      <c r="B5766" s="4" t="str">
        <f>IFERROR(__xludf.DUMMYFUNCTION("""COMPUTED_VALUE"""),"hpo")</f>
        <v>hpo</v>
      </c>
      <c r="C5766" s="4" t="str">
        <f>IFERROR(__xludf.DUMMYFUNCTION("""COMPUTED_VALUE"""),"Hippo Wallet")</f>
        <v>Hippo Wallet</v>
      </c>
    </row>
    <row r="5767">
      <c r="A5767" s="4" t="str">
        <f>IFERROR(__xludf.DUMMYFUNCTION("""COMPUTED_VALUE"""),"hippo-token")</f>
        <v>hippo-token</v>
      </c>
      <c r="B5767" s="4" t="str">
        <f>IFERROR(__xludf.DUMMYFUNCTION("""COMPUTED_VALUE"""),"hip")</f>
        <v>hip</v>
      </c>
      <c r="C5767" s="4" t="str">
        <f>IFERROR(__xludf.DUMMYFUNCTION("""COMPUTED_VALUE"""),"Hippo")</f>
        <v>Hippo</v>
      </c>
    </row>
    <row r="5768">
      <c r="A5768" s="4" t="str">
        <f>IFERROR(__xludf.DUMMYFUNCTION("""COMPUTED_VALUE"""),"hipunks")</f>
        <v>hipunks</v>
      </c>
      <c r="B5768" s="4" t="str">
        <f>IFERROR(__xludf.DUMMYFUNCTION("""COMPUTED_VALUE"""),"hipunks")</f>
        <v>hipunks</v>
      </c>
      <c r="C5768" s="4" t="str">
        <f>IFERROR(__xludf.DUMMYFUNCTION("""COMPUTED_VALUE"""),"hiPunks")</f>
        <v>hiPunks</v>
      </c>
    </row>
    <row r="5769">
      <c r="A5769" s="4" t="str">
        <f>IFERROR(__xludf.DUMMYFUNCTION("""COMPUTED_VALUE"""),"hiram")</f>
        <v>hiram</v>
      </c>
      <c r="B5769" s="4" t="str">
        <f>IFERROR(__xludf.DUMMYFUNCTION("""COMPUTED_VALUE"""),"hiram")</f>
        <v>hiram</v>
      </c>
      <c r="C5769" s="4" t="str">
        <f>IFERROR(__xludf.DUMMYFUNCTION("""COMPUTED_VALUE"""),"Hiram")</f>
        <v>Hiram</v>
      </c>
    </row>
    <row r="5770">
      <c r="A5770" s="4" t="str">
        <f>IFERROR(__xludf.DUMMYFUNCTION("""COMPUTED_VALUE"""),"hirenga")</f>
        <v>hirenga</v>
      </c>
      <c r="B5770" s="4" t="str">
        <f>IFERROR(__xludf.DUMMYFUNCTION("""COMPUTED_VALUE"""),"hirenga")</f>
        <v>hirenga</v>
      </c>
      <c r="C5770" s="4" t="str">
        <f>IFERROR(__xludf.DUMMYFUNCTION("""COMPUTED_VALUE"""),"hiRENGA")</f>
        <v>hiRENGA</v>
      </c>
    </row>
    <row r="5771">
      <c r="A5771" s="4" t="str">
        <f>IFERROR(__xludf.DUMMYFUNCTION("""COMPUTED_VALUE"""),"hirevibes")</f>
        <v>hirevibes</v>
      </c>
      <c r="B5771" s="4" t="str">
        <f>IFERROR(__xludf.DUMMYFUNCTION("""COMPUTED_VALUE"""),"vibes")</f>
        <v>vibes</v>
      </c>
      <c r="C5771" s="4" t="str">
        <f>IFERROR(__xludf.DUMMYFUNCTION("""COMPUTED_VALUE"""),"HireVibes")</f>
        <v>HireVibes</v>
      </c>
    </row>
    <row r="5772">
      <c r="A5772" s="4" t="str">
        <f>IFERROR(__xludf.DUMMYFUNCTION("""COMPUTED_VALUE"""),"hisand33")</f>
        <v>hisand33</v>
      </c>
      <c r="B5772" s="4" t="str">
        <f>IFERROR(__xludf.DUMMYFUNCTION("""COMPUTED_VALUE"""),"hisand33")</f>
        <v>hisand33</v>
      </c>
      <c r="C5772" s="4" t="str">
        <f>IFERROR(__xludf.DUMMYFUNCTION("""COMPUTED_VALUE"""),"hiSAND33")</f>
        <v>hiSAND33</v>
      </c>
    </row>
    <row r="5773">
      <c r="A5773" s="4" t="str">
        <f>IFERROR(__xludf.DUMMYFUNCTION("""COMPUTED_VALUE"""),"hiseals")</f>
        <v>hiseals</v>
      </c>
      <c r="B5773" s="4" t="str">
        <f>IFERROR(__xludf.DUMMYFUNCTION("""COMPUTED_VALUE"""),"hiseals")</f>
        <v>hiseals</v>
      </c>
      <c r="C5773" s="4" t="str">
        <f>IFERROR(__xludf.DUMMYFUNCTION("""COMPUTED_VALUE"""),"hiSEALS")</f>
        <v>hiSEALS</v>
      </c>
    </row>
    <row r="5774">
      <c r="A5774" s="4" t="str">
        <f>IFERROR(__xludf.DUMMYFUNCTION("""COMPUTED_VALUE"""),"hisquiggle")</f>
        <v>hisquiggle</v>
      </c>
      <c r="B5774" s="4" t="str">
        <f>IFERROR(__xludf.DUMMYFUNCTION("""COMPUTED_VALUE"""),"hisquiggle")</f>
        <v>hisquiggle</v>
      </c>
      <c r="C5774" s="4" t="str">
        <f>IFERROR(__xludf.DUMMYFUNCTION("""COMPUTED_VALUE"""),"hiSQUIGGLE")</f>
        <v>hiSQUIGGLE</v>
      </c>
    </row>
    <row r="5775">
      <c r="A5775" s="4" t="str">
        <f>IFERROR(__xludf.DUMMYFUNCTION("""COMPUTED_VALUE"""),"historia")</f>
        <v>historia</v>
      </c>
      <c r="B5775" s="4" t="str">
        <f>IFERROR(__xludf.DUMMYFUNCTION("""COMPUTED_VALUE"""),"hta")</f>
        <v>hta</v>
      </c>
      <c r="C5775" s="4" t="str">
        <f>IFERROR(__xludf.DUMMYFUNCTION("""COMPUTED_VALUE"""),"Historia")</f>
        <v>Historia</v>
      </c>
    </row>
    <row r="5776">
      <c r="A5776" s="4" t="str">
        <f>IFERROR(__xludf.DUMMYFUNCTION("""COMPUTED_VALUE"""),"historydao")</f>
        <v>historydao</v>
      </c>
      <c r="B5776" s="4" t="str">
        <f>IFERROR(__xludf.DUMMYFUNCTION("""COMPUTED_VALUE"""),"hao")</f>
        <v>hao</v>
      </c>
      <c r="C5776" s="4" t="str">
        <f>IFERROR(__xludf.DUMMYFUNCTION("""COMPUTED_VALUE"""),"HistoryDAO")</f>
        <v>HistoryDAO</v>
      </c>
    </row>
    <row r="5777">
      <c r="A5777" s="4" t="str">
        <f>IFERROR(__xludf.DUMMYFUNCTION("""COMPUTED_VALUE"""),"hitbtc-token")</f>
        <v>hitbtc-token</v>
      </c>
      <c r="B5777" s="4" t="str">
        <f>IFERROR(__xludf.DUMMYFUNCTION("""COMPUTED_VALUE"""),"hit")</f>
        <v>hit</v>
      </c>
      <c r="C5777" s="4" t="str">
        <f>IFERROR(__xludf.DUMMYFUNCTION("""COMPUTED_VALUE"""),"HitBTC")</f>
        <v>HitBTC</v>
      </c>
    </row>
    <row r="5778">
      <c r="A5778" s="4" t="str">
        <f>IFERROR(__xludf.DUMMYFUNCTION("""COMPUTED_VALUE"""),"hitchain")</f>
        <v>hitchain</v>
      </c>
      <c r="B5778" s="4" t="str">
        <f>IFERROR(__xludf.DUMMYFUNCTION("""COMPUTED_VALUE"""),"hit")</f>
        <v>hit</v>
      </c>
      <c r="C5778" s="4" t="str">
        <f>IFERROR(__xludf.DUMMYFUNCTION("""COMPUTED_VALUE"""),"HitChain")</f>
        <v>HitChain</v>
      </c>
    </row>
    <row r="5779">
      <c r="A5779" s="4" t="str">
        <f>IFERROR(__xludf.DUMMYFUNCTION("""COMPUTED_VALUE"""),"hitmakr")</f>
        <v>hitmakr</v>
      </c>
      <c r="B5779" s="4" t="str">
        <f>IFERROR(__xludf.DUMMYFUNCTION("""COMPUTED_VALUE"""),"hmkr")</f>
        <v>hmkr</v>
      </c>
      <c r="C5779" s="4" t="str">
        <f>IFERROR(__xludf.DUMMYFUNCTION("""COMPUTED_VALUE"""),"Hitmakr")</f>
        <v>Hitmakr</v>
      </c>
    </row>
    <row r="5780">
      <c r="A5780" s="4" t="str">
        <f>IFERROR(__xludf.DUMMYFUNCTION("""COMPUTED_VALUE"""),"hiundead")</f>
        <v>hiundead</v>
      </c>
      <c r="B5780" s="4" t="str">
        <f>IFERROR(__xludf.DUMMYFUNCTION("""COMPUTED_VALUE"""),"hiundead")</f>
        <v>hiundead</v>
      </c>
      <c r="C5780" s="4" t="str">
        <f>IFERROR(__xludf.DUMMYFUNCTION("""COMPUTED_VALUE"""),"hiUNDEAD")</f>
        <v>hiUNDEAD</v>
      </c>
    </row>
    <row r="5781">
      <c r="A5781" s="4" t="str">
        <f>IFERROR(__xludf.DUMMYFUNCTION("""COMPUTED_VALUE"""),"hivalhalla")</f>
        <v>hivalhalla</v>
      </c>
      <c r="B5781" s="4" t="str">
        <f>IFERROR(__xludf.DUMMYFUNCTION("""COMPUTED_VALUE"""),"hivalhalla")</f>
        <v>hivalhalla</v>
      </c>
      <c r="C5781" s="4" t="str">
        <f>IFERROR(__xludf.DUMMYFUNCTION("""COMPUTED_VALUE"""),"hiVALHALLA")</f>
        <v>hiVALHALLA</v>
      </c>
    </row>
    <row r="5782">
      <c r="A5782" s="4" t="str">
        <f>IFERROR(__xludf.DUMMYFUNCTION("""COMPUTED_VALUE"""),"hive")</f>
        <v>hive</v>
      </c>
      <c r="B5782" s="4" t="str">
        <f>IFERROR(__xludf.DUMMYFUNCTION("""COMPUTED_VALUE"""),"hive")</f>
        <v>hive</v>
      </c>
      <c r="C5782" s="4" t="str">
        <f>IFERROR(__xludf.DUMMYFUNCTION("""COMPUTED_VALUE"""),"Hive")</f>
        <v>Hive</v>
      </c>
    </row>
    <row r="5783">
      <c r="A5783" s="4" t="str">
        <f>IFERROR(__xludf.DUMMYFUNCTION("""COMPUTED_VALUE"""),"hive_dollar")</f>
        <v>hive_dollar</v>
      </c>
      <c r="B5783" s="4" t="str">
        <f>IFERROR(__xludf.DUMMYFUNCTION("""COMPUTED_VALUE"""),"hbd")</f>
        <v>hbd</v>
      </c>
      <c r="C5783" s="4" t="str">
        <f>IFERROR(__xludf.DUMMYFUNCTION("""COMPUTED_VALUE"""),"Hive Dollar")</f>
        <v>Hive Dollar</v>
      </c>
    </row>
    <row r="5784">
      <c r="A5784" s="4" t="str">
        <f>IFERROR(__xludf.DUMMYFUNCTION("""COMPUTED_VALUE"""),"hive-game-token")</f>
        <v>hive-game-token</v>
      </c>
      <c r="B5784" s="4" t="str">
        <f>IFERROR(__xludf.DUMMYFUNCTION("""COMPUTED_VALUE"""),"hgt")</f>
        <v>hgt</v>
      </c>
      <c r="C5784" s="4" t="str">
        <f>IFERROR(__xludf.DUMMYFUNCTION("""COMPUTED_VALUE"""),"Hive Game Token")</f>
        <v>Hive Game Token</v>
      </c>
    </row>
    <row r="5785">
      <c r="A5785" s="4" t="str">
        <f>IFERROR(__xludf.DUMMYFUNCTION("""COMPUTED_VALUE"""),"hive-investments-honey")</f>
        <v>hive-investments-honey</v>
      </c>
      <c r="B5785" s="4" t="str">
        <f>IFERROR(__xludf.DUMMYFUNCTION("""COMPUTED_VALUE"""),"hny")</f>
        <v>hny</v>
      </c>
      <c r="C5785" s="4" t="str">
        <f>IFERROR(__xludf.DUMMYFUNCTION("""COMPUTED_VALUE"""),"Hive.Investments HONEY")</f>
        <v>Hive.Investments HONEY</v>
      </c>
    </row>
    <row r="5786">
      <c r="A5786" s="4" t="str">
        <f>IFERROR(__xludf.DUMMYFUNCTION("""COMPUTED_VALUE"""),"hivemapper")</f>
        <v>hivemapper</v>
      </c>
      <c r="B5786" s="4" t="str">
        <f>IFERROR(__xludf.DUMMYFUNCTION("""COMPUTED_VALUE"""),"honey")</f>
        <v>honey</v>
      </c>
      <c r="C5786" s="4" t="str">
        <f>IFERROR(__xludf.DUMMYFUNCTION("""COMPUTED_VALUE"""),"Hivemapper")</f>
        <v>Hivemapper</v>
      </c>
    </row>
    <row r="5787">
      <c r="A5787" s="4" t="str">
        <f>IFERROR(__xludf.DUMMYFUNCTION("""COMPUTED_VALUE"""),"hive-network")</f>
        <v>hive-network</v>
      </c>
      <c r="B5787" s="4" t="str">
        <f>IFERROR(__xludf.DUMMYFUNCTION("""COMPUTED_VALUE"""),"hny")</f>
        <v>hny</v>
      </c>
      <c r="C5787" s="4" t="str">
        <f>IFERROR(__xludf.DUMMYFUNCTION("""COMPUTED_VALUE"""),"Hive Network")</f>
        <v>Hive Network</v>
      </c>
    </row>
    <row r="5788">
      <c r="A5788" s="4" t="str">
        <f>IFERROR(__xludf.DUMMYFUNCTION("""COMPUTED_VALUE"""),"hive-protocol")</f>
        <v>hive-protocol</v>
      </c>
      <c r="B5788" s="4" t="str">
        <f>IFERROR(__xludf.DUMMYFUNCTION("""COMPUTED_VALUE"""),"hip")</f>
        <v>hip</v>
      </c>
      <c r="C5788" s="4" t="str">
        <f>IFERROR(__xludf.DUMMYFUNCTION("""COMPUTED_VALUE"""),"Hive Protocol")</f>
        <v>Hive Protocol</v>
      </c>
    </row>
    <row r="5789">
      <c r="A5789" s="4" t="str">
        <f>IFERROR(__xludf.DUMMYFUNCTION("""COMPUTED_VALUE"""),"hiveterminal")</f>
        <v>hiveterminal</v>
      </c>
      <c r="B5789" s="4" t="str">
        <f>IFERROR(__xludf.DUMMYFUNCTION("""COMPUTED_VALUE"""),"hvn")</f>
        <v>hvn</v>
      </c>
      <c r="C5789" s="4" t="str">
        <f>IFERROR(__xludf.DUMMYFUNCTION("""COMPUTED_VALUE"""),"Hiveterminal")</f>
        <v>Hiveterminal</v>
      </c>
    </row>
    <row r="5790">
      <c r="A5790" s="4" t="str">
        <f>IFERROR(__xludf.DUMMYFUNCTION("""COMPUTED_VALUE"""),"hivewater")</f>
        <v>hivewater</v>
      </c>
      <c r="B5790" s="4" t="str">
        <f>IFERROR(__xludf.DUMMYFUNCTION("""COMPUTED_VALUE"""),"hivewater")</f>
        <v>hivewater</v>
      </c>
      <c r="C5790" s="4" t="str">
        <f>IFERROR(__xludf.DUMMYFUNCTION("""COMPUTED_VALUE"""),"hiveWater")</f>
        <v>hiveWater</v>
      </c>
    </row>
    <row r="5791">
      <c r="A5791" s="4" t="str">
        <f>IFERROR(__xludf.DUMMYFUNCTION("""COMPUTED_VALUE"""),"hkava")</f>
        <v>hkava</v>
      </c>
      <c r="B5791" s="4" t="str">
        <f>IFERROR(__xludf.DUMMYFUNCTION("""COMPUTED_VALUE"""),"hkava")</f>
        <v>hkava</v>
      </c>
      <c r="C5791" s="4" t="str">
        <f>IFERROR(__xludf.DUMMYFUNCTION("""COMPUTED_VALUE"""),"hKAVA")</f>
        <v>hKAVA</v>
      </c>
    </row>
    <row r="5792">
      <c r="A5792" s="4" t="str">
        <f>IFERROR(__xludf.DUMMYFUNCTION("""COMPUTED_VALUE"""),"hmx")</f>
        <v>hmx</v>
      </c>
      <c r="B5792" s="4" t="str">
        <f>IFERROR(__xludf.DUMMYFUNCTION("""COMPUTED_VALUE"""),"hmx")</f>
        <v>hmx</v>
      </c>
      <c r="C5792" s="4" t="str">
        <f>IFERROR(__xludf.DUMMYFUNCTION("""COMPUTED_VALUE"""),"HMX")</f>
        <v>HMX</v>
      </c>
    </row>
    <row r="5793">
      <c r="A5793" s="4" t="str">
        <f>IFERROR(__xludf.DUMMYFUNCTION("""COMPUTED_VALUE"""),"hnb-protocol")</f>
        <v>hnb-protocol</v>
      </c>
      <c r="B5793" s="4" t="str">
        <f>IFERROR(__xludf.DUMMYFUNCTION("""COMPUTED_VALUE"""),"hnb")</f>
        <v>hnb</v>
      </c>
      <c r="C5793" s="4" t="str">
        <f>IFERROR(__xludf.DUMMYFUNCTION("""COMPUTED_VALUE"""),"HNB Protocol")</f>
        <v>HNB Protocol</v>
      </c>
    </row>
    <row r="5794">
      <c r="A5794" s="4" t="str">
        <f>IFERROR(__xludf.DUMMYFUNCTION("""COMPUTED_VALUE"""),"hobbes")</f>
        <v>hobbes</v>
      </c>
      <c r="B5794" s="4" t="str">
        <f>IFERROR(__xludf.DUMMYFUNCTION("""COMPUTED_VALUE"""),"hobbes")</f>
        <v>hobbes</v>
      </c>
      <c r="C5794" s="4" t="str">
        <f>IFERROR(__xludf.DUMMYFUNCTION("""COMPUTED_VALUE"""),"Hobbes [OLD]")</f>
        <v>Hobbes [OLD]</v>
      </c>
    </row>
    <row r="5795">
      <c r="A5795" s="4" t="str">
        <f>IFERROR(__xludf.DUMMYFUNCTION("""COMPUTED_VALUE"""),"hobbes-new")</f>
        <v>hobbes-new</v>
      </c>
      <c r="B5795" s="4" t="str">
        <f>IFERROR(__xludf.DUMMYFUNCTION("""COMPUTED_VALUE"""),"hobbes")</f>
        <v>hobbes</v>
      </c>
      <c r="C5795" s="4" t="str">
        <f>IFERROR(__xludf.DUMMYFUNCTION("""COMPUTED_VALUE"""),"Hobbes")</f>
        <v>Hobbes</v>
      </c>
    </row>
    <row r="5796">
      <c r="A5796" s="4" t="str">
        <f>IFERROR(__xludf.DUMMYFUNCTION("""COMPUTED_VALUE"""),"hocus-pocus-finance")</f>
        <v>hocus-pocus-finance</v>
      </c>
      <c r="B5796" s="4" t="str">
        <f>IFERROR(__xludf.DUMMYFUNCTION("""COMPUTED_VALUE"""),"hoc")</f>
        <v>hoc</v>
      </c>
      <c r="C5796" s="4" t="str">
        <f>IFERROR(__xludf.DUMMYFUNCTION("""COMPUTED_VALUE"""),"Hocus Pocus Finance")</f>
        <v>Hocus Pocus Finance</v>
      </c>
    </row>
    <row r="5797">
      <c r="A5797" s="4" t="str">
        <f>IFERROR(__xludf.DUMMYFUNCTION("""COMPUTED_VALUE"""),"hodl")</f>
        <v>hodl</v>
      </c>
      <c r="B5797" s="4" t="str">
        <f>IFERROR(__xludf.DUMMYFUNCTION("""COMPUTED_VALUE"""),"hodl")</f>
        <v>hodl</v>
      </c>
      <c r="C5797" s="4" t="str">
        <f>IFERROR(__xludf.DUMMYFUNCTION("""COMPUTED_VALUE"""),"HODL")</f>
        <v>HODL</v>
      </c>
    </row>
    <row r="5798">
      <c r="A5798" s="4" t="str">
        <f>IFERROR(__xludf.DUMMYFUNCTION("""COMPUTED_VALUE"""),"hodlassets")</f>
        <v>hodlassets</v>
      </c>
      <c r="B5798" s="4" t="str">
        <f>IFERROR(__xludf.DUMMYFUNCTION("""COMPUTED_VALUE"""),"hodl")</f>
        <v>hodl</v>
      </c>
      <c r="C5798" s="4" t="str">
        <f>IFERROR(__xludf.DUMMYFUNCTION("""COMPUTED_VALUE"""),"HodlAssets")</f>
        <v>HodlAssets</v>
      </c>
    </row>
    <row r="5799">
      <c r="A5799" s="4" t="str">
        <f>IFERROR(__xludf.DUMMYFUNCTION("""COMPUTED_VALUE"""),"hodless-bot")</f>
        <v>hodless-bot</v>
      </c>
      <c r="B5799" s="4" t="str">
        <f>IFERROR(__xludf.DUMMYFUNCTION("""COMPUTED_VALUE"""),"hbot")</f>
        <v>hbot</v>
      </c>
      <c r="C5799" s="4" t="str">
        <f>IFERROR(__xludf.DUMMYFUNCTION("""COMPUTED_VALUE"""),"Hodless Bot")</f>
        <v>Hodless Bot</v>
      </c>
    </row>
    <row r="5800">
      <c r="A5800" s="4" t="str">
        <f>IFERROR(__xludf.DUMMYFUNCTION("""COMPUTED_VALUE"""),"hodl-finance")</f>
        <v>hodl-finance</v>
      </c>
      <c r="B5800" s="4" t="str">
        <f>IFERROR(__xludf.DUMMYFUNCTION("""COMPUTED_VALUE"""),"hft")</f>
        <v>hft</v>
      </c>
      <c r="C5800" s="4" t="str">
        <f>IFERROR(__xludf.DUMMYFUNCTION("""COMPUTED_VALUE"""),"Hodl Finance")</f>
        <v>Hodl Finance</v>
      </c>
    </row>
    <row r="5801">
      <c r="A5801" s="4" t="str">
        <f>IFERROR(__xludf.DUMMYFUNCTION("""COMPUTED_VALUE"""),"hodl-token")</f>
        <v>hodl-token</v>
      </c>
      <c r="B5801" s="4" t="str">
        <f>IFERROR(__xludf.DUMMYFUNCTION("""COMPUTED_VALUE"""),"hodl")</f>
        <v>hodl</v>
      </c>
      <c r="C5801" s="4" t="str">
        <f>IFERROR(__xludf.DUMMYFUNCTION("""COMPUTED_VALUE"""),"HODL")</f>
        <v>HODL</v>
      </c>
    </row>
    <row r="5802">
      <c r="A5802" s="4" t="str">
        <f>IFERROR(__xludf.DUMMYFUNCTION("""COMPUTED_VALUE"""),"hodooi-com")</f>
        <v>hodooi-com</v>
      </c>
      <c r="B5802" s="4" t="str">
        <f>IFERROR(__xludf.DUMMYFUNCTION("""COMPUTED_VALUE"""),"hod")</f>
        <v>hod</v>
      </c>
      <c r="C5802" s="5" t="str">
        <f>IFERROR(__xludf.DUMMYFUNCTION("""COMPUTED_VALUE"""),"HoDooi.com")</f>
        <v>HoDooi.com</v>
      </c>
    </row>
    <row r="5803">
      <c r="A5803" s="4" t="str">
        <f>IFERROR(__xludf.DUMMYFUNCTION("""COMPUTED_VALUE"""),"hoge-finance")</f>
        <v>hoge-finance</v>
      </c>
      <c r="B5803" s="4" t="str">
        <f>IFERROR(__xludf.DUMMYFUNCTION("""COMPUTED_VALUE"""),"hoge")</f>
        <v>hoge</v>
      </c>
      <c r="C5803" s="4" t="str">
        <f>IFERROR(__xludf.DUMMYFUNCTION("""COMPUTED_VALUE"""),"Hoge Finance")</f>
        <v>Hoge Finance</v>
      </c>
    </row>
    <row r="5804">
      <c r="A5804" s="4" t="str">
        <f>IFERROR(__xludf.DUMMYFUNCTION("""COMPUTED_VALUE"""),"hoichi")</f>
        <v>hoichi</v>
      </c>
      <c r="B5804" s="4" t="str">
        <f>IFERROR(__xludf.DUMMYFUNCTION("""COMPUTED_VALUE"""),"hoichi")</f>
        <v>hoichi</v>
      </c>
      <c r="C5804" s="4" t="str">
        <f>IFERROR(__xludf.DUMMYFUNCTION("""COMPUTED_VALUE"""),"Hoichi")</f>
        <v>Hoichi</v>
      </c>
    </row>
    <row r="5805">
      <c r="A5805" s="4" t="str">
        <f>IFERROR(__xludf.DUMMYFUNCTION("""COMPUTED_VALUE"""),"hokkaido-inu")</f>
        <v>hokkaido-inu</v>
      </c>
      <c r="B5805" s="4" t="str">
        <f>IFERROR(__xludf.DUMMYFUNCTION("""COMPUTED_VALUE"""),"$hokk")</f>
        <v>$hokk</v>
      </c>
      <c r="C5805" s="4" t="str">
        <f>IFERROR(__xludf.DUMMYFUNCTION("""COMPUTED_VALUE"""),"Hokkaidu Inu")</f>
        <v>Hokkaidu Inu</v>
      </c>
    </row>
    <row r="5806">
      <c r="A5806" s="4" t="str">
        <f>IFERROR(__xludf.DUMMYFUNCTION("""COMPUTED_VALUE"""),"hokkaido-inu-30bdfab6-dfb9-4fc0-b3c3-02bffe162ee4")</f>
        <v>hokkaido-inu-30bdfab6-dfb9-4fc0-b3c3-02bffe162ee4</v>
      </c>
      <c r="B5806" s="4" t="str">
        <f>IFERROR(__xludf.DUMMYFUNCTION("""COMPUTED_VALUE"""),"hoka")</f>
        <v>hoka</v>
      </c>
      <c r="C5806" s="4" t="str">
        <f>IFERROR(__xludf.DUMMYFUNCTION("""COMPUTED_VALUE"""),"Hokkaido Inu")</f>
        <v>Hokkaido Inu</v>
      </c>
    </row>
    <row r="5807">
      <c r="A5807" s="4" t="str">
        <f>IFERROR(__xludf.DUMMYFUNCTION("""COMPUTED_VALUE"""),"hokkaidu-inu")</f>
        <v>hokkaidu-inu</v>
      </c>
      <c r="B5807" s="4" t="str">
        <f>IFERROR(__xludf.DUMMYFUNCTION("""COMPUTED_VALUE"""),"hokk")</f>
        <v>hokk</v>
      </c>
      <c r="C5807" s="4" t="str">
        <f>IFERROR(__xludf.DUMMYFUNCTION("""COMPUTED_VALUE"""),"HOKK Finance")</f>
        <v>HOKK Finance</v>
      </c>
    </row>
    <row r="5808">
      <c r="A5808" s="4" t="str">
        <f>IFERROR(__xludf.DUMMYFUNCTION("""COMPUTED_VALUE"""),"hola")</f>
        <v>hola</v>
      </c>
      <c r="B5808" s="4" t="str">
        <f>IFERROR(__xludf.DUMMYFUNCTION("""COMPUTED_VALUE"""),"hola")</f>
        <v>hola</v>
      </c>
      <c r="C5808" s="4" t="str">
        <f>IFERROR(__xludf.DUMMYFUNCTION("""COMPUTED_VALUE"""),"Hola")</f>
        <v>Hola</v>
      </c>
    </row>
    <row r="5809">
      <c r="A5809" s="4" t="str">
        <f>IFERROR(__xludf.DUMMYFUNCTION("""COMPUTED_VALUE"""),"hola-token")</f>
        <v>hola-token</v>
      </c>
      <c r="B5809" s="4" t="str">
        <f>IFERROR(__xludf.DUMMYFUNCTION("""COMPUTED_VALUE"""),"$hola")</f>
        <v>$hola</v>
      </c>
      <c r="C5809" s="4" t="str">
        <f>IFERROR(__xludf.DUMMYFUNCTION("""COMPUTED_VALUE"""),"Hola Token")</f>
        <v>Hola Token</v>
      </c>
    </row>
    <row r="5810">
      <c r="A5810" s="4" t="str">
        <f>IFERROR(__xludf.DUMMYFUNCTION("""COMPUTED_VALUE"""),"hold-2")</f>
        <v>hold-2</v>
      </c>
      <c r="B5810" s="4" t="str">
        <f>IFERROR(__xludf.DUMMYFUNCTION("""COMPUTED_VALUE"""),"earn")</f>
        <v>earn</v>
      </c>
      <c r="C5810" s="4" t="str">
        <f>IFERROR(__xludf.DUMMYFUNCTION("""COMPUTED_VALUE"""),"HOLD")</f>
        <v>HOLD</v>
      </c>
    </row>
    <row r="5811">
      <c r="A5811" s="4" t="str">
        <f>IFERROR(__xludf.DUMMYFUNCTION("""COMPUTED_VALUE"""),"hold-on-for-dear-life")</f>
        <v>hold-on-for-dear-life</v>
      </c>
      <c r="B5811" s="4" t="str">
        <f>IFERROR(__xludf.DUMMYFUNCTION("""COMPUTED_VALUE"""),"hodl")</f>
        <v>hodl</v>
      </c>
      <c r="C5811" s="4" t="str">
        <f>IFERROR(__xludf.DUMMYFUNCTION("""COMPUTED_VALUE"""),"Hold On for Dear Life")</f>
        <v>Hold On for Dear Life</v>
      </c>
    </row>
    <row r="5812">
      <c r="A5812" s="4" t="str">
        <f>IFERROR(__xludf.DUMMYFUNCTION("""COMPUTED_VALUE"""),"hold-on-for-dear-life-hodl")</f>
        <v>hold-on-for-dear-life-hodl</v>
      </c>
      <c r="B5812" s="4" t="str">
        <f>IFERROR(__xludf.DUMMYFUNCTION("""COMPUTED_VALUE"""),"hodl")</f>
        <v>hodl</v>
      </c>
      <c r="C5812" s="4" t="str">
        <f>IFERROR(__xludf.DUMMYFUNCTION("""COMPUTED_VALUE"""),"Hold on for dear life HODL")</f>
        <v>Hold on for dear life HODL</v>
      </c>
    </row>
    <row r="5813">
      <c r="A5813" s="4" t="str">
        <f>IFERROR(__xludf.DUMMYFUNCTION("""COMPUTED_VALUE"""),"holdr")</f>
        <v>holdr</v>
      </c>
      <c r="B5813" s="4" t="str">
        <f>IFERROR(__xludf.DUMMYFUNCTION("""COMPUTED_VALUE"""),"hldr")</f>
        <v>hldr</v>
      </c>
      <c r="C5813" s="4" t="str">
        <f>IFERROR(__xludf.DUMMYFUNCTION("""COMPUTED_VALUE"""),"Holdr")</f>
        <v>Holdr</v>
      </c>
    </row>
    <row r="5814">
      <c r="A5814" s="4" t="str">
        <f>IFERROR(__xludf.DUMMYFUNCTION("""COMPUTED_VALUE"""),"holdstation")</f>
        <v>holdstation</v>
      </c>
      <c r="B5814" s="4" t="str">
        <f>IFERROR(__xludf.DUMMYFUNCTION("""COMPUTED_VALUE"""),"hold")</f>
        <v>hold</v>
      </c>
      <c r="C5814" s="4" t="str">
        <f>IFERROR(__xludf.DUMMYFUNCTION("""COMPUTED_VALUE"""),"Holdstation")</f>
        <v>Holdstation</v>
      </c>
    </row>
    <row r="5815">
      <c r="A5815" s="4" t="str">
        <f>IFERROR(__xludf.DUMMYFUNCTION("""COMPUTED_VALUE"""),"holdstation-usd-coin")</f>
        <v>holdstation-usd-coin</v>
      </c>
      <c r="B5815" s="4" t="str">
        <f>IFERROR(__xludf.DUMMYFUNCTION("""COMPUTED_VALUE"""),"hsusdc")</f>
        <v>hsusdc</v>
      </c>
      <c r="C5815" s="4" t="str">
        <f>IFERROR(__xludf.DUMMYFUNCTION("""COMPUTED_VALUE"""),"Holdstation USDC")</f>
        <v>Holdstation USDC</v>
      </c>
    </row>
    <row r="5816">
      <c r="A5816" s="4" t="str">
        <f>IFERROR(__xludf.DUMMYFUNCTION("""COMPUTED_VALUE"""),"holdstation-utility-gold")</f>
        <v>holdstation-utility-gold</v>
      </c>
      <c r="B5816" s="4" t="str">
        <f>IFERROR(__xludf.DUMMYFUNCTION("""COMPUTED_VALUE"""),"ugold")</f>
        <v>ugold</v>
      </c>
      <c r="C5816" s="4" t="str">
        <f>IFERROR(__xludf.DUMMYFUNCTION("""COMPUTED_VALUE"""),"Holdstation Utility GOLD")</f>
        <v>Holdstation Utility GOLD</v>
      </c>
    </row>
    <row r="5817">
      <c r="A5817" s="4" t="str">
        <f>IFERROR(__xludf.DUMMYFUNCTION("""COMPUTED_VALUE"""),"hold-vip")</f>
        <v>hold-vip</v>
      </c>
      <c r="B5817" s="4" t="str">
        <f>IFERROR(__xludf.DUMMYFUNCTION("""COMPUTED_VALUE"""),"hold")</f>
        <v>hold</v>
      </c>
      <c r="C5817" s="4" t="str">
        <f>IFERROR(__xludf.DUMMYFUNCTION("""COMPUTED_VALUE"""),"Hold VIP")</f>
        <v>Hold VIP</v>
      </c>
    </row>
    <row r="5818">
      <c r="A5818" s="4" t="str">
        <f>IFERROR(__xludf.DUMMYFUNCTION("""COMPUTED_VALUE"""),"hollygold")</f>
        <v>hollygold</v>
      </c>
      <c r="B5818" s="4" t="str">
        <f>IFERROR(__xludf.DUMMYFUNCTION("""COMPUTED_VALUE"""),"hgold")</f>
        <v>hgold</v>
      </c>
      <c r="C5818" s="4" t="str">
        <f>IFERROR(__xludf.DUMMYFUNCTION("""COMPUTED_VALUE"""),"HollyGold")</f>
        <v>HollyGold</v>
      </c>
    </row>
    <row r="5819">
      <c r="A5819" s="4" t="str">
        <f>IFERROR(__xludf.DUMMYFUNCTION("""COMPUTED_VALUE"""),"hollywood-capital-group-warrior")</f>
        <v>hollywood-capital-group-warrior</v>
      </c>
      <c r="B5819" s="4" t="str">
        <f>IFERROR(__xludf.DUMMYFUNCTION("""COMPUTED_VALUE"""),"wor")</f>
        <v>wor</v>
      </c>
      <c r="C5819" s="4" t="str">
        <f>IFERROR(__xludf.DUMMYFUNCTION("""COMPUTED_VALUE"""),"Hollywood Capital Group WARRIOR")</f>
        <v>Hollywood Capital Group WARRIOR</v>
      </c>
    </row>
    <row r="5820">
      <c r="A5820" s="4" t="str">
        <f>IFERROR(__xludf.DUMMYFUNCTION("""COMPUTED_VALUE"""),"hololoot")</f>
        <v>hololoot</v>
      </c>
      <c r="B5820" s="4" t="str">
        <f>IFERROR(__xludf.DUMMYFUNCTION("""COMPUTED_VALUE"""),"hol")</f>
        <v>hol</v>
      </c>
      <c r="C5820" s="4" t="str">
        <f>IFERROR(__xludf.DUMMYFUNCTION("""COMPUTED_VALUE"""),"Hololoot")</f>
        <v>Hololoot</v>
      </c>
    </row>
    <row r="5821">
      <c r="A5821" s="4" t="str">
        <f>IFERROR(__xludf.DUMMYFUNCTION("""COMPUTED_VALUE"""),"holonus")</f>
        <v>holonus</v>
      </c>
      <c r="B5821" s="4" t="str">
        <f>IFERROR(__xludf.DUMMYFUNCTION("""COMPUTED_VALUE"""),"hln")</f>
        <v>hln</v>
      </c>
      <c r="C5821" s="4" t="str">
        <f>IFERROR(__xludf.DUMMYFUNCTION("""COMPUTED_VALUE"""),"Holonus")</f>
        <v>Holonus</v>
      </c>
    </row>
    <row r="5822">
      <c r="A5822" s="4" t="str">
        <f>IFERROR(__xludf.DUMMYFUNCTION("""COMPUTED_VALUE"""),"holoride")</f>
        <v>holoride</v>
      </c>
      <c r="B5822" s="4" t="str">
        <f>IFERROR(__xludf.DUMMYFUNCTION("""COMPUTED_VALUE"""),"ride")</f>
        <v>ride</v>
      </c>
      <c r="C5822" s="4" t="str">
        <f>IFERROR(__xludf.DUMMYFUNCTION("""COMPUTED_VALUE"""),"holoride")</f>
        <v>holoride</v>
      </c>
    </row>
    <row r="5823">
      <c r="A5823" s="4" t="str">
        <f>IFERROR(__xludf.DUMMYFUNCTION("""COMPUTED_VALUE"""),"holotoken")</f>
        <v>holotoken</v>
      </c>
      <c r="B5823" s="4" t="str">
        <f>IFERROR(__xludf.DUMMYFUNCTION("""COMPUTED_VALUE"""),"hot")</f>
        <v>hot</v>
      </c>
      <c r="C5823" s="4" t="str">
        <f>IFERROR(__xludf.DUMMYFUNCTION("""COMPUTED_VALUE"""),"Holo")</f>
        <v>Holo</v>
      </c>
    </row>
    <row r="5824">
      <c r="A5824" s="4" t="str">
        <f>IFERROR(__xludf.DUMMYFUNCTION("""COMPUTED_VALUE"""),"holygrail")</f>
        <v>holygrail</v>
      </c>
      <c r="B5824" s="4" t="str">
        <f>IFERROR(__xludf.DUMMYFUNCTION("""COMPUTED_VALUE"""),"hly")</f>
        <v>hly</v>
      </c>
      <c r="C5824" s="4" t="str">
        <f>IFERROR(__xludf.DUMMYFUNCTION("""COMPUTED_VALUE"""),"HolyGrail")</f>
        <v>HolyGrail</v>
      </c>
    </row>
    <row r="5825">
      <c r="A5825" s="4" t="str">
        <f>IFERROR(__xludf.DUMMYFUNCTION("""COMPUTED_VALUE"""),"holygrails-io")</f>
        <v>holygrails-io</v>
      </c>
      <c r="B5825" s="4" t="str">
        <f>IFERROR(__xludf.DUMMYFUNCTION("""COMPUTED_VALUE"""),"holy")</f>
        <v>holy</v>
      </c>
      <c r="C5825" s="5" t="str">
        <f>IFERROR(__xludf.DUMMYFUNCTION("""COMPUTED_VALUE"""),"HolyGrails.io")</f>
        <v>HolyGrails.io</v>
      </c>
    </row>
    <row r="5826">
      <c r="A5826" s="4" t="str">
        <f>IFERROR(__xludf.DUMMYFUNCTION("""COMPUTED_VALUE"""),"holyheld-2")</f>
        <v>holyheld-2</v>
      </c>
      <c r="B5826" s="4" t="str">
        <f>IFERROR(__xludf.DUMMYFUNCTION("""COMPUTED_VALUE"""),"move")</f>
        <v>move</v>
      </c>
      <c r="C5826" s="4" t="str">
        <f>IFERROR(__xludf.DUMMYFUNCTION("""COMPUTED_VALUE"""),"Mover")</f>
        <v>Mover</v>
      </c>
    </row>
    <row r="5827">
      <c r="A5827" s="4" t="str">
        <f>IFERROR(__xludf.DUMMYFUNCTION("""COMPUTED_VALUE"""),"holy-spirit")</f>
        <v>holy-spirit</v>
      </c>
      <c r="B5827" s="4" t="str">
        <f>IFERROR(__xludf.DUMMYFUNCTION("""COMPUTED_VALUE"""),"holy")</f>
        <v>holy</v>
      </c>
      <c r="C5827" s="4" t="str">
        <f>IFERROR(__xludf.DUMMYFUNCTION("""COMPUTED_VALUE"""),"HOLY SPIRIT")</f>
        <v>HOLY SPIRIT</v>
      </c>
    </row>
    <row r="5828">
      <c r="A5828" s="4" t="str">
        <f>IFERROR(__xludf.DUMMYFUNCTION("""COMPUTED_VALUE"""),"hom")</f>
        <v>hom</v>
      </c>
      <c r="B5828" s="4" t="str">
        <f>IFERROR(__xludf.DUMMYFUNCTION("""COMPUTED_VALUE"""),"hom")</f>
        <v>hom</v>
      </c>
      <c r="C5828" s="4" t="str">
        <f>IFERROR(__xludf.DUMMYFUNCTION("""COMPUTED_VALUE"""),"Homeety")</f>
        <v>Homeety</v>
      </c>
    </row>
    <row r="5829">
      <c r="A5829" s="4" t="str">
        <f>IFERROR(__xludf.DUMMYFUNCTION("""COMPUTED_VALUE"""),"homer")</f>
        <v>homer</v>
      </c>
      <c r="B5829" s="4" t="str">
        <f>IFERROR(__xludf.DUMMYFUNCTION("""COMPUTED_VALUE"""),"simpson")</f>
        <v>simpson</v>
      </c>
      <c r="C5829" s="4" t="str">
        <f>IFERROR(__xludf.DUMMYFUNCTION("""COMPUTED_VALUE"""),"Homer")</f>
        <v>Homer</v>
      </c>
    </row>
    <row r="5830">
      <c r="A5830" s="4" t="str">
        <f>IFERROR(__xludf.DUMMYFUNCTION("""COMPUTED_VALUE"""),"homer-2")</f>
        <v>homer-2</v>
      </c>
      <c r="B5830" s="4" t="str">
        <f>IFERROR(__xludf.DUMMYFUNCTION("""COMPUTED_VALUE"""),"simpson 2.0")</f>
        <v>simpson 2.0</v>
      </c>
      <c r="C5830" s="4" t="str">
        <f>IFERROR(__xludf.DUMMYFUNCTION("""COMPUTED_VALUE"""),"Homer")</f>
        <v>Homer</v>
      </c>
    </row>
    <row r="5831">
      <c r="A5831" s="4" t="str">
        <f>IFERROR(__xludf.DUMMYFUNCTION("""COMPUTED_VALUE"""),"homeros")</f>
        <v>homeros</v>
      </c>
      <c r="B5831" s="4" t="str">
        <f>IFERROR(__xludf.DUMMYFUNCTION("""COMPUTED_VALUE"""),"hmr")</f>
        <v>hmr</v>
      </c>
      <c r="C5831" s="4" t="str">
        <f>IFERROR(__xludf.DUMMYFUNCTION("""COMPUTED_VALUE"""),"Homeros")</f>
        <v>Homeros</v>
      </c>
    </row>
    <row r="5832">
      <c r="A5832" s="4" t="str">
        <f>IFERROR(__xludf.DUMMYFUNCTION("""COMPUTED_VALUE"""),"homeunity")</f>
        <v>homeunity</v>
      </c>
      <c r="B5832" s="4" t="str">
        <f>IFERROR(__xludf.DUMMYFUNCTION("""COMPUTED_VALUE"""),"hrpt")</f>
        <v>hrpt</v>
      </c>
      <c r="C5832" s="4" t="str">
        <f>IFERROR(__xludf.DUMMYFUNCTION("""COMPUTED_VALUE"""),"Homeunity")</f>
        <v>Homeunity</v>
      </c>
    </row>
    <row r="5833">
      <c r="A5833" s="4" t="str">
        <f>IFERROR(__xludf.DUMMYFUNCTION("""COMPUTED_VALUE"""),"homie")</f>
        <v>homie</v>
      </c>
      <c r="B5833" s="4" t="str">
        <f>IFERROR(__xludf.DUMMYFUNCTION("""COMPUTED_VALUE"""),"homie")</f>
        <v>homie</v>
      </c>
      <c r="C5833" s="4" t="str">
        <f>IFERROR(__xludf.DUMMYFUNCTION("""COMPUTED_VALUE"""),"Homie")</f>
        <v>Homie</v>
      </c>
    </row>
    <row r="5834">
      <c r="A5834" s="4" t="str">
        <f>IFERROR(__xludf.DUMMYFUNCTION("""COMPUTED_VALUE"""),"homie-wars")</f>
        <v>homie-wars</v>
      </c>
      <c r="B5834" s="4" t="str">
        <f>IFERROR(__xludf.DUMMYFUNCTION("""COMPUTED_VALUE"""),"homiecoin")</f>
        <v>homiecoin</v>
      </c>
      <c r="C5834" s="4" t="str">
        <f>IFERROR(__xludf.DUMMYFUNCTION("""COMPUTED_VALUE"""),"Homie Wars")</f>
        <v>Homie Wars</v>
      </c>
    </row>
    <row r="5835">
      <c r="A5835" s="4" t="str">
        <f>IFERROR(__xludf.DUMMYFUNCTION("""COMPUTED_VALUE"""),"hondaiscoin")</f>
        <v>hondaiscoin</v>
      </c>
      <c r="B5835" s="4" t="str">
        <f>IFERROR(__xludf.DUMMYFUNCTION("""COMPUTED_VALUE"""),"hndc")</f>
        <v>hndc</v>
      </c>
      <c r="C5835" s="4" t="str">
        <f>IFERROR(__xludf.DUMMYFUNCTION("""COMPUTED_VALUE"""),"HondaisCoin")</f>
        <v>HondaisCoin</v>
      </c>
    </row>
    <row r="5836">
      <c r="A5836" s="4" t="str">
        <f>IFERROR(__xludf.DUMMYFUNCTION("""COMPUTED_VALUE"""),"honest-mining")</f>
        <v>honest-mining</v>
      </c>
      <c r="B5836" s="4" t="str">
        <f>IFERROR(__xludf.DUMMYFUNCTION("""COMPUTED_VALUE"""),"hnst")</f>
        <v>hnst</v>
      </c>
      <c r="C5836" s="4" t="str">
        <f>IFERROR(__xludf.DUMMYFUNCTION("""COMPUTED_VALUE"""),"Honest")</f>
        <v>Honest</v>
      </c>
    </row>
    <row r="5837">
      <c r="A5837" s="4" t="str">
        <f>IFERROR(__xludf.DUMMYFUNCTION("""COMPUTED_VALUE"""),"honey")</f>
        <v>honey</v>
      </c>
      <c r="B5837" s="4" t="str">
        <f>IFERROR(__xludf.DUMMYFUNCTION("""COMPUTED_VALUE"""),"hny")</f>
        <v>hny</v>
      </c>
      <c r="C5837" s="4" t="str">
        <f>IFERROR(__xludf.DUMMYFUNCTION("""COMPUTED_VALUE"""),"Honey")</f>
        <v>Honey</v>
      </c>
    </row>
    <row r="5838">
      <c r="A5838" s="4" t="str">
        <f>IFERROR(__xludf.DUMMYFUNCTION("""COMPUTED_VALUE"""),"honey-finance")</f>
        <v>honey-finance</v>
      </c>
      <c r="B5838" s="4" t="str">
        <f>IFERROR(__xludf.DUMMYFUNCTION("""COMPUTED_VALUE"""),"honey")</f>
        <v>honey</v>
      </c>
      <c r="C5838" s="4" t="str">
        <f>IFERROR(__xludf.DUMMYFUNCTION("""COMPUTED_VALUE"""),"Honey Finance")</f>
        <v>Honey Finance</v>
      </c>
    </row>
    <row r="5839">
      <c r="A5839" s="4" t="str">
        <f>IFERROR(__xludf.DUMMYFUNCTION("""COMPUTED_VALUE"""),"honeyland-honey")</f>
        <v>honeyland-honey</v>
      </c>
      <c r="B5839" s="4" t="str">
        <f>IFERROR(__xludf.DUMMYFUNCTION("""COMPUTED_VALUE"""),"hxd")</f>
        <v>hxd</v>
      </c>
      <c r="C5839" s="4" t="str">
        <f>IFERROR(__xludf.DUMMYFUNCTION("""COMPUTED_VALUE"""),"Honeyland")</f>
        <v>Honeyland</v>
      </c>
    </row>
    <row r="5840">
      <c r="A5840" s="4" t="str">
        <f>IFERROR(__xludf.DUMMYFUNCTION("""COMPUTED_VALUE"""),"honeymoon-token")</f>
        <v>honeymoon-token</v>
      </c>
      <c r="B5840" s="4" t="str">
        <f>IFERROR(__xludf.DUMMYFUNCTION("""COMPUTED_VALUE"""),"moon")</f>
        <v>moon</v>
      </c>
      <c r="C5840" s="4" t="str">
        <f>IFERROR(__xludf.DUMMYFUNCTION("""COMPUTED_VALUE"""),"HoneyMOON")</f>
        <v>HoneyMOON</v>
      </c>
    </row>
    <row r="5841">
      <c r="A5841" s="4" t="str">
        <f>IFERROR(__xludf.DUMMYFUNCTION("""COMPUTED_VALUE"""),"honeywood")</f>
        <v>honeywood</v>
      </c>
      <c r="B5841" s="4" t="str">
        <f>IFERROR(__xludf.DUMMYFUNCTION("""COMPUTED_VALUE"""),"cone")</f>
        <v>cone</v>
      </c>
      <c r="C5841" s="4" t="str">
        <f>IFERROR(__xludf.DUMMYFUNCTION("""COMPUTED_VALUE"""),"HoneyWood")</f>
        <v>HoneyWood</v>
      </c>
    </row>
    <row r="5842">
      <c r="A5842" s="4" t="str">
        <f>IFERROR(__xludf.DUMMYFUNCTION("""COMPUTED_VALUE"""),"hongkongdao")</f>
        <v>hongkongdao</v>
      </c>
      <c r="B5842" s="4" t="str">
        <f>IFERROR(__xludf.DUMMYFUNCTION("""COMPUTED_VALUE"""),"hkd")</f>
        <v>hkd</v>
      </c>
      <c r="C5842" s="4" t="str">
        <f>IFERROR(__xludf.DUMMYFUNCTION("""COMPUTED_VALUE"""),"HongKongDAO")</f>
        <v>HongKongDAO</v>
      </c>
    </row>
    <row r="5843">
      <c r="A5843" s="4" t="str">
        <f>IFERROR(__xludf.DUMMYFUNCTION("""COMPUTED_VALUE"""),"honk")</f>
        <v>honk</v>
      </c>
      <c r="B5843" s="4" t="str">
        <f>IFERROR(__xludf.DUMMYFUNCTION("""COMPUTED_VALUE"""),"honk")</f>
        <v>honk</v>
      </c>
      <c r="C5843" s="4" t="str">
        <f>IFERROR(__xludf.DUMMYFUNCTION("""COMPUTED_VALUE"""),"Honk")</f>
        <v>Honk</v>
      </c>
    </row>
    <row r="5844">
      <c r="A5844" s="4" t="str">
        <f>IFERROR(__xludf.DUMMYFUNCTION("""COMPUTED_VALUE"""),"honk-2")</f>
        <v>honk-2</v>
      </c>
      <c r="B5844" s="4" t="str">
        <f>IFERROR(__xludf.DUMMYFUNCTION("""COMPUTED_VALUE"""),"honk")</f>
        <v>honk</v>
      </c>
      <c r="C5844" s="4" t="str">
        <f>IFERROR(__xludf.DUMMYFUNCTION("""COMPUTED_VALUE"""),"HONK")</f>
        <v>HONK</v>
      </c>
    </row>
    <row r="5845">
      <c r="A5845" s="4" t="str">
        <f>IFERROR(__xludf.DUMMYFUNCTION("""COMPUTED_VALUE"""),"honorarium")</f>
        <v>honorarium</v>
      </c>
      <c r="B5845" s="4" t="str">
        <f>IFERROR(__xludf.DUMMYFUNCTION("""COMPUTED_VALUE"""),"hrm")</f>
        <v>hrm</v>
      </c>
      <c r="C5845" s="4" t="str">
        <f>IFERROR(__xludf.DUMMYFUNCTION("""COMPUTED_VALUE"""),"Honorarium")</f>
        <v>Honorarium</v>
      </c>
    </row>
    <row r="5846">
      <c r="A5846" s="4" t="str">
        <f>IFERROR(__xludf.DUMMYFUNCTION("""COMPUTED_VALUE"""),"honor-world-token")</f>
        <v>honor-world-token</v>
      </c>
      <c r="B5846" s="4" t="str">
        <f>IFERROR(__xludf.DUMMYFUNCTION("""COMPUTED_VALUE"""),"hwt")</f>
        <v>hwt</v>
      </c>
      <c r="C5846" s="4" t="str">
        <f>IFERROR(__xludf.DUMMYFUNCTION("""COMPUTED_VALUE"""),"Honor World Token")</f>
        <v>Honor World Token</v>
      </c>
    </row>
    <row r="5847">
      <c r="A5847" s="4" t="str">
        <f>IFERROR(__xludf.DUMMYFUNCTION("""COMPUTED_VALUE"""),"hooked-protocol")</f>
        <v>hooked-protocol</v>
      </c>
      <c r="B5847" s="4" t="str">
        <f>IFERROR(__xludf.DUMMYFUNCTION("""COMPUTED_VALUE"""),"hook")</f>
        <v>hook</v>
      </c>
      <c r="C5847" s="4" t="str">
        <f>IFERROR(__xludf.DUMMYFUNCTION("""COMPUTED_VALUE"""),"Hooked Protocol")</f>
        <v>Hooked Protocol</v>
      </c>
    </row>
    <row r="5848">
      <c r="A5848" s="4" t="str">
        <f>IFERROR(__xludf.DUMMYFUNCTION("""COMPUTED_VALUE"""),"hoosat-network")</f>
        <v>hoosat-network</v>
      </c>
      <c r="B5848" s="4" t="str">
        <f>IFERROR(__xludf.DUMMYFUNCTION("""COMPUTED_VALUE"""),"htn")</f>
        <v>htn</v>
      </c>
      <c r="C5848" s="4" t="str">
        <f>IFERROR(__xludf.DUMMYFUNCTION("""COMPUTED_VALUE"""),"Hoosat Network")</f>
        <v>Hoosat Network</v>
      </c>
    </row>
    <row r="5849">
      <c r="A5849" s="4" t="str">
        <f>IFERROR(__xludf.DUMMYFUNCTION("""COMPUTED_VALUE"""),"hope-2")</f>
        <v>hope-2</v>
      </c>
      <c r="B5849" s="4" t="str">
        <f>IFERROR(__xludf.DUMMYFUNCTION("""COMPUTED_VALUE"""),"hope")</f>
        <v>hope</v>
      </c>
      <c r="C5849" s="4" t="str">
        <f>IFERROR(__xludf.DUMMYFUNCTION("""COMPUTED_VALUE"""),"Hope.money")</f>
        <v>Hope.money</v>
      </c>
    </row>
    <row r="5850">
      <c r="A5850" s="4" t="str">
        <f>IFERROR(__xludf.DUMMYFUNCTION("""COMPUTED_VALUE"""),"hoppers-game")</f>
        <v>hoppers-game</v>
      </c>
      <c r="B5850" s="4" t="str">
        <f>IFERROR(__xludf.DUMMYFUNCTION("""COMPUTED_VALUE"""),"fly")</f>
        <v>fly</v>
      </c>
      <c r="C5850" s="4" t="str">
        <f>IFERROR(__xludf.DUMMYFUNCTION("""COMPUTED_VALUE"""),"Hoppers Game")</f>
        <v>Hoppers Game</v>
      </c>
    </row>
    <row r="5851">
      <c r="A5851" s="4" t="str">
        <f>IFERROR(__xludf.DUMMYFUNCTION("""COMPUTED_VALUE"""),"hop-protocol")</f>
        <v>hop-protocol</v>
      </c>
      <c r="B5851" s="4" t="str">
        <f>IFERROR(__xludf.DUMMYFUNCTION("""COMPUTED_VALUE"""),"hop")</f>
        <v>hop</v>
      </c>
      <c r="C5851" s="4" t="str">
        <f>IFERROR(__xludf.DUMMYFUNCTION("""COMPUTED_VALUE"""),"Hop Protocol")</f>
        <v>Hop Protocol</v>
      </c>
    </row>
    <row r="5852">
      <c r="A5852" s="4" t="str">
        <f>IFERROR(__xludf.DUMMYFUNCTION("""COMPUTED_VALUE"""),"hoppy")</f>
        <v>hoppy</v>
      </c>
      <c r="B5852" s="4" t="str">
        <f>IFERROR(__xludf.DUMMYFUNCTION("""COMPUTED_VALUE"""),"hop")</f>
        <v>hop</v>
      </c>
      <c r="C5852" s="4" t="str">
        <f>IFERROR(__xludf.DUMMYFUNCTION("""COMPUTED_VALUE"""),"HOPPY")</f>
        <v>HOPPY</v>
      </c>
    </row>
    <row r="5853">
      <c r="A5853" s="4" t="str">
        <f>IFERROR(__xludf.DUMMYFUNCTION("""COMPUTED_VALUE"""),"hoppyinu")</f>
        <v>hoppyinu</v>
      </c>
      <c r="B5853" s="4" t="str">
        <f>IFERROR(__xludf.DUMMYFUNCTION("""COMPUTED_VALUE"""),"hoppyinu")</f>
        <v>hoppyinu</v>
      </c>
      <c r="C5853" s="4" t="str">
        <f>IFERROR(__xludf.DUMMYFUNCTION("""COMPUTED_VALUE"""),"HoppyInu")</f>
        <v>HoppyInu</v>
      </c>
    </row>
    <row r="5854">
      <c r="A5854" s="4" t="str">
        <f>IFERROR(__xludf.DUMMYFUNCTION("""COMPUTED_VALUE"""),"hoppy-the-frog")</f>
        <v>hoppy-the-frog</v>
      </c>
      <c r="B5854" s="4" t="str">
        <f>IFERROR(__xludf.DUMMYFUNCTION("""COMPUTED_VALUE"""),"hoppy")</f>
        <v>hoppy</v>
      </c>
      <c r="C5854" s="4" t="str">
        <f>IFERROR(__xludf.DUMMYFUNCTION("""COMPUTED_VALUE"""),"Hoppy The Frog")</f>
        <v>Hoppy The Frog</v>
      </c>
    </row>
    <row r="5855">
      <c r="A5855" s="4" t="str">
        <f>IFERROR(__xludf.DUMMYFUNCTION("""COMPUTED_VALUE"""),"hoppy-token")</f>
        <v>hoppy-token</v>
      </c>
      <c r="B5855" s="4" t="str">
        <f>IFERROR(__xludf.DUMMYFUNCTION("""COMPUTED_VALUE"""),"hoppy")</f>
        <v>hoppy</v>
      </c>
      <c r="C5855" s="4" t="str">
        <f>IFERROR(__xludf.DUMMYFUNCTION("""COMPUTED_VALUE"""),"Hoppy Token")</f>
        <v>Hoppy Token</v>
      </c>
    </row>
    <row r="5856">
      <c r="A5856" s="4" t="str">
        <f>IFERROR(__xludf.DUMMYFUNCTION("""COMPUTED_VALUE"""),"hopr")</f>
        <v>hopr</v>
      </c>
      <c r="B5856" s="4" t="str">
        <f>IFERROR(__xludf.DUMMYFUNCTION("""COMPUTED_VALUE"""),"hopr")</f>
        <v>hopr</v>
      </c>
      <c r="C5856" s="4" t="str">
        <f>IFERROR(__xludf.DUMMYFUNCTION("""COMPUTED_VALUE"""),"HOPR")</f>
        <v>HOPR</v>
      </c>
    </row>
    <row r="5857">
      <c r="A5857" s="4" t="str">
        <f>IFERROR(__xludf.DUMMYFUNCTION("""COMPUTED_VALUE"""),"hord")</f>
        <v>hord</v>
      </c>
      <c r="B5857" s="4" t="str">
        <f>IFERROR(__xludf.DUMMYFUNCTION("""COMPUTED_VALUE"""),"hord")</f>
        <v>hord</v>
      </c>
      <c r="C5857" s="4" t="str">
        <f>IFERROR(__xludf.DUMMYFUNCTION("""COMPUTED_VALUE"""),"Hord")</f>
        <v>Hord</v>
      </c>
    </row>
    <row r="5858">
      <c r="A5858" s="4" t="str">
        <f>IFERROR(__xludf.DUMMYFUNCTION("""COMPUTED_VALUE"""),"horizon-2")</f>
        <v>horizon-2</v>
      </c>
      <c r="B5858" s="4" t="str">
        <f>IFERROR(__xludf.DUMMYFUNCTION("""COMPUTED_VALUE"""),"hzn")</f>
        <v>hzn</v>
      </c>
      <c r="C5858" s="4" t="str">
        <f>IFERROR(__xludf.DUMMYFUNCTION("""COMPUTED_VALUE"""),"Horizon")</f>
        <v>Horizon</v>
      </c>
    </row>
    <row r="5859">
      <c r="A5859" s="4" t="str">
        <f>IFERROR(__xludf.DUMMYFUNCTION("""COMPUTED_VALUE"""),"horizon-3")</f>
        <v>horizon-3</v>
      </c>
      <c r="B5859" s="4" t="str">
        <f>IFERROR(__xludf.DUMMYFUNCTION("""COMPUTED_VALUE"""),"hrzn")</f>
        <v>hrzn</v>
      </c>
      <c r="C5859" s="4" t="str">
        <f>IFERROR(__xludf.DUMMYFUNCTION("""COMPUTED_VALUE"""),"Horizon")</f>
        <v>Horizon</v>
      </c>
    </row>
    <row r="5860">
      <c r="A5860" s="4" t="str">
        <f>IFERROR(__xludf.DUMMYFUNCTION("""COMPUTED_VALUE"""),"horizon-blockchain")</f>
        <v>horizon-blockchain</v>
      </c>
      <c r="B5860" s="4" t="str">
        <f>IFERROR(__xludf.DUMMYFUNCTION("""COMPUTED_VALUE"""),"hm")</f>
        <v>hm</v>
      </c>
      <c r="C5860" s="4" t="str">
        <f>IFERROR(__xludf.DUMMYFUNCTION("""COMPUTED_VALUE"""),"Horizon Blockchain")</f>
        <v>Horizon Blockchain</v>
      </c>
    </row>
    <row r="5861">
      <c r="A5861" s="4" t="str">
        <f>IFERROR(__xludf.DUMMYFUNCTION("""COMPUTED_VALUE"""),"horizon-protocol")</f>
        <v>horizon-protocol</v>
      </c>
      <c r="B5861" s="4" t="str">
        <f>IFERROR(__xludf.DUMMYFUNCTION("""COMPUTED_VALUE"""),"hzn")</f>
        <v>hzn</v>
      </c>
      <c r="C5861" s="4" t="str">
        <f>IFERROR(__xludf.DUMMYFUNCTION("""COMPUTED_VALUE"""),"Horizon Protocol")</f>
        <v>Horizon Protocol</v>
      </c>
    </row>
    <row r="5862">
      <c r="A5862" s="4" t="str">
        <f>IFERROR(__xludf.DUMMYFUNCTION("""COMPUTED_VALUE"""),"horizon-protocol-zbnb")</f>
        <v>horizon-protocol-zbnb</v>
      </c>
      <c r="B5862" s="4" t="str">
        <f>IFERROR(__xludf.DUMMYFUNCTION("""COMPUTED_VALUE"""),"zbnb")</f>
        <v>zbnb</v>
      </c>
      <c r="C5862" s="4" t="str">
        <f>IFERROR(__xludf.DUMMYFUNCTION("""COMPUTED_VALUE"""),"Horizon Protocol zBNB")</f>
        <v>Horizon Protocol zBNB</v>
      </c>
    </row>
    <row r="5863">
      <c r="A5863" s="4" t="str">
        <f>IFERROR(__xludf.DUMMYFUNCTION("""COMPUTED_VALUE"""),"horny-hyenas")</f>
        <v>horny-hyenas</v>
      </c>
      <c r="B5863" s="4" t="str">
        <f>IFERROR(__xludf.DUMMYFUNCTION("""COMPUTED_VALUE"""),"horny")</f>
        <v>horny</v>
      </c>
      <c r="C5863" s="4" t="str">
        <f>IFERROR(__xludf.DUMMYFUNCTION("""COMPUTED_VALUE"""),"Horny Hyenas")</f>
        <v>Horny Hyenas</v>
      </c>
    </row>
    <row r="5864">
      <c r="A5864" s="4" t="str">
        <f>IFERROR(__xludf.DUMMYFUNCTION("""COMPUTED_VALUE"""),"hosky")</f>
        <v>hosky</v>
      </c>
      <c r="B5864" s="4" t="str">
        <f>IFERROR(__xludf.DUMMYFUNCTION("""COMPUTED_VALUE"""),"hosky")</f>
        <v>hosky</v>
      </c>
      <c r="C5864" s="4" t="str">
        <f>IFERROR(__xludf.DUMMYFUNCTION("""COMPUTED_VALUE"""),"Hosky")</f>
        <v>Hosky</v>
      </c>
    </row>
    <row r="5865">
      <c r="A5865" s="4" t="str">
        <f>IFERROR(__xludf.DUMMYFUNCTION("""COMPUTED_VALUE"""),"host-ai")</f>
        <v>host-ai</v>
      </c>
      <c r="B5865" s="4" t="str">
        <f>IFERROR(__xludf.DUMMYFUNCTION("""COMPUTED_VALUE"""),"hostai")</f>
        <v>hostai</v>
      </c>
      <c r="C5865" s="4" t="str">
        <f>IFERROR(__xludf.DUMMYFUNCTION("""COMPUTED_VALUE"""),"Host AI")</f>
        <v>Host AI</v>
      </c>
    </row>
    <row r="5866">
      <c r="A5866" s="4" t="str">
        <f>IFERROR(__xludf.DUMMYFUNCTION("""COMPUTED_VALUE"""),"hot-cross")</f>
        <v>hot-cross</v>
      </c>
      <c r="B5866" s="4" t="str">
        <f>IFERROR(__xludf.DUMMYFUNCTION("""COMPUTED_VALUE"""),"hotcross")</f>
        <v>hotcross</v>
      </c>
      <c r="C5866" s="4" t="str">
        <f>IFERROR(__xludf.DUMMYFUNCTION("""COMPUTED_VALUE"""),"Hot Cross")</f>
        <v>Hot Cross</v>
      </c>
    </row>
    <row r="5867">
      <c r="A5867" s="4" t="str">
        <f>IFERROR(__xludf.DUMMYFUNCTION("""COMPUTED_VALUE"""),"hot-doge")</f>
        <v>hot-doge</v>
      </c>
      <c r="B5867" s="4" t="str">
        <f>IFERROR(__xludf.DUMMYFUNCTION("""COMPUTED_VALUE"""),"hotdoge")</f>
        <v>hotdoge</v>
      </c>
      <c r="C5867" s="4" t="str">
        <f>IFERROR(__xludf.DUMMYFUNCTION("""COMPUTED_VALUE"""),"HotDoge [OLD]")</f>
        <v>HotDoge [OLD]</v>
      </c>
    </row>
    <row r="5868">
      <c r="A5868" s="4" t="str">
        <f>IFERROR(__xludf.DUMMYFUNCTION("""COMPUTED_VALUE"""),"hotelium")</f>
        <v>hotelium</v>
      </c>
      <c r="B5868" s="4" t="str">
        <f>IFERROR(__xludf.DUMMYFUNCTION("""COMPUTED_VALUE"""),"htl")</f>
        <v>htl</v>
      </c>
      <c r="C5868" s="4" t="str">
        <f>IFERROR(__xludf.DUMMYFUNCTION("""COMPUTED_VALUE"""),"Hotelium")</f>
        <v>Hotelium</v>
      </c>
    </row>
    <row r="5869">
      <c r="A5869" s="4" t="str">
        <f>IFERROR(__xludf.DUMMYFUNCTION("""COMPUTED_VALUE"""),"hotel-of-secrets")</f>
        <v>hotel-of-secrets</v>
      </c>
      <c r="B5869" s="4" t="str">
        <f>IFERROR(__xludf.DUMMYFUNCTION("""COMPUTED_VALUE"""),"hos")</f>
        <v>hos</v>
      </c>
      <c r="C5869" s="4" t="str">
        <f>IFERROR(__xludf.DUMMYFUNCTION("""COMPUTED_VALUE"""),"Hotel of Secrets")</f>
        <v>Hotel of Secrets</v>
      </c>
    </row>
    <row r="5870">
      <c r="A5870" s="4" t="str">
        <f>IFERROR(__xludf.DUMMYFUNCTION("""COMPUTED_VALUE"""),"hotkeyswap")</f>
        <v>hotkeyswap</v>
      </c>
      <c r="B5870" s="4" t="str">
        <f>IFERROR(__xludf.DUMMYFUNCTION("""COMPUTED_VALUE"""),"hotkey")</f>
        <v>hotkey</v>
      </c>
      <c r="C5870" s="4" t="str">
        <f>IFERROR(__xludf.DUMMYFUNCTION("""COMPUTED_VALUE"""),"HotKeySwap")</f>
        <v>HotKeySwap</v>
      </c>
    </row>
    <row r="5871">
      <c r="A5871" s="4" t="str">
        <f>IFERROR(__xludf.DUMMYFUNCTION("""COMPUTED_VALUE"""),"hotmoon")</f>
        <v>hotmoon</v>
      </c>
      <c r="B5871" s="4" t="str">
        <f>IFERROR(__xludf.DUMMYFUNCTION("""COMPUTED_VALUE"""),"hotmoon")</f>
        <v>hotmoon</v>
      </c>
      <c r="C5871" s="4" t="str">
        <f>IFERROR(__xludf.DUMMYFUNCTION("""COMPUTED_VALUE"""),"HotMoon")</f>
        <v>HotMoon</v>
      </c>
    </row>
    <row r="5872">
      <c r="A5872" s="4" t="str">
        <f>IFERROR(__xludf.DUMMYFUNCTION("""COMPUTED_VALUE"""),"hot-n-cold-finance")</f>
        <v>hot-n-cold-finance</v>
      </c>
      <c r="B5872" s="4" t="str">
        <f>IFERROR(__xludf.DUMMYFUNCTION("""COMPUTED_VALUE"""),"hnc")</f>
        <v>hnc</v>
      </c>
      <c r="C5872" s="4" t="str">
        <f>IFERROR(__xludf.DUMMYFUNCTION("""COMPUTED_VALUE"""),"Hot'n Cold Finance")</f>
        <v>Hot'n Cold Finance</v>
      </c>
    </row>
    <row r="5873">
      <c r="A5873" s="4" t="str">
        <f>IFERROR(__xludf.DUMMYFUNCTION("""COMPUTED_VALUE"""),"hottel")</f>
        <v>hottel</v>
      </c>
      <c r="B5873" s="4" t="str">
        <f>IFERROR(__xludf.DUMMYFUNCTION("""COMPUTED_VALUE"""),"hott")</f>
        <v>hott</v>
      </c>
      <c r="C5873" s="4" t="str">
        <f>IFERROR(__xludf.DUMMYFUNCTION("""COMPUTED_VALUE"""),"Hottel")</f>
        <v>Hottel</v>
      </c>
    </row>
    <row r="5874">
      <c r="A5874" s="4" t="str">
        <f>IFERROR(__xludf.DUMMYFUNCTION("""COMPUTED_VALUE"""),"houdini-swap")</f>
        <v>houdini-swap</v>
      </c>
      <c r="B5874" s="4" t="str">
        <f>IFERROR(__xludf.DUMMYFUNCTION("""COMPUTED_VALUE"""),"lock")</f>
        <v>lock</v>
      </c>
      <c r="C5874" s="4" t="str">
        <f>IFERROR(__xludf.DUMMYFUNCTION("""COMPUTED_VALUE"""),"Houdini Swap")</f>
        <v>Houdini Swap</v>
      </c>
    </row>
    <row r="5875">
      <c r="A5875" s="4" t="str">
        <f>IFERROR(__xludf.DUMMYFUNCTION("""COMPUTED_VALUE"""),"hourglass")</f>
        <v>hourglass</v>
      </c>
      <c r="B5875" s="4" t="str">
        <f>IFERROR(__xludf.DUMMYFUNCTION("""COMPUTED_VALUE"""),"wait")</f>
        <v>wait</v>
      </c>
      <c r="C5875" s="4" t="str">
        <f>IFERROR(__xludf.DUMMYFUNCTION("""COMPUTED_VALUE"""),"Hourglass")</f>
        <v>Hourglass</v>
      </c>
    </row>
    <row r="5876">
      <c r="A5876" s="4" t="str">
        <f>IFERROR(__xludf.DUMMYFUNCTION("""COMPUTED_VALUE"""),"house")</f>
        <v>house</v>
      </c>
      <c r="B5876" s="4" t="str">
        <f>IFERROR(__xludf.DUMMYFUNCTION("""COMPUTED_VALUE"""),"house")</f>
        <v>house</v>
      </c>
      <c r="C5876" s="4" t="str">
        <f>IFERROR(__xludf.DUMMYFUNCTION("""COMPUTED_VALUE"""),"House")</f>
        <v>House</v>
      </c>
    </row>
    <row r="5877">
      <c r="A5877" s="4" t="str">
        <f>IFERROR(__xludf.DUMMYFUNCTION("""COMPUTED_VALUE"""),"houston-token")</f>
        <v>houston-token</v>
      </c>
      <c r="B5877" s="4" t="str">
        <f>IFERROR(__xludf.DUMMYFUNCTION("""COMPUTED_VALUE"""),"hou")</f>
        <v>hou</v>
      </c>
      <c r="C5877" s="4" t="str">
        <f>IFERROR(__xludf.DUMMYFUNCTION("""COMPUTED_VALUE"""),"Houston Token")</f>
        <v>Houston Token</v>
      </c>
    </row>
    <row r="5878">
      <c r="A5878" s="4" t="str">
        <f>IFERROR(__xludf.DUMMYFUNCTION("""COMPUTED_VALUE"""),"hover")</f>
        <v>hover</v>
      </c>
      <c r="B5878" s="4" t="str">
        <f>IFERROR(__xludf.DUMMYFUNCTION("""COMPUTED_VALUE"""),"hov")</f>
        <v>hov</v>
      </c>
      <c r="C5878" s="4" t="str">
        <f>IFERROR(__xludf.DUMMYFUNCTION("""COMPUTED_VALUE"""),"Hover")</f>
        <v>Hover</v>
      </c>
    </row>
    <row r="5879">
      <c r="A5879" s="4" t="str">
        <f>IFERROR(__xludf.DUMMYFUNCTION("""COMPUTED_VALUE"""),"howcat")</f>
        <v>howcat</v>
      </c>
      <c r="B5879" s="4" t="str">
        <f>IFERROR(__xludf.DUMMYFUNCTION("""COMPUTED_VALUE"""),"hcat")</f>
        <v>hcat</v>
      </c>
      <c r="C5879" s="4" t="str">
        <f>IFERROR(__xludf.DUMMYFUNCTION("""COMPUTED_VALUE"""),"Howcat")</f>
        <v>Howcat</v>
      </c>
    </row>
    <row r="5880">
      <c r="A5880" s="4" t="str">
        <f>IFERROR(__xludf.DUMMYFUNCTION("""COMPUTED_VALUE"""),"howdysol")</f>
        <v>howdysol</v>
      </c>
      <c r="B5880" s="4" t="str">
        <f>IFERROR(__xludf.DUMMYFUNCTION("""COMPUTED_VALUE"""),"howdy")</f>
        <v>howdy</v>
      </c>
      <c r="C5880" s="4" t="str">
        <f>IFERROR(__xludf.DUMMYFUNCTION("""COMPUTED_VALUE"""),"HowdySol")</f>
        <v>HowdySol</v>
      </c>
    </row>
    <row r="5881">
      <c r="A5881" s="4" t="str">
        <f>IFERROR(__xludf.DUMMYFUNCTION("""COMPUTED_VALUE"""),"howinu")</f>
        <v>howinu</v>
      </c>
      <c r="B5881" s="4" t="str">
        <f>IFERROR(__xludf.DUMMYFUNCTION("""COMPUTED_VALUE"""),"how")</f>
        <v>how</v>
      </c>
      <c r="C5881" s="4" t="str">
        <f>IFERROR(__xludf.DUMMYFUNCTION("""COMPUTED_VALUE"""),"HowInu")</f>
        <v>HowInu</v>
      </c>
    </row>
    <row r="5882">
      <c r="A5882" s="4" t="str">
        <f>IFERROR(__xludf.DUMMYFUNCTION("""COMPUTED_VALUE"""),"howl-city")</f>
        <v>howl-city</v>
      </c>
      <c r="B5882" s="4" t="str">
        <f>IFERROR(__xludf.DUMMYFUNCTION("""COMPUTED_VALUE"""),"hwl")</f>
        <v>hwl</v>
      </c>
      <c r="C5882" s="4" t="str">
        <f>IFERROR(__xludf.DUMMYFUNCTION("""COMPUTED_VALUE"""),"Howl City")</f>
        <v>Howl City</v>
      </c>
    </row>
    <row r="5883">
      <c r="A5883" s="4" t="str">
        <f>IFERROR(__xludf.DUMMYFUNCTION("""COMPUTED_VALUE"""),"hpohs888inu")</f>
        <v>hpohs888inu</v>
      </c>
      <c r="B5883" s="4" t="str">
        <f>IFERROR(__xludf.DUMMYFUNCTION("""COMPUTED_VALUE"""),"tether")</f>
        <v>tether</v>
      </c>
      <c r="C5883" s="4" t="str">
        <f>IFERROR(__xludf.DUMMYFUNCTION("""COMPUTED_VALUE"""),"Hpohs888inu")</f>
        <v>Hpohs888inu</v>
      </c>
    </row>
    <row r="5884">
      <c r="A5884" s="4" t="str">
        <f>IFERROR(__xludf.DUMMYFUNCTION("""COMPUTED_VALUE"""),"hrc-crypto")</f>
        <v>hrc-crypto</v>
      </c>
      <c r="B5884" s="4" t="str">
        <f>IFERROR(__xludf.DUMMYFUNCTION("""COMPUTED_VALUE"""),"hrcc")</f>
        <v>hrcc</v>
      </c>
      <c r="C5884" s="4" t="str">
        <f>IFERROR(__xludf.DUMMYFUNCTION("""COMPUTED_VALUE"""),"HRC Crypto")</f>
        <v>HRC Crypto</v>
      </c>
    </row>
    <row r="5885">
      <c r="A5885" s="4" t="str">
        <f>IFERROR(__xludf.DUMMYFUNCTION("""COMPUTED_VALUE"""),"hsac-ordinals")</f>
        <v>hsac-ordinals</v>
      </c>
      <c r="B5885" s="4" t="str">
        <f>IFERROR(__xludf.DUMMYFUNCTION("""COMPUTED_VALUE"""),"hsac")</f>
        <v>hsac</v>
      </c>
      <c r="C5885" s="4" t="str">
        <f>IFERROR(__xludf.DUMMYFUNCTION("""COMPUTED_VALUE"""),"HSAC (Ordinals)")</f>
        <v>HSAC (Ordinals)</v>
      </c>
    </row>
    <row r="5886">
      <c r="A5886" s="4" t="str">
        <f>IFERROR(__xludf.DUMMYFUNCTION("""COMPUTED_VALUE"""),"hshare")</f>
        <v>hshare</v>
      </c>
      <c r="B5886" s="4" t="str">
        <f>IFERROR(__xludf.DUMMYFUNCTION("""COMPUTED_VALUE"""),"hc")</f>
        <v>hc</v>
      </c>
      <c r="C5886" s="4" t="str">
        <f>IFERROR(__xludf.DUMMYFUNCTION("""COMPUTED_VALUE"""),"HyperCash")</f>
        <v>HyperCash</v>
      </c>
    </row>
    <row r="5887">
      <c r="A5887" s="4" t="str">
        <f>IFERROR(__xludf.DUMMYFUNCTION("""COMPUTED_VALUE"""),"hsuite")</f>
        <v>hsuite</v>
      </c>
      <c r="B5887" s="4" t="str">
        <f>IFERROR(__xludf.DUMMYFUNCTION("""COMPUTED_VALUE"""),"hsuite")</f>
        <v>hsuite</v>
      </c>
      <c r="C5887" s="4" t="str">
        <f>IFERROR(__xludf.DUMMYFUNCTION("""COMPUTED_VALUE"""),"HbarSuite")</f>
        <v>HbarSuite</v>
      </c>
    </row>
    <row r="5888">
      <c r="A5888" s="4" t="str">
        <f>IFERROR(__xludf.DUMMYFUNCTION("""COMPUTED_VALUE"""),"htm")</f>
        <v>htm</v>
      </c>
      <c r="B5888" s="4" t="str">
        <f>IFERROR(__xludf.DUMMYFUNCTION("""COMPUTED_VALUE"""),"htm")</f>
        <v>htm</v>
      </c>
      <c r="C5888" s="4" t="str">
        <f>IFERROR(__xludf.DUMMYFUNCTION("""COMPUTED_VALUE"""),"HTM")</f>
        <v>HTM</v>
      </c>
    </row>
    <row r="5889">
      <c r="A5889" s="4" t="str">
        <f>IFERROR(__xludf.DUMMYFUNCTION("""COMPUTED_VALUE"""),"htmlcoin")</f>
        <v>htmlcoin</v>
      </c>
      <c r="B5889" s="4" t="str">
        <f>IFERROR(__xludf.DUMMYFUNCTION("""COMPUTED_VALUE"""),"html")</f>
        <v>html</v>
      </c>
      <c r="C5889" s="4" t="str">
        <f>IFERROR(__xludf.DUMMYFUNCTION("""COMPUTED_VALUE"""),"HTMLCOIN")</f>
        <v>HTMLCOIN</v>
      </c>
    </row>
    <row r="5890">
      <c r="A5890" s="4" t="str">
        <f>IFERROR(__xludf.DUMMYFUNCTION("""COMPUTED_VALUE"""),"htx-dao")</f>
        <v>htx-dao</v>
      </c>
      <c r="B5890" s="4" t="str">
        <f>IFERROR(__xludf.DUMMYFUNCTION("""COMPUTED_VALUE"""),"htx")</f>
        <v>htx</v>
      </c>
      <c r="C5890" s="4" t="str">
        <f>IFERROR(__xludf.DUMMYFUNCTION("""COMPUTED_VALUE"""),"HTX DAO")</f>
        <v>HTX DAO</v>
      </c>
    </row>
    <row r="5891">
      <c r="A5891" s="4" t="str">
        <f>IFERROR(__xludf.DUMMYFUNCTION("""COMPUTED_VALUE"""),"hubble")</f>
        <v>hubble</v>
      </c>
      <c r="B5891" s="4" t="str">
        <f>IFERROR(__xludf.DUMMYFUNCTION("""COMPUTED_VALUE"""),"hbb")</f>
        <v>hbb</v>
      </c>
      <c r="C5891" s="4" t="str">
        <f>IFERROR(__xludf.DUMMYFUNCTION("""COMPUTED_VALUE"""),"Hubble")</f>
        <v>Hubble</v>
      </c>
    </row>
    <row r="5892">
      <c r="A5892" s="4" t="str">
        <f>IFERROR(__xludf.DUMMYFUNCTION("""COMPUTED_VALUE"""),"hubin-network")</f>
        <v>hubin-network</v>
      </c>
      <c r="B5892" s="4" t="str">
        <f>IFERROR(__xludf.DUMMYFUNCTION("""COMPUTED_VALUE"""),"hbn")</f>
        <v>hbn</v>
      </c>
      <c r="C5892" s="4" t="str">
        <f>IFERROR(__xludf.DUMMYFUNCTION("""COMPUTED_VALUE"""),"Hubin Network")</f>
        <v>Hubin Network</v>
      </c>
    </row>
    <row r="5893">
      <c r="A5893" s="4" t="str">
        <f>IFERROR(__xludf.DUMMYFUNCTION("""COMPUTED_VALUE"""),"hubot")</f>
        <v>hubot</v>
      </c>
      <c r="B5893" s="4" t="str">
        <f>IFERROR(__xludf.DUMMYFUNCTION("""COMPUTED_VALUE"""),"hbt")</f>
        <v>hbt</v>
      </c>
      <c r="C5893" s="4" t="str">
        <f>IFERROR(__xludf.DUMMYFUNCTION("""COMPUTED_VALUE"""),"HUBOT")</f>
        <v>HUBOT</v>
      </c>
    </row>
    <row r="5894">
      <c r="A5894" s="4" t="str">
        <f>IFERROR(__xludf.DUMMYFUNCTION("""COMPUTED_VALUE"""),"hubswirl")</f>
        <v>hubswirl</v>
      </c>
      <c r="B5894" s="4" t="str">
        <f>IFERROR(__xludf.DUMMYFUNCTION("""COMPUTED_VALUE"""),"swirlx")</f>
        <v>swirlx</v>
      </c>
      <c r="C5894" s="4" t="str">
        <f>IFERROR(__xludf.DUMMYFUNCTION("""COMPUTED_VALUE"""),"SwirlTokenX")</f>
        <v>SwirlTokenX</v>
      </c>
    </row>
    <row r="5895">
      <c r="A5895" s="4" t="str">
        <f>IFERROR(__xludf.DUMMYFUNCTION("""COMPUTED_VALUE"""),"huckleberry")</f>
        <v>huckleberry</v>
      </c>
      <c r="B5895" s="4" t="str">
        <f>IFERROR(__xludf.DUMMYFUNCTION("""COMPUTED_VALUE"""),"finn")</f>
        <v>finn</v>
      </c>
      <c r="C5895" s="4" t="str">
        <f>IFERROR(__xludf.DUMMYFUNCTION("""COMPUTED_VALUE"""),"Huckleberry")</f>
        <v>Huckleberry</v>
      </c>
    </row>
    <row r="5896">
      <c r="A5896" s="4" t="str">
        <f>IFERROR(__xludf.DUMMYFUNCTION("""COMPUTED_VALUE"""),"hudex")</f>
        <v>hudex</v>
      </c>
      <c r="B5896" s="4" t="str">
        <f>IFERROR(__xludf.DUMMYFUNCTION("""COMPUTED_VALUE"""),"hu")</f>
        <v>hu</v>
      </c>
      <c r="C5896" s="4" t="str">
        <f>IFERROR(__xludf.DUMMYFUNCTION("""COMPUTED_VALUE"""),"Hudex")</f>
        <v>Hudex</v>
      </c>
    </row>
    <row r="5897">
      <c r="A5897" s="4" t="str">
        <f>IFERROR(__xludf.DUMMYFUNCTION("""COMPUTED_VALUE"""),"hudi")</f>
        <v>hudi</v>
      </c>
      <c r="B5897" s="4" t="str">
        <f>IFERROR(__xludf.DUMMYFUNCTION("""COMPUTED_VALUE"""),"hudi")</f>
        <v>hudi</v>
      </c>
      <c r="C5897" s="4" t="str">
        <f>IFERROR(__xludf.DUMMYFUNCTION("""COMPUTED_VALUE"""),"Hudi")</f>
        <v>Hudi</v>
      </c>
    </row>
    <row r="5898">
      <c r="A5898" s="4" t="str">
        <f>IFERROR(__xludf.DUMMYFUNCTION("""COMPUTED_VALUE"""),"huebel-bolt")</f>
        <v>huebel-bolt</v>
      </c>
      <c r="B5898" s="4" t="str">
        <f>IFERROR(__xludf.DUMMYFUNCTION("""COMPUTED_VALUE"""),"bolt")</f>
        <v>bolt</v>
      </c>
      <c r="C5898" s="4" t="str">
        <f>IFERROR(__xludf.DUMMYFUNCTION("""COMPUTED_VALUE"""),"Huebel Bolt")</f>
        <v>Huebel Bolt</v>
      </c>
    </row>
    <row r="5899">
      <c r="A5899" s="4" t="str">
        <f>IFERROR(__xludf.DUMMYFUNCTION("""COMPUTED_VALUE"""),"hug")</f>
        <v>hug</v>
      </c>
      <c r="B5899" s="4" t="str">
        <f>IFERROR(__xludf.DUMMYFUNCTION("""COMPUTED_VALUE"""),"hug")</f>
        <v>hug</v>
      </c>
      <c r="C5899" s="4" t="str">
        <f>IFERROR(__xludf.DUMMYFUNCTION("""COMPUTED_VALUE"""),"HUG")</f>
        <v>HUG</v>
      </c>
    </row>
    <row r="5900">
      <c r="A5900" s="4" t="str">
        <f>IFERROR(__xludf.DUMMYFUNCTION("""COMPUTED_VALUE"""),"hugewin")</f>
        <v>hugewin</v>
      </c>
      <c r="B5900" s="4" t="str">
        <f>IFERROR(__xludf.DUMMYFUNCTION("""COMPUTED_VALUE"""),"huge")</f>
        <v>huge</v>
      </c>
      <c r="C5900" s="4" t="str">
        <f>IFERROR(__xludf.DUMMYFUNCTION("""COMPUTED_VALUE"""),"HugeWin")</f>
        <v>HugeWin</v>
      </c>
    </row>
    <row r="5901">
      <c r="A5901" s="4" t="str">
        <f>IFERROR(__xludf.DUMMYFUNCTION("""COMPUTED_VALUE"""),"hughug-coin")</f>
        <v>hughug-coin</v>
      </c>
      <c r="B5901" s="4" t="str">
        <f>IFERROR(__xludf.DUMMYFUNCTION("""COMPUTED_VALUE"""),"hghg")</f>
        <v>hghg</v>
      </c>
      <c r="C5901" s="4" t="str">
        <f>IFERROR(__xludf.DUMMYFUNCTION("""COMPUTED_VALUE"""),"HUGHUG")</f>
        <v>HUGHUG</v>
      </c>
    </row>
    <row r="5902">
      <c r="A5902" s="4" t="str">
        <f>IFERROR(__xludf.DUMMYFUNCTION("""COMPUTED_VALUE"""),"huhu-cat")</f>
        <v>huhu-cat</v>
      </c>
      <c r="B5902" s="4" t="str">
        <f>IFERROR(__xludf.DUMMYFUNCTION("""COMPUTED_VALUE"""),"huhu")</f>
        <v>huhu</v>
      </c>
      <c r="C5902" s="4" t="str">
        <f>IFERROR(__xludf.DUMMYFUNCTION("""COMPUTED_VALUE"""),"Huhu Cat")</f>
        <v>Huhu Cat</v>
      </c>
    </row>
    <row r="5903">
      <c r="A5903" s="4" t="str">
        <f>IFERROR(__xludf.DUMMYFUNCTION("""COMPUTED_VALUE"""),"huma-finance")</f>
        <v>huma-finance</v>
      </c>
      <c r="B5903" s="4" t="str">
        <f>IFERROR(__xludf.DUMMYFUNCTION("""COMPUTED_VALUE"""),"huma")</f>
        <v>huma</v>
      </c>
      <c r="C5903" s="4" t="str">
        <f>IFERROR(__xludf.DUMMYFUNCTION("""COMPUTED_VALUE"""),"Huma Finance")</f>
        <v>Huma Finance</v>
      </c>
    </row>
    <row r="5904">
      <c r="A5904" s="4" t="str">
        <f>IFERROR(__xludf.DUMMYFUNCTION("""COMPUTED_VALUE"""),"humandao")</f>
        <v>humandao</v>
      </c>
      <c r="B5904" s="4" t="str">
        <f>IFERROR(__xludf.DUMMYFUNCTION("""COMPUTED_VALUE"""),"hdao")</f>
        <v>hdao</v>
      </c>
      <c r="C5904" s="4" t="str">
        <f>IFERROR(__xludf.DUMMYFUNCTION("""COMPUTED_VALUE"""),"humanDAO")</f>
        <v>humanDAO</v>
      </c>
    </row>
    <row r="5905">
      <c r="A5905" s="4" t="str">
        <f>IFERROR(__xludf.DUMMYFUNCTION("""COMPUTED_VALUE"""),"humaniq")</f>
        <v>humaniq</v>
      </c>
      <c r="B5905" s="4" t="str">
        <f>IFERROR(__xludf.DUMMYFUNCTION("""COMPUTED_VALUE"""),"hmq")</f>
        <v>hmq</v>
      </c>
      <c r="C5905" s="4" t="str">
        <f>IFERROR(__xludf.DUMMYFUNCTION("""COMPUTED_VALUE"""),"Humaniq")</f>
        <v>Humaniq</v>
      </c>
    </row>
    <row r="5906">
      <c r="A5906" s="4" t="str">
        <f>IFERROR(__xludf.DUMMYFUNCTION("""COMPUTED_VALUE"""),"humanize")</f>
        <v>humanize</v>
      </c>
      <c r="B5906" s="4" t="str">
        <f>IFERROR(__xludf.DUMMYFUNCTION("""COMPUTED_VALUE"""),"$hmt")</f>
        <v>$hmt</v>
      </c>
      <c r="C5906" s="4" t="str">
        <f>IFERROR(__xludf.DUMMYFUNCTION("""COMPUTED_VALUE"""),"Humanize")</f>
        <v>Humanize</v>
      </c>
    </row>
    <row r="5907">
      <c r="A5907" s="4" t="str">
        <f>IFERROR(__xludf.DUMMYFUNCTION("""COMPUTED_VALUE"""),"humanode")</f>
        <v>humanode</v>
      </c>
      <c r="B5907" s="4" t="str">
        <f>IFERROR(__xludf.DUMMYFUNCTION("""COMPUTED_VALUE"""),"hmnd")</f>
        <v>hmnd</v>
      </c>
      <c r="C5907" s="4" t="str">
        <f>IFERROR(__xludf.DUMMYFUNCTION("""COMPUTED_VALUE"""),"Humanode")</f>
        <v>Humanode</v>
      </c>
    </row>
    <row r="5908">
      <c r="A5908" s="4" t="str">
        <f>IFERROR(__xludf.DUMMYFUNCTION("""COMPUTED_VALUE"""),"humanoid-ai")</f>
        <v>humanoid-ai</v>
      </c>
      <c r="B5908" s="4" t="str">
        <f>IFERROR(__xludf.DUMMYFUNCTION("""COMPUTED_VALUE"""),"humai")</f>
        <v>humai</v>
      </c>
      <c r="C5908" s="4" t="str">
        <f>IFERROR(__xludf.DUMMYFUNCTION("""COMPUTED_VALUE"""),"Humanoid AI")</f>
        <v>Humanoid AI</v>
      </c>
    </row>
    <row r="5909">
      <c r="A5909" s="4" t="str">
        <f>IFERROR(__xludf.DUMMYFUNCTION("""COMPUTED_VALUE"""),"human-protocol")</f>
        <v>human-protocol</v>
      </c>
      <c r="B5909" s="4" t="str">
        <f>IFERROR(__xludf.DUMMYFUNCTION("""COMPUTED_VALUE"""),"hmt")</f>
        <v>hmt</v>
      </c>
      <c r="C5909" s="4" t="str">
        <f>IFERROR(__xludf.DUMMYFUNCTION("""COMPUTED_VALUE"""),"HUMAN Protocol")</f>
        <v>HUMAN Protocol</v>
      </c>
    </row>
    <row r="5910">
      <c r="A5910" s="4" t="str">
        <f>IFERROR(__xludf.DUMMYFUNCTION("""COMPUTED_VALUE"""),"humans-ai")</f>
        <v>humans-ai</v>
      </c>
      <c r="B5910" s="4" t="str">
        <f>IFERROR(__xludf.DUMMYFUNCTION("""COMPUTED_VALUE"""),"heart")</f>
        <v>heart</v>
      </c>
      <c r="C5910" s="5" t="str">
        <f>IFERROR(__xludf.DUMMYFUNCTION("""COMPUTED_VALUE"""),"Humans.ai")</f>
        <v>Humans.ai</v>
      </c>
    </row>
    <row r="5911">
      <c r="A5911" s="4" t="str">
        <f>IFERROR(__xludf.DUMMYFUNCTION("""COMPUTED_VALUE"""),"humanscape")</f>
        <v>humanscape</v>
      </c>
      <c r="B5911" s="4" t="str">
        <f>IFERROR(__xludf.DUMMYFUNCTION("""COMPUTED_VALUE"""),"hpo")</f>
        <v>hpo</v>
      </c>
      <c r="C5911" s="4" t="str">
        <f>IFERROR(__xludf.DUMMYFUNCTION("""COMPUTED_VALUE"""),"Hippocrat")</f>
        <v>Hippocrat</v>
      </c>
    </row>
    <row r="5912">
      <c r="A5912" s="4" t="str">
        <f>IFERROR(__xludf.DUMMYFUNCTION("""COMPUTED_VALUE"""),"humanscarefoundationwater")</f>
        <v>humanscarefoundationwater</v>
      </c>
      <c r="B5912" s="4" t="str">
        <f>IFERROR(__xludf.DUMMYFUNCTION("""COMPUTED_VALUE"""),"hcfw")</f>
        <v>hcfw</v>
      </c>
      <c r="C5912" s="4" t="str">
        <f>IFERROR(__xludf.DUMMYFUNCTION("""COMPUTED_VALUE"""),"HumansCareFoundationWater")</f>
        <v>HumansCareFoundationWater</v>
      </c>
    </row>
    <row r="5913">
      <c r="A5913" s="4" t="str">
        <f>IFERROR(__xludf.DUMMYFUNCTION("""COMPUTED_VALUE"""),"hummingbird-finance")</f>
        <v>hummingbird-finance</v>
      </c>
      <c r="B5913" s="4" t="str">
        <f>IFERROR(__xludf.DUMMYFUNCTION("""COMPUTED_VALUE"""),"hmng")</f>
        <v>hmng</v>
      </c>
      <c r="C5913" s="4" t="str">
        <f>IFERROR(__xludf.DUMMYFUNCTION("""COMPUTED_VALUE"""),"Hummingbird Finance [OLD]")</f>
        <v>Hummingbird Finance [OLD]</v>
      </c>
    </row>
    <row r="5914">
      <c r="A5914" s="4" t="str">
        <f>IFERROR(__xludf.DUMMYFUNCTION("""COMPUTED_VALUE"""),"hummingbird-finance-2")</f>
        <v>hummingbird-finance-2</v>
      </c>
      <c r="B5914" s="4" t="str">
        <f>IFERROR(__xludf.DUMMYFUNCTION("""COMPUTED_VALUE"""),"hmng")</f>
        <v>hmng</v>
      </c>
      <c r="C5914" s="4" t="str">
        <f>IFERROR(__xludf.DUMMYFUNCTION("""COMPUTED_VALUE"""),"Hummingbird Finance")</f>
        <v>Hummingbird Finance</v>
      </c>
    </row>
    <row r="5915">
      <c r="A5915" s="4" t="str">
        <f>IFERROR(__xludf.DUMMYFUNCTION("""COMPUTED_VALUE"""),"hummingbot")</f>
        <v>hummingbot</v>
      </c>
      <c r="B5915" s="4" t="str">
        <f>IFERROR(__xludf.DUMMYFUNCTION("""COMPUTED_VALUE"""),"hbot")</f>
        <v>hbot</v>
      </c>
      <c r="C5915" s="4" t="str">
        <f>IFERROR(__xludf.DUMMYFUNCTION("""COMPUTED_VALUE"""),"Hummingbot")</f>
        <v>Hummingbot</v>
      </c>
    </row>
    <row r="5916">
      <c r="A5916" s="4" t="str">
        <f>IFERROR(__xludf.DUMMYFUNCTION("""COMPUTED_VALUE"""),"hummus")</f>
        <v>hummus</v>
      </c>
      <c r="B5916" s="4" t="str">
        <f>IFERROR(__xludf.DUMMYFUNCTION("""COMPUTED_VALUE"""),"hum")</f>
        <v>hum</v>
      </c>
      <c r="C5916" s="4" t="str">
        <f>IFERROR(__xludf.DUMMYFUNCTION("""COMPUTED_VALUE"""),"Hummus")</f>
        <v>Hummus</v>
      </c>
    </row>
    <row r="5917">
      <c r="A5917" s="4" t="str">
        <f>IFERROR(__xludf.DUMMYFUNCTION("""COMPUTED_VALUE"""),"hump")</f>
        <v>hump</v>
      </c>
      <c r="B5917" s="4" t="str">
        <f>IFERROR(__xludf.DUMMYFUNCTION("""COMPUTED_VALUE"""),"hump")</f>
        <v>hump</v>
      </c>
      <c r="C5917" s="4" t="str">
        <f>IFERROR(__xludf.DUMMYFUNCTION("""COMPUTED_VALUE"""),"Hump")</f>
        <v>Hump</v>
      </c>
    </row>
    <row r="5918">
      <c r="A5918" s="4" t="str">
        <f>IFERROR(__xludf.DUMMYFUNCTION("""COMPUTED_VALUE"""),"hund")</f>
        <v>hund</v>
      </c>
      <c r="B5918" s="4" t="str">
        <f>IFERROR(__xludf.DUMMYFUNCTION("""COMPUTED_VALUE"""),"hund")</f>
        <v>hund</v>
      </c>
      <c r="C5918" s="4" t="str">
        <f>IFERROR(__xludf.DUMMYFUNCTION("""COMPUTED_VALUE"""),"Hund")</f>
        <v>Hund</v>
      </c>
    </row>
    <row r="5919">
      <c r="A5919" s="4" t="str">
        <f>IFERROR(__xludf.DUMMYFUNCTION("""COMPUTED_VALUE"""),"hundred")</f>
        <v>hundred</v>
      </c>
      <c r="B5919" s="4" t="str">
        <f>IFERROR(__xludf.DUMMYFUNCTION("""COMPUTED_VALUE"""),"hundred")</f>
        <v>hundred</v>
      </c>
      <c r="C5919" s="4" t="str">
        <f>IFERROR(__xludf.DUMMYFUNCTION("""COMPUTED_VALUE"""),"HUNDRED (BSC)")</f>
        <v>HUNDRED (BSC)</v>
      </c>
    </row>
    <row r="5920">
      <c r="A5920" s="4" t="str">
        <f>IFERROR(__xludf.DUMMYFUNCTION("""COMPUTED_VALUE"""),"hundred-eth")</f>
        <v>hundred-eth</v>
      </c>
      <c r="B5920" s="4" t="str">
        <f>IFERROR(__xludf.DUMMYFUNCTION("""COMPUTED_VALUE"""),"hundred")</f>
        <v>hundred</v>
      </c>
      <c r="C5920" s="4" t="str">
        <f>IFERROR(__xludf.DUMMYFUNCTION("""COMPUTED_VALUE"""),"HUNDRED (ETH)")</f>
        <v>HUNDRED (ETH)</v>
      </c>
    </row>
    <row r="5921">
      <c r="A5921" s="4" t="str">
        <f>IFERROR(__xludf.DUMMYFUNCTION("""COMPUTED_VALUE"""),"hundred-finance")</f>
        <v>hundred-finance</v>
      </c>
      <c r="B5921" s="4" t="str">
        <f>IFERROR(__xludf.DUMMYFUNCTION("""COMPUTED_VALUE"""),"hnd")</f>
        <v>hnd</v>
      </c>
      <c r="C5921" s="4" t="str">
        <f>IFERROR(__xludf.DUMMYFUNCTION("""COMPUTED_VALUE"""),"Hundred Finance")</f>
        <v>Hundred Finance</v>
      </c>
    </row>
    <row r="5922">
      <c r="A5922" s="4" t="str">
        <f>IFERROR(__xludf.DUMMYFUNCTION("""COMPUTED_VALUE"""),"hungarian-vizsla-inu")</f>
        <v>hungarian-vizsla-inu</v>
      </c>
      <c r="B5922" s="4" t="str">
        <f>IFERROR(__xludf.DUMMYFUNCTION("""COMPUTED_VALUE"""),"hvi")</f>
        <v>hvi</v>
      </c>
      <c r="C5922" s="4" t="str">
        <f>IFERROR(__xludf.DUMMYFUNCTION("""COMPUTED_VALUE"""),"Hungarian Vizsla Inu")</f>
        <v>Hungarian Vizsla Inu</v>
      </c>
    </row>
    <row r="5923">
      <c r="A5923" s="4" t="str">
        <f>IFERROR(__xludf.DUMMYFUNCTION("""COMPUTED_VALUE"""),"hunny-love-token")</f>
        <v>hunny-love-token</v>
      </c>
      <c r="B5923" s="4" t="str">
        <f>IFERROR(__xludf.DUMMYFUNCTION("""COMPUTED_VALUE"""),"love")</f>
        <v>love</v>
      </c>
      <c r="C5923" s="4" t="str">
        <f>IFERROR(__xludf.DUMMYFUNCTION("""COMPUTED_VALUE"""),"HunnyDAO")</f>
        <v>HunnyDAO</v>
      </c>
    </row>
    <row r="5924">
      <c r="A5924" s="4" t="str">
        <f>IFERROR(__xludf.DUMMYFUNCTION("""COMPUTED_VALUE"""),"hunter")</f>
        <v>hunter</v>
      </c>
      <c r="B5924" s="4" t="str">
        <f>IFERROR(__xludf.DUMMYFUNCTION("""COMPUTED_VALUE"""),"hntr")</f>
        <v>hntr</v>
      </c>
      <c r="C5924" s="4" t="str">
        <f>IFERROR(__xludf.DUMMYFUNCTION("""COMPUTED_VALUE"""),"Hunter Token")</f>
        <v>Hunter Token</v>
      </c>
    </row>
    <row r="5925">
      <c r="A5925" s="4" t="str">
        <f>IFERROR(__xludf.DUMMYFUNCTION("""COMPUTED_VALUE"""),"hunt-token")</f>
        <v>hunt-token</v>
      </c>
      <c r="B5925" s="4" t="str">
        <f>IFERROR(__xludf.DUMMYFUNCTION("""COMPUTED_VALUE"""),"hunt")</f>
        <v>hunt</v>
      </c>
      <c r="C5925" s="4" t="str">
        <f>IFERROR(__xludf.DUMMYFUNCTION("""COMPUTED_VALUE"""),"Hunt")</f>
        <v>Hunt</v>
      </c>
    </row>
    <row r="5926">
      <c r="A5926" s="4" t="str">
        <f>IFERROR(__xludf.DUMMYFUNCTION("""COMPUTED_VALUE"""),"huny")</f>
        <v>huny</v>
      </c>
      <c r="B5926" s="4" t="str">
        <f>IFERROR(__xludf.DUMMYFUNCTION("""COMPUTED_VALUE"""),"huny")</f>
        <v>huny</v>
      </c>
      <c r="C5926" s="4" t="str">
        <f>IFERROR(__xludf.DUMMYFUNCTION("""COMPUTED_VALUE"""),"Huny")</f>
        <v>Huny</v>
      </c>
    </row>
    <row r="5927">
      <c r="A5927" s="4" t="str">
        <f>IFERROR(__xludf.DUMMYFUNCTION("""COMPUTED_VALUE"""),"huobi-bitcoin-cash")</f>
        <v>huobi-bitcoin-cash</v>
      </c>
      <c r="B5927" s="4" t="str">
        <f>IFERROR(__xludf.DUMMYFUNCTION("""COMPUTED_VALUE"""),"hbch")</f>
        <v>hbch</v>
      </c>
      <c r="C5927" s="4" t="str">
        <f>IFERROR(__xludf.DUMMYFUNCTION("""COMPUTED_VALUE"""),"Huobi Bitcoin Cash")</f>
        <v>Huobi Bitcoin Cash</v>
      </c>
    </row>
    <row r="5928">
      <c r="A5928" s="4" t="str">
        <f>IFERROR(__xludf.DUMMYFUNCTION("""COMPUTED_VALUE"""),"huobi-bridged-usdt-heco-chain")</f>
        <v>huobi-bridged-usdt-heco-chain</v>
      </c>
      <c r="B5928" s="4" t="str">
        <f>IFERROR(__xludf.DUMMYFUNCTION("""COMPUTED_VALUE"""),"usdt")</f>
        <v>usdt</v>
      </c>
      <c r="C5928" s="4" t="str">
        <f>IFERROR(__xludf.DUMMYFUNCTION("""COMPUTED_VALUE"""),"Huobi Bridged USDT (Heco Chain)")</f>
        <v>Huobi Bridged USDT (Heco Chain)</v>
      </c>
    </row>
    <row r="5929">
      <c r="A5929" s="4" t="str">
        <f>IFERROR(__xludf.DUMMYFUNCTION("""COMPUTED_VALUE"""),"huobi-btc")</f>
        <v>huobi-btc</v>
      </c>
      <c r="B5929" s="4" t="str">
        <f>IFERROR(__xludf.DUMMYFUNCTION("""COMPUTED_VALUE"""),"hbtc")</f>
        <v>hbtc</v>
      </c>
      <c r="C5929" s="4" t="str">
        <f>IFERROR(__xludf.DUMMYFUNCTION("""COMPUTED_VALUE"""),"Huobi BTC")</f>
        <v>Huobi BTC</v>
      </c>
    </row>
    <row r="5930">
      <c r="A5930" s="4" t="str">
        <f>IFERROR(__xludf.DUMMYFUNCTION("""COMPUTED_VALUE"""),"huobi-btc-wormhole")</f>
        <v>huobi-btc-wormhole</v>
      </c>
      <c r="B5930" s="4" t="str">
        <f>IFERROR(__xludf.DUMMYFUNCTION("""COMPUTED_VALUE"""),"hbtc")</f>
        <v>hbtc</v>
      </c>
      <c r="C5930" s="4" t="str">
        <f>IFERROR(__xludf.DUMMYFUNCTION("""COMPUTED_VALUE"""),"Huobi BTC (Wormhole)")</f>
        <v>Huobi BTC (Wormhole)</v>
      </c>
    </row>
    <row r="5931">
      <c r="A5931" s="4" t="str">
        <f>IFERROR(__xludf.DUMMYFUNCTION("""COMPUTED_VALUE"""),"huobi-ethereum")</f>
        <v>huobi-ethereum</v>
      </c>
      <c r="B5931" s="4" t="str">
        <f>IFERROR(__xludf.DUMMYFUNCTION("""COMPUTED_VALUE"""),"heth")</f>
        <v>heth</v>
      </c>
      <c r="C5931" s="4" t="str">
        <f>IFERROR(__xludf.DUMMYFUNCTION("""COMPUTED_VALUE"""),"Huobi Ethereum")</f>
        <v>Huobi Ethereum</v>
      </c>
    </row>
    <row r="5932">
      <c r="A5932" s="4" t="str">
        <f>IFERROR(__xludf.DUMMYFUNCTION("""COMPUTED_VALUE"""),"huobi-fil")</f>
        <v>huobi-fil</v>
      </c>
      <c r="B5932" s="4" t="str">
        <f>IFERROR(__xludf.DUMMYFUNCTION("""COMPUTED_VALUE"""),"hfil")</f>
        <v>hfil</v>
      </c>
      <c r="C5932" s="4" t="str">
        <f>IFERROR(__xludf.DUMMYFUNCTION("""COMPUTED_VALUE"""),"Huobi FIL")</f>
        <v>Huobi FIL</v>
      </c>
    </row>
    <row r="5933">
      <c r="A5933" s="4" t="str">
        <f>IFERROR(__xludf.DUMMYFUNCTION("""COMPUTED_VALUE"""),"huobi-litecoin")</f>
        <v>huobi-litecoin</v>
      </c>
      <c r="B5933" s="4" t="str">
        <f>IFERROR(__xludf.DUMMYFUNCTION("""COMPUTED_VALUE"""),"hltc")</f>
        <v>hltc</v>
      </c>
      <c r="C5933" s="4" t="str">
        <f>IFERROR(__xludf.DUMMYFUNCTION("""COMPUTED_VALUE"""),"Huobi Litecoin")</f>
        <v>Huobi Litecoin</v>
      </c>
    </row>
    <row r="5934">
      <c r="A5934" s="4" t="str">
        <f>IFERROR(__xludf.DUMMYFUNCTION("""COMPUTED_VALUE"""),"huobi-polkadot")</f>
        <v>huobi-polkadot</v>
      </c>
      <c r="B5934" s="4" t="str">
        <f>IFERROR(__xludf.DUMMYFUNCTION("""COMPUTED_VALUE"""),"hdot")</f>
        <v>hdot</v>
      </c>
      <c r="C5934" s="4" t="str">
        <f>IFERROR(__xludf.DUMMYFUNCTION("""COMPUTED_VALUE"""),"Huobi Polkadot")</f>
        <v>Huobi Polkadot</v>
      </c>
    </row>
    <row r="5935">
      <c r="A5935" s="4" t="str">
        <f>IFERROR(__xludf.DUMMYFUNCTION("""COMPUTED_VALUE"""),"huobi-pool-token")</f>
        <v>huobi-pool-token</v>
      </c>
      <c r="B5935" s="4" t="str">
        <f>IFERROR(__xludf.DUMMYFUNCTION("""COMPUTED_VALUE"""),"hpt")</f>
        <v>hpt</v>
      </c>
      <c r="C5935" s="4" t="str">
        <f>IFERROR(__xludf.DUMMYFUNCTION("""COMPUTED_VALUE"""),"Huobi Pool")</f>
        <v>Huobi Pool</v>
      </c>
    </row>
    <row r="5936">
      <c r="A5936" s="4" t="str">
        <f>IFERROR(__xludf.DUMMYFUNCTION("""COMPUTED_VALUE"""),"huobi-token")</f>
        <v>huobi-token</v>
      </c>
      <c r="B5936" s="4" t="str">
        <f>IFERROR(__xludf.DUMMYFUNCTION("""COMPUTED_VALUE"""),"ht")</f>
        <v>ht</v>
      </c>
      <c r="C5936" s="4" t="str">
        <f>IFERROR(__xludf.DUMMYFUNCTION("""COMPUTED_VALUE"""),"Huobi")</f>
        <v>Huobi</v>
      </c>
    </row>
    <row r="5937">
      <c r="A5937" s="4" t="str">
        <f>IFERROR(__xludf.DUMMYFUNCTION("""COMPUTED_VALUE"""),"huralya")</f>
        <v>huralya</v>
      </c>
      <c r="B5937" s="4" t="str">
        <f>IFERROR(__xludf.DUMMYFUNCTION("""COMPUTED_VALUE"""),"lya")</f>
        <v>lya</v>
      </c>
      <c r="C5937" s="4" t="str">
        <f>IFERROR(__xludf.DUMMYFUNCTION("""COMPUTED_VALUE"""),"Huralya")</f>
        <v>Huralya</v>
      </c>
    </row>
    <row r="5938">
      <c r="A5938" s="4" t="str">
        <f>IFERROR(__xludf.DUMMYFUNCTION("""COMPUTED_VALUE"""),"hurricane-nft")</f>
        <v>hurricane-nft</v>
      </c>
      <c r="B5938" s="4" t="str">
        <f>IFERROR(__xludf.DUMMYFUNCTION("""COMPUTED_VALUE"""),"nhct")</f>
        <v>nhct</v>
      </c>
      <c r="C5938" s="4" t="str">
        <f>IFERROR(__xludf.DUMMYFUNCTION("""COMPUTED_VALUE"""),"Hurricane NFT")</f>
        <v>Hurricane NFT</v>
      </c>
    </row>
    <row r="5939">
      <c r="A5939" s="4" t="str">
        <f>IFERROR(__xludf.DUMMYFUNCTION("""COMPUTED_VALUE"""),"hurricaneswap-token")</f>
        <v>hurricaneswap-token</v>
      </c>
      <c r="B5939" s="4" t="str">
        <f>IFERROR(__xludf.DUMMYFUNCTION("""COMPUTED_VALUE"""),"hct")</f>
        <v>hct</v>
      </c>
      <c r="C5939" s="4" t="str">
        <f>IFERROR(__xludf.DUMMYFUNCTION("""COMPUTED_VALUE"""),"HurricaneSwap")</f>
        <v>HurricaneSwap</v>
      </c>
    </row>
    <row r="5940">
      <c r="A5940" s="4" t="str">
        <f>IFERROR(__xludf.DUMMYFUNCTION("""COMPUTED_VALUE"""),"husbant")</f>
        <v>husbant</v>
      </c>
      <c r="B5940" s="4" t="str">
        <f>IFERROR(__xludf.DUMMYFUNCTION("""COMPUTED_VALUE"""),"husbant")</f>
        <v>husbant</v>
      </c>
      <c r="C5940" s="4" t="str">
        <f>IFERROR(__xludf.DUMMYFUNCTION("""COMPUTED_VALUE"""),"Husbant")</f>
        <v>Husbant</v>
      </c>
    </row>
    <row r="5941">
      <c r="A5941" s="4" t="str">
        <f>IFERROR(__xludf.DUMMYFUNCTION("""COMPUTED_VALUE"""),"husd")</f>
        <v>husd</v>
      </c>
      <c r="B5941" s="4" t="str">
        <f>IFERROR(__xludf.DUMMYFUNCTION("""COMPUTED_VALUE"""),"husd")</f>
        <v>husd</v>
      </c>
      <c r="C5941" s="4" t="str">
        <f>IFERROR(__xludf.DUMMYFUNCTION("""COMPUTED_VALUE"""),"HUSD")</f>
        <v>HUSD</v>
      </c>
    </row>
    <row r="5942">
      <c r="A5942" s="4" t="str">
        <f>IFERROR(__xludf.DUMMYFUNCTION("""COMPUTED_VALUE"""),"hush")</f>
        <v>hush</v>
      </c>
      <c r="B5942" s="4" t="str">
        <f>IFERROR(__xludf.DUMMYFUNCTION("""COMPUTED_VALUE"""),"hush")</f>
        <v>hush</v>
      </c>
      <c r="C5942" s="4" t="str">
        <f>IFERROR(__xludf.DUMMYFUNCTION("""COMPUTED_VALUE"""),"Hush")</f>
        <v>Hush</v>
      </c>
    </row>
    <row r="5943">
      <c r="A5943" s="4" t="str">
        <f>IFERROR(__xludf.DUMMYFUNCTION("""COMPUTED_VALUE"""),"hush-cash")</f>
        <v>hush-cash</v>
      </c>
      <c r="B5943" s="4" t="str">
        <f>IFERROR(__xludf.DUMMYFUNCTION("""COMPUTED_VALUE"""),"hush")</f>
        <v>hush</v>
      </c>
      <c r="C5943" s="4" t="str">
        <f>IFERROR(__xludf.DUMMYFUNCTION("""COMPUTED_VALUE"""),"Hush.cash")</f>
        <v>Hush.cash</v>
      </c>
    </row>
    <row r="5944">
      <c r="A5944" s="4" t="str">
        <f>IFERROR(__xludf.DUMMYFUNCTION("""COMPUTED_VALUE"""),"husky-ai")</f>
        <v>husky-ai</v>
      </c>
      <c r="B5944" s="4" t="str">
        <f>IFERROR(__xludf.DUMMYFUNCTION("""COMPUTED_VALUE"""),"hus")</f>
        <v>hus</v>
      </c>
      <c r="C5944" s="5" t="str">
        <f>IFERROR(__xludf.DUMMYFUNCTION("""COMPUTED_VALUE"""),"Husky.AI")</f>
        <v>Husky.AI</v>
      </c>
    </row>
    <row r="5945">
      <c r="A5945" s="4" t="str">
        <f>IFERROR(__xludf.DUMMYFUNCTION("""COMPUTED_VALUE"""),"husky-avax")</f>
        <v>husky-avax</v>
      </c>
      <c r="B5945" s="4" t="str">
        <f>IFERROR(__xludf.DUMMYFUNCTION("""COMPUTED_VALUE"""),"husky")</f>
        <v>husky</v>
      </c>
      <c r="C5945" s="4" t="str">
        <f>IFERROR(__xludf.DUMMYFUNCTION("""COMPUTED_VALUE"""),"Husky Avax")</f>
        <v>Husky Avax</v>
      </c>
    </row>
    <row r="5946">
      <c r="A5946" s="4" t="str">
        <f>IFERROR(__xludf.DUMMYFUNCTION("""COMPUTED_VALUE"""),"hustlebot")</f>
        <v>hustlebot</v>
      </c>
      <c r="B5946" s="4" t="str">
        <f>IFERROR(__xludf.DUMMYFUNCTION("""COMPUTED_VALUE"""),"hustle")</f>
        <v>hustle</v>
      </c>
      <c r="C5946" s="4" t="str">
        <f>IFERROR(__xludf.DUMMYFUNCTION("""COMPUTED_VALUE"""),"HustleBot")</f>
        <v>HustleBot</v>
      </c>
    </row>
    <row r="5947">
      <c r="A5947" s="4" t="str">
        <f>IFERROR(__xludf.DUMMYFUNCTION("""COMPUTED_VALUE"""),"hxacoin")</f>
        <v>hxacoin</v>
      </c>
      <c r="B5947" s="4" t="str">
        <f>IFERROR(__xludf.DUMMYFUNCTION("""COMPUTED_VALUE"""),"hxa")</f>
        <v>hxa</v>
      </c>
      <c r="C5947" s="4" t="str">
        <f>IFERROR(__xludf.DUMMYFUNCTION("""COMPUTED_VALUE"""),"HXAcoin")</f>
        <v>HXAcoin</v>
      </c>
    </row>
    <row r="5948">
      <c r="A5948" s="4" t="str">
        <f>IFERROR(__xludf.DUMMYFUNCTION("""COMPUTED_VALUE"""),"hxro")</f>
        <v>hxro</v>
      </c>
      <c r="B5948" s="4" t="str">
        <f>IFERROR(__xludf.DUMMYFUNCTION("""COMPUTED_VALUE"""),"hxro")</f>
        <v>hxro</v>
      </c>
      <c r="C5948" s="4" t="str">
        <f>IFERROR(__xludf.DUMMYFUNCTION("""COMPUTED_VALUE"""),"HXRO")</f>
        <v>HXRO</v>
      </c>
    </row>
    <row r="5949">
      <c r="A5949" s="4" t="str">
        <f>IFERROR(__xludf.DUMMYFUNCTION("""COMPUTED_VALUE"""),"hybrid-token-2f302f60-395f-4dd0-8c18-9c5418a61a31")</f>
        <v>hybrid-token-2f302f60-395f-4dd0-8c18-9c5418a61a31</v>
      </c>
      <c r="B5949" s="4" t="str">
        <f>IFERROR(__xludf.DUMMYFUNCTION("""COMPUTED_VALUE"""),"hbd")</f>
        <v>hbd</v>
      </c>
      <c r="C5949" s="4" t="str">
        <f>IFERROR(__xludf.DUMMYFUNCTION("""COMPUTED_VALUE"""),"HYBRID TOKEN")</f>
        <v>HYBRID TOKEN</v>
      </c>
    </row>
    <row r="5950">
      <c r="A5950" s="4" t="str">
        <f>IFERROR(__xludf.DUMMYFUNCTION("""COMPUTED_VALUE"""),"hydra")</f>
        <v>hydra</v>
      </c>
      <c r="B5950" s="4" t="str">
        <f>IFERROR(__xludf.DUMMYFUNCTION("""COMPUTED_VALUE"""),"hydra")</f>
        <v>hydra</v>
      </c>
      <c r="C5950" s="4" t="str">
        <f>IFERROR(__xludf.DUMMYFUNCTION("""COMPUTED_VALUE"""),"Hydra")</f>
        <v>Hydra</v>
      </c>
    </row>
    <row r="5951">
      <c r="A5951" s="4" t="str">
        <f>IFERROR(__xludf.DUMMYFUNCTION("""COMPUTED_VALUE"""),"hydra-2")</f>
        <v>hydra-2</v>
      </c>
      <c r="B5951" s="4" t="str">
        <f>IFERROR(__xludf.DUMMYFUNCTION("""COMPUTED_VALUE"""),"hydra")</f>
        <v>hydra</v>
      </c>
      <c r="C5951" s="4" t="str">
        <f>IFERROR(__xludf.DUMMYFUNCTION("""COMPUTED_VALUE"""),"Hydra")</f>
        <v>Hydra</v>
      </c>
    </row>
    <row r="5952">
      <c r="A5952" s="4" t="str">
        <f>IFERROR(__xludf.DUMMYFUNCTION("""COMPUTED_VALUE"""),"hydradx")</f>
        <v>hydradx</v>
      </c>
      <c r="B5952" s="4" t="str">
        <f>IFERROR(__xludf.DUMMYFUNCTION("""COMPUTED_VALUE"""),"hdx")</f>
        <v>hdx</v>
      </c>
      <c r="C5952" s="4" t="str">
        <f>IFERROR(__xludf.DUMMYFUNCTION("""COMPUTED_VALUE"""),"HydraDX")</f>
        <v>HydraDX</v>
      </c>
    </row>
    <row r="5953">
      <c r="A5953" s="4" t="str">
        <f>IFERROR(__xludf.DUMMYFUNCTION("""COMPUTED_VALUE"""),"hydranet")</f>
        <v>hydranet</v>
      </c>
      <c r="B5953" s="4" t="str">
        <f>IFERROR(__xludf.DUMMYFUNCTION("""COMPUTED_VALUE"""),"hdn")</f>
        <v>hdn</v>
      </c>
      <c r="C5953" s="4" t="str">
        <f>IFERROR(__xludf.DUMMYFUNCTION("""COMPUTED_VALUE"""),"Hydranet")</f>
        <v>Hydranet</v>
      </c>
    </row>
    <row r="5954">
      <c r="A5954" s="4" t="str">
        <f>IFERROR(__xludf.DUMMYFUNCTION("""COMPUTED_VALUE"""),"hydraverse")</f>
        <v>hydraverse</v>
      </c>
      <c r="B5954" s="4" t="str">
        <f>IFERROR(__xludf.DUMMYFUNCTION("""COMPUTED_VALUE"""),"hdv")</f>
        <v>hdv</v>
      </c>
      <c r="C5954" s="4" t="str">
        <f>IFERROR(__xludf.DUMMYFUNCTION("""COMPUTED_VALUE"""),"Hydraverse")</f>
        <v>Hydraverse</v>
      </c>
    </row>
    <row r="5955">
      <c r="A5955" s="4" t="str">
        <f>IFERROR(__xludf.DUMMYFUNCTION("""COMPUTED_VALUE"""),"hydro-protocol-2")</f>
        <v>hydro-protocol-2</v>
      </c>
      <c r="B5955" s="4" t="str">
        <f>IFERROR(__xludf.DUMMYFUNCTION("""COMPUTED_VALUE"""),"hdro")</f>
        <v>hdro</v>
      </c>
      <c r="C5955" s="4" t="str">
        <f>IFERROR(__xludf.DUMMYFUNCTION("""COMPUTED_VALUE"""),"Hydro Protocol")</f>
        <v>Hydro Protocol</v>
      </c>
    </row>
    <row r="5956">
      <c r="A5956" s="4" t="str">
        <f>IFERROR(__xludf.DUMMYFUNCTION("""COMPUTED_VALUE"""),"hydt-protocol-hydt")</f>
        <v>hydt-protocol-hydt</v>
      </c>
      <c r="B5956" s="4" t="str">
        <f>IFERROR(__xludf.DUMMYFUNCTION("""COMPUTED_VALUE"""),"hydt")</f>
        <v>hydt</v>
      </c>
      <c r="C5956" s="4" t="str">
        <f>IFERROR(__xludf.DUMMYFUNCTION("""COMPUTED_VALUE"""),"HYDT")</f>
        <v>HYDT</v>
      </c>
    </row>
    <row r="5957">
      <c r="A5957" s="4" t="str">
        <f>IFERROR(__xludf.DUMMYFUNCTION("""COMPUTED_VALUE"""),"hyena-coin")</f>
        <v>hyena-coin</v>
      </c>
      <c r="B5957" s="4" t="str">
        <f>IFERROR(__xludf.DUMMYFUNCTION("""COMPUTED_VALUE"""),"hyc")</f>
        <v>hyc</v>
      </c>
      <c r="C5957" s="4" t="str">
        <f>IFERROR(__xludf.DUMMYFUNCTION("""COMPUTED_VALUE"""),"Hyena Coin")</f>
        <v>Hyena Coin</v>
      </c>
    </row>
    <row r="5958">
      <c r="A5958" s="4" t="str">
        <f>IFERROR(__xludf.DUMMYFUNCTION("""COMPUTED_VALUE"""),"hygt")</f>
        <v>hygt</v>
      </c>
      <c r="B5958" s="4" t="str">
        <f>IFERROR(__xludf.DUMMYFUNCTION("""COMPUTED_VALUE"""),"hygt")</f>
        <v>hygt</v>
      </c>
      <c r="C5958" s="4" t="str">
        <f>IFERROR(__xludf.DUMMYFUNCTION("""COMPUTED_VALUE"""),"HYGT")</f>
        <v>HYGT</v>
      </c>
    </row>
    <row r="5959">
      <c r="A5959" s="4" t="str">
        <f>IFERROR(__xludf.DUMMYFUNCTION("""COMPUTED_VALUE"""),"hyme")</f>
        <v>hyme</v>
      </c>
      <c r="B5959" s="4" t="str">
        <f>IFERROR(__xludf.DUMMYFUNCTION("""COMPUTED_VALUE"""),"hyme")</f>
        <v>hyme</v>
      </c>
      <c r="C5959" s="4" t="str">
        <f>IFERROR(__xludf.DUMMYFUNCTION("""COMPUTED_VALUE"""),"HYME")</f>
        <v>HYME</v>
      </c>
    </row>
    <row r="5960">
      <c r="A5960" s="4" t="str">
        <f>IFERROR(__xludf.DUMMYFUNCTION("""COMPUTED_VALUE"""),"hype-meme-token")</f>
        <v>hype-meme-token</v>
      </c>
      <c r="B5960" s="4" t="str">
        <f>IFERROR(__xludf.DUMMYFUNCTION("""COMPUTED_VALUE"""),"hmtt")</f>
        <v>hmtt</v>
      </c>
      <c r="C5960" s="4" t="str">
        <f>IFERROR(__xludf.DUMMYFUNCTION("""COMPUTED_VALUE"""),"Hype Meme Token")</f>
        <v>Hype Meme Token</v>
      </c>
    </row>
    <row r="5961">
      <c r="A5961" s="4" t="str">
        <f>IFERROR(__xludf.DUMMYFUNCTION("""COMPUTED_VALUE"""),"hyper-3")</f>
        <v>hyper-3</v>
      </c>
      <c r="B5961" s="4" t="str">
        <f>IFERROR(__xludf.DUMMYFUNCTION("""COMPUTED_VALUE"""),"eon")</f>
        <v>eon</v>
      </c>
      <c r="C5961" s="4" t="str">
        <f>IFERROR(__xludf.DUMMYFUNCTION("""COMPUTED_VALUE"""),"Hyper")</f>
        <v>Hyper</v>
      </c>
    </row>
    <row r="5962">
      <c r="A5962" s="4" t="str">
        <f>IFERROR(__xludf.DUMMYFUNCTION("""COMPUTED_VALUE"""),"hyper-4")</f>
        <v>hyper-4</v>
      </c>
      <c r="B5962" s="4" t="str">
        <f>IFERROR(__xludf.DUMMYFUNCTION("""COMPUTED_VALUE"""),"hyper")</f>
        <v>hyper</v>
      </c>
      <c r="C5962" s="4" t="str">
        <f>IFERROR(__xludf.DUMMYFUNCTION("""COMPUTED_VALUE"""),"Hyper")</f>
        <v>Hyper</v>
      </c>
    </row>
    <row r="5963">
      <c r="A5963" s="4" t="str">
        <f>IFERROR(__xludf.DUMMYFUNCTION("""COMPUTED_VALUE"""),"hyperbc")</f>
        <v>hyperbc</v>
      </c>
      <c r="B5963" s="4" t="str">
        <f>IFERROR(__xludf.DUMMYFUNCTION("""COMPUTED_VALUE"""),"hbt")</f>
        <v>hbt</v>
      </c>
      <c r="C5963" s="4" t="str">
        <f>IFERROR(__xludf.DUMMYFUNCTION("""COMPUTED_VALUE"""),"HyperBC")</f>
        <v>HyperBC</v>
      </c>
    </row>
    <row r="5964">
      <c r="A5964" s="4" t="str">
        <f>IFERROR(__xludf.DUMMYFUNCTION("""COMPUTED_VALUE"""),"hyperblast")</f>
        <v>hyperblast</v>
      </c>
      <c r="B5964" s="4" t="str">
        <f>IFERROR(__xludf.DUMMYFUNCTION("""COMPUTED_VALUE"""),"hype")</f>
        <v>hype</v>
      </c>
      <c r="C5964" s="4" t="str">
        <f>IFERROR(__xludf.DUMMYFUNCTION("""COMPUTED_VALUE"""),"HyperBlast")</f>
        <v>HyperBlast</v>
      </c>
    </row>
    <row r="5965">
      <c r="A5965" s="4" t="str">
        <f>IFERROR(__xludf.DUMMYFUNCTION("""COMPUTED_VALUE"""),"hyperbolic-protocol")</f>
        <v>hyperbolic-protocol</v>
      </c>
      <c r="B5965" s="4" t="str">
        <f>IFERROR(__xludf.DUMMYFUNCTION("""COMPUTED_VALUE"""),"hype")</f>
        <v>hype</v>
      </c>
      <c r="C5965" s="4" t="str">
        <f>IFERROR(__xludf.DUMMYFUNCTION("""COMPUTED_VALUE"""),"Hyperbolic Protocol")</f>
        <v>Hyperbolic Protocol</v>
      </c>
    </row>
    <row r="5966">
      <c r="A5966" s="4" t="str">
        <f>IFERROR(__xludf.DUMMYFUNCTION("""COMPUTED_VALUE"""),"hypercent")</f>
        <v>hypercent</v>
      </c>
      <c r="B5966" s="4" t="str">
        <f>IFERROR(__xludf.DUMMYFUNCTION("""COMPUTED_VALUE"""),"hype")</f>
        <v>hype</v>
      </c>
      <c r="C5966" s="4" t="str">
        <f>IFERROR(__xludf.DUMMYFUNCTION("""COMPUTED_VALUE"""),"Hypercent")</f>
        <v>Hypercent</v>
      </c>
    </row>
    <row r="5967">
      <c r="A5967" s="4" t="str">
        <f>IFERROR(__xludf.DUMMYFUNCTION("""COMPUTED_VALUE"""),"hyperchainx")</f>
        <v>hyperchainx</v>
      </c>
      <c r="B5967" s="4" t="str">
        <f>IFERROR(__xludf.DUMMYFUNCTION("""COMPUTED_VALUE"""),"hyper")</f>
        <v>hyper</v>
      </c>
      <c r="C5967" s="4" t="str">
        <f>IFERROR(__xludf.DUMMYFUNCTION("""COMPUTED_VALUE"""),"HyperChainX")</f>
        <v>HyperChainX</v>
      </c>
    </row>
    <row r="5968">
      <c r="A5968" s="4" t="str">
        <f>IFERROR(__xludf.DUMMYFUNCTION("""COMPUTED_VALUE"""),"hypercomic")</f>
        <v>hypercomic</v>
      </c>
      <c r="B5968" s="4" t="str">
        <f>IFERROR(__xludf.DUMMYFUNCTION("""COMPUTED_VALUE"""),"hyco")</f>
        <v>hyco</v>
      </c>
      <c r="C5968" s="4" t="str">
        <f>IFERROR(__xludf.DUMMYFUNCTION("""COMPUTED_VALUE"""),"HYPERCOMIC")</f>
        <v>HYPERCOMIC</v>
      </c>
    </row>
    <row r="5969">
      <c r="A5969" s="4" t="str">
        <f>IFERROR(__xludf.DUMMYFUNCTION("""COMPUTED_VALUE"""),"hypercycle")</f>
        <v>hypercycle</v>
      </c>
      <c r="B5969" s="4" t="str">
        <f>IFERROR(__xludf.DUMMYFUNCTION("""COMPUTED_VALUE"""),"hypc")</f>
        <v>hypc</v>
      </c>
      <c r="C5969" s="4" t="str">
        <f>IFERROR(__xludf.DUMMYFUNCTION("""COMPUTED_VALUE"""),"HyperCycle")</f>
        <v>HyperCycle</v>
      </c>
    </row>
    <row r="5970">
      <c r="A5970" s="4" t="str">
        <f>IFERROR(__xludf.DUMMYFUNCTION("""COMPUTED_VALUE"""),"hyperdao")</f>
        <v>hyperdao</v>
      </c>
      <c r="B5970" s="4" t="str">
        <f>IFERROR(__xludf.DUMMYFUNCTION("""COMPUTED_VALUE"""),"hdao")</f>
        <v>hdao</v>
      </c>
      <c r="C5970" s="4" t="str">
        <f>IFERROR(__xludf.DUMMYFUNCTION("""COMPUTED_VALUE"""),"HyperDAO")</f>
        <v>HyperDAO</v>
      </c>
    </row>
    <row r="5971">
      <c r="A5971" s="4" t="str">
        <f>IFERROR(__xludf.DUMMYFUNCTION("""COMPUTED_VALUE"""),"hypergpt")</f>
        <v>hypergpt</v>
      </c>
      <c r="B5971" s="4" t="str">
        <f>IFERROR(__xludf.DUMMYFUNCTION("""COMPUTED_VALUE"""),"hgpt")</f>
        <v>hgpt</v>
      </c>
      <c r="C5971" s="4" t="str">
        <f>IFERROR(__xludf.DUMMYFUNCTION("""COMPUTED_VALUE"""),"HyperGPT")</f>
        <v>HyperGPT</v>
      </c>
    </row>
    <row r="5972">
      <c r="A5972" s="4" t="str">
        <f>IFERROR(__xludf.DUMMYFUNCTION("""COMPUTED_VALUE"""),"hyper-pay")</f>
        <v>hyper-pay</v>
      </c>
      <c r="B5972" s="4" t="str">
        <f>IFERROR(__xludf.DUMMYFUNCTION("""COMPUTED_VALUE"""),"hpy")</f>
        <v>hpy</v>
      </c>
      <c r="C5972" s="4" t="str">
        <f>IFERROR(__xludf.DUMMYFUNCTION("""COMPUTED_VALUE"""),"Hyper Pay")</f>
        <v>Hyper Pay</v>
      </c>
    </row>
    <row r="5973">
      <c r="A5973" s="4" t="str">
        <f>IFERROR(__xludf.DUMMYFUNCTION("""COMPUTED_VALUE"""),"hypersign-identity-token")</f>
        <v>hypersign-identity-token</v>
      </c>
      <c r="B5973" s="4" t="str">
        <f>IFERROR(__xludf.DUMMYFUNCTION("""COMPUTED_VALUE"""),"hid")</f>
        <v>hid</v>
      </c>
      <c r="C5973" s="4" t="str">
        <f>IFERROR(__xludf.DUMMYFUNCTION("""COMPUTED_VALUE"""),"Hypersign Identity")</f>
        <v>Hypersign Identity</v>
      </c>
    </row>
    <row r="5974">
      <c r="A5974" s="4" t="str">
        <f>IFERROR(__xludf.DUMMYFUNCTION("""COMPUTED_VALUE"""),"hyperstake")</f>
        <v>hyperstake</v>
      </c>
      <c r="B5974" s="4" t="str">
        <f>IFERROR(__xludf.DUMMYFUNCTION("""COMPUTED_VALUE"""),"hyp")</f>
        <v>hyp</v>
      </c>
      <c r="C5974" s="4" t="str">
        <f>IFERROR(__xludf.DUMMYFUNCTION("""COMPUTED_VALUE"""),"Element")</f>
        <v>Element</v>
      </c>
    </row>
    <row r="5975">
      <c r="A5975" s="4" t="str">
        <f>IFERROR(__xludf.DUMMYFUNCTION("""COMPUTED_VALUE"""),"hypra")</f>
        <v>hypra</v>
      </c>
      <c r="B5975" s="4" t="str">
        <f>IFERROR(__xludf.DUMMYFUNCTION("""COMPUTED_VALUE"""),"hyp")</f>
        <v>hyp</v>
      </c>
      <c r="C5975" s="4" t="str">
        <f>IFERROR(__xludf.DUMMYFUNCTION("""COMPUTED_VALUE"""),"HYPRA")</f>
        <v>HYPRA</v>
      </c>
    </row>
    <row r="5976">
      <c r="A5976" s="4" t="str">
        <f>IFERROR(__xludf.DUMMYFUNCTION("""COMPUTED_VALUE"""),"hypra-inu")</f>
        <v>hypra-inu</v>
      </c>
      <c r="B5976" s="4" t="str">
        <f>IFERROR(__xludf.DUMMYFUNCTION("""COMPUTED_VALUE"""),"hinu")</f>
        <v>hinu</v>
      </c>
      <c r="C5976" s="4" t="str">
        <f>IFERROR(__xludf.DUMMYFUNCTION("""COMPUTED_VALUE"""),"Hypra Inu")</f>
        <v>Hypra Inu</v>
      </c>
    </row>
    <row r="5977">
      <c r="A5977" s="4" t="str">
        <f>IFERROR(__xludf.DUMMYFUNCTION("""COMPUTED_VALUE"""),"hypr-network")</f>
        <v>hypr-network</v>
      </c>
      <c r="B5977" s="4" t="str">
        <f>IFERROR(__xludf.DUMMYFUNCTION("""COMPUTED_VALUE"""),"hypr")</f>
        <v>hypr</v>
      </c>
      <c r="C5977" s="4" t="str">
        <f>IFERROR(__xludf.DUMMYFUNCTION("""COMPUTED_VALUE"""),"Hypr Network")</f>
        <v>Hypr Network</v>
      </c>
    </row>
    <row r="5978">
      <c r="A5978" s="4" t="str">
        <f>IFERROR(__xludf.DUMMYFUNCTION("""COMPUTED_VALUE"""),"hyruleswap")</f>
        <v>hyruleswap</v>
      </c>
      <c r="B5978" s="4" t="str">
        <f>IFERROR(__xludf.DUMMYFUNCTION("""COMPUTED_VALUE"""),"rupee")</f>
        <v>rupee</v>
      </c>
      <c r="C5978" s="4" t="str">
        <f>IFERROR(__xludf.DUMMYFUNCTION("""COMPUTED_VALUE"""),"HyruleSwap")</f>
        <v>HyruleSwap</v>
      </c>
    </row>
    <row r="5979">
      <c r="A5979" s="4" t="str">
        <f>IFERROR(__xludf.DUMMYFUNCTION("""COMPUTED_VALUE"""),"hytopia")</f>
        <v>hytopia</v>
      </c>
      <c r="B5979" s="4" t="str">
        <f>IFERROR(__xludf.DUMMYFUNCTION("""COMPUTED_VALUE"""),"topia")</f>
        <v>topia</v>
      </c>
      <c r="C5979" s="4" t="str">
        <f>IFERROR(__xludf.DUMMYFUNCTION("""COMPUTED_VALUE"""),"HYCHAIN")</f>
        <v>HYCHAIN</v>
      </c>
    </row>
    <row r="5980">
      <c r="A5980" s="4" t="str">
        <f>IFERROR(__xludf.DUMMYFUNCTION("""COMPUTED_VALUE"""),"hyve")</f>
        <v>hyve</v>
      </c>
      <c r="B5980" s="4" t="str">
        <f>IFERROR(__xludf.DUMMYFUNCTION("""COMPUTED_VALUE"""),"hyve")</f>
        <v>hyve</v>
      </c>
      <c r="C5980" s="4" t="str">
        <f>IFERROR(__xludf.DUMMYFUNCTION("""COMPUTED_VALUE"""),"Hyve")</f>
        <v>Hyve</v>
      </c>
    </row>
    <row r="5981">
      <c r="A5981" s="4" t="str">
        <f>IFERROR(__xludf.DUMMYFUNCTION("""COMPUTED_VALUE"""),"hzm-coin")</f>
        <v>hzm-coin</v>
      </c>
      <c r="B5981" s="4" t="str">
        <f>IFERROR(__xludf.DUMMYFUNCTION("""COMPUTED_VALUE"""),"hzm")</f>
        <v>hzm</v>
      </c>
      <c r="C5981" s="4" t="str">
        <f>IFERROR(__xludf.DUMMYFUNCTION("""COMPUTED_VALUE"""),"HZM Coin")</f>
        <v>HZM Coin</v>
      </c>
    </row>
    <row r="5982">
      <c r="A5982" s="4" t="str">
        <f>IFERROR(__xludf.DUMMYFUNCTION("""COMPUTED_VALUE"""),"iagon")</f>
        <v>iagon</v>
      </c>
      <c r="B5982" s="4" t="str">
        <f>IFERROR(__xludf.DUMMYFUNCTION("""COMPUTED_VALUE"""),"iag")</f>
        <v>iag</v>
      </c>
      <c r="C5982" s="4" t="str">
        <f>IFERROR(__xludf.DUMMYFUNCTION("""COMPUTED_VALUE"""),"Iagon")</f>
        <v>Iagon</v>
      </c>
    </row>
    <row r="5983">
      <c r="A5983" s="4" t="str">
        <f>IFERROR(__xludf.DUMMYFUNCTION("""COMPUTED_VALUE"""),"iamx")</f>
        <v>iamx</v>
      </c>
      <c r="B5983" s="4" t="str">
        <f>IFERROR(__xludf.DUMMYFUNCTION("""COMPUTED_VALUE"""),"iamx")</f>
        <v>iamx</v>
      </c>
      <c r="C5983" s="4" t="str">
        <f>IFERROR(__xludf.DUMMYFUNCTION("""COMPUTED_VALUE"""),"IAMX")</f>
        <v>IAMX</v>
      </c>
    </row>
    <row r="5984">
      <c r="A5984" s="4" t="str">
        <f>IFERROR(__xludf.DUMMYFUNCTION("""COMPUTED_VALUE"""),"iassets")</f>
        <v>iassets</v>
      </c>
      <c r="B5984" s="4" t="str">
        <f>IFERROR(__xludf.DUMMYFUNCTION("""COMPUTED_VALUE"""),"asset")</f>
        <v>asset</v>
      </c>
      <c r="C5984" s="4" t="str">
        <f>IFERROR(__xludf.DUMMYFUNCTION("""COMPUTED_VALUE"""),"iAssets")</f>
        <v>iAssets</v>
      </c>
    </row>
    <row r="5985">
      <c r="A5985" s="4" t="str">
        <f>IFERROR(__xludf.DUMMYFUNCTION("""COMPUTED_VALUE"""),"iazuki")</f>
        <v>iazuki</v>
      </c>
      <c r="B5985" s="4" t="str">
        <f>IFERROR(__xludf.DUMMYFUNCTION("""COMPUTED_VALUE"""),"iazuki")</f>
        <v>iazuki</v>
      </c>
      <c r="C5985" s="4" t="str">
        <f>IFERROR(__xludf.DUMMYFUNCTION("""COMPUTED_VALUE"""),"IAzuki")</f>
        <v>IAzuki</v>
      </c>
    </row>
    <row r="5986">
      <c r="A5986" s="4" t="str">
        <f>IFERROR(__xludf.DUMMYFUNCTION("""COMPUTED_VALUE"""),"ibc-bridged-axlusdc-xpla")</f>
        <v>ibc-bridged-axlusdc-xpla</v>
      </c>
      <c r="B5986" s="4" t="str">
        <f>IFERROR(__xludf.DUMMYFUNCTION("""COMPUTED_VALUE"""),"axlusdc")</f>
        <v>axlusdc</v>
      </c>
      <c r="C5986" s="4" t="str">
        <f>IFERROR(__xludf.DUMMYFUNCTION("""COMPUTED_VALUE"""),"IBC Bridged axlUSDC (XPLA)")</f>
        <v>IBC Bridged axlUSDC (XPLA)</v>
      </c>
    </row>
    <row r="5987">
      <c r="A5987" s="4" t="str">
        <f>IFERROR(__xludf.DUMMYFUNCTION("""COMPUTED_VALUE"""),"ibc-index")</f>
        <v>ibc-index</v>
      </c>
      <c r="B5987" s="4" t="str">
        <f>IFERROR(__xludf.DUMMYFUNCTION("""COMPUTED_VALUE"""),"ibcx")</f>
        <v>ibcx</v>
      </c>
      <c r="C5987" s="4" t="str">
        <f>IFERROR(__xludf.DUMMYFUNCTION("""COMPUTED_VALUE"""),"IBC Index")</f>
        <v>IBC Index</v>
      </c>
    </row>
    <row r="5988">
      <c r="A5988" s="4" t="str">
        <f>IFERROR(__xludf.DUMMYFUNCTION("""COMPUTED_VALUE"""),"ibg-token")</f>
        <v>ibg-token</v>
      </c>
      <c r="B5988" s="4" t="str">
        <f>IFERROR(__xludf.DUMMYFUNCTION("""COMPUTED_VALUE"""),"ibg")</f>
        <v>ibg</v>
      </c>
      <c r="C5988" s="4" t="str">
        <f>IFERROR(__xludf.DUMMYFUNCTION("""COMPUTED_VALUE"""),"iBG Finance (BSC)")</f>
        <v>iBG Finance (BSC)</v>
      </c>
    </row>
    <row r="5989">
      <c r="A5989" s="4" t="str">
        <f>IFERROR(__xludf.DUMMYFUNCTION("""COMPUTED_VALUE"""),"ibithub")</f>
        <v>ibithub</v>
      </c>
      <c r="B5989" s="4" t="str">
        <f>IFERROR(__xludf.DUMMYFUNCTION("""COMPUTED_VALUE"""),"ibh")</f>
        <v>ibh</v>
      </c>
      <c r="C5989" s="4" t="str">
        <f>IFERROR(__xludf.DUMMYFUNCTION("""COMPUTED_VALUE"""),"iBitHub")</f>
        <v>iBitHub</v>
      </c>
    </row>
    <row r="5990">
      <c r="A5990" s="4" t="str">
        <f>IFERROR(__xludf.DUMMYFUNCTION("""COMPUTED_VALUE"""),"ibs")</f>
        <v>ibs</v>
      </c>
      <c r="B5990" s="4" t="str">
        <f>IFERROR(__xludf.DUMMYFUNCTION("""COMPUTED_VALUE"""),"ibs")</f>
        <v>ibs</v>
      </c>
      <c r="C5990" s="4" t="str">
        <f>IFERROR(__xludf.DUMMYFUNCTION("""COMPUTED_VALUE"""),"IBS")</f>
        <v>IBS</v>
      </c>
    </row>
    <row r="5991">
      <c r="A5991" s="4" t="str">
        <f>IFERROR(__xludf.DUMMYFUNCTION("""COMPUTED_VALUE"""),"ibtc-2")</f>
        <v>ibtc-2</v>
      </c>
      <c r="B5991" s="4" t="str">
        <f>IFERROR(__xludf.DUMMYFUNCTION("""COMPUTED_VALUE"""),"ibtc")</f>
        <v>ibtc</v>
      </c>
      <c r="C5991" s="4" t="str">
        <f>IFERROR(__xludf.DUMMYFUNCTION("""COMPUTED_VALUE"""),"iBTC")</f>
        <v>iBTC</v>
      </c>
    </row>
    <row r="5992">
      <c r="A5992" s="4" t="str">
        <f>IFERROR(__xludf.DUMMYFUNCTION("""COMPUTED_VALUE"""),"ibuffer-token")</f>
        <v>ibuffer-token</v>
      </c>
      <c r="B5992" s="4" t="str">
        <f>IFERROR(__xludf.DUMMYFUNCTION("""COMPUTED_VALUE"""),"bfr")</f>
        <v>bfr</v>
      </c>
      <c r="C5992" s="4" t="str">
        <f>IFERROR(__xludf.DUMMYFUNCTION("""COMPUTED_VALUE"""),"Buffer Token")</f>
        <v>Buffer Token</v>
      </c>
    </row>
    <row r="5993">
      <c r="A5993" s="4" t="str">
        <f>IFERROR(__xludf.DUMMYFUNCTION("""COMPUTED_VALUE"""),"icarus-m-guild-war-velzeroth")</f>
        <v>icarus-m-guild-war-velzeroth</v>
      </c>
      <c r="B5993" s="4" t="str">
        <f>IFERROR(__xludf.DUMMYFUNCTION("""COMPUTED_VALUE"""),"vel")</f>
        <v>vel</v>
      </c>
      <c r="C5993" s="4" t="str">
        <f>IFERROR(__xludf.DUMMYFUNCTION("""COMPUTED_VALUE"""),"Icarus M: Guild War VELZEROTH")</f>
        <v>Icarus M: Guild War VELZEROTH</v>
      </c>
    </row>
    <row r="5994">
      <c r="A5994" s="4" t="str">
        <f>IFERROR(__xludf.DUMMYFUNCTION("""COMPUTED_VALUE"""),"ice")</f>
        <v>ice</v>
      </c>
      <c r="B5994" s="4" t="str">
        <f>IFERROR(__xludf.DUMMYFUNCTION("""COMPUTED_VALUE"""),"ice")</f>
        <v>ice</v>
      </c>
      <c r="C5994" s="4" t="str">
        <f>IFERROR(__xludf.DUMMYFUNCTION("""COMPUTED_VALUE"""),"Ice Network")</f>
        <v>Ice Network</v>
      </c>
    </row>
    <row r="5995">
      <c r="A5995" s="4" t="str">
        <f>IFERROR(__xludf.DUMMYFUNCTION("""COMPUTED_VALUE"""),"ice-2")</f>
        <v>ice-2</v>
      </c>
      <c r="B5995" s="4" t="str">
        <f>IFERROR(__xludf.DUMMYFUNCTION("""COMPUTED_VALUE"""),"ice")</f>
        <v>ice</v>
      </c>
      <c r="C5995" s="4" t="str">
        <f>IFERROR(__xludf.DUMMYFUNCTION("""COMPUTED_VALUE"""),"Ice")</f>
        <v>Ice</v>
      </c>
    </row>
    <row r="5996">
      <c r="A5996" s="4" t="str">
        <f>IFERROR(__xludf.DUMMYFUNCTION("""COMPUTED_VALUE"""),"icecream")</f>
        <v>icecream</v>
      </c>
      <c r="B5996" s="4" t="str">
        <f>IFERROR(__xludf.DUMMYFUNCTION("""COMPUTED_VALUE"""),"ice")</f>
        <v>ice</v>
      </c>
      <c r="C5996" s="4" t="str">
        <f>IFERROR(__xludf.DUMMYFUNCTION("""COMPUTED_VALUE"""),"IceCreamSwap")</f>
        <v>IceCreamSwap</v>
      </c>
    </row>
    <row r="5997">
      <c r="A5997" s="4" t="str">
        <f>IFERROR(__xludf.DUMMYFUNCTION("""COMPUTED_VALUE"""),"icecreamswap-wcore")</f>
        <v>icecreamswap-wcore</v>
      </c>
      <c r="B5997" s="4" t="str">
        <f>IFERROR(__xludf.DUMMYFUNCTION("""COMPUTED_VALUE"""),"wcore")</f>
        <v>wcore</v>
      </c>
      <c r="C5997" s="4" t="str">
        <f>IFERROR(__xludf.DUMMYFUNCTION("""COMPUTED_VALUE"""),"IceCreamSwap WCORE")</f>
        <v>IceCreamSwap WCORE</v>
      </c>
    </row>
    <row r="5998">
      <c r="A5998" s="4" t="str">
        <f>IFERROR(__xludf.DUMMYFUNCTION("""COMPUTED_VALUE"""),"ice-net")</f>
        <v>ice-net</v>
      </c>
      <c r="B5998" s="4" t="str">
        <f>IFERROR(__xludf.DUMMYFUNCTION("""COMPUTED_VALUE"""),"ice")</f>
        <v>ice</v>
      </c>
      <c r="C5998" s="4" t="str">
        <f>IFERROR(__xludf.DUMMYFUNCTION("""COMPUTED_VALUE"""),"ICE NET")</f>
        <v>ICE NET</v>
      </c>
    </row>
    <row r="5999">
      <c r="A5999" s="4" t="str">
        <f>IFERROR(__xludf.DUMMYFUNCTION("""COMPUTED_VALUE"""),"ice-token")</f>
        <v>ice-token</v>
      </c>
      <c r="B5999" s="4" t="str">
        <f>IFERROR(__xludf.DUMMYFUNCTION("""COMPUTED_VALUE"""),"ice")</f>
        <v>ice</v>
      </c>
      <c r="C5999" s="4" t="str">
        <f>IFERROR(__xludf.DUMMYFUNCTION("""COMPUTED_VALUE"""),"Popsicle Finance")</f>
        <v>Popsicle Finance</v>
      </c>
    </row>
    <row r="6000">
      <c r="A6000" s="4" t="str">
        <f>IFERROR(__xludf.DUMMYFUNCTION("""COMPUTED_VALUE"""),"ic-ghost")</f>
        <v>ic-ghost</v>
      </c>
      <c r="B6000" s="4" t="str">
        <f>IFERROR(__xludf.DUMMYFUNCTION("""COMPUTED_VALUE"""),"ghost")</f>
        <v>ghost</v>
      </c>
      <c r="C6000" s="4" t="str">
        <f>IFERROR(__xludf.DUMMYFUNCTION("""COMPUTED_VALUE"""),"IC Ghost")</f>
        <v>IC Ghost</v>
      </c>
    </row>
    <row r="6001">
      <c r="A6001" s="4" t="str">
        <f>IFERROR(__xludf.DUMMYFUNCTION("""COMPUTED_VALUE"""),"ichi-farm")</f>
        <v>ichi-farm</v>
      </c>
      <c r="B6001" s="4" t="str">
        <f>IFERROR(__xludf.DUMMYFUNCTION("""COMPUTED_VALUE"""),"ichi")</f>
        <v>ichi</v>
      </c>
      <c r="C6001" s="4" t="str">
        <f>IFERROR(__xludf.DUMMYFUNCTION("""COMPUTED_VALUE"""),"ICHI")</f>
        <v>ICHI</v>
      </c>
    </row>
    <row r="6002">
      <c r="A6002" s="4" t="str">
        <f>IFERROR(__xludf.DUMMYFUNCTION("""COMPUTED_VALUE"""),"iclick-inu")</f>
        <v>iclick-inu</v>
      </c>
      <c r="B6002" s="4" t="str">
        <f>IFERROR(__xludf.DUMMYFUNCTION("""COMPUTED_VALUE"""),"iclick")</f>
        <v>iclick</v>
      </c>
      <c r="C6002" s="4" t="str">
        <f>IFERROR(__xludf.DUMMYFUNCTION("""COMPUTED_VALUE"""),"ICLICK Inu")</f>
        <v>ICLICK Inu</v>
      </c>
    </row>
    <row r="6003">
      <c r="A6003" s="4" t="str">
        <f>IFERROR(__xludf.DUMMYFUNCTION("""COMPUTED_VALUE"""),"icomex")</f>
        <v>icomex</v>
      </c>
      <c r="B6003" s="4" t="str">
        <f>IFERROR(__xludf.DUMMYFUNCTION("""COMPUTED_VALUE"""),"icmx")</f>
        <v>icmx</v>
      </c>
      <c r="C6003" s="4" t="str">
        <f>IFERROR(__xludf.DUMMYFUNCTION("""COMPUTED_VALUE"""),"iCOMEX")</f>
        <v>iCOMEX</v>
      </c>
    </row>
    <row r="6004">
      <c r="A6004" s="4" t="str">
        <f>IFERROR(__xludf.DUMMYFUNCTION("""COMPUTED_VALUE"""),"icommunity")</f>
        <v>icommunity</v>
      </c>
      <c r="B6004" s="4" t="str">
        <f>IFERROR(__xludf.DUMMYFUNCTION("""COMPUTED_VALUE"""),"icom")</f>
        <v>icom</v>
      </c>
      <c r="C6004" s="4" t="str">
        <f>IFERROR(__xludf.DUMMYFUNCTION("""COMPUTED_VALUE"""),"iCommunity")</f>
        <v>iCommunity</v>
      </c>
    </row>
    <row r="6005">
      <c r="A6005" s="4" t="str">
        <f>IFERROR(__xludf.DUMMYFUNCTION("""COMPUTED_VALUE"""),"icon")</f>
        <v>icon</v>
      </c>
      <c r="B6005" s="4" t="str">
        <f>IFERROR(__xludf.DUMMYFUNCTION("""COMPUTED_VALUE"""),"icx")</f>
        <v>icx</v>
      </c>
      <c r="C6005" s="4" t="str">
        <f>IFERROR(__xludf.DUMMYFUNCTION("""COMPUTED_VALUE"""),"ICON")</f>
        <v>ICON</v>
      </c>
    </row>
    <row r="6006">
      <c r="A6006" s="4" t="str">
        <f>IFERROR(__xludf.DUMMYFUNCTION("""COMPUTED_VALUE"""),"iconiq-lab-token")</f>
        <v>iconiq-lab-token</v>
      </c>
      <c r="B6006" s="4" t="str">
        <f>IFERROR(__xludf.DUMMYFUNCTION("""COMPUTED_VALUE"""),"icnq")</f>
        <v>icnq</v>
      </c>
      <c r="C6006" s="4" t="str">
        <f>IFERROR(__xludf.DUMMYFUNCTION("""COMPUTED_VALUE"""),"Deutsche Digital Assets")</f>
        <v>Deutsche Digital Assets</v>
      </c>
    </row>
    <row r="6007">
      <c r="A6007" s="4" t="str">
        <f>IFERROR(__xludf.DUMMYFUNCTION("""COMPUTED_VALUE"""),"icon-x-world")</f>
        <v>icon-x-world</v>
      </c>
      <c r="B6007" s="4" t="str">
        <f>IFERROR(__xludf.DUMMYFUNCTION("""COMPUTED_VALUE"""),"icnx")</f>
        <v>icnx</v>
      </c>
      <c r="C6007" s="4" t="str">
        <f>IFERROR(__xludf.DUMMYFUNCTION("""COMPUTED_VALUE"""),"Icon.X World")</f>
        <v>Icon.X World</v>
      </c>
    </row>
    <row r="6008">
      <c r="A6008" s="4" t="str">
        <f>IFERROR(__xludf.DUMMYFUNCTION("""COMPUTED_VALUE"""),"icosa")</f>
        <v>icosa</v>
      </c>
      <c r="B6008" s="4" t="str">
        <f>IFERROR(__xludf.DUMMYFUNCTION("""COMPUTED_VALUE"""),"icsa")</f>
        <v>icsa</v>
      </c>
      <c r="C6008" s="4" t="str">
        <f>IFERROR(__xludf.DUMMYFUNCTION("""COMPUTED_VALUE"""),"Icosa")</f>
        <v>Icosa</v>
      </c>
    </row>
    <row r="6009">
      <c r="A6009" s="4" t="str">
        <f>IFERROR(__xludf.DUMMYFUNCTION("""COMPUTED_VALUE"""),"icpanda-dao")</f>
        <v>icpanda-dao</v>
      </c>
      <c r="B6009" s="4" t="str">
        <f>IFERROR(__xludf.DUMMYFUNCTION("""COMPUTED_VALUE"""),"panda")</f>
        <v>panda</v>
      </c>
      <c r="C6009" s="4" t="str">
        <f>IFERROR(__xludf.DUMMYFUNCTION("""COMPUTED_VALUE"""),"ICPanda DAO")</f>
        <v>ICPanda DAO</v>
      </c>
    </row>
    <row r="6010">
      <c r="A6010" s="4" t="str">
        <f>IFERROR(__xludf.DUMMYFUNCTION("""COMPUTED_VALUE"""),"icpi")</f>
        <v>icpi</v>
      </c>
      <c r="B6010" s="4" t="str">
        <f>IFERROR(__xludf.DUMMYFUNCTION("""COMPUTED_VALUE"""),"icpi")</f>
        <v>icpi</v>
      </c>
      <c r="C6010" s="4" t="str">
        <f>IFERROR(__xludf.DUMMYFUNCTION("""COMPUTED_VALUE"""),"ICPI")</f>
        <v>ICPI</v>
      </c>
    </row>
    <row r="6011">
      <c r="A6011" s="4" t="str">
        <f>IFERROR(__xludf.DUMMYFUNCTION("""COMPUTED_VALUE"""),"icrypex-token")</f>
        <v>icrypex-token</v>
      </c>
      <c r="B6011" s="4" t="str">
        <f>IFERROR(__xludf.DUMMYFUNCTION("""COMPUTED_VALUE"""),"icpx")</f>
        <v>icpx</v>
      </c>
      <c r="C6011" s="4" t="str">
        <f>IFERROR(__xludf.DUMMYFUNCTION("""COMPUTED_VALUE"""),"Icrypex Token")</f>
        <v>Icrypex Token</v>
      </c>
    </row>
    <row r="6012">
      <c r="A6012" s="4" t="str">
        <f>IFERROR(__xludf.DUMMYFUNCTION("""COMPUTED_VALUE"""),"ictech")</f>
        <v>ictech</v>
      </c>
      <c r="B6012" s="4" t="str">
        <f>IFERROR(__xludf.DUMMYFUNCTION("""COMPUTED_VALUE"""),"ict")</f>
        <v>ict</v>
      </c>
      <c r="C6012" s="4" t="str">
        <f>IFERROR(__xludf.DUMMYFUNCTION("""COMPUTED_VALUE"""),"ICTech")</f>
        <v>ICTech</v>
      </c>
    </row>
    <row r="6013">
      <c r="A6013" s="4" t="str">
        <f>IFERROR(__xludf.DUMMYFUNCTION("""COMPUTED_VALUE"""),"ic-x")</f>
        <v>ic-x</v>
      </c>
      <c r="B6013" s="4" t="str">
        <f>IFERROR(__xludf.DUMMYFUNCTION("""COMPUTED_VALUE"""),"icx")</f>
        <v>icx</v>
      </c>
      <c r="C6013" s="4" t="str">
        <f>IFERROR(__xludf.DUMMYFUNCTION("""COMPUTED_VALUE"""),"IC-X")</f>
        <v>IC-X</v>
      </c>
    </row>
    <row r="6014">
      <c r="A6014" s="4" t="str">
        <f>IFERROR(__xludf.DUMMYFUNCTION("""COMPUTED_VALUE"""),"icy")</f>
        <v>icy</v>
      </c>
      <c r="B6014" s="4" t="str">
        <f>IFERROR(__xludf.DUMMYFUNCTION("""COMPUTED_VALUE"""),"ic")</f>
        <v>ic</v>
      </c>
      <c r="C6014" s="4" t="str">
        <f>IFERROR(__xludf.DUMMYFUNCTION("""COMPUTED_VALUE"""),"Icy")</f>
        <v>Icy</v>
      </c>
    </row>
    <row r="6015">
      <c r="A6015" s="4" t="str">
        <f>IFERROR(__xludf.DUMMYFUNCTION("""COMPUTED_VALUE"""),"icycro")</f>
        <v>icycro</v>
      </c>
      <c r="B6015" s="4" t="str">
        <f>IFERROR(__xludf.DUMMYFUNCTION("""COMPUTED_VALUE"""),"icy")</f>
        <v>icy</v>
      </c>
      <c r="C6015" s="4" t="str">
        <f>IFERROR(__xludf.DUMMYFUNCTION("""COMPUTED_VALUE"""),"IcyCRO")</f>
        <v>IcyCRO</v>
      </c>
    </row>
    <row r="6016">
      <c r="A6016" s="4" t="str">
        <f>IFERROR(__xludf.DUMMYFUNCTION("""COMPUTED_VALUE"""),"idavoll-network")</f>
        <v>idavoll-network</v>
      </c>
      <c r="B6016" s="4" t="str">
        <f>IFERROR(__xludf.DUMMYFUNCTION("""COMPUTED_VALUE"""),"idv")</f>
        <v>idv</v>
      </c>
      <c r="C6016" s="4" t="str">
        <f>IFERROR(__xludf.DUMMYFUNCTION("""COMPUTED_VALUE"""),"Idavoll DAO")</f>
        <v>Idavoll DAO</v>
      </c>
    </row>
    <row r="6017">
      <c r="A6017" s="4" t="str">
        <f>IFERROR(__xludf.DUMMYFUNCTION("""COMPUTED_VALUE"""),"ideachain")</f>
        <v>ideachain</v>
      </c>
      <c r="B6017" s="4" t="str">
        <f>IFERROR(__xludf.DUMMYFUNCTION("""COMPUTED_VALUE"""),"ich")</f>
        <v>ich</v>
      </c>
      <c r="C6017" s="4" t="str">
        <f>IFERROR(__xludf.DUMMYFUNCTION("""COMPUTED_VALUE"""),"IdeaChain")</f>
        <v>IdeaChain</v>
      </c>
    </row>
    <row r="6018">
      <c r="A6018" s="4" t="str">
        <f>IFERROR(__xludf.DUMMYFUNCTION("""COMPUTED_VALUE"""),"ideal-opportunities")</f>
        <v>ideal-opportunities</v>
      </c>
      <c r="B6018" s="4" t="str">
        <f>IFERROR(__xludf.DUMMYFUNCTION("""COMPUTED_VALUE"""),"io")</f>
        <v>io</v>
      </c>
      <c r="C6018" s="4" t="str">
        <f>IFERROR(__xludf.DUMMYFUNCTION("""COMPUTED_VALUE"""),"IO")</f>
        <v>IO</v>
      </c>
    </row>
    <row r="6019">
      <c r="A6019" s="4" t="str">
        <f>IFERROR(__xludf.DUMMYFUNCTION("""COMPUTED_VALUE"""),"ideaology")</f>
        <v>ideaology</v>
      </c>
      <c r="B6019" s="4" t="str">
        <f>IFERROR(__xludf.DUMMYFUNCTION("""COMPUTED_VALUE"""),"idea")</f>
        <v>idea</v>
      </c>
      <c r="C6019" s="4" t="str">
        <f>IFERROR(__xludf.DUMMYFUNCTION("""COMPUTED_VALUE"""),"Ideaology")</f>
        <v>Ideaology</v>
      </c>
    </row>
    <row r="6020">
      <c r="A6020" s="4" t="str">
        <f>IFERROR(__xludf.DUMMYFUNCTION("""COMPUTED_VALUE"""),"idefiyieldprotocol")</f>
        <v>idefiyieldprotocol</v>
      </c>
      <c r="B6020" s="4" t="str">
        <f>IFERROR(__xludf.DUMMYFUNCTION("""COMPUTED_VALUE"""),"idyp")</f>
        <v>idyp</v>
      </c>
      <c r="C6020" s="4" t="str">
        <f>IFERROR(__xludf.DUMMYFUNCTION("""COMPUTED_VALUE"""),"iDypius")</f>
        <v>iDypius</v>
      </c>
    </row>
    <row r="6021">
      <c r="A6021" s="4" t="str">
        <f>IFERROR(__xludf.DUMMYFUNCTION("""COMPUTED_VALUE"""),"idena")</f>
        <v>idena</v>
      </c>
      <c r="B6021" s="4" t="str">
        <f>IFERROR(__xludf.DUMMYFUNCTION("""COMPUTED_VALUE"""),"idna")</f>
        <v>idna</v>
      </c>
      <c r="C6021" s="4" t="str">
        <f>IFERROR(__xludf.DUMMYFUNCTION("""COMPUTED_VALUE"""),"Idena")</f>
        <v>Idena</v>
      </c>
    </row>
    <row r="6022">
      <c r="A6022" s="4" t="str">
        <f>IFERROR(__xludf.DUMMYFUNCTION("""COMPUTED_VALUE"""),"ide-x-ai")</f>
        <v>ide-x-ai</v>
      </c>
      <c r="B6022" s="4" t="str">
        <f>IFERROR(__xludf.DUMMYFUNCTION("""COMPUTED_VALUE"""),"ide")</f>
        <v>ide</v>
      </c>
      <c r="C6022" s="5" t="str">
        <f>IFERROR(__xludf.DUMMYFUNCTION("""COMPUTED_VALUE"""),"Ide.x.ai")</f>
        <v>Ide.x.ai</v>
      </c>
    </row>
    <row r="6023">
      <c r="A6023" s="4" t="str">
        <f>IFERROR(__xludf.DUMMYFUNCTION("""COMPUTED_VALUE"""),"idexo-token")</f>
        <v>idexo-token</v>
      </c>
      <c r="B6023" s="4" t="str">
        <f>IFERROR(__xludf.DUMMYFUNCTION("""COMPUTED_VALUE"""),"ido")</f>
        <v>ido</v>
      </c>
      <c r="C6023" s="4" t="str">
        <f>IFERROR(__xludf.DUMMYFUNCTION("""COMPUTED_VALUE"""),"Idexo")</f>
        <v>Idexo</v>
      </c>
    </row>
    <row r="6024">
      <c r="A6024" s="4" t="str">
        <f>IFERROR(__xludf.DUMMYFUNCTION("""COMPUTED_VALUE"""),"idia")</f>
        <v>idia</v>
      </c>
      <c r="B6024" s="4" t="str">
        <f>IFERROR(__xludf.DUMMYFUNCTION("""COMPUTED_VALUE"""),"idia")</f>
        <v>idia</v>
      </c>
      <c r="C6024" s="4" t="str">
        <f>IFERROR(__xludf.DUMMYFUNCTION("""COMPUTED_VALUE"""),"Impossible Finance Launchpad")</f>
        <v>Impossible Finance Launchpad</v>
      </c>
    </row>
    <row r="6025">
      <c r="A6025" s="4" t="str">
        <f>IFERROR(__xludf.DUMMYFUNCTION("""COMPUTED_VALUE"""),"idle")</f>
        <v>idle</v>
      </c>
      <c r="B6025" s="4" t="str">
        <f>IFERROR(__xludf.DUMMYFUNCTION("""COMPUTED_VALUE"""),"idle")</f>
        <v>idle</v>
      </c>
      <c r="C6025" s="4" t="str">
        <f>IFERROR(__xludf.DUMMYFUNCTION("""COMPUTED_VALUE"""),"IDLE")</f>
        <v>IDLE</v>
      </c>
    </row>
    <row r="6026">
      <c r="A6026" s="4" t="str">
        <f>IFERROR(__xludf.DUMMYFUNCTION("""COMPUTED_VALUE"""),"idle-dai-risk-adjusted")</f>
        <v>idle-dai-risk-adjusted</v>
      </c>
      <c r="B6026" s="4" t="str">
        <f>IFERROR(__xludf.DUMMYFUNCTION("""COMPUTED_VALUE"""),"idledaisafe")</f>
        <v>idledaisafe</v>
      </c>
      <c r="C6026" s="4" t="str">
        <f>IFERROR(__xludf.DUMMYFUNCTION("""COMPUTED_VALUE"""),"IdleDAI (Risk Adjusted)")</f>
        <v>IdleDAI (Risk Adjusted)</v>
      </c>
    </row>
    <row r="6027">
      <c r="A6027" s="4" t="str">
        <f>IFERROR(__xludf.DUMMYFUNCTION("""COMPUTED_VALUE"""),"idle-dai-yield")</f>
        <v>idle-dai-yield</v>
      </c>
      <c r="B6027" s="4" t="str">
        <f>IFERROR(__xludf.DUMMYFUNCTION("""COMPUTED_VALUE"""),"idledaiyield")</f>
        <v>idledaiyield</v>
      </c>
      <c r="C6027" s="4" t="str">
        <f>IFERROR(__xludf.DUMMYFUNCTION("""COMPUTED_VALUE"""),"IdleDAI (Best Yield)")</f>
        <v>IdleDAI (Best Yield)</v>
      </c>
    </row>
    <row r="6028">
      <c r="A6028" s="4" t="str">
        <f>IFERROR(__xludf.DUMMYFUNCTION("""COMPUTED_VALUE"""),"idle-susd-yield")</f>
        <v>idle-susd-yield</v>
      </c>
      <c r="B6028" s="4" t="str">
        <f>IFERROR(__xludf.DUMMYFUNCTION("""COMPUTED_VALUE"""),"idlesusdyield")</f>
        <v>idlesusdyield</v>
      </c>
      <c r="C6028" s="4" t="str">
        <f>IFERROR(__xludf.DUMMYFUNCTION("""COMPUTED_VALUE"""),"IdleSUSD (Yield)")</f>
        <v>IdleSUSD (Yield)</v>
      </c>
    </row>
    <row r="6029">
      <c r="A6029" s="4" t="str">
        <f>IFERROR(__xludf.DUMMYFUNCTION("""COMPUTED_VALUE"""),"idle-tusd-yield")</f>
        <v>idle-tusd-yield</v>
      </c>
      <c r="B6029" s="4" t="str">
        <f>IFERROR(__xludf.DUMMYFUNCTION("""COMPUTED_VALUE"""),"idletusdyield")</f>
        <v>idletusdyield</v>
      </c>
      <c r="C6029" s="4" t="str">
        <f>IFERROR(__xludf.DUMMYFUNCTION("""COMPUTED_VALUE"""),"IdleTUSD (Best Yield)")</f>
        <v>IdleTUSD (Best Yield)</v>
      </c>
    </row>
    <row r="6030">
      <c r="A6030" s="4" t="str">
        <f>IFERROR(__xludf.DUMMYFUNCTION("""COMPUTED_VALUE"""),"idle-usdc-risk-adjusted")</f>
        <v>idle-usdc-risk-adjusted</v>
      </c>
      <c r="B6030" s="4" t="str">
        <f>IFERROR(__xludf.DUMMYFUNCTION("""COMPUTED_VALUE"""),"idleusdcsafe")</f>
        <v>idleusdcsafe</v>
      </c>
      <c r="C6030" s="4" t="str">
        <f>IFERROR(__xludf.DUMMYFUNCTION("""COMPUTED_VALUE"""),"IdleUSDC (Risk Adjusted)")</f>
        <v>IdleUSDC (Risk Adjusted)</v>
      </c>
    </row>
    <row r="6031">
      <c r="A6031" s="4" t="str">
        <f>IFERROR(__xludf.DUMMYFUNCTION("""COMPUTED_VALUE"""),"idle-usdc-yield")</f>
        <v>idle-usdc-yield</v>
      </c>
      <c r="B6031" s="4" t="str">
        <f>IFERROR(__xludf.DUMMYFUNCTION("""COMPUTED_VALUE"""),"idleusdcyield")</f>
        <v>idleusdcyield</v>
      </c>
      <c r="C6031" s="4" t="str">
        <f>IFERROR(__xludf.DUMMYFUNCTION("""COMPUTED_VALUE"""),"IdleUSDC (Yield)")</f>
        <v>IdleUSDC (Yield)</v>
      </c>
    </row>
    <row r="6032">
      <c r="A6032" s="4" t="str">
        <f>IFERROR(__xludf.DUMMYFUNCTION("""COMPUTED_VALUE"""),"idle-usdt-risk-adjusted")</f>
        <v>idle-usdt-risk-adjusted</v>
      </c>
      <c r="B6032" s="4" t="str">
        <f>IFERROR(__xludf.DUMMYFUNCTION("""COMPUTED_VALUE"""),"idleusdtsafe")</f>
        <v>idleusdtsafe</v>
      </c>
      <c r="C6032" s="4" t="str">
        <f>IFERROR(__xludf.DUMMYFUNCTION("""COMPUTED_VALUE"""),"IdleUSDT (Risk Adjusted)")</f>
        <v>IdleUSDT (Risk Adjusted)</v>
      </c>
    </row>
    <row r="6033">
      <c r="A6033" s="4" t="str">
        <f>IFERROR(__xludf.DUMMYFUNCTION("""COMPUTED_VALUE"""),"idle-usdt-yield")</f>
        <v>idle-usdt-yield</v>
      </c>
      <c r="B6033" s="4" t="str">
        <f>IFERROR(__xludf.DUMMYFUNCTION("""COMPUTED_VALUE"""),"idleusdtyield")</f>
        <v>idleusdtyield</v>
      </c>
      <c r="C6033" s="4" t="str">
        <f>IFERROR(__xludf.DUMMYFUNCTION("""COMPUTED_VALUE"""),"IdleUSDT (Yield)")</f>
        <v>IdleUSDT (Yield)</v>
      </c>
    </row>
    <row r="6034">
      <c r="A6034" s="4" t="str">
        <f>IFERROR(__xludf.DUMMYFUNCTION("""COMPUTED_VALUE"""),"idle-wbtc-yield")</f>
        <v>idle-wbtc-yield</v>
      </c>
      <c r="B6034" s="4" t="str">
        <f>IFERROR(__xludf.DUMMYFUNCTION("""COMPUTED_VALUE"""),"idlewbtcyield")</f>
        <v>idlewbtcyield</v>
      </c>
      <c r="C6034" s="4" t="str">
        <f>IFERROR(__xludf.DUMMYFUNCTION("""COMPUTED_VALUE"""),"IdleWBTC (Best Yield)")</f>
        <v>IdleWBTC (Best Yield)</v>
      </c>
    </row>
    <row r="6035">
      <c r="A6035" s="4" t="str">
        <f>IFERROR(__xludf.DUMMYFUNCTION("""COMPUTED_VALUE"""),"idm-token")</f>
        <v>idm-token</v>
      </c>
      <c r="B6035" s="4" t="str">
        <f>IFERROR(__xludf.DUMMYFUNCTION("""COMPUTED_VALUE"""),"idm")</f>
        <v>idm</v>
      </c>
      <c r="C6035" s="4" t="str">
        <f>IFERROR(__xludf.DUMMYFUNCTION("""COMPUTED_VALUE"""),"IDM Coop")</f>
        <v>IDM Coop</v>
      </c>
    </row>
    <row r="6036">
      <c r="A6036" s="4" t="str">
        <f>IFERROR(__xludf.DUMMYFUNCTION("""COMPUTED_VALUE"""),"i-dont-know")</f>
        <v>i-dont-know</v>
      </c>
      <c r="B6036" s="4" t="str">
        <f>IFERROR(__xludf.DUMMYFUNCTION("""COMPUTED_VALUE"""),"idk")</f>
        <v>idk</v>
      </c>
      <c r="C6036" s="4" t="str">
        <f>IFERROR(__xludf.DUMMYFUNCTION("""COMPUTED_VALUE"""),"i dont know")</f>
        <v>i dont know</v>
      </c>
    </row>
    <row r="6037">
      <c r="A6037" s="4" t="str">
        <f>IFERROR(__xludf.DUMMYFUNCTION("""COMPUTED_VALUE"""),"idoodles")</f>
        <v>idoodles</v>
      </c>
      <c r="B6037" s="4" t="str">
        <f>IFERROR(__xludf.DUMMYFUNCTION("""COMPUTED_VALUE"""),"idoodles")</f>
        <v>idoodles</v>
      </c>
      <c r="C6037" s="4" t="str">
        <f>IFERROR(__xludf.DUMMYFUNCTION("""COMPUTED_VALUE"""),"IDOODLES")</f>
        <v>IDOODLES</v>
      </c>
    </row>
    <row r="6038">
      <c r="A6038" s="4" t="str">
        <f>IFERROR(__xludf.DUMMYFUNCTION("""COMPUTED_VALUE"""),"idrx")</f>
        <v>idrx</v>
      </c>
      <c r="B6038" s="4" t="str">
        <f>IFERROR(__xludf.DUMMYFUNCTION("""COMPUTED_VALUE"""),"idrx")</f>
        <v>idrx</v>
      </c>
      <c r="C6038" s="4" t="str">
        <f>IFERROR(__xludf.DUMMYFUNCTION("""COMPUTED_VALUE"""),"IDRX")</f>
        <v>IDRX</v>
      </c>
    </row>
    <row r="6039">
      <c r="A6039" s="4" t="str">
        <f>IFERROR(__xludf.DUMMYFUNCTION("""COMPUTED_VALUE"""),"ierc-20")</f>
        <v>ierc-20</v>
      </c>
      <c r="B6039" s="4" t="str">
        <f>IFERROR(__xludf.DUMMYFUNCTION("""COMPUTED_VALUE"""),"idrx")</f>
        <v>idrx</v>
      </c>
      <c r="C6039" s="4" t="str">
        <f>IFERROR(__xludf.DUMMYFUNCTION("""COMPUTED_VALUE"""),"IERC-20")</f>
        <v>IERC-20</v>
      </c>
    </row>
    <row r="6040">
      <c r="A6040" s="4" t="str">
        <f>IFERROR(__xludf.DUMMYFUNCTION("""COMPUTED_VALUE"""),"iethereum")</f>
        <v>iethereum</v>
      </c>
      <c r="B6040" s="4" t="str">
        <f>IFERROR(__xludf.DUMMYFUNCTION("""COMPUTED_VALUE"""),"ieth")</f>
        <v>ieth</v>
      </c>
      <c r="C6040" s="4" t="str">
        <f>IFERROR(__xludf.DUMMYFUNCTION("""COMPUTED_VALUE"""),"iEthereum")</f>
        <v>iEthereum</v>
      </c>
    </row>
    <row r="6041">
      <c r="A6041" s="4" t="str">
        <f>IFERROR(__xludf.DUMMYFUNCTION("""COMPUTED_VALUE"""),"iexec-rlc")</f>
        <v>iexec-rlc</v>
      </c>
      <c r="B6041" s="4" t="str">
        <f>IFERROR(__xludf.DUMMYFUNCTION("""COMPUTED_VALUE"""),"rlc")</f>
        <v>rlc</v>
      </c>
      <c r="C6041" s="4" t="str">
        <f>IFERROR(__xludf.DUMMYFUNCTION("""COMPUTED_VALUE"""),"iExec RLC")</f>
        <v>iExec RLC</v>
      </c>
    </row>
    <row r="6042">
      <c r="A6042" s="4" t="str">
        <f>IFERROR(__xludf.DUMMYFUNCTION("""COMPUTED_VALUE"""),"ifarm")</f>
        <v>ifarm</v>
      </c>
      <c r="B6042" s="4" t="str">
        <f>IFERROR(__xludf.DUMMYFUNCTION("""COMPUTED_VALUE"""),"ifarm")</f>
        <v>ifarm</v>
      </c>
      <c r="C6042" s="4" t="str">
        <f>IFERROR(__xludf.DUMMYFUNCTION("""COMPUTED_VALUE"""),"iFARM")</f>
        <v>iFARM</v>
      </c>
    </row>
    <row r="6043">
      <c r="A6043" s="4" t="str">
        <f>IFERROR(__xludf.DUMMYFUNCTION("""COMPUTED_VALUE"""),"ifortune")</f>
        <v>ifortune</v>
      </c>
      <c r="B6043" s="4" t="str">
        <f>IFERROR(__xludf.DUMMYFUNCTION("""COMPUTED_VALUE"""),"ifc")</f>
        <v>ifc</v>
      </c>
      <c r="C6043" s="4" t="str">
        <f>IFERROR(__xludf.DUMMYFUNCTION("""COMPUTED_VALUE"""),"iFortune")</f>
        <v>iFortune</v>
      </c>
    </row>
    <row r="6044">
      <c r="A6044" s="4" t="str">
        <f>IFERROR(__xludf.DUMMYFUNCTION("""COMPUTED_VALUE"""),"igames")</f>
        <v>igames</v>
      </c>
      <c r="B6044" s="4" t="str">
        <f>IFERROR(__xludf.DUMMYFUNCTION("""COMPUTED_VALUE"""),"igs")</f>
        <v>igs</v>
      </c>
      <c r="C6044" s="4" t="str">
        <f>IFERROR(__xludf.DUMMYFUNCTION("""COMPUTED_VALUE"""),"iGameS")</f>
        <v>iGameS</v>
      </c>
    </row>
    <row r="6045">
      <c r="A6045" s="4" t="str">
        <f>IFERROR(__xludf.DUMMYFUNCTION("""COMPUTED_VALUE"""),"ignis")</f>
        <v>ignis</v>
      </c>
      <c r="B6045" s="4" t="str">
        <f>IFERROR(__xludf.DUMMYFUNCTION("""COMPUTED_VALUE"""),"ignis")</f>
        <v>ignis</v>
      </c>
      <c r="C6045" s="4" t="str">
        <f>IFERROR(__xludf.DUMMYFUNCTION("""COMPUTED_VALUE"""),"Ignis")</f>
        <v>Ignis</v>
      </c>
    </row>
    <row r="6046">
      <c r="A6046" s="4" t="str">
        <f>IFERROR(__xludf.DUMMYFUNCTION("""COMPUTED_VALUE"""),"ignore-fud")</f>
        <v>ignore-fud</v>
      </c>
      <c r="B6046" s="4" t="str">
        <f>IFERROR(__xludf.DUMMYFUNCTION("""COMPUTED_VALUE"""),"4token")</f>
        <v>4token</v>
      </c>
      <c r="C6046" s="4" t="str">
        <f>IFERROR(__xludf.DUMMYFUNCTION("""COMPUTED_VALUE"""),"Ignore Fud")</f>
        <v>Ignore Fud</v>
      </c>
    </row>
    <row r="6047">
      <c r="A6047" s="4" t="str">
        <f>IFERROR(__xludf.DUMMYFUNCTION("""COMPUTED_VALUE"""),"iguverse")</f>
        <v>iguverse</v>
      </c>
      <c r="B6047" s="4" t="str">
        <f>IFERROR(__xludf.DUMMYFUNCTION("""COMPUTED_VALUE"""),"igup")</f>
        <v>igup</v>
      </c>
      <c r="C6047" s="4" t="str">
        <f>IFERROR(__xludf.DUMMYFUNCTION("""COMPUTED_VALUE"""),"IguVerse IGUP")</f>
        <v>IguVerse IGUP</v>
      </c>
    </row>
    <row r="6048">
      <c r="A6048" s="4" t="str">
        <f>IFERROR(__xludf.DUMMYFUNCTION("""COMPUTED_VALUE"""),"iguverse-igu")</f>
        <v>iguverse-igu</v>
      </c>
      <c r="B6048" s="4" t="str">
        <f>IFERROR(__xludf.DUMMYFUNCTION("""COMPUTED_VALUE"""),"igu")</f>
        <v>igu</v>
      </c>
      <c r="C6048" s="4" t="str">
        <f>IFERROR(__xludf.DUMMYFUNCTION("""COMPUTED_VALUE"""),"IguVerse IGU")</f>
        <v>IguVerse IGU</v>
      </c>
    </row>
    <row r="6049">
      <c r="A6049" s="4" t="str">
        <f>IFERROR(__xludf.DUMMYFUNCTION("""COMPUTED_VALUE"""),"iht-real-estate-protocol")</f>
        <v>iht-real-estate-protocol</v>
      </c>
      <c r="B6049" s="4" t="str">
        <f>IFERROR(__xludf.DUMMYFUNCTION("""COMPUTED_VALUE"""),"iht")</f>
        <v>iht</v>
      </c>
      <c r="C6049" s="4" t="str">
        <f>IFERROR(__xludf.DUMMYFUNCTION("""COMPUTED_VALUE"""),"IHT Real Estate Protocol")</f>
        <v>IHT Real Estate Protocol</v>
      </c>
    </row>
    <row r="6050">
      <c r="A6050" s="4" t="str">
        <f>IFERROR(__xludf.DUMMYFUNCTION("""COMPUTED_VALUE"""),"iinjaz")</f>
        <v>iinjaz</v>
      </c>
      <c r="B6050" s="4" t="str">
        <f>IFERROR(__xludf.DUMMYFUNCTION("""COMPUTED_VALUE"""),"ijz")</f>
        <v>ijz</v>
      </c>
      <c r="C6050" s="4" t="str">
        <f>IFERROR(__xludf.DUMMYFUNCTION("""COMPUTED_VALUE"""),"iinjaz")</f>
        <v>iinjaz</v>
      </c>
    </row>
    <row r="6051">
      <c r="A6051" s="4" t="str">
        <f>IFERROR(__xludf.DUMMYFUNCTION("""COMPUTED_VALUE"""),"ijascoin")</f>
        <v>ijascoin</v>
      </c>
      <c r="B6051" s="4" t="str">
        <f>IFERROR(__xludf.DUMMYFUNCTION("""COMPUTED_VALUE"""),"ijc")</f>
        <v>ijc</v>
      </c>
      <c r="C6051" s="4" t="str">
        <f>IFERROR(__xludf.DUMMYFUNCTION("""COMPUTED_VALUE"""),"IjasCoin")</f>
        <v>IjasCoin</v>
      </c>
    </row>
    <row r="6052">
      <c r="A6052" s="4" t="str">
        <f>IFERROR(__xludf.DUMMYFUNCTION("""COMPUTED_VALUE"""),"ikolf")</f>
        <v>ikolf</v>
      </c>
      <c r="B6052" s="4" t="str">
        <f>IFERROR(__xludf.DUMMYFUNCTION("""COMPUTED_VALUE"""),"ikolf")</f>
        <v>ikolf</v>
      </c>
      <c r="C6052" s="4" t="str">
        <f>IFERROR(__xludf.DUMMYFUNCTION("""COMPUTED_VALUE"""),"IKOLF")</f>
        <v>IKOLF</v>
      </c>
    </row>
    <row r="6053">
      <c r="A6053" s="4" t="str">
        <f>IFERROR(__xludf.DUMMYFUNCTION("""COMPUTED_VALUE"""),"ilcapo")</f>
        <v>ilcapo</v>
      </c>
      <c r="B6053" s="4" t="str">
        <f>IFERROR(__xludf.DUMMYFUNCTION("""COMPUTED_VALUE"""),"capo")</f>
        <v>capo</v>
      </c>
      <c r="C6053" s="4" t="str">
        <f>IFERROR(__xludf.DUMMYFUNCTION("""COMPUTED_VALUE"""),"ILCAPO")</f>
        <v>ILCAPO</v>
      </c>
    </row>
    <row r="6054">
      <c r="A6054" s="4" t="str">
        <f>IFERROR(__xludf.DUMMYFUNCTION("""COMPUTED_VALUE"""),"ilcoin")</f>
        <v>ilcoin</v>
      </c>
      <c r="B6054" s="4" t="str">
        <f>IFERROR(__xludf.DUMMYFUNCTION("""COMPUTED_VALUE"""),"ilc")</f>
        <v>ilc</v>
      </c>
      <c r="C6054" s="4" t="str">
        <f>IFERROR(__xludf.DUMMYFUNCTION("""COMPUTED_VALUE"""),"ILCOIN")</f>
        <v>ILCOIN</v>
      </c>
    </row>
    <row r="6055">
      <c r="A6055" s="4" t="str">
        <f>IFERROR(__xludf.DUMMYFUNCTION("""COMPUTED_VALUE"""),"illumicati")</f>
        <v>illumicati</v>
      </c>
      <c r="B6055" s="4" t="str">
        <f>IFERROR(__xludf.DUMMYFUNCTION("""COMPUTED_VALUE"""),"milk")</f>
        <v>milk</v>
      </c>
      <c r="C6055" s="4" t="str">
        <f>IFERROR(__xludf.DUMMYFUNCTION("""COMPUTED_VALUE"""),"Illumicati")</f>
        <v>Illumicati</v>
      </c>
    </row>
    <row r="6056">
      <c r="A6056" s="4" t="str">
        <f>IFERROR(__xludf.DUMMYFUNCTION("""COMPUTED_VALUE"""),"illuminati")</f>
        <v>illuminati</v>
      </c>
      <c r="B6056" s="4" t="str">
        <f>IFERROR(__xludf.DUMMYFUNCTION("""COMPUTED_VALUE"""),"ilum")</f>
        <v>ilum</v>
      </c>
      <c r="C6056" s="4" t="str">
        <f>IFERROR(__xludf.DUMMYFUNCTION("""COMPUTED_VALUE"""),"Illuminati")</f>
        <v>Illuminati</v>
      </c>
    </row>
    <row r="6057">
      <c r="A6057" s="4" t="str">
        <f>IFERROR(__xludf.DUMMYFUNCTION("""COMPUTED_VALUE"""),"illuminaticoin")</f>
        <v>illuminaticoin</v>
      </c>
      <c r="B6057" s="4" t="str">
        <f>IFERROR(__xludf.DUMMYFUNCTION("""COMPUTED_VALUE"""),"nati")</f>
        <v>nati</v>
      </c>
      <c r="C6057" s="4" t="str">
        <f>IFERROR(__xludf.DUMMYFUNCTION("""COMPUTED_VALUE"""),"IlluminatiCoin")</f>
        <v>IlluminatiCoin</v>
      </c>
    </row>
    <row r="6058">
      <c r="A6058" s="4" t="str">
        <f>IFERROR(__xludf.DUMMYFUNCTION("""COMPUTED_VALUE"""),"illuminex")</f>
        <v>illuminex</v>
      </c>
      <c r="B6058" s="4" t="str">
        <f>IFERROR(__xludf.DUMMYFUNCTION("""COMPUTED_VALUE"""),"ix")</f>
        <v>ix</v>
      </c>
      <c r="C6058" s="4" t="str">
        <f>IFERROR(__xludf.DUMMYFUNCTION("""COMPUTED_VALUE"""),"illumineX")</f>
        <v>illumineX</v>
      </c>
    </row>
    <row r="6059">
      <c r="A6059" s="4" t="str">
        <f>IFERROR(__xludf.DUMMYFUNCTION("""COMPUTED_VALUE"""),"illuvia")</f>
        <v>illuvia</v>
      </c>
      <c r="B6059" s="4" t="str">
        <f>IFERROR(__xludf.DUMMYFUNCTION("""COMPUTED_VALUE"""),"illuvia")</f>
        <v>illuvia</v>
      </c>
      <c r="C6059" s="4" t="str">
        <f>IFERROR(__xludf.DUMMYFUNCTION("""COMPUTED_VALUE"""),"illuvia")</f>
        <v>illuvia</v>
      </c>
    </row>
    <row r="6060">
      <c r="A6060" s="4" t="str">
        <f>IFERROR(__xludf.DUMMYFUNCTION("""COMPUTED_VALUE"""),"illuvium")</f>
        <v>illuvium</v>
      </c>
      <c r="B6060" s="4" t="str">
        <f>IFERROR(__xludf.DUMMYFUNCTION("""COMPUTED_VALUE"""),"ilv")</f>
        <v>ilv</v>
      </c>
      <c r="C6060" s="4" t="str">
        <f>IFERROR(__xludf.DUMMYFUNCTION("""COMPUTED_VALUE"""),"Illuvium")</f>
        <v>Illuvium</v>
      </c>
    </row>
    <row r="6061">
      <c r="A6061" s="4" t="str">
        <f>IFERROR(__xludf.DUMMYFUNCTION("""COMPUTED_VALUE"""),"i-love-puppies")</f>
        <v>i-love-puppies</v>
      </c>
      <c r="B6061" s="4" t="str">
        <f>IFERROR(__xludf.DUMMYFUNCTION("""COMPUTED_VALUE"""),"puppies")</f>
        <v>puppies</v>
      </c>
      <c r="C6061" s="4" t="str">
        <f>IFERROR(__xludf.DUMMYFUNCTION("""COMPUTED_VALUE"""),"I love puppies")</f>
        <v>I love puppies</v>
      </c>
    </row>
    <row r="6062">
      <c r="A6062" s="4" t="str">
        <f>IFERROR(__xludf.DUMMYFUNCTION("""COMPUTED_VALUE"""),"i-love-snoopy")</f>
        <v>i-love-snoopy</v>
      </c>
      <c r="B6062" s="4" t="str">
        <f>IFERROR(__xludf.DUMMYFUNCTION("""COMPUTED_VALUE"""),"lovesnoopy")</f>
        <v>lovesnoopy</v>
      </c>
      <c r="C6062" s="4" t="str">
        <f>IFERROR(__xludf.DUMMYFUNCTION("""COMPUTED_VALUE"""),"I LOVE SNOOPY")</f>
        <v>I LOVE SNOOPY</v>
      </c>
    </row>
    <row r="6063">
      <c r="A6063" s="4" t="str">
        <f>IFERROR(__xludf.DUMMYFUNCTION("""COMPUTED_VALUE"""),"imagecoin")</f>
        <v>imagecoin</v>
      </c>
      <c r="B6063" s="4" t="str">
        <f>IFERROR(__xludf.DUMMYFUNCTION("""COMPUTED_VALUE"""),"img")</f>
        <v>img</v>
      </c>
      <c r="C6063" s="4" t="str">
        <f>IFERROR(__xludf.DUMMYFUNCTION("""COMPUTED_VALUE"""),"ImageCoin")</f>
        <v>ImageCoin</v>
      </c>
    </row>
    <row r="6064">
      <c r="A6064" s="4" t="str">
        <f>IFERROR(__xludf.DUMMYFUNCTION("""COMPUTED_VALUE"""),"imagine")</f>
        <v>imagine</v>
      </c>
      <c r="B6064" s="4" t="str">
        <f>IFERROR(__xludf.DUMMYFUNCTION("""COMPUTED_VALUE"""),"imagine")</f>
        <v>imagine</v>
      </c>
      <c r="C6064" s="4" t="str">
        <f>IFERROR(__xludf.DUMMYFUNCTION("""COMPUTED_VALUE"""),"Imagine")</f>
        <v>Imagine</v>
      </c>
    </row>
    <row r="6065">
      <c r="A6065" s="4" t="str">
        <f>IFERROR(__xludf.DUMMYFUNCTION("""COMPUTED_VALUE"""),"imayc")</f>
        <v>imayc</v>
      </c>
      <c r="B6065" s="4" t="str">
        <f>IFERROR(__xludf.DUMMYFUNCTION("""COMPUTED_VALUE"""),"imayc")</f>
        <v>imayc</v>
      </c>
      <c r="C6065" s="4" t="str">
        <f>IFERROR(__xludf.DUMMYFUNCTION("""COMPUTED_VALUE"""),"IMAYC")</f>
        <v>IMAYC</v>
      </c>
    </row>
    <row r="6066">
      <c r="A6066" s="4" t="str">
        <f>IFERROR(__xludf.DUMMYFUNCTION("""COMPUTED_VALUE"""),"ime-lab")</f>
        <v>ime-lab</v>
      </c>
      <c r="B6066" s="4" t="str">
        <f>IFERROR(__xludf.DUMMYFUNCTION("""COMPUTED_VALUE"""),"lime")</f>
        <v>lime</v>
      </c>
      <c r="C6066" s="4" t="str">
        <f>IFERROR(__xludf.DUMMYFUNCTION("""COMPUTED_VALUE"""),"iMe Lab")</f>
        <v>iMe Lab</v>
      </c>
    </row>
    <row r="6067">
      <c r="A6067" s="4" t="str">
        <f>IFERROR(__xludf.DUMMYFUNCTION("""COMPUTED_VALUE"""),"imgnai")</f>
        <v>imgnai</v>
      </c>
      <c r="B6067" s="4" t="str">
        <f>IFERROR(__xludf.DUMMYFUNCTION("""COMPUTED_VALUE"""),"imgnai")</f>
        <v>imgnai</v>
      </c>
      <c r="C6067" s="4" t="str">
        <f>IFERROR(__xludf.DUMMYFUNCTION("""COMPUTED_VALUE"""),"Image Generation AI")</f>
        <v>Image Generation AI</v>
      </c>
    </row>
    <row r="6068">
      <c r="A6068" s="4" t="str">
        <f>IFERROR(__xludf.DUMMYFUNCTION("""COMPUTED_VALUE"""),"immortaldao")</f>
        <v>immortaldao</v>
      </c>
      <c r="B6068" s="4" t="str">
        <f>IFERROR(__xludf.DUMMYFUNCTION("""COMPUTED_VALUE"""),"immo")</f>
        <v>immo</v>
      </c>
      <c r="C6068" s="4" t="str">
        <f>IFERROR(__xludf.DUMMYFUNCTION("""COMPUTED_VALUE"""),"ImmortalDAO")</f>
        <v>ImmortalDAO</v>
      </c>
    </row>
    <row r="6069">
      <c r="A6069" s="4" t="str">
        <f>IFERROR(__xludf.DUMMYFUNCTION("""COMPUTED_VALUE"""),"immortl")</f>
        <v>immortl</v>
      </c>
      <c r="B6069" s="4" t="str">
        <f>IFERROR(__xludf.DUMMYFUNCTION("""COMPUTED_VALUE"""),"imrtl")</f>
        <v>imrtl</v>
      </c>
      <c r="C6069" s="4" t="str">
        <f>IFERROR(__xludf.DUMMYFUNCTION("""COMPUTED_VALUE"""),"Immortl (OLD)")</f>
        <v>Immortl (OLD)</v>
      </c>
    </row>
    <row r="6070">
      <c r="A6070" s="4" t="str">
        <f>IFERROR(__xludf.DUMMYFUNCTION("""COMPUTED_VALUE"""),"immutable")</f>
        <v>immutable</v>
      </c>
      <c r="B6070" s="4" t="str">
        <f>IFERROR(__xludf.DUMMYFUNCTION("""COMPUTED_VALUE"""),"dara")</f>
        <v>dara</v>
      </c>
      <c r="C6070" s="4" t="str">
        <f>IFERROR(__xludf.DUMMYFUNCTION("""COMPUTED_VALUE"""),"Immutable")</f>
        <v>Immutable</v>
      </c>
    </row>
    <row r="6071">
      <c r="A6071" s="4" t="str">
        <f>IFERROR(__xludf.DUMMYFUNCTION("""COMPUTED_VALUE"""),"immutable-x")</f>
        <v>immutable-x</v>
      </c>
      <c r="B6071" s="4" t="str">
        <f>IFERROR(__xludf.DUMMYFUNCTION("""COMPUTED_VALUE"""),"imx")</f>
        <v>imx</v>
      </c>
      <c r="C6071" s="4" t="str">
        <f>IFERROR(__xludf.DUMMYFUNCTION("""COMPUTED_VALUE"""),"Immutable")</f>
        <v>Immutable</v>
      </c>
    </row>
    <row r="6072">
      <c r="A6072" s="4" t="str">
        <f>IFERROR(__xludf.DUMMYFUNCTION("""COMPUTED_VALUE"""),"immutable-zkevm-bridged-eth")</f>
        <v>immutable-zkevm-bridged-eth</v>
      </c>
      <c r="B6072" s="4" t="str">
        <f>IFERROR(__xludf.DUMMYFUNCTION("""COMPUTED_VALUE"""),"eth")</f>
        <v>eth</v>
      </c>
      <c r="C6072" s="4" t="str">
        <f>IFERROR(__xludf.DUMMYFUNCTION("""COMPUTED_VALUE"""),"Immutable zkEVM Bridged ETH")</f>
        <v>Immutable zkEVM Bridged ETH</v>
      </c>
    </row>
    <row r="6073">
      <c r="A6073" s="4" t="str">
        <f>IFERROR(__xludf.DUMMYFUNCTION("""COMPUTED_VALUE"""),"imo")</f>
        <v>imo</v>
      </c>
      <c r="B6073" s="4" t="str">
        <f>IFERROR(__xludf.DUMMYFUNCTION("""COMPUTED_VALUE"""),"imo")</f>
        <v>imo</v>
      </c>
      <c r="C6073" s="4" t="str">
        <f>IFERROR(__xludf.DUMMYFUNCTION("""COMPUTED_VALUE"""),"IMO")</f>
        <v>IMO</v>
      </c>
    </row>
    <row r="6074">
      <c r="A6074" s="4" t="str">
        <f>IFERROR(__xludf.DUMMYFUNCTION("""COMPUTED_VALUE"""),"imov")</f>
        <v>imov</v>
      </c>
      <c r="B6074" s="4" t="str">
        <f>IFERROR(__xludf.DUMMYFUNCTION("""COMPUTED_VALUE"""),"imt")</f>
        <v>imt</v>
      </c>
      <c r="C6074" s="4" t="str">
        <f>IFERROR(__xludf.DUMMYFUNCTION("""COMPUTED_VALUE"""),"IMOV")</f>
        <v>IMOV</v>
      </c>
    </row>
    <row r="6075">
      <c r="A6075" s="4" t="str">
        <f>IFERROR(__xludf.DUMMYFUNCTION("""COMPUTED_VALUE"""),"impactmarket")</f>
        <v>impactmarket</v>
      </c>
      <c r="B6075" s="4" t="str">
        <f>IFERROR(__xludf.DUMMYFUNCTION("""COMPUTED_VALUE"""),"pact")</f>
        <v>pact</v>
      </c>
      <c r="C6075" s="4" t="str">
        <f>IFERROR(__xludf.DUMMYFUNCTION("""COMPUTED_VALUE"""),"impactMarket")</f>
        <v>impactMarket</v>
      </c>
    </row>
    <row r="6076">
      <c r="A6076" s="4" t="str">
        <f>IFERROR(__xludf.DUMMYFUNCTION("""COMPUTED_VALUE"""),"imperium-empires")</f>
        <v>imperium-empires</v>
      </c>
      <c r="B6076" s="4" t="str">
        <f>IFERROR(__xludf.DUMMYFUNCTION("""COMPUTED_VALUE"""),"ime")</f>
        <v>ime</v>
      </c>
      <c r="C6076" s="4" t="str">
        <f>IFERROR(__xludf.DUMMYFUNCTION("""COMPUTED_VALUE"""),"Imperium Empires")</f>
        <v>Imperium Empires</v>
      </c>
    </row>
    <row r="6077">
      <c r="A6077" s="4" t="str">
        <f>IFERROR(__xludf.DUMMYFUNCTION("""COMPUTED_VALUE"""),"impermax-2")</f>
        <v>impermax-2</v>
      </c>
      <c r="B6077" s="4" t="str">
        <f>IFERROR(__xludf.DUMMYFUNCTION("""COMPUTED_VALUE"""),"ibex")</f>
        <v>ibex</v>
      </c>
      <c r="C6077" s="4" t="str">
        <f>IFERROR(__xludf.DUMMYFUNCTION("""COMPUTED_VALUE"""),"Impermax")</f>
        <v>Impermax</v>
      </c>
    </row>
    <row r="6078">
      <c r="A6078" s="4" t="str">
        <f>IFERROR(__xludf.DUMMYFUNCTION("""COMPUTED_VALUE"""),"impls-finance")</f>
        <v>impls-finance</v>
      </c>
      <c r="B6078" s="4" t="str">
        <f>IFERROR(__xludf.DUMMYFUNCTION("""COMPUTED_VALUE"""),"impls")</f>
        <v>impls</v>
      </c>
      <c r="C6078" s="4" t="str">
        <f>IFERROR(__xludf.DUMMYFUNCTION("""COMPUTED_VALUE"""),"IMPLS Finance")</f>
        <v>IMPLS Finance</v>
      </c>
    </row>
    <row r="6079">
      <c r="A6079" s="4" t="str">
        <f>IFERROR(__xludf.DUMMYFUNCTION("""COMPUTED_VALUE"""),"impossible-finance")</f>
        <v>impossible-finance</v>
      </c>
      <c r="B6079" s="4" t="str">
        <f>IFERROR(__xludf.DUMMYFUNCTION("""COMPUTED_VALUE"""),"if")</f>
        <v>if</v>
      </c>
      <c r="C6079" s="4" t="str">
        <f>IFERROR(__xludf.DUMMYFUNCTION("""COMPUTED_VALUE"""),"Impossible Finance")</f>
        <v>Impossible Finance</v>
      </c>
    </row>
    <row r="6080">
      <c r="A6080" s="4" t="str">
        <f>IFERROR(__xludf.DUMMYFUNCTION("""COMPUTED_VALUE"""),"impostors-blood")</f>
        <v>impostors-blood</v>
      </c>
      <c r="B6080" s="4" t="str">
        <f>IFERROR(__xludf.DUMMYFUNCTION("""COMPUTED_VALUE"""),"blood")</f>
        <v>blood</v>
      </c>
      <c r="C6080" s="4" t="str">
        <f>IFERROR(__xludf.DUMMYFUNCTION("""COMPUTED_VALUE"""),"Impostors Blood")</f>
        <v>Impostors Blood</v>
      </c>
    </row>
    <row r="6081">
      <c r="A6081" s="4" t="str">
        <f>IFERROR(__xludf.DUMMYFUNCTION("""COMPUTED_VALUE"""),"impt")</f>
        <v>impt</v>
      </c>
      <c r="B6081" s="4" t="str">
        <f>IFERROR(__xludf.DUMMYFUNCTION("""COMPUTED_VALUE"""),"impt")</f>
        <v>impt</v>
      </c>
      <c r="C6081" s="4" t="str">
        <f>IFERROR(__xludf.DUMMYFUNCTION("""COMPUTED_VALUE"""),"IMPT")</f>
        <v>IMPT</v>
      </c>
    </row>
    <row r="6082">
      <c r="A6082" s="4" t="str">
        <f>IFERROR(__xludf.DUMMYFUNCTION("""COMPUTED_VALUE"""),"inae")</f>
        <v>inae</v>
      </c>
      <c r="B6082" s="4" t="str">
        <f>IFERROR(__xludf.DUMMYFUNCTION("""COMPUTED_VALUE"""),"inae")</f>
        <v>inae</v>
      </c>
      <c r="C6082" s="4" t="str">
        <f>IFERROR(__xludf.DUMMYFUNCTION("""COMPUTED_VALUE"""),"iNAE")</f>
        <v>iNAE</v>
      </c>
    </row>
    <row r="6083">
      <c r="A6083" s="4" t="str">
        <f>IFERROR(__xludf.DUMMYFUNCTION("""COMPUTED_VALUE"""),"inceptionlrt-sfrxet")</f>
        <v>inceptionlrt-sfrxet</v>
      </c>
      <c r="B6083" s="4" t="str">
        <f>IFERROR(__xludf.DUMMYFUNCTION("""COMPUTED_VALUE"""),"insfrxeth")</f>
        <v>insfrxeth</v>
      </c>
      <c r="C6083" s="4" t="str">
        <f>IFERROR(__xludf.DUMMYFUNCTION("""COMPUTED_VALUE"""),"Inception sfrxETH")</f>
        <v>Inception sfrxETH</v>
      </c>
    </row>
    <row r="6084">
      <c r="A6084" s="4" t="str">
        <f>IFERROR(__xludf.DUMMYFUNCTION("""COMPUTED_VALUE"""),"inception-restaked-ankreth")</f>
        <v>inception-restaked-ankreth</v>
      </c>
      <c r="B6084" s="4" t="str">
        <f>IFERROR(__xludf.DUMMYFUNCTION("""COMPUTED_VALUE"""),"inankreth")</f>
        <v>inankreth</v>
      </c>
      <c r="C6084" s="4" t="str">
        <f>IFERROR(__xludf.DUMMYFUNCTION("""COMPUTED_VALUE"""),"Inception ankrETH")</f>
        <v>Inception ankrETH</v>
      </c>
    </row>
    <row r="6085">
      <c r="A6085" s="4" t="str">
        <f>IFERROR(__xludf.DUMMYFUNCTION("""COMPUTED_VALUE"""),"inception-restaked-cbeth")</f>
        <v>inception-restaked-cbeth</v>
      </c>
      <c r="B6085" s="4" t="str">
        <f>IFERROR(__xludf.DUMMYFUNCTION("""COMPUTED_VALUE"""),"incbeth")</f>
        <v>incbeth</v>
      </c>
      <c r="C6085" s="4" t="str">
        <f>IFERROR(__xludf.DUMMYFUNCTION("""COMPUTED_VALUE"""),"Inception cbETH")</f>
        <v>Inception cbETH</v>
      </c>
    </row>
    <row r="6086">
      <c r="A6086" s="4" t="str">
        <f>IFERROR(__xludf.DUMMYFUNCTION("""COMPUTED_VALUE"""),"inception-restaked-ethx")</f>
        <v>inception-restaked-ethx</v>
      </c>
      <c r="B6086" s="4" t="str">
        <f>IFERROR(__xludf.DUMMYFUNCTION("""COMPUTED_VALUE"""),"inethx")</f>
        <v>inethx</v>
      </c>
      <c r="C6086" s="4" t="str">
        <f>IFERROR(__xludf.DUMMYFUNCTION("""COMPUTED_VALUE"""),"Inception ETHx")</f>
        <v>Inception ETHx</v>
      </c>
    </row>
    <row r="6087">
      <c r="A6087" s="4" t="str">
        <f>IFERROR(__xludf.DUMMYFUNCTION("""COMPUTED_VALUE"""),"inception-restaked-lseth")</f>
        <v>inception-restaked-lseth</v>
      </c>
      <c r="B6087" s="4" t="str">
        <f>IFERROR(__xludf.DUMMYFUNCTION("""COMPUTED_VALUE"""),"inlseth")</f>
        <v>inlseth</v>
      </c>
      <c r="C6087" s="4" t="str">
        <f>IFERROR(__xludf.DUMMYFUNCTION("""COMPUTED_VALUE"""),"Inception lsETH")</f>
        <v>Inception lsETH</v>
      </c>
    </row>
    <row r="6088">
      <c r="A6088" s="4" t="str">
        <f>IFERROR(__xludf.DUMMYFUNCTION("""COMPUTED_VALUE"""),"inception-restaked-meth")</f>
        <v>inception-restaked-meth</v>
      </c>
      <c r="B6088" s="4" t="str">
        <f>IFERROR(__xludf.DUMMYFUNCTION("""COMPUTED_VALUE"""),"inmeth")</f>
        <v>inmeth</v>
      </c>
      <c r="C6088" s="4" t="str">
        <f>IFERROR(__xludf.DUMMYFUNCTION("""COMPUTED_VALUE"""),"Inception mETH")</f>
        <v>Inception mETH</v>
      </c>
    </row>
    <row r="6089">
      <c r="A6089" s="4" t="str">
        <f>IFERROR(__xludf.DUMMYFUNCTION("""COMPUTED_VALUE"""),"inception-restaked-oeth")</f>
        <v>inception-restaked-oeth</v>
      </c>
      <c r="B6089" s="4" t="str">
        <f>IFERROR(__xludf.DUMMYFUNCTION("""COMPUTED_VALUE"""),"inoeth")</f>
        <v>inoeth</v>
      </c>
      <c r="C6089" s="4" t="str">
        <f>IFERROR(__xludf.DUMMYFUNCTION("""COMPUTED_VALUE"""),"Inception oETH")</f>
        <v>Inception oETH</v>
      </c>
    </row>
    <row r="6090">
      <c r="A6090" s="4" t="str">
        <f>IFERROR(__xludf.DUMMYFUNCTION("""COMPUTED_VALUE"""),"inception-restaked-oseth")</f>
        <v>inception-restaked-oseth</v>
      </c>
      <c r="B6090" s="4" t="str">
        <f>IFERROR(__xludf.DUMMYFUNCTION("""COMPUTED_VALUE"""),"inoseth")</f>
        <v>inoseth</v>
      </c>
      <c r="C6090" s="4" t="str">
        <f>IFERROR(__xludf.DUMMYFUNCTION("""COMPUTED_VALUE"""),"Inception osETH")</f>
        <v>Inception osETH</v>
      </c>
    </row>
    <row r="6091">
      <c r="A6091" s="4" t="str">
        <f>IFERROR(__xludf.DUMMYFUNCTION("""COMPUTED_VALUE"""),"inception-restaked-reth")</f>
        <v>inception-restaked-reth</v>
      </c>
      <c r="B6091" s="4" t="str">
        <f>IFERROR(__xludf.DUMMYFUNCTION("""COMPUTED_VALUE"""),"inreth")</f>
        <v>inreth</v>
      </c>
      <c r="C6091" s="4" t="str">
        <f>IFERROR(__xludf.DUMMYFUNCTION("""COMPUTED_VALUE"""),"Inception rETH")</f>
        <v>Inception rETH</v>
      </c>
    </row>
    <row r="6092">
      <c r="A6092" s="4" t="str">
        <f>IFERROR(__xludf.DUMMYFUNCTION("""COMPUTED_VALUE"""),"inception-restaked-steth")</f>
        <v>inception-restaked-steth</v>
      </c>
      <c r="B6092" s="4" t="str">
        <f>IFERROR(__xludf.DUMMYFUNCTION("""COMPUTED_VALUE"""),"insteth")</f>
        <v>insteth</v>
      </c>
      <c r="C6092" s="4" t="str">
        <f>IFERROR(__xludf.DUMMYFUNCTION("""COMPUTED_VALUE"""),"Inception stETH")</f>
        <v>Inception stETH</v>
      </c>
    </row>
    <row r="6093">
      <c r="A6093" s="4" t="str">
        <f>IFERROR(__xludf.DUMMYFUNCTION("""COMPUTED_VALUE"""),"inception-restaked-sweth")</f>
        <v>inception-restaked-sweth</v>
      </c>
      <c r="B6093" s="4" t="str">
        <f>IFERROR(__xludf.DUMMYFUNCTION("""COMPUTED_VALUE"""),"insweth")</f>
        <v>insweth</v>
      </c>
      <c r="C6093" s="4" t="str">
        <f>IFERROR(__xludf.DUMMYFUNCTION("""COMPUTED_VALUE"""),"Inception swETH")</f>
        <v>Inception swETH</v>
      </c>
    </row>
    <row r="6094">
      <c r="A6094" s="4" t="str">
        <f>IFERROR(__xludf.DUMMYFUNCTION("""COMPUTED_VALUE"""),"inception-restaked-wbeth")</f>
        <v>inception-restaked-wbeth</v>
      </c>
      <c r="B6094" s="4" t="str">
        <f>IFERROR(__xludf.DUMMYFUNCTION("""COMPUTED_VALUE"""),"inwbeth")</f>
        <v>inwbeth</v>
      </c>
      <c r="C6094" s="4" t="str">
        <f>IFERROR(__xludf.DUMMYFUNCTION("""COMPUTED_VALUE"""),"Inception wbETH")</f>
        <v>Inception wbETH</v>
      </c>
    </row>
    <row r="6095">
      <c r="A6095" s="4" t="str">
        <f>IFERROR(__xludf.DUMMYFUNCTION("""COMPUTED_VALUE"""),"inci-token")</f>
        <v>inci-token</v>
      </c>
      <c r="B6095" s="4" t="str">
        <f>IFERROR(__xludf.DUMMYFUNCTION("""COMPUTED_VALUE"""),"inci")</f>
        <v>inci</v>
      </c>
      <c r="C6095" s="4" t="str">
        <f>IFERROR(__xludf.DUMMYFUNCTION("""COMPUTED_VALUE"""),"Inci")</f>
        <v>Inci</v>
      </c>
    </row>
    <row r="6096">
      <c r="A6096" s="4" t="str">
        <f>IFERROR(__xludf.DUMMYFUNCTION("""COMPUTED_VALUE"""),"incognito-2")</f>
        <v>incognito-2</v>
      </c>
      <c r="B6096" s="4" t="str">
        <f>IFERROR(__xludf.DUMMYFUNCTION("""COMPUTED_VALUE"""),"prv")</f>
        <v>prv</v>
      </c>
      <c r="C6096" s="4" t="str">
        <f>IFERROR(__xludf.DUMMYFUNCTION("""COMPUTED_VALUE"""),"Incognito")</f>
        <v>Incognito</v>
      </c>
    </row>
    <row r="6097">
      <c r="A6097" s="4" t="str">
        <f>IFERROR(__xludf.DUMMYFUNCTION("""COMPUTED_VALUE"""),"index20")</f>
        <v>index20</v>
      </c>
      <c r="B6097" s="4" t="str">
        <f>IFERROR(__xludf.DUMMYFUNCTION("""COMPUTED_VALUE"""),"i20")</f>
        <v>i20</v>
      </c>
      <c r="C6097" s="4" t="str">
        <f>IFERROR(__xludf.DUMMYFUNCTION("""COMPUTED_VALUE"""),"INDEX20")</f>
        <v>INDEX20</v>
      </c>
    </row>
    <row r="6098">
      <c r="A6098" s="4" t="str">
        <f>IFERROR(__xludf.DUMMYFUNCTION("""COMPUTED_VALUE"""),"indexai")</f>
        <v>indexai</v>
      </c>
      <c r="B6098" s="4" t="str">
        <f>IFERROR(__xludf.DUMMYFUNCTION("""COMPUTED_VALUE"""),"iai")</f>
        <v>iai</v>
      </c>
      <c r="C6098" s="4" t="str">
        <f>IFERROR(__xludf.DUMMYFUNCTION("""COMPUTED_VALUE"""),"IndexAI")</f>
        <v>IndexAI</v>
      </c>
    </row>
    <row r="6099">
      <c r="A6099" s="4" t="str">
        <f>IFERROR(__xludf.DUMMYFUNCTION("""COMPUTED_VALUE"""),"index-avalanche-defi")</f>
        <v>index-avalanche-defi</v>
      </c>
      <c r="B6099" s="4" t="str">
        <f>IFERROR(__xludf.DUMMYFUNCTION("""COMPUTED_VALUE"""),"ixad")</f>
        <v>ixad</v>
      </c>
      <c r="C6099" s="4" t="str">
        <f>IFERROR(__xludf.DUMMYFUNCTION("""COMPUTED_VALUE"""),"Index Avalanche DeFi")</f>
        <v>Index Avalanche DeFi</v>
      </c>
    </row>
    <row r="6100">
      <c r="A6100" s="4" t="str">
        <f>IFERROR(__xludf.DUMMYFUNCTION("""COMPUTED_VALUE"""),"index-coop-bitcoin-2x-index")</f>
        <v>index-coop-bitcoin-2x-index</v>
      </c>
      <c r="B6100" s="4" t="str">
        <f>IFERROR(__xludf.DUMMYFUNCTION("""COMPUTED_VALUE"""),"btc2x")</f>
        <v>btc2x</v>
      </c>
      <c r="C6100" s="4" t="str">
        <f>IFERROR(__xludf.DUMMYFUNCTION("""COMPUTED_VALUE"""),"Index Coop Bitcoin 2x Index")</f>
        <v>Index Coop Bitcoin 2x Index</v>
      </c>
    </row>
    <row r="6101">
      <c r="A6101" s="4" t="str">
        <f>IFERROR(__xludf.DUMMYFUNCTION("""COMPUTED_VALUE"""),"index-coop-coindesk-eth-trend-index")</f>
        <v>index-coop-coindesk-eth-trend-index</v>
      </c>
      <c r="B6101" s="4" t="str">
        <f>IFERROR(__xludf.DUMMYFUNCTION("""COMPUTED_VALUE"""),"cdeti")</f>
        <v>cdeti</v>
      </c>
      <c r="C6101" s="4" t="str">
        <f>IFERROR(__xludf.DUMMYFUNCTION("""COMPUTED_VALUE"""),"Index Coop CoinDesk ETH Trend Index")</f>
        <v>Index Coop CoinDesk ETH Trend Index</v>
      </c>
    </row>
    <row r="6102">
      <c r="A6102" s="4" t="str">
        <f>IFERROR(__xludf.DUMMYFUNCTION("""COMPUTED_VALUE"""),"index-cooperative")</f>
        <v>index-cooperative</v>
      </c>
      <c r="B6102" s="4" t="str">
        <f>IFERROR(__xludf.DUMMYFUNCTION("""COMPUTED_VALUE"""),"index")</f>
        <v>index</v>
      </c>
      <c r="C6102" s="4" t="str">
        <f>IFERROR(__xludf.DUMMYFUNCTION("""COMPUTED_VALUE"""),"Index Cooperative")</f>
        <v>Index Cooperative</v>
      </c>
    </row>
    <row r="6103">
      <c r="A6103" s="4" t="str">
        <f>IFERROR(__xludf.DUMMYFUNCTION("""COMPUTED_VALUE"""),"index-coop-eth-2x-flexible-leverage-index")</f>
        <v>index-coop-eth-2x-flexible-leverage-index</v>
      </c>
      <c r="B6103" s="4" t="str">
        <f>IFERROR(__xludf.DUMMYFUNCTION("""COMPUTED_VALUE"""),"eth2x-fli-p")</f>
        <v>eth2x-fli-p</v>
      </c>
      <c r="C6103" s="4" t="str">
        <f>IFERROR(__xludf.DUMMYFUNCTION("""COMPUTED_VALUE"""),"Index Coop - ETH 2x Flexible Leverage Index (Polygon)")</f>
        <v>Index Coop - ETH 2x Flexible Leverage Index (Polygon)</v>
      </c>
    </row>
    <row r="6104">
      <c r="A6104" s="4" t="str">
        <f>IFERROR(__xludf.DUMMYFUNCTION("""COMPUTED_VALUE"""),"index-coop-ethereum-2x-index")</f>
        <v>index-coop-ethereum-2x-index</v>
      </c>
      <c r="B6104" s="4" t="str">
        <f>IFERROR(__xludf.DUMMYFUNCTION("""COMPUTED_VALUE"""),"eth2x")</f>
        <v>eth2x</v>
      </c>
      <c r="C6104" s="4" t="str">
        <f>IFERROR(__xludf.DUMMYFUNCTION("""COMPUTED_VALUE"""),"Index Coop Ethereum 2x Index")</f>
        <v>Index Coop Ethereum 2x Index</v>
      </c>
    </row>
    <row r="6105">
      <c r="A6105" s="4" t="str">
        <f>IFERROR(__xludf.DUMMYFUNCTION("""COMPUTED_VALUE"""),"index-coop-large-cap")</f>
        <v>index-coop-large-cap</v>
      </c>
      <c r="B6105" s="4" t="str">
        <f>IFERROR(__xludf.DUMMYFUNCTION("""COMPUTED_VALUE"""),"ic21")</f>
        <v>ic21</v>
      </c>
      <c r="C6105" s="4" t="str">
        <f>IFERROR(__xludf.DUMMYFUNCTION("""COMPUTED_VALUE"""),"Index Coop Large Cap Index")</f>
        <v>Index Coop Large Cap Index</v>
      </c>
    </row>
    <row r="6106">
      <c r="A6106" s="4" t="str">
        <f>IFERROR(__xludf.DUMMYFUNCTION("""COMPUTED_VALUE"""),"index-coop-matic-2x-flexible-leverage-index")</f>
        <v>index-coop-matic-2x-flexible-leverage-index</v>
      </c>
      <c r="B6106" s="4" t="str">
        <f>IFERROR(__xludf.DUMMYFUNCTION("""COMPUTED_VALUE"""),"matic2x-fli-p")</f>
        <v>matic2x-fli-p</v>
      </c>
      <c r="C6106" s="4" t="str">
        <f>IFERROR(__xludf.DUMMYFUNCTION("""COMPUTED_VALUE"""),"Index Coop - MATIC 2x Flexible Leverage Index")</f>
        <v>Index Coop - MATIC 2x Flexible Leverage Index</v>
      </c>
    </row>
    <row r="6107">
      <c r="A6107" s="4" t="str">
        <f>IFERROR(__xludf.DUMMYFUNCTION("""COMPUTED_VALUE"""),"indexed-finance")</f>
        <v>indexed-finance</v>
      </c>
      <c r="B6107" s="4" t="str">
        <f>IFERROR(__xludf.DUMMYFUNCTION("""COMPUTED_VALUE"""),"ndx")</f>
        <v>ndx</v>
      </c>
      <c r="C6107" s="4" t="str">
        <f>IFERROR(__xludf.DUMMYFUNCTION("""COMPUTED_VALUE"""),"Indexed Finance")</f>
        <v>Indexed Finance</v>
      </c>
    </row>
    <row r="6108">
      <c r="A6108" s="4" t="str">
        <f>IFERROR(__xludf.DUMMYFUNCTION("""COMPUTED_VALUE"""),"indian-call-center")</f>
        <v>indian-call-center</v>
      </c>
      <c r="B6108" s="4" t="str">
        <f>IFERROR(__xludf.DUMMYFUNCTION("""COMPUTED_VALUE"""),"icc")</f>
        <v>icc</v>
      </c>
      <c r="C6108" s="4" t="str">
        <f>IFERROR(__xludf.DUMMYFUNCTION("""COMPUTED_VALUE"""),"Indian Call Center")</f>
        <v>Indian Call Center</v>
      </c>
    </row>
    <row r="6109">
      <c r="A6109" s="4" t="str">
        <f>IFERROR(__xludf.DUMMYFUNCTION("""COMPUTED_VALUE"""),"indian-shiba-inu")</f>
        <v>indian-shiba-inu</v>
      </c>
      <c r="B6109" s="4" t="str">
        <f>IFERROR(__xludf.DUMMYFUNCTION("""COMPUTED_VALUE"""),"indshib")</f>
        <v>indshib</v>
      </c>
      <c r="C6109" s="4" t="str">
        <f>IFERROR(__xludf.DUMMYFUNCTION("""COMPUTED_VALUE"""),"Indian Shiba Inu")</f>
        <v>Indian Shiba Inu</v>
      </c>
    </row>
    <row r="6110">
      <c r="A6110" s="4" t="str">
        <f>IFERROR(__xludf.DUMMYFUNCTION("""COMPUTED_VALUE"""),"indigg")</f>
        <v>indigg</v>
      </c>
      <c r="B6110" s="4" t="str">
        <f>IFERROR(__xludf.DUMMYFUNCTION("""COMPUTED_VALUE"""),"indi")</f>
        <v>indi</v>
      </c>
      <c r="C6110" s="4" t="str">
        <f>IFERROR(__xludf.DUMMYFUNCTION("""COMPUTED_VALUE"""),"IndiGG")</f>
        <v>IndiGG</v>
      </c>
    </row>
    <row r="6111">
      <c r="A6111" s="4" t="str">
        <f>IFERROR(__xludf.DUMMYFUNCTION("""COMPUTED_VALUE"""),"indigg-kratos-cash")</f>
        <v>indigg-kratos-cash</v>
      </c>
      <c r="B6111" s="4" t="str">
        <f>IFERROR(__xludf.DUMMYFUNCTION("""COMPUTED_VALUE"""),"kcash")</f>
        <v>kcash</v>
      </c>
      <c r="C6111" s="4" t="str">
        <f>IFERROR(__xludf.DUMMYFUNCTION("""COMPUTED_VALUE"""),"IndiGG Kratos Cash")</f>
        <v>IndiGG Kratos Cash</v>
      </c>
    </row>
    <row r="6112">
      <c r="A6112" s="4" t="str">
        <f>IFERROR(__xludf.DUMMYFUNCTION("""COMPUTED_VALUE"""),"indigo-dao-governance-token")</f>
        <v>indigo-dao-governance-token</v>
      </c>
      <c r="B6112" s="4" t="str">
        <f>IFERROR(__xludf.DUMMYFUNCTION("""COMPUTED_VALUE"""),"indy")</f>
        <v>indy</v>
      </c>
      <c r="C6112" s="4" t="str">
        <f>IFERROR(__xludf.DUMMYFUNCTION("""COMPUTED_VALUE"""),"Indigo Protocol")</f>
        <v>Indigo Protocol</v>
      </c>
    </row>
    <row r="6113">
      <c r="A6113" s="4" t="str">
        <f>IFERROR(__xludf.DUMMYFUNCTION("""COMPUTED_VALUE"""),"indigo-protocol-ieth")</f>
        <v>indigo-protocol-ieth</v>
      </c>
      <c r="B6113" s="4" t="str">
        <f>IFERROR(__xludf.DUMMYFUNCTION("""COMPUTED_VALUE"""),"ieth")</f>
        <v>ieth</v>
      </c>
      <c r="C6113" s="4" t="str">
        <f>IFERROR(__xludf.DUMMYFUNCTION("""COMPUTED_VALUE"""),"Indigo Protocol iETH")</f>
        <v>Indigo Protocol iETH</v>
      </c>
    </row>
    <row r="6114">
      <c r="A6114" s="4" t="str">
        <f>IFERROR(__xludf.DUMMYFUNCTION("""COMPUTED_VALUE"""),"inery")</f>
        <v>inery</v>
      </c>
      <c r="B6114" s="4" t="str">
        <f>IFERROR(__xludf.DUMMYFUNCTION("""COMPUTED_VALUE"""),"$inr")</f>
        <v>$inr</v>
      </c>
      <c r="C6114" s="4" t="str">
        <f>IFERROR(__xludf.DUMMYFUNCTION("""COMPUTED_VALUE"""),"Inery")</f>
        <v>Inery</v>
      </c>
    </row>
    <row r="6115">
      <c r="A6115" s="4" t="str">
        <f>IFERROR(__xludf.DUMMYFUNCTION("""COMPUTED_VALUE"""),"infiblue-world")</f>
        <v>infiblue-world</v>
      </c>
      <c r="B6115" s="4" t="str">
        <f>IFERROR(__xludf.DUMMYFUNCTION("""COMPUTED_VALUE"""),"monie")</f>
        <v>monie</v>
      </c>
      <c r="C6115" s="4" t="str">
        <f>IFERROR(__xludf.DUMMYFUNCTION("""COMPUTED_VALUE"""),"Infiblue World")</f>
        <v>Infiblue World</v>
      </c>
    </row>
    <row r="6116">
      <c r="A6116" s="4" t="str">
        <f>IFERROR(__xludf.DUMMYFUNCTION("""COMPUTED_VALUE"""),"inficloud")</f>
        <v>inficloud</v>
      </c>
      <c r="B6116" s="4" t="str">
        <f>IFERROR(__xludf.DUMMYFUNCTION("""COMPUTED_VALUE"""),"inficloud")</f>
        <v>inficloud</v>
      </c>
      <c r="C6116" s="4" t="str">
        <f>IFERROR(__xludf.DUMMYFUNCTION("""COMPUTED_VALUE"""),"InfiCloud")</f>
        <v>InfiCloud</v>
      </c>
    </row>
    <row r="6117">
      <c r="A6117" s="4" t="str">
        <f>IFERROR(__xludf.DUMMYFUNCTION("""COMPUTED_VALUE"""),"infinite")</f>
        <v>infinite</v>
      </c>
      <c r="B6117" s="4" t="str">
        <f>IFERROR(__xludf.DUMMYFUNCTION("""COMPUTED_VALUE"""),"inf")</f>
        <v>inf</v>
      </c>
      <c r="C6117" s="4" t="str">
        <f>IFERROR(__xludf.DUMMYFUNCTION("""COMPUTED_VALUE"""),"Infinite")</f>
        <v>Infinite</v>
      </c>
    </row>
    <row r="6118">
      <c r="A6118" s="4" t="str">
        <f>IFERROR(__xludf.DUMMYFUNCTION("""COMPUTED_VALUE"""),"infinitecoin")</f>
        <v>infinitecoin</v>
      </c>
      <c r="B6118" s="4" t="str">
        <f>IFERROR(__xludf.DUMMYFUNCTION("""COMPUTED_VALUE"""),"ifc")</f>
        <v>ifc</v>
      </c>
      <c r="C6118" s="4" t="str">
        <f>IFERROR(__xludf.DUMMYFUNCTION("""COMPUTED_VALUE"""),"Infinitecoin")</f>
        <v>Infinitecoin</v>
      </c>
    </row>
    <row r="6119">
      <c r="A6119" s="4" t="str">
        <f>IFERROR(__xludf.DUMMYFUNCTION("""COMPUTED_VALUE"""),"infinitee")</f>
        <v>infinitee</v>
      </c>
      <c r="B6119" s="4" t="str">
        <f>IFERROR(__xludf.DUMMYFUNCTION("""COMPUTED_VALUE"""),"inftee")</f>
        <v>inftee</v>
      </c>
      <c r="C6119" s="4" t="str">
        <f>IFERROR(__xludf.DUMMYFUNCTION("""COMPUTED_VALUE"""),"Infinitee")</f>
        <v>Infinitee</v>
      </c>
    </row>
    <row r="6120">
      <c r="A6120" s="4" t="str">
        <f>IFERROR(__xludf.DUMMYFUNCTION("""COMPUTED_VALUE"""),"infinitorr")</f>
        <v>infinitorr</v>
      </c>
      <c r="B6120" s="4" t="str">
        <f>IFERROR(__xludf.DUMMYFUNCTION("""COMPUTED_VALUE"""),"torr")</f>
        <v>torr</v>
      </c>
      <c r="C6120" s="4" t="str">
        <f>IFERROR(__xludf.DUMMYFUNCTION("""COMPUTED_VALUE"""),"InfiniTORR")</f>
        <v>InfiniTORR</v>
      </c>
    </row>
    <row r="6121">
      <c r="A6121" s="4" t="str">
        <f>IFERROR(__xludf.DUMMYFUNCTION("""COMPUTED_VALUE"""),"infinity-angel")</f>
        <v>infinity-angel</v>
      </c>
      <c r="B6121" s="4" t="str">
        <f>IFERROR(__xludf.DUMMYFUNCTION("""COMPUTED_VALUE"""),"ing")</f>
        <v>ing</v>
      </c>
      <c r="C6121" s="4" t="str">
        <f>IFERROR(__xludf.DUMMYFUNCTION("""COMPUTED_VALUE"""),"Infinity Games")</f>
        <v>Infinity Games</v>
      </c>
    </row>
    <row r="6122">
      <c r="A6122" s="4" t="str">
        <f>IFERROR(__xludf.DUMMYFUNCTION("""COMPUTED_VALUE"""),"infinitybit-token")</f>
        <v>infinitybit-token</v>
      </c>
      <c r="B6122" s="4" t="str">
        <f>IFERROR(__xludf.DUMMYFUNCTION("""COMPUTED_VALUE"""),"ibit")</f>
        <v>ibit</v>
      </c>
      <c r="C6122" s="4" t="str">
        <f>IFERROR(__xludf.DUMMYFUNCTION("""COMPUTED_VALUE"""),"InfinityBit Token")</f>
        <v>InfinityBit Token</v>
      </c>
    </row>
    <row r="6123">
      <c r="A6123" s="4" t="str">
        <f>IFERROR(__xludf.DUMMYFUNCTION("""COMPUTED_VALUE"""),"infinity-box")</f>
        <v>infinity-box</v>
      </c>
      <c r="B6123" s="4" t="str">
        <f>IFERROR(__xludf.DUMMYFUNCTION("""COMPUTED_VALUE"""),"ibox")</f>
        <v>ibox</v>
      </c>
      <c r="C6123" s="4" t="str">
        <f>IFERROR(__xludf.DUMMYFUNCTION("""COMPUTED_VALUE"""),"Infinity Box")</f>
        <v>Infinity Box</v>
      </c>
    </row>
    <row r="6124">
      <c r="A6124" s="4" t="str">
        <f>IFERROR(__xludf.DUMMYFUNCTION("""COMPUTED_VALUE"""),"infinity-network")</f>
        <v>infinity-network</v>
      </c>
      <c r="B6124" s="4" t="str">
        <f>IFERROR(__xludf.DUMMYFUNCTION("""COMPUTED_VALUE"""),"in")</f>
        <v>in</v>
      </c>
      <c r="C6124" s="4" t="str">
        <f>IFERROR(__xludf.DUMMYFUNCTION("""COMPUTED_VALUE"""),"Infinity Network")</f>
        <v>Infinity Network</v>
      </c>
    </row>
    <row r="6125">
      <c r="A6125" s="4" t="str">
        <f>IFERROR(__xludf.DUMMYFUNCTION("""COMPUTED_VALUE"""),"infinity-pad-2")</f>
        <v>infinity-pad-2</v>
      </c>
      <c r="B6125" s="4" t="str">
        <f>IFERROR(__xludf.DUMMYFUNCTION("""COMPUTED_VALUE"""),"ipad")</f>
        <v>ipad</v>
      </c>
      <c r="C6125" s="4" t="str">
        <f>IFERROR(__xludf.DUMMYFUNCTION("""COMPUTED_VALUE"""),"Infinity PAD")</f>
        <v>Infinity PAD</v>
      </c>
    </row>
    <row r="6126">
      <c r="A6126" s="4" t="str">
        <f>IFERROR(__xludf.DUMMYFUNCTION("""COMPUTED_VALUE"""),"infinity-protocol")</f>
        <v>infinity-protocol</v>
      </c>
      <c r="B6126" s="4" t="str">
        <f>IFERROR(__xludf.DUMMYFUNCTION("""COMPUTED_VALUE"""),"infinity")</f>
        <v>infinity</v>
      </c>
      <c r="C6126" s="4" t="str">
        <f>IFERROR(__xludf.DUMMYFUNCTION("""COMPUTED_VALUE"""),"Infinity Protocol")</f>
        <v>Infinity Protocol</v>
      </c>
    </row>
    <row r="6127">
      <c r="A6127" s="4" t="str">
        <f>IFERROR(__xludf.DUMMYFUNCTION("""COMPUTED_VALUE"""),"infinity-rocket-token")</f>
        <v>infinity-rocket-token</v>
      </c>
      <c r="B6127" s="4" t="str">
        <f>IFERROR(__xludf.DUMMYFUNCTION("""COMPUTED_VALUE"""),"irt")</f>
        <v>irt</v>
      </c>
      <c r="C6127" s="4" t="str">
        <f>IFERROR(__xludf.DUMMYFUNCTION("""COMPUTED_VALUE"""),"Infinity Rocket")</f>
        <v>Infinity Rocket</v>
      </c>
    </row>
    <row r="6128">
      <c r="A6128" s="4" t="str">
        <f>IFERROR(__xludf.DUMMYFUNCTION("""COMPUTED_VALUE"""),"infinity-skies")</f>
        <v>infinity-skies</v>
      </c>
      <c r="B6128" s="4" t="str">
        <f>IFERROR(__xludf.DUMMYFUNCTION("""COMPUTED_VALUE"""),"isky")</f>
        <v>isky</v>
      </c>
      <c r="C6128" s="4" t="str">
        <f>IFERROR(__xludf.DUMMYFUNCTION("""COMPUTED_VALUE"""),"Infinity Skies")</f>
        <v>Infinity Skies</v>
      </c>
    </row>
    <row r="6129">
      <c r="A6129" s="4" t="str">
        <f>IFERROR(__xludf.DUMMYFUNCTION("""COMPUTED_VALUE"""),"inflation-hedging-coin")</f>
        <v>inflation-hedging-coin</v>
      </c>
      <c r="B6129" s="4" t="str">
        <f>IFERROR(__xludf.DUMMYFUNCTION("""COMPUTED_VALUE"""),"ihc")</f>
        <v>ihc</v>
      </c>
      <c r="C6129" s="4" t="str">
        <f>IFERROR(__xludf.DUMMYFUNCTION("""COMPUTED_VALUE"""),"Inflation Hedging Coin")</f>
        <v>Inflation Hedging Coin</v>
      </c>
    </row>
    <row r="6130">
      <c r="A6130" s="4" t="str">
        <f>IFERROR(__xludf.DUMMYFUNCTION("""COMPUTED_VALUE"""),"infliv")</f>
        <v>infliv</v>
      </c>
      <c r="B6130" s="4" t="str">
        <f>IFERROR(__xludf.DUMMYFUNCTION("""COMPUTED_VALUE"""),"ifv")</f>
        <v>ifv</v>
      </c>
      <c r="C6130" s="4" t="str">
        <f>IFERROR(__xludf.DUMMYFUNCTION("""COMPUTED_VALUE"""),"INFLIV")</f>
        <v>INFLIV</v>
      </c>
    </row>
    <row r="6131">
      <c r="A6131" s="4" t="str">
        <f>IFERROR(__xludf.DUMMYFUNCTION("""COMPUTED_VALUE"""),"influpia")</f>
        <v>influpia</v>
      </c>
      <c r="B6131" s="4" t="str">
        <f>IFERROR(__xludf.DUMMYFUNCTION("""COMPUTED_VALUE"""),"ing")</f>
        <v>ing</v>
      </c>
      <c r="C6131" s="4" t="str">
        <f>IFERROR(__xludf.DUMMYFUNCTION("""COMPUTED_VALUE"""),"Influpia")</f>
        <v>Influpia</v>
      </c>
    </row>
    <row r="6132">
      <c r="A6132" s="4" t="str">
        <f>IFERROR(__xludf.DUMMYFUNCTION("""COMPUTED_VALUE"""),"infrax")</f>
        <v>infrax</v>
      </c>
      <c r="B6132" s="4" t="str">
        <f>IFERROR(__xludf.DUMMYFUNCTION("""COMPUTED_VALUE"""),"infra")</f>
        <v>infra</v>
      </c>
      <c r="C6132" s="4" t="str">
        <f>IFERROR(__xludf.DUMMYFUNCTION("""COMPUTED_VALUE"""),"infraX")</f>
        <v>infraX</v>
      </c>
    </row>
    <row r="6133">
      <c r="A6133" s="4" t="str">
        <f>IFERROR(__xludf.DUMMYFUNCTION("""COMPUTED_VALUE"""),"inftspace")</f>
        <v>inftspace</v>
      </c>
      <c r="B6133" s="4" t="str">
        <f>IFERROR(__xludf.DUMMYFUNCTION("""COMPUTED_VALUE"""),"ins")</f>
        <v>ins</v>
      </c>
      <c r="C6133" s="4" t="str">
        <f>IFERROR(__xludf.DUMMYFUNCTION("""COMPUTED_VALUE"""),"iNFTspace")</f>
        <v>iNFTspace</v>
      </c>
    </row>
    <row r="6134">
      <c r="A6134" s="4" t="str">
        <f>IFERROR(__xludf.DUMMYFUNCTION("""COMPUTED_VALUE"""),"inheritance-art")</f>
        <v>inheritance-art</v>
      </c>
      <c r="B6134" s="4" t="str">
        <f>IFERROR(__xludf.DUMMYFUNCTION("""COMPUTED_VALUE"""),"iai")</f>
        <v>iai</v>
      </c>
      <c r="C6134" s="4" t="str">
        <f>IFERROR(__xludf.DUMMYFUNCTION("""COMPUTED_VALUE"""),"inheritance Art")</f>
        <v>inheritance Art</v>
      </c>
    </row>
    <row r="6135">
      <c r="A6135" s="4" t="str">
        <f>IFERROR(__xludf.DUMMYFUNCTION("""COMPUTED_VALUE"""),"init")</f>
        <v>init</v>
      </c>
      <c r="B6135" s="4" t="str">
        <f>IFERROR(__xludf.DUMMYFUNCTION("""COMPUTED_VALUE"""),"init")</f>
        <v>init</v>
      </c>
      <c r="C6135" s="4" t="str">
        <f>IFERROR(__xludf.DUMMYFUNCTION("""COMPUTED_VALUE"""),"Inite")</f>
        <v>Inite</v>
      </c>
    </row>
    <row r="6136">
      <c r="A6136" s="4" t="str">
        <f>IFERROR(__xludf.DUMMYFUNCTION("""COMPUTED_VALUE"""),"inj-boys")</f>
        <v>inj-boys</v>
      </c>
      <c r="B6136" s="4" t="str">
        <f>IFERROR(__xludf.DUMMYFUNCTION("""COMPUTED_VALUE"""),"boys")</f>
        <v>boys</v>
      </c>
      <c r="C6136" s="4" t="str">
        <f>IFERROR(__xludf.DUMMYFUNCTION("""COMPUTED_VALUE"""),"INJ BOYS")</f>
        <v>INJ BOYS</v>
      </c>
    </row>
    <row r="6137">
      <c r="A6137" s="4" t="str">
        <f>IFERROR(__xludf.DUMMYFUNCTION("""COMPUTED_VALUE"""),"injective-kings")</f>
        <v>injective-kings</v>
      </c>
      <c r="B6137" s="4" t="str">
        <f>IFERROR(__xludf.DUMMYFUNCTION("""COMPUTED_VALUE"""),"ikings")</f>
        <v>ikings</v>
      </c>
      <c r="C6137" s="4" t="str">
        <f>IFERROR(__xludf.DUMMYFUNCTION("""COMPUTED_VALUE"""),"Injective Kings")</f>
        <v>Injective Kings</v>
      </c>
    </row>
    <row r="6138">
      <c r="A6138" s="4" t="str">
        <f>IFERROR(__xludf.DUMMYFUNCTION("""COMPUTED_VALUE"""),"injective-pepes")</f>
        <v>injective-pepes</v>
      </c>
      <c r="B6138" s="4" t="str">
        <f>IFERROR(__xludf.DUMMYFUNCTION("""COMPUTED_VALUE"""),"$ipepe")</f>
        <v>$ipepe</v>
      </c>
      <c r="C6138" s="4" t="str">
        <f>IFERROR(__xludf.DUMMYFUNCTION("""COMPUTED_VALUE"""),"Injective Pepes")</f>
        <v>Injective Pepes</v>
      </c>
    </row>
    <row r="6139">
      <c r="A6139" s="4" t="str">
        <f>IFERROR(__xludf.DUMMYFUNCTION("""COMPUTED_VALUE"""),"injective-protocol")</f>
        <v>injective-protocol</v>
      </c>
      <c r="B6139" s="4" t="str">
        <f>IFERROR(__xludf.DUMMYFUNCTION("""COMPUTED_VALUE"""),"inj")</f>
        <v>inj</v>
      </c>
      <c r="C6139" s="4" t="str">
        <f>IFERROR(__xludf.DUMMYFUNCTION("""COMPUTED_VALUE"""),"Injective")</f>
        <v>Injective</v>
      </c>
    </row>
    <row r="6140">
      <c r="A6140" s="4" t="str">
        <f>IFERROR(__xludf.DUMMYFUNCTION("""COMPUTED_VALUE"""),"injineer")</f>
        <v>injineer</v>
      </c>
      <c r="B6140" s="4" t="str">
        <f>IFERROR(__xludf.DUMMYFUNCTION("""COMPUTED_VALUE"""),"injer")</f>
        <v>injer</v>
      </c>
      <c r="C6140" s="4" t="str">
        <f>IFERROR(__xludf.DUMMYFUNCTION("""COMPUTED_VALUE"""),"Injineer")</f>
        <v>Injineer</v>
      </c>
    </row>
    <row r="6141">
      <c r="A6141" s="4" t="str">
        <f>IFERROR(__xludf.DUMMYFUNCTION("""COMPUTED_VALUE"""),"inj-inu")</f>
        <v>inj-inu</v>
      </c>
      <c r="B6141" s="4" t="str">
        <f>IFERROR(__xludf.DUMMYFUNCTION("""COMPUTED_VALUE"""),"$injinu")</f>
        <v>$injinu</v>
      </c>
      <c r="C6141" s="4" t="str">
        <f>IFERROR(__xludf.DUMMYFUNCTION("""COMPUTED_VALUE"""),"INJ INU")</f>
        <v>INJ INU</v>
      </c>
    </row>
    <row r="6142">
      <c r="A6142" s="4" t="str">
        <f>IFERROR(__xludf.DUMMYFUNCTION("""COMPUTED_VALUE"""),"ink")</f>
        <v>ink</v>
      </c>
      <c r="B6142" s="4" t="str">
        <f>IFERROR(__xludf.DUMMYFUNCTION("""COMPUTED_VALUE"""),"ink")</f>
        <v>ink</v>
      </c>
      <c r="C6142" s="4" t="str">
        <f>IFERROR(__xludf.DUMMYFUNCTION("""COMPUTED_VALUE"""),"Ink")</f>
        <v>Ink</v>
      </c>
    </row>
    <row r="6143">
      <c r="A6143" s="4" t="str">
        <f>IFERROR(__xludf.DUMMYFUNCTION("""COMPUTED_VALUE"""),"ink-fantom")</f>
        <v>ink-fantom</v>
      </c>
      <c r="B6143" s="4" t="str">
        <f>IFERROR(__xludf.DUMMYFUNCTION("""COMPUTED_VALUE"""),"ink")</f>
        <v>ink</v>
      </c>
      <c r="C6143" s="4" t="str">
        <f>IFERROR(__xludf.DUMMYFUNCTION("""COMPUTED_VALUE"""),"Ink Fantom")</f>
        <v>Ink Fantom</v>
      </c>
    </row>
    <row r="6144">
      <c r="A6144" s="4" t="str">
        <f>IFERROR(__xludf.DUMMYFUNCTION("""COMPUTED_VALUE"""),"ink-finance")</f>
        <v>ink-finance</v>
      </c>
      <c r="B6144" s="4" t="str">
        <f>IFERROR(__xludf.DUMMYFUNCTION("""COMPUTED_VALUE"""),"quill")</f>
        <v>quill</v>
      </c>
      <c r="C6144" s="4" t="str">
        <f>IFERROR(__xludf.DUMMYFUNCTION("""COMPUTED_VALUE"""),"Ink Finance")</f>
        <v>Ink Finance</v>
      </c>
    </row>
    <row r="6145">
      <c r="A6145" s="4" t="str">
        <f>IFERROR(__xludf.DUMMYFUNCTION("""COMPUTED_VALUE"""),"innova")</f>
        <v>innova</v>
      </c>
      <c r="B6145" s="4" t="str">
        <f>IFERROR(__xludf.DUMMYFUNCTION("""COMPUTED_VALUE"""),"inn")</f>
        <v>inn</v>
      </c>
      <c r="C6145" s="4" t="str">
        <f>IFERROR(__xludf.DUMMYFUNCTION("""COMPUTED_VALUE"""),"Innova")</f>
        <v>Innova</v>
      </c>
    </row>
    <row r="6146">
      <c r="A6146" s="4" t="str">
        <f>IFERROR(__xludf.DUMMYFUNCTION("""COMPUTED_VALUE"""),"innova-defi")</f>
        <v>innova-defi</v>
      </c>
      <c r="B6146" s="4" t="str">
        <f>IFERROR(__xludf.DUMMYFUNCTION("""COMPUTED_VALUE"""),"$innova")</f>
        <v>$innova</v>
      </c>
      <c r="C6146" s="4" t="str">
        <f>IFERROR(__xludf.DUMMYFUNCTION("""COMPUTED_VALUE"""),"Innova DeFi")</f>
        <v>Innova DeFi</v>
      </c>
    </row>
    <row r="6147">
      <c r="A6147" s="4" t="str">
        <f>IFERROR(__xludf.DUMMYFUNCTION("""COMPUTED_VALUE"""),"innovative-bioresearch")</f>
        <v>innovative-bioresearch</v>
      </c>
      <c r="B6147" s="4" t="str">
        <f>IFERROR(__xludf.DUMMYFUNCTION("""COMPUTED_VALUE"""),"innbc")</f>
        <v>innbc</v>
      </c>
      <c r="C6147" s="4" t="str">
        <f>IFERROR(__xludf.DUMMYFUNCTION("""COMPUTED_VALUE"""),"Innovative Bioresearch Coin")</f>
        <v>Innovative Bioresearch Coin</v>
      </c>
    </row>
    <row r="6148">
      <c r="A6148" s="4" t="str">
        <f>IFERROR(__xludf.DUMMYFUNCTION("""COMPUTED_VALUE"""),"inofi")</f>
        <v>inofi</v>
      </c>
      <c r="B6148" s="4" t="str">
        <f>IFERROR(__xludf.DUMMYFUNCTION("""COMPUTED_VALUE"""),"fon")</f>
        <v>fon</v>
      </c>
      <c r="C6148" s="4" t="str">
        <f>IFERROR(__xludf.DUMMYFUNCTION("""COMPUTED_VALUE"""),"INOFi")</f>
        <v>INOFi</v>
      </c>
    </row>
    <row r="6149">
      <c r="A6149" s="4" t="str">
        <f>IFERROR(__xludf.DUMMYFUNCTION("""COMPUTED_VALUE"""),"in-pepe-we-trust")</f>
        <v>in-pepe-we-trust</v>
      </c>
      <c r="B6149" s="4" t="str">
        <f>IFERROR(__xludf.DUMMYFUNCTION("""COMPUTED_VALUE"""),"ipwt")</f>
        <v>ipwt</v>
      </c>
      <c r="C6149" s="4" t="str">
        <f>IFERROR(__xludf.DUMMYFUNCTION("""COMPUTED_VALUE"""),"IN PEPE WE TRUST")</f>
        <v>IN PEPE WE TRUST</v>
      </c>
    </row>
    <row r="6150">
      <c r="A6150" s="4" t="str">
        <f>IFERROR(__xludf.DUMMYFUNCTION("""COMPUTED_VALUE"""),"inpulse-x-2")</f>
        <v>inpulse-x-2</v>
      </c>
      <c r="B6150" s="4" t="str">
        <f>IFERROR(__xludf.DUMMYFUNCTION("""COMPUTED_VALUE"""),"ipx")</f>
        <v>ipx</v>
      </c>
      <c r="C6150" s="4" t="str">
        <f>IFERROR(__xludf.DUMMYFUNCTION("""COMPUTED_VALUE"""),"InpulseX")</f>
        <v>InpulseX</v>
      </c>
    </row>
    <row r="6151">
      <c r="A6151" s="4" t="str">
        <f>IFERROR(__xludf.DUMMYFUNCTION("""COMPUTED_VALUE"""),"ins3-finance-coin")</f>
        <v>ins3-finance-coin</v>
      </c>
      <c r="B6151" s="4" t="str">
        <f>IFERROR(__xludf.DUMMYFUNCTION("""COMPUTED_VALUE"""),"itf")</f>
        <v>itf</v>
      </c>
      <c r="C6151" s="4" t="str">
        <f>IFERROR(__xludf.DUMMYFUNCTION("""COMPUTED_VALUE"""),"Ins3.Finance Coin")</f>
        <v>Ins3.Finance Coin</v>
      </c>
    </row>
    <row r="6152">
      <c r="A6152" s="4" t="str">
        <f>IFERROR(__xludf.DUMMYFUNCTION("""COMPUTED_VALUE"""),"insc")</f>
        <v>insc</v>
      </c>
      <c r="B6152" s="4" t="str">
        <f>IFERROR(__xludf.DUMMYFUNCTION("""COMPUTED_VALUE"""),"insc")</f>
        <v>insc</v>
      </c>
      <c r="C6152" s="4" t="str">
        <f>IFERROR(__xludf.DUMMYFUNCTION("""COMPUTED_VALUE"""),"INSC (Ordinals)")</f>
        <v>INSC (Ordinals)</v>
      </c>
    </row>
    <row r="6153">
      <c r="A6153" s="4" t="str">
        <f>IFERROR(__xludf.DUMMYFUNCTION("""COMPUTED_VALUE"""),"inscribe")</f>
        <v>inscribe</v>
      </c>
      <c r="B6153" s="4" t="str">
        <f>IFERROR(__xludf.DUMMYFUNCTION("""COMPUTED_VALUE"""),"ins")</f>
        <v>ins</v>
      </c>
      <c r="C6153" s="4" t="str">
        <f>IFERROR(__xludf.DUMMYFUNCTION("""COMPUTED_VALUE"""),"Inscribe")</f>
        <v>Inscribe</v>
      </c>
    </row>
    <row r="6154">
      <c r="A6154" s="4" t="str">
        <f>IFERROR(__xludf.DUMMYFUNCTION("""COMPUTED_VALUE"""),"inscription-dao")</f>
        <v>inscription-dao</v>
      </c>
      <c r="B6154" s="4" t="str">
        <f>IFERROR(__xludf.DUMMYFUNCTION("""COMPUTED_VALUE"""),"icda")</f>
        <v>icda</v>
      </c>
      <c r="C6154" s="4" t="str">
        <f>IFERROR(__xludf.DUMMYFUNCTION("""COMPUTED_VALUE"""),"Inscription DAO")</f>
        <v>Inscription DAO</v>
      </c>
    </row>
    <row r="6155">
      <c r="A6155" s="4" t="str">
        <f>IFERROR(__xludf.DUMMYFUNCTION("""COMPUTED_VALUE"""),"insights-network")</f>
        <v>insights-network</v>
      </c>
      <c r="B6155" s="4" t="str">
        <f>IFERROR(__xludf.DUMMYFUNCTION("""COMPUTED_VALUE"""),"instar")</f>
        <v>instar</v>
      </c>
      <c r="C6155" s="4" t="str">
        <f>IFERROR(__xludf.DUMMYFUNCTION("""COMPUTED_VALUE"""),"INSTAR")</f>
        <v>INSTAR</v>
      </c>
    </row>
    <row r="6156">
      <c r="A6156" s="4" t="str">
        <f>IFERROR(__xludf.DUMMYFUNCTION("""COMPUTED_VALUE"""),"insightx")</f>
        <v>insightx</v>
      </c>
      <c r="B6156" s="4" t="str">
        <f>IFERROR(__xludf.DUMMYFUNCTION("""COMPUTED_VALUE"""),"inx")</f>
        <v>inx</v>
      </c>
      <c r="C6156" s="4" t="str">
        <f>IFERROR(__xludf.DUMMYFUNCTION("""COMPUTED_VALUE"""),"InsightX")</f>
        <v>InsightX</v>
      </c>
    </row>
    <row r="6157">
      <c r="A6157" s="4" t="str">
        <f>IFERROR(__xludf.DUMMYFUNCTION("""COMPUTED_VALUE"""),"insolvent")</f>
        <v>insolvent</v>
      </c>
      <c r="B6157" s="4" t="str">
        <f>IFERROR(__xludf.DUMMYFUNCTION("""COMPUTED_VALUE"""),"insolvent")</f>
        <v>insolvent</v>
      </c>
      <c r="C6157" s="4" t="str">
        <f>IFERROR(__xludf.DUMMYFUNCTION("""COMPUTED_VALUE"""),"inSOLvent")</f>
        <v>inSOLvent</v>
      </c>
    </row>
    <row r="6158">
      <c r="A6158" s="4" t="str">
        <f>IFERROR(__xludf.DUMMYFUNCTION("""COMPUTED_VALUE"""),"inspect")</f>
        <v>inspect</v>
      </c>
      <c r="B6158" s="4" t="str">
        <f>IFERROR(__xludf.DUMMYFUNCTION("""COMPUTED_VALUE"""),"insp")</f>
        <v>insp</v>
      </c>
      <c r="C6158" s="4" t="str">
        <f>IFERROR(__xludf.DUMMYFUNCTION("""COMPUTED_VALUE"""),"Inspect")</f>
        <v>Inspect</v>
      </c>
    </row>
    <row r="6159">
      <c r="A6159" s="4" t="str">
        <f>IFERROR(__xludf.DUMMYFUNCTION("""COMPUTED_VALUE"""),"inspire-ai")</f>
        <v>inspire-ai</v>
      </c>
      <c r="B6159" s="4" t="str">
        <f>IFERROR(__xludf.DUMMYFUNCTION("""COMPUTED_VALUE"""),"insp")</f>
        <v>insp</v>
      </c>
      <c r="C6159" s="4" t="str">
        <f>IFERROR(__xludf.DUMMYFUNCTION("""COMPUTED_VALUE"""),"Inspire AI")</f>
        <v>Inspire AI</v>
      </c>
    </row>
    <row r="6160">
      <c r="A6160" s="4" t="str">
        <f>IFERROR(__xludf.DUMMYFUNCTION("""COMPUTED_VALUE"""),"insrt-finance")</f>
        <v>insrt-finance</v>
      </c>
      <c r="B6160" s="4" t="str">
        <f>IFERROR(__xludf.DUMMYFUNCTION("""COMPUTED_VALUE"""),"$insrt")</f>
        <v>$insrt</v>
      </c>
      <c r="C6160" s="4" t="str">
        <f>IFERROR(__xludf.DUMMYFUNCTION("""COMPUTED_VALUE"""),"Insrt Finance")</f>
        <v>Insrt Finance</v>
      </c>
    </row>
    <row r="6161">
      <c r="A6161" s="4" t="str">
        <f>IFERROR(__xludf.DUMMYFUNCTION("""COMPUTED_VALUE"""),"instabridge-wrapped-eth")</f>
        <v>instabridge-wrapped-eth</v>
      </c>
      <c r="B6161" s="4" t="str">
        <f>IFERROR(__xludf.DUMMYFUNCTION("""COMPUTED_VALUE"""),"xeth")</f>
        <v>xeth</v>
      </c>
      <c r="C6161" s="4" t="str">
        <f>IFERROR(__xludf.DUMMYFUNCTION("""COMPUTED_VALUE"""),"Instabridge Wrapped ETH (Radix)")</f>
        <v>Instabridge Wrapped ETH (Radix)</v>
      </c>
    </row>
    <row r="6162">
      <c r="A6162" s="4" t="str">
        <f>IFERROR(__xludf.DUMMYFUNCTION("""COMPUTED_VALUE"""),"instabridge-wrapped-usdt")</f>
        <v>instabridge-wrapped-usdt</v>
      </c>
      <c r="B6162" s="4" t="str">
        <f>IFERROR(__xludf.DUMMYFUNCTION("""COMPUTED_VALUE"""),"xusdt")</f>
        <v>xusdt</v>
      </c>
      <c r="C6162" s="4" t="str">
        <f>IFERROR(__xludf.DUMMYFUNCTION("""COMPUTED_VALUE"""),"Instabridge Wrapped USDT (Radix)")</f>
        <v>Instabridge Wrapped USDT (Radix)</v>
      </c>
    </row>
    <row r="6163">
      <c r="A6163" s="4" t="str">
        <f>IFERROR(__xludf.DUMMYFUNCTION("""COMPUTED_VALUE"""),"instadapp")</f>
        <v>instadapp</v>
      </c>
      <c r="B6163" s="4" t="str">
        <f>IFERROR(__xludf.DUMMYFUNCTION("""COMPUTED_VALUE"""),"inst")</f>
        <v>inst</v>
      </c>
      <c r="C6163" s="4" t="str">
        <f>IFERROR(__xludf.DUMMYFUNCTION("""COMPUTED_VALUE"""),"Instadapp")</f>
        <v>Instadapp</v>
      </c>
    </row>
    <row r="6164">
      <c r="A6164" s="4" t="str">
        <f>IFERROR(__xludf.DUMMYFUNCTION("""COMPUTED_VALUE"""),"instadapp-dai")</f>
        <v>instadapp-dai</v>
      </c>
      <c r="B6164" s="4" t="str">
        <f>IFERROR(__xludf.DUMMYFUNCTION("""COMPUTED_VALUE"""),"idai")</f>
        <v>idai</v>
      </c>
      <c r="C6164" s="4" t="str">
        <f>IFERROR(__xludf.DUMMYFUNCTION("""COMPUTED_VALUE"""),"Instadapp DAI")</f>
        <v>Instadapp DAI</v>
      </c>
    </row>
    <row r="6165">
      <c r="A6165" s="4" t="str">
        <f>IFERROR(__xludf.DUMMYFUNCTION("""COMPUTED_VALUE"""),"instadapp-eth")</f>
        <v>instadapp-eth</v>
      </c>
      <c r="B6165" s="4" t="str">
        <f>IFERROR(__xludf.DUMMYFUNCTION("""COMPUTED_VALUE"""),"ieth")</f>
        <v>ieth</v>
      </c>
      <c r="C6165" s="4" t="str">
        <f>IFERROR(__xludf.DUMMYFUNCTION("""COMPUTED_VALUE"""),"iETH v1")</f>
        <v>iETH v1</v>
      </c>
    </row>
    <row r="6166">
      <c r="A6166" s="4" t="str">
        <f>IFERROR(__xludf.DUMMYFUNCTION("""COMPUTED_VALUE"""),"instadapp-eth-v2")</f>
        <v>instadapp-eth-v2</v>
      </c>
      <c r="B6166" s="4" t="str">
        <f>IFERROR(__xludf.DUMMYFUNCTION("""COMPUTED_VALUE"""),"ieth v2")</f>
        <v>ieth v2</v>
      </c>
      <c r="C6166" s="4" t="str">
        <f>IFERROR(__xludf.DUMMYFUNCTION("""COMPUTED_VALUE"""),"Instadapp ETH v2")</f>
        <v>Instadapp ETH v2</v>
      </c>
    </row>
    <row r="6167">
      <c r="A6167" s="4" t="str">
        <f>IFERROR(__xludf.DUMMYFUNCTION("""COMPUTED_VALUE"""),"instadapp-usdc")</f>
        <v>instadapp-usdc</v>
      </c>
      <c r="B6167" s="4" t="str">
        <f>IFERROR(__xludf.DUMMYFUNCTION("""COMPUTED_VALUE"""),"iusdc")</f>
        <v>iusdc</v>
      </c>
      <c r="C6167" s="4" t="str">
        <f>IFERROR(__xludf.DUMMYFUNCTION("""COMPUTED_VALUE"""),"Instadapp USDC")</f>
        <v>Instadapp USDC</v>
      </c>
    </row>
    <row r="6168">
      <c r="A6168" s="4" t="str">
        <f>IFERROR(__xludf.DUMMYFUNCTION("""COMPUTED_VALUE"""),"instadapp-wbtc")</f>
        <v>instadapp-wbtc</v>
      </c>
      <c r="B6168" s="4" t="str">
        <f>IFERROR(__xludf.DUMMYFUNCTION("""COMPUTED_VALUE"""),"iwbtc")</f>
        <v>iwbtc</v>
      </c>
      <c r="C6168" s="4" t="str">
        <f>IFERROR(__xludf.DUMMYFUNCTION("""COMPUTED_VALUE"""),"Instadapp WBTC")</f>
        <v>Instadapp WBTC</v>
      </c>
    </row>
    <row r="6169">
      <c r="A6169" s="4" t="str">
        <f>IFERROR(__xludf.DUMMYFUNCTION("""COMPUTED_VALUE"""),"insula")</f>
        <v>insula</v>
      </c>
      <c r="B6169" s="4" t="str">
        <f>IFERROR(__xludf.DUMMYFUNCTION("""COMPUTED_VALUE"""),"isla")</f>
        <v>isla</v>
      </c>
      <c r="C6169" s="4" t="str">
        <f>IFERROR(__xludf.DUMMYFUNCTION("""COMPUTED_VALUE"""),"Insula")</f>
        <v>Insula</v>
      </c>
    </row>
    <row r="6170">
      <c r="A6170" s="4" t="str">
        <f>IFERROR(__xludf.DUMMYFUNCTION("""COMPUTED_VALUE"""),"insurace")</f>
        <v>insurace</v>
      </c>
      <c r="B6170" s="4" t="str">
        <f>IFERROR(__xludf.DUMMYFUNCTION("""COMPUTED_VALUE"""),"insur")</f>
        <v>insur</v>
      </c>
      <c r="C6170" s="4" t="str">
        <f>IFERROR(__xludf.DUMMYFUNCTION("""COMPUTED_VALUE"""),"InsurAce")</f>
        <v>InsurAce</v>
      </c>
    </row>
    <row r="6171">
      <c r="A6171" s="4" t="str">
        <f>IFERROR(__xludf.DUMMYFUNCTION("""COMPUTED_VALUE"""),"insure")</f>
        <v>insure</v>
      </c>
      <c r="B6171" s="4" t="str">
        <f>IFERROR(__xludf.DUMMYFUNCTION("""COMPUTED_VALUE"""),"sure")</f>
        <v>sure</v>
      </c>
      <c r="C6171" s="4" t="str">
        <f>IFERROR(__xludf.DUMMYFUNCTION("""COMPUTED_VALUE"""),"inSure DeFi")</f>
        <v>inSure DeFi</v>
      </c>
    </row>
    <row r="6172">
      <c r="A6172" s="4" t="str">
        <f>IFERROR(__xludf.DUMMYFUNCTION("""COMPUTED_VALUE"""),"insurex")</f>
        <v>insurex</v>
      </c>
      <c r="B6172" s="4" t="str">
        <f>IFERROR(__xludf.DUMMYFUNCTION("""COMPUTED_VALUE"""),"ixt")</f>
        <v>ixt</v>
      </c>
      <c r="C6172" s="4" t="str">
        <f>IFERROR(__xludf.DUMMYFUNCTION("""COMPUTED_VALUE"""),"iXledger")</f>
        <v>iXledger</v>
      </c>
    </row>
    <row r="6173">
      <c r="A6173" s="4" t="str">
        <f>IFERROR(__xludf.DUMMYFUNCTION("""COMPUTED_VALUE"""),"integral")</f>
        <v>integral</v>
      </c>
      <c r="B6173" s="4" t="str">
        <f>IFERROR(__xludf.DUMMYFUNCTION("""COMPUTED_VALUE"""),"itgr")</f>
        <v>itgr</v>
      </c>
      <c r="C6173" s="4" t="str">
        <f>IFERROR(__xludf.DUMMYFUNCTION("""COMPUTED_VALUE"""),"Integral")</f>
        <v>Integral</v>
      </c>
    </row>
    <row r="6174">
      <c r="A6174" s="4" t="str">
        <f>IFERROR(__xludf.DUMMYFUNCTION("""COMPUTED_VALUE"""),"integritee")</f>
        <v>integritee</v>
      </c>
      <c r="B6174" s="4" t="str">
        <f>IFERROR(__xludf.DUMMYFUNCTION("""COMPUTED_VALUE"""),"teer")</f>
        <v>teer</v>
      </c>
      <c r="C6174" s="4" t="str">
        <f>IFERROR(__xludf.DUMMYFUNCTION("""COMPUTED_VALUE"""),"Integritee")</f>
        <v>Integritee</v>
      </c>
    </row>
    <row r="6175">
      <c r="A6175" s="4" t="str">
        <f>IFERROR(__xludf.DUMMYFUNCTION("""COMPUTED_VALUE"""),"intelligence-on-chain")</f>
        <v>intelligence-on-chain</v>
      </c>
      <c r="B6175" s="4" t="str">
        <f>IFERROR(__xludf.DUMMYFUNCTION("""COMPUTED_VALUE"""),"ioc")</f>
        <v>ioc</v>
      </c>
      <c r="C6175" s="4" t="str">
        <f>IFERROR(__xludf.DUMMYFUNCTION("""COMPUTED_VALUE"""),"Intelligence On Chain")</f>
        <v>Intelligence On Chain</v>
      </c>
    </row>
    <row r="6176">
      <c r="A6176" s="4" t="str">
        <f>IFERROR(__xludf.DUMMYFUNCTION("""COMPUTED_VALUE"""),"intelliquant")</f>
        <v>intelliquant</v>
      </c>
      <c r="B6176" s="4" t="str">
        <f>IFERROR(__xludf.DUMMYFUNCTION("""COMPUTED_VALUE"""),"inqu")</f>
        <v>inqu</v>
      </c>
      <c r="C6176" s="4" t="str">
        <f>IFERROR(__xludf.DUMMYFUNCTION("""COMPUTED_VALUE"""),"IntelliQuant")</f>
        <v>IntelliQuant</v>
      </c>
    </row>
    <row r="6177">
      <c r="A6177" s="4" t="str">
        <f>IFERROR(__xludf.DUMMYFUNCTION("""COMPUTED_VALUE"""),"intellix")</f>
        <v>intellix</v>
      </c>
      <c r="B6177" s="4" t="str">
        <f>IFERROR(__xludf.DUMMYFUNCTION("""COMPUTED_VALUE"""),"itx")</f>
        <v>itx</v>
      </c>
      <c r="C6177" s="4" t="str">
        <f>IFERROR(__xludf.DUMMYFUNCTION("""COMPUTED_VALUE"""),"Intellix")</f>
        <v>Intellix</v>
      </c>
    </row>
    <row r="6178">
      <c r="A6178" s="4" t="str">
        <f>IFERROR(__xludf.DUMMYFUNCTION("""COMPUTED_VALUE"""),"intelly")</f>
        <v>intelly</v>
      </c>
      <c r="B6178" s="4" t="str">
        <f>IFERROR(__xludf.DUMMYFUNCTION("""COMPUTED_VALUE"""),"intl")</f>
        <v>intl</v>
      </c>
      <c r="C6178" s="4" t="str">
        <f>IFERROR(__xludf.DUMMYFUNCTION("""COMPUTED_VALUE"""),"Intelly")</f>
        <v>Intelly</v>
      </c>
    </row>
    <row r="6179">
      <c r="A6179" s="4" t="str">
        <f>IFERROR(__xludf.DUMMYFUNCTION("""COMPUTED_VALUE"""),"interactwith-token")</f>
        <v>interactwith-token</v>
      </c>
      <c r="B6179" s="4" t="str">
        <f>IFERROR(__xludf.DUMMYFUNCTION("""COMPUTED_VALUE"""),"inter")</f>
        <v>inter</v>
      </c>
      <c r="C6179" s="4" t="str">
        <f>IFERROR(__xludf.DUMMYFUNCTION("""COMPUTED_VALUE"""),"InteractWith")</f>
        <v>InteractWith</v>
      </c>
    </row>
    <row r="6180">
      <c r="A6180" s="4" t="str">
        <f>IFERROR(__xludf.DUMMYFUNCTION("""COMPUTED_VALUE"""),"interbtc")</f>
        <v>interbtc</v>
      </c>
      <c r="B6180" s="4" t="str">
        <f>IFERROR(__xludf.DUMMYFUNCTION("""COMPUTED_VALUE"""),"ibtc")</f>
        <v>ibtc</v>
      </c>
      <c r="C6180" s="4" t="str">
        <f>IFERROR(__xludf.DUMMYFUNCTION("""COMPUTED_VALUE"""),"interBTC")</f>
        <v>interBTC</v>
      </c>
    </row>
    <row r="6181">
      <c r="A6181" s="4" t="str">
        <f>IFERROR(__xludf.DUMMYFUNCTION("""COMPUTED_VALUE"""),"interest-bearing-eth")</f>
        <v>interest-bearing-eth</v>
      </c>
      <c r="B6181" s="4" t="str">
        <f>IFERROR(__xludf.DUMMYFUNCTION("""COMPUTED_VALUE"""),"ibeth")</f>
        <v>ibeth</v>
      </c>
      <c r="C6181" s="4" t="str">
        <f>IFERROR(__xludf.DUMMYFUNCTION("""COMPUTED_VALUE"""),"Interest Bearing ETH")</f>
        <v>Interest Bearing ETH</v>
      </c>
    </row>
    <row r="6182">
      <c r="A6182" s="4" t="str">
        <f>IFERROR(__xludf.DUMMYFUNCTION("""COMPUTED_VALUE"""),"interest-compounding-eth-index")</f>
        <v>interest-compounding-eth-index</v>
      </c>
      <c r="B6182" s="4" t="str">
        <f>IFERROR(__xludf.DUMMYFUNCTION("""COMPUTED_VALUE"""),"iceth")</f>
        <v>iceth</v>
      </c>
      <c r="C6182" s="4" t="str">
        <f>IFERROR(__xludf.DUMMYFUNCTION("""COMPUTED_VALUE"""),"Interest Compounding ETH Index")</f>
        <v>Interest Compounding ETH Index</v>
      </c>
    </row>
    <row r="6183">
      <c r="A6183" s="4" t="str">
        <f>IFERROR(__xludf.DUMMYFUNCTION("""COMPUTED_VALUE"""),"interfinex-bills")</f>
        <v>interfinex-bills</v>
      </c>
      <c r="B6183" s="4" t="str">
        <f>IFERROR(__xludf.DUMMYFUNCTION("""COMPUTED_VALUE"""),"ifex")</f>
        <v>ifex</v>
      </c>
      <c r="C6183" s="4" t="str">
        <f>IFERROR(__xludf.DUMMYFUNCTION("""COMPUTED_VALUE"""),"Interfinex Bills")</f>
        <v>Interfinex Bills</v>
      </c>
    </row>
    <row r="6184">
      <c r="A6184" s="4" t="str">
        <f>IFERROR(__xludf.DUMMYFUNCTION("""COMPUTED_VALUE"""),"interlay")</f>
        <v>interlay</v>
      </c>
      <c r="B6184" s="4" t="str">
        <f>IFERROR(__xludf.DUMMYFUNCTION("""COMPUTED_VALUE"""),"intr")</f>
        <v>intr</v>
      </c>
      <c r="C6184" s="4" t="str">
        <f>IFERROR(__xludf.DUMMYFUNCTION("""COMPUTED_VALUE"""),"Interlay")</f>
        <v>Interlay</v>
      </c>
    </row>
    <row r="6185">
      <c r="A6185" s="4" t="str">
        <f>IFERROR(__xludf.DUMMYFUNCTION("""COMPUTED_VALUE"""),"inter-milan-fan-token")</f>
        <v>inter-milan-fan-token</v>
      </c>
      <c r="B6185" s="4" t="str">
        <f>IFERROR(__xludf.DUMMYFUNCTION("""COMPUTED_VALUE"""),"inter")</f>
        <v>inter</v>
      </c>
      <c r="C6185" s="4" t="str">
        <f>IFERROR(__xludf.DUMMYFUNCTION("""COMPUTED_VALUE"""),"Inter Milan Fan Token")</f>
        <v>Inter Milan Fan Token</v>
      </c>
    </row>
    <row r="6186">
      <c r="A6186" s="4" t="str">
        <f>IFERROR(__xludf.DUMMYFUNCTION("""COMPUTED_VALUE"""),"international-stable-currency")</f>
        <v>international-stable-currency</v>
      </c>
      <c r="B6186" s="4" t="str">
        <f>IFERROR(__xludf.DUMMYFUNCTION("""COMPUTED_VALUE"""),"isc")</f>
        <v>isc</v>
      </c>
      <c r="C6186" s="4" t="str">
        <f>IFERROR(__xludf.DUMMYFUNCTION("""COMPUTED_VALUE"""),"International Stable Currency")</f>
        <v>International Stable Currency</v>
      </c>
    </row>
    <row r="6187">
      <c r="A6187" s="4" t="str">
        <f>IFERROR(__xludf.DUMMYFUNCTION("""COMPUTED_VALUE"""),"internet")</f>
        <v>internet</v>
      </c>
      <c r="B6187" s="4" t="str">
        <f>IFERROR(__xludf.DUMMYFUNCTION("""COMPUTED_VALUE"""),"net")</f>
        <v>net</v>
      </c>
      <c r="C6187" s="4" t="str">
        <f>IFERROR(__xludf.DUMMYFUNCTION("""COMPUTED_VALUE"""),"Internet")</f>
        <v>Internet</v>
      </c>
    </row>
    <row r="6188">
      <c r="A6188" s="4" t="str">
        <f>IFERROR(__xludf.DUMMYFUNCTION("""COMPUTED_VALUE"""),"internet-computer")</f>
        <v>internet-computer</v>
      </c>
      <c r="B6188" s="4" t="str">
        <f>IFERROR(__xludf.DUMMYFUNCTION("""COMPUTED_VALUE"""),"icp")</f>
        <v>icp</v>
      </c>
      <c r="C6188" s="4" t="str">
        <f>IFERROR(__xludf.DUMMYFUNCTION("""COMPUTED_VALUE"""),"Internet Computer")</f>
        <v>Internet Computer</v>
      </c>
    </row>
    <row r="6189">
      <c r="A6189" s="4" t="str">
        <f>IFERROR(__xludf.DUMMYFUNCTION("""COMPUTED_VALUE"""),"internet-computer-technology")</f>
        <v>internet-computer-technology</v>
      </c>
      <c r="B6189" s="4" t="str">
        <f>IFERROR(__xludf.DUMMYFUNCTION("""COMPUTED_VALUE"""),"ict")</f>
        <v>ict</v>
      </c>
      <c r="C6189" s="4" t="str">
        <f>IFERROR(__xludf.DUMMYFUNCTION("""COMPUTED_VALUE"""),"Internet Computer Technology")</f>
        <v>Internet Computer Technology</v>
      </c>
    </row>
    <row r="6190">
      <c r="A6190" s="4" t="str">
        <f>IFERROR(__xludf.DUMMYFUNCTION("""COMPUTED_VALUE"""),"internet-doge")</f>
        <v>internet-doge</v>
      </c>
      <c r="B6190" s="4" t="str">
        <f>IFERROR(__xludf.DUMMYFUNCTION("""COMPUTED_VALUE"""),"idoge")</f>
        <v>idoge</v>
      </c>
      <c r="C6190" s="4" t="str">
        <f>IFERROR(__xludf.DUMMYFUNCTION("""COMPUTED_VALUE"""),"Internet Doge")</f>
        <v>Internet Doge</v>
      </c>
    </row>
    <row r="6191">
      <c r="A6191" s="4" t="str">
        <f>IFERROR(__xludf.DUMMYFUNCTION("""COMPUTED_VALUE"""),"internet-money")</f>
        <v>internet-money</v>
      </c>
      <c r="B6191" s="4" t="str">
        <f>IFERROR(__xludf.DUMMYFUNCTION("""COMPUTED_VALUE"""),"im")</f>
        <v>im</v>
      </c>
      <c r="C6191" s="4" t="str">
        <f>IFERROR(__xludf.DUMMYFUNCTION("""COMPUTED_VALUE"""),"Internet Money (ETH)")</f>
        <v>Internet Money (ETH)</v>
      </c>
    </row>
    <row r="6192">
      <c r="A6192" s="4" t="str">
        <f>IFERROR(__xludf.DUMMYFUNCTION("""COMPUTED_VALUE"""),"internet-money-bsc")</f>
        <v>internet-money-bsc</v>
      </c>
      <c r="B6192" s="4" t="str">
        <f>IFERROR(__xludf.DUMMYFUNCTION("""COMPUTED_VALUE"""),"im")</f>
        <v>im</v>
      </c>
      <c r="C6192" s="4" t="str">
        <f>IFERROR(__xludf.DUMMYFUNCTION("""COMPUTED_VALUE"""),"Internet Money (BSC)")</f>
        <v>Internet Money (BSC)</v>
      </c>
    </row>
    <row r="6193">
      <c r="A6193" s="4" t="str">
        <f>IFERROR(__xludf.DUMMYFUNCTION("""COMPUTED_VALUE"""),"internet-of-energy-network")</f>
        <v>internet-of-energy-network</v>
      </c>
      <c r="B6193" s="4" t="str">
        <f>IFERROR(__xludf.DUMMYFUNCTION("""COMPUTED_VALUE"""),"ioen")</f>
        <v>ioen</v>
      </c>
      <c r="C6193" s="4" t="str">
        <f>IFERROR(__xludf.DUMMYFUNCTION("""COMPUTED_VALUE"""),"Internet of Energy Network")</f>
        <v>Internet of Energy Network</v>
      </c>
    </row>
    <row r="6194">
      <c r="A6194" s="4" t="str">
        <f>IFERROR(__xludf.DUMMYFUNCTION("""COMPUTED_VALUE"""),"internet-token-2")</f>
        <v>internet-token-2</v>
      </c>
      <c r="B6194" s="4" t="str">
        <f>IFERROR(__xludf.DUMMYFUNCTION("""COMPUTED_VALUE"""),"int")</f>
        <v>int</v>
      </c>
      <c r="C6194" s="4" t="str">
        <f>IFERROR(__xludf.DUMMYFUNCTION("""COMPUTED_VALUE"""),"Internet Token")</f>
        <v>Internet Token</v>
      </c>
    </row>
    <row r="6195">
      <c r="A6195" s="4" t="str">
        <f>IFERROR(__xludf.DUMMYFUNCTION("""COMPUTED_VALUE"""),"interns")</f>
        <v>interns</v>
      </c>
      <c r="B6195" s="4" t="str">
        <f>IFERROR(__xludf.DUMMYFUNCTION("""COMPUTED_VALUE"""),"intern")</f>
        <v>intern</v>
      </c>
      <c r="C6195" s="4" t="str">
        <f>IFERROR(__xludf.DUMMYFUNCTION("""COMPUTED_VALUE"""),"Interns")</f>
        <v>Interns</v>
      </c>
    </row>
    <row r="6196">
      <c r="A6196" s="4" t="str">
        <f>IFERROR(__xludf.DUMMYFUNCTION("""COMPUTED_VALUE"""),"internxt")</f>
        <v>internxt</v>
      </c>
      <c r="B6196" s="4" t="str">
        <f>IFERROR(__xludf.DUMMYFUNCTION("""COMPUTED_VALUE"""),"inxt")</f>
        <v>inxt</v>
      </c>
      <c r="C6196" s="4" t="str">
        <f>IFERROR(__xludf.DUMMYFUNCTION("""COMPUTED_VALUE"""),"Internxt")</f>
        <v>Internxt</v>
      </c>
    </row>
    <row r="6197">
      <c r="A6197" s="4" t="str">
        <f>IFERROR(__xludf.DUMMYFUNCTION("""COMPUTED_VALUE"""),"interport-token")</f>
        <v>interport-token</v>
      </c>
      <c r="B6197" s="4" t="str">
        <f>IFERROR(__xludf.DUMMYFUNCTION("""COMPUTED_VALUE"""),"itp")</f>
        <v>itp</v>
      </c>
      <c r="C6197" s="4" t="str">
        <f>IFERROR(__xludf.DUMMYFUNCTION("""COMPUTED_VALUE"""),"Interport Token")</f>
        <v>Interport Token</v>
      </c>
    </row>
    <row r="6198">
      <c r="A6198" s="4" t="str">
        <f>IFERROR(__xludf.DUMMYFUNCTION("""COMPUTED_VALUE"""),"inter-stable-token")</f>
        <v>inter-stable-token</v>
      </c>
      <c r="B6198" s="4" t="str">
        <f>IFERROR(__xludf.DUMMYFUNCTION("""COMPUTED_VALUE"""),"ist")</f>
        <v>ist</v>
      </c>
      <c r="C6198" s="4" t="str">
        <f>IFERROR(__xludf.DUMMYFUNCTION("""COMPUTED_VALUE"""),"Inter Stable Token")</f>
        <v>Inter Stable Token</v>
      </c>
    </row>
    <row r="6199">
      <c r="A6199" s="4" t="str">
        <f>IFERROR(__xludf.DUMMYFUNCTION("""COMPUTED_VALUE"""),"interstellar-domain-order")</f>
        <v>interstellar-domain-order</v>
      </c>
      <c r="B6199" s="4" t="str">
        <f>IFERROR(__xludf.DUMMYFUNCTION("""COMPUTED_VALUE"""),"ido")</f>
        <v>ido</v>
      </c>
      <c r="C6199" s="4" t="str">
        <f>IFERROR(__xludf.DUMMYFUNCTION("""COMPUTED_VALUE"""),"Interstellar Domain Order")</f>
        <v>Interstellar Domain Order</v>
      </c>
    </row>
    <row r="6200">
      <c r="A6200" s="4" t="str">
        <f>IFERROR(__xludf.DUMMYFUNCTION("""COMPUTED_VALUE"""),"intexcoin")</f>
        <v>intexcoin</v>
      </c>
      <c r="B6200" s="4" t="str">
        <f>IFERROR(__xludf.DUMMYFUNCTION("""COMPUTED_VALUE"""),"intx")</f>
        <v>intx</v>
      </c>
      <c r="C6200" s="4" t="str">
        <f>IFERROR(__xludf.DUMMYFUNCTION("""COMPUTED_VALUE"""),"INTEXCOIN")</f>
        <v>INTEXCOIN</v>
      </c>
    </row>
    <row r="6201">
      <c r="A6201" s="4" t="str">
        <f>IFERROR(__xludf.DUMMYFUNCTION("""COMPUTED_VALUE"""),"intoverse")</f>
        <v>intoverse</v>
      </c>
      <c r="B6201" s="4" t="str">
        <f>IFERROR(__xludf.DUMMYFUNCTION("""COMPUTED_VALUE"""),"tox")</f>
        <v>tox</v>
      </c>
      <c r="C6201" s="4" t="str">
        <f>IFERROR(__xludf.DUMMYFUNCTION("""COMPUTED_VALUE"""),"INTOverse")</f>
        <v>INTOverse</v>
      </c>
    </row>
    <row r="6202">
      <c r="A6202" s="4" t="str">
        <f>IFERROR(__xludf.DUMMYFUNCTION("""COMPUTED_VALUE"""),"intrepid-token")</f>
        <v>intrepid-token</v>
      </c>
      <c r="B6202" s="4" t="str">
        <f>IFERROR(__xludf.DUMMYFUNCTION("""COMPUTED_VALUE"""),"int")</f>
        <v>int</v>
      </c>
      <c r="C6202" s="4" t="str">
        <f>IFERROR(__xludf.DUMMYFUNCTION("""COMPUTED_VALUE"""),"Intrepid Token")</f>
        <v>Intrepid Token</v>
      </c>
    </row>
    <row r="6203">
      <c r="A6203" s="4" t="str">
        <f>IFERROR(__xludf.DUMMYFUNCTION("""COMPUTED_VALUE"""),"intrinsic-number-up")</f>
        <v>intrinsic-number-up</v>
      </c>
      <c r="B6203" s="4" t="str">
        <f>IFERROR(__xludf.DUMMYFUNCTION("""COMPUTED_VALUE"""),"inu")</f>
        <v>inu</v>
      </c>
      <c r="C6203" s="4" t="str">
        <f>IFERROR(__xludf.DUMMYFUNCTION("""COMPUTED_VALUE"""),"Intrinsic Number Up")</f>
        <v>Intrinsic Number Up</v>
      </c>
    </row>
    <row r="6204">
      <c r="A6204" s="4" t="str">
        <f>IFERROR(__xludf.DUMMYFUNCTION("""COMPUTED_VALUE"""),"inu")</f>
        <v>inu</v>
      </c>
      <c r="B6204" s="4" t="str">
        <f>IFERROR(__xludf.DUMMYFUNCTION("""COMPUTED_VALUE"""),"inu")</f>
        <v>inu</v>
      </c>
      <c r="C6204" s="4" t="str">
        <f>IFERROR(__xludf.DUMMYFUNCTION("""COMPUTED_VALUE"""),"Inu.")</f>
        <v>Inu.</v>
      </c>
    </row>
    <row r="6205">
      <c r="A6205" s="4" t="str">
        <f>IFERROR(__xludf.DUMMYFUNCTION("""COMPUTED_VALUE"""),"inu-inu")</f>
        <v>inu-inu</v>
      </c>
      <c r="B6205" s="4" t="str">
        <f>IFERROR(__xludf.DUMMYFUNCTION("""COMPUTED_VALUE"""),"inuinu")</f>
        <v>inuinu</v>
      </c>
      <c r="C6205" s="4" t="str">
        <f>IFERROR(__xludf.DUMMYFUNCTION("""COMPUTED_VALUE"""),"Inu Inu")</f>
        <v>Inu Inu</v>
      </c>
    </row>
    <row r="6206">
      <c r="A6206" s="4" t="str">
        <f>IFERROR(__xludf.DUMMYFUNCTION("""COMPUTED_VALUE"""),"inuko-finance")</f>
        <v>inuko-finance</v>
      </c>
      <c r="B6206" s="4" t="str">
        <f>IFERROR(__xludf.DUMMYFUNCTION("""COMPUTED_VALUE"""),"inuko")</f>
        <v>inuko</v>
      </c>
      <c r="C6206" s="4" t="str">
        <f>IFERROR(__xludf.DUMMYFUNCTION("""COMPUTED_VALUE"""),"Inuko Finance")</f>
        <v>Inuko Finance</v>
      </c>
    </row>
    <row r="6207">
      <c r="A6207" s="4" t="str">
        <f>IFERROR(__xludf.DUMMYFUNCTION("""COMPUTED_VALUE"""),"inu-token-63736428-0d5c-4281-8038-3e62c35ac278")</f>
        <v>inu-token-63736428-0d5c-4281-8038-3e62c35ac278</v>
      </c>
      <c r="B6207" s="4" t="str">
        <f>IFERROR(__xludf.DUMMYFUNCTION("""COMPUTED_VALUE"""),"inu")</f>
        <v>inu</v>
      </c>
      <c r="C6207" s="4" t="str">
        <f>IFERROR(__xludf.DUMMYFUNCTION("""COMPUTED_VALUE"""),"Inu Token")</f>
        <v>Inu Token</v>
      </c>
    </row>
    <row r="6208">
      <c r="A6208" s="4" t="str">
        <f>IFERROR(__xludf.DUMMYFUNCTION("""COMPUTED_VALUE"""),"invectai")</f>
        <v>invectai</v>
      </c>
      <c r="B6208" s="4" t="str">
        <f>IFERROR(__xludf.DUMMYFUNCTION("""COMPUTED_VALUE"""),"invectai")</f>
        <v>invectai</v>
      </c>
      <c r="C6208" s="4" t="str">
        <f>IFERROR(__xludf.DUMMYFUNCTION("""COMPUTED_VALUE"""),"InvectAI")</f>
        <v>InvectAI</v>
      </c>
    </row>
    <row r="6209">
      <c r="A6209" s="4" t="str">
        <f>IFERROR(__xludf.DUMMYFUNCTION("""COMPUTED_VALUE"""),"inverse-ethereum-volatility-index-token")</f>
        <v>inverse-ethereum-volatility-index-token</v>
      </c>
      <c r="B6209" s="4" t="str">
        <f>IFERROR(__xludf.DUMMYFUNCTION("""COMPUTED_VALUE"""),"iethv")</f>
        <v>iethv</v>
      </c>
      <c r="C6209" s="4" t="str">
        <f>IFERROR(__xludf.DUMMYFUNCTION("""COMPUTED_VALUE"""),"Inverse Ethereum Volatility Index Token")</f>
        <v>Inverse Ethereum Volatility Index Token</v>
      </c>
    </row>
    <row r="6210">
      <c r="A6210" s="4" t="str">
        <f>IFERROR(__xludf.DUMMYFUNCTION("""COMPUTED_VALUE"""),"inverse-finance")</f>
        <v>inverse-finance</v>
      </c>
      <c r="B6210" s="4" t="str">
        <f>IFERROR(__xludf.DUMMYFUNCTION("""COMPUTED_VALUE"""),"inv")</f>
        <v>inv</v>
      </c>
      <c r="C6210" s="4" t="str">
        <f>IFERROR(__xludf.DUMMYFUNCTION("""COMPUTED_VALUE"""),"Inverse Finance")</f>
        <v>Inverse Finance</v>
      </c>
    </row>
    <row r="6211">
      <c r="A6211" s="4" t="str">
        <f>IFERROR(__xludf.DUMMYFUNCTION("""COMPUTED_VALUE"""),"invest-club-global")</f>
        <v>invest-club-global</v>
      </c>
      <c r="B6211" s="4" t="str">
        <f>IFERROR(__xludf.DUMMYFUNCTION("""COMPUTED_VALUE"""),"icg")</f>
        <v>icg</v>
      </c>
      <c r="C6211" s="4" t="str">
        <f>IFERROR(__xludf.DUMMYFUNCTION("""COMPUTED_VALUE"""),"Invest Club Global")</f>
        <v>Invest Club Global</v>
      </c>
    </row>
    <row r="6212">
      <c r="A6212" s="4" t="str">
        <f>IFERROR(__xludf.DUMMYFUNCTION("""COMPUTED_VALUE"""),"investdex")</f>
        <v>investdex</v>
      </c>
      <c r="B6212" s="4" t="str">
        <f>IFERROR(__xludf.DUMMYFUNCTION("""COMPUTED_VALUE"""),"invest")</f>
        <v>invest</v>
      </c>
      <c r="C6212" s="4" t="str">
        <f>IFERROR(__xludf.DUMMYFUNCTION("""COMPUTED_VALUE"""),"InvestDex")</f>
        <v>InvestDex</v>
      </c>
    </row>
    <row r="6213">
      <c r="A6213" s="4" t="str">
        <f>IFERROR(__xludf.DUMMYFUNCTION("""COMPUTED_VALUE"""),"investive")</f>
        <v>investive</v>
      </c>
      <c r="B6213" s="4" t="str">
        <f>IFERROR(__xludf.DUMMYFUNCTION("""COMPUTED_VALUE"""),"in")</f>
        <v>in</v>
      </c>
      <c r="C6213" s="4" t="str">
        <f>IFERROR(__xludf.DUMMYFUNCTION("""COMPUTED_VALUE"""),"INVESTIVE")</f>
        <v>INVESTIVE</v>
      </c>
    </row>
    <row r="6214">
      <c r="A6214" s="4" t="str">
        <f>IFERROR(__xludf.DUMMYFUNCTION("""COMPUTED_VALUE"""),"invi-token")</f>
        <v>invi-token</v>
      </c>
      <c r="B6214" s="4" t="str">
        <f>IFERROR(__xludf.DUMMYFUNCTION("""COMPUTED_VALUE"""),"invi")</f>
        <v>invi</v>
      </c>
      <c r="C6214" s="4" t="str">
        <f>IFERROR(__xludf.DUMMYFUNCTION("""COMPUTED_VALUE"""),"INVI")</f>
        <v>INVI</v>
      </c>
    </row>
    <row r="6215">
      <c r="A6215" s="4" t="str">
        <f>IFERROR(__xludf.DUMMYFUNCTION("""COMPUTED_VALUE"""),"invoke")</f>
        <v>invoke</v>
      </c>
      <c r="B6215" s="4" t="str">
        <f>IFERROR(__xludf.DUMMYFUNCTION("""COMPUTED_VALUE"""),"iv")</f>
        <v>iv</v>
      </c>
      <c r="C6215" s="4" t="str">
        <f>IFERROR(__xludf.DUMMYFUNCTION("""COMPUTED_VALUE"""),"Invoker")</f>
        <v>Invoker</v>
      </c>
    </row>
    <row r="6216">
      <c r="A6216" s="4" t="str">
        <f>IFERROR(__xludf.DUMMYFUNCTION("""COMPUTED_VALUE"""),"inx-token-2")</f>
        <v>inx-token-2</v>
      </c>
      <c r="B6216" s="4" t="str">
        <f>IFERROR(__xludf.DUMMYFUNCTION("""COMPUTED_VALUE"""),"inx")</f>
        <v>inx</v>
      </c>
      <c r="C6216" s="4" t="str">
        <f>IFERROR(__xludf.DUMMYFUNCTION("""COMPUTED_VALUE"""),"INX Token")</f>
        <v>INX Token</v>
      </c>
    </row>
    <row r="6217">
      <c r="A6217" s="4" t="str">
        <f>IFERROR(__xludf.DUMMYFUNCTION("""COMPUTED_VALUE"""),"iobusd")</f>
        <v>iobusd</v>
      </c>
      <c r="B6217" s="4" t="str">
        <f>IFERROR(__xludf.DUMMYFUNCTION("""COMPUTED_VALUE"""),"iobusd")</f>
        <v>iobusd</v>
      </c>
      <c r="C6217" s="4" t="str">
        <f>IFERROR(__xludf.DUMMYFUNCTION("""COMPUTED_VALUE"""),"ioBUSD")</f>
        <v>ioBUSD</v>
      </c>
    </row>
    <row r="6218">
      <c r="A6218" s="4" t="str">
        <f>IFERROR(__xludf.DUMMYFUNCTION("""COMPUTED_VALUE"""),"ioeth")</f>
        <v>ioeth</v>
      </c>
      <c r="B6218" s="4" t="str">
        <f>IFERROR(__xludf.DUMMYFUNCTION("""COMPUTED_VALUE"""),"ioeth")</f>
        <v>ioeth</v>
      </c>
      <c r="C6218" s="4" t="str">
        <f>IFERROR(__xludf.DUMMYFUNCTION("""COMPUTED_VALUE"""),"ioETH")</f>
        <v>ioETH</v>
      </c>
    </row>
    <row r="6219">
      <c r="A6219" s="4" t="str">
        <f>IFERROR(__xludf.DUMMYFUNCTION("""COMPUTED_VALUE"""),"ioi-token")</f>
        <v>ioi-token</v>
      </c>
      <c r="B6219" s="4" t="str">
        <f>IFERROR(__xludf.DUMMYFUNCTION("""COMPUTED_VALUE"""),"ioi")</f>
        <v>ioi</v>
      </c>
      <c r="C6219" s="4" t="str">
        <f>IFERROR(__xludf.DUMMYFUNCTION("""COMPUTED_VALUE"""),"IOI Token")</f>
        <v>IOI Token</v>
      </c>
    </row>
    <row r="6220">
      <c r="A6220" s="4" t="str">
        <f>IFERROR(__xludf.DUMMYFUNCTION("""COMPUTED_VALUE"""),"ion")</f>
        <v>ion</v>
      </c>
      <c r="B6220" s="4" t="str">
        <f>IFERROR(__xludf.DUMMYFUNCTION("""COMPUTED_VALUE"""),"ion")</f>
        <v>ion</v>
      </c>
      <c r="C6220" s="4" t="str">
        <f>IFERROR(__xludf.DUMMYFUNCTION("""COMPUTED_VALUE"""),"Ion")</f>
        <v>Ion</v>
      </c>
    </row>
    <row r="6221">
      <c r="A6221" s="4" t="str">
        <f>IFERROR(__xludf.DUMMYFUNCTION("""COMPUTED_VALUE"""),"ionic-pocket-token")</f>
        <v>ionic-pocket-token</v>
      </c>
      <c r="B6221" s="4" t="str">
        <f>IFERROR(__xludf.DUMMYFUNCTION("""COMPUTED_VALUE"""),"inp")</f>
        <v>inp</v>
      </c>
      <c r="C6221" s="4" t="str">
        <f>IFERROR(__xludf.DUMMYFUNCTION("""COMPUTED_VALUE"""),"Ionic Pocket Token")</f>
        <v>Ionic Pocket Token</v>
      </c>
    </row>
    <row r="6222">
      <c r="A6222" s="4" t="str">
        <f>IFERROR(__xludf.DUMMYFUNCTION("""COMPUTED_VALUE"""),"ionic-protocol")</f>
        <v>ionic-protocol</v>
      </c>
      <c r="B6222" s="4" t="str">
        <f>IFERROR(__xludf.DUMMYFUNCTION("""COMPUTED_VALUE"""),"ion")</f>
        <v>ion</v>
      </c>
      <c r="C6222" s="4" t="str">
        <f>IFERROR(__xludf.DUMMYFUNCTION("""COMPUTED_VALUE"""),"Ionic Protocol")</f>
        <v>Ionic Protocol</v>
      </c>
    </row>
    <row r="6223">
      <c r="A6223" s="4" t="str">
        <f>IFERROR(__xludf.DUMMYFUNCTION("""COMPUTED_VALUE"""),"iostoken")</f>
        <v>iostoken</v>
      </c>
      <c r="B6223" s="4" t="str">
        <f>IFERROR(__xludf.DUMMYFUNCTION("""COMPUTED_VALUE"""),"iost")</f>
        <v>iost</v>
      </c>
      <c r="C6223" s="4" t="str">
        <f>IFERROR(__xludf.DUMMYFUNCTION("""COMPUTED_VALUE"""),"IOST")</f>
        <v>IOST</v>
      </c>
    </row>
    <row r="6224">
      <c r="A6224" s="4" t="str">
        <f>IFERROR(__xludf.DUMMYFUNCTION("""COMPUTED_VALUE"""),"iota")</f>
        <v>iota</v>
      </c>
      <c r="B6224" s="4" t="str">
        <f>IFERROR(__xludf.DUMMYFUNCTION("""COMPUTED_VALUE"""),"iota")</f>
        <v>iota</v>
      </c>
      <c r="C6224" s="4" t="str">
        <f>IFERROR(__xludf.DUMMYFUNCTION("""COMPUTED_VALUE"""),"IOTA")</f>
        <v>IOTA</v>
      </c>
    </row>
    <row r="6225">
      <c r="A6225" s="4" t="str">
        <f>IFERROR(__xludf.DUMMYFUNCTION("""COMPUTED_VALUE"""),"iotec-finance")</f>
        <v>iotec-finance</v>
      </c>
      <c r="B6225" s="4" t="str">
        <f>IFERROR(__xludf.DUMMYFUNCTION("""COMPUTED_VALUE"""),"iot")</f>
        <v>iot</v>
      </c>
      <c r="C6225" s="4" t="str">
        <f>IFERROR(__xludf.DUMMYFUNCTION("""COMPUTED_VALUE"""),"Iotec Finance")</f>
        <v>Iotec Finance</v>
      </c>
    </row>
    <row r="6226">
      <c r="A6226" s="4" t="str">
        <f>IFERROR(__xludf.DUMMYFUNCTION("""COMPUTED_VALUE"""),"iotex")</f>
        <v>iotex</v>
      </c>
      <c r="B6226" s="4" t="str">
        <f>IFERROR(__xludf.DUMMYFUNCTION("""COMPUTED_VALUE"""),"iotx")</f>
        <v>iotx</v>
      </c>
      <c r="C6226" s="4" t="str">
        <f>IFERROR(__xludf.DUMMYFUNCTION("""COMPUTED_VALUE"""),"IoTeX")</f>
        <v>IoTeX</v>
      </c>
    </row>
    <row r="6227">
      <c r="A6227" s="4" t="str">
        <f>IFERROR(__xludf.DUMMYFUNCTION("""COMPUTED_VALUE"""),"iotex-bridged-busd-iotex")</f>
        <v>iotex-bridged-busd-iotex</v>
      </c>
      <c r="B6227" s="4" t="str">
        <f>IFERROR(__xludf.DUMMYFUNCTION("""COMPUTED_VALUE"""),"busd")</f>
        <v>busd</v>
      </c>
      <c r="C6227" s="4" t="str">
        <f>IFERROR(__xludf.DUMMYFUNCTION("""COMPUTED_VALUE"""),"IoTeX Bridged BUSD (IoTeX)")</f>
        <v>IoTeX Bridged BUSD (IoTeX)</v>
      </c>
    </row>
    <row r="6228">
      <c r="A6228" s="4" t="str">
        <f>IFERROR(__xludf.DUMMYFUNCTION("""COMPUTED_VALUE"""),"iotex-monster-go")</f>
        <v>iotex-monster-go</v>
      </c>
      <c r="B6228" s="4" t="str">
        <f>IFERROR(__xludf.DUMMYFUNCTION("""COMPUTED_VALUE"""),"mtgo")</f>
        <v>mtgo</v>
      </c>
      <c r="C6228" s="4" t="str">
        <f>IFERROR(__xludf.DUMMYFUNCTION("""COMPUTED_VALUE"""),"Iotex Monster Go")</f>
        <v>Iotex Monster Go</v>
      </c>
    </row>
    <row r="6229">
      <c r="A6229" s="4" t="str">
        <f>IFERROR(__xludf.DUMMYFUNCTION("""COMPUTED_VALUE"""),"iotexpad")</f>
        <v>iotexpad</v>
      </c>
      <c r="B6229" s="4" t="str">
        <f>IFERROR(__xludf.DUMMYFUNCTION("""COMPUTED_VALUE"""),"tex")</f>
        <v>tex</v>
      </c>
      <c r="C6229" s="4" t="str">
        <f>IFERROR(__xludf.DUMMYFUNCTION("""COMPUTED_VALUE"""),"IoTeXPad")</f>
        <v>IoTeXPad</v>
      </c>
    </row>
    <row r="6230">
      <c r="A6230" s="4" t="str">
        <f>IFERROR(__xludf.DUMMYFUNCTION("""COMPUTED_VALUE"""),"iotexshiba")</f>
        <v>iotexshiba</v>
      </c>
      <c r="B6230" s="4" t="str">
        <f>IFERROR(__xludf.DUMMYFUNCTION("""COMPUTED_VALUE"""),"ioshib")</f>
        <v>ioshib</v>
      </c>
      <c r="C6230" s="4" t="str">
        <f>IFERROR(__xludf.DUMMYFUNCTION("""COMPUTED_VALUE"""),"IoTexShiba")</f>
        <v>IoTexShiba</v>
      </c>
    </row>
    <row r="6231">
      <c r="A6231" s="4" t="str">
        <f>IFERROR(__xludf.DUMMYFUNCTION("""COMPUTED_VALUE"""),"iotube-bridged-geod-iotex")</f>
        <v>iotube-bridged-geod-iotex</v>
      </c>
      <c r="B6231" s="4" t="str">
        <f>IFERROR(__xludf.DUMMYFUNCTION("""COMPUTED_VALUE"""),"geod")</f>
        <v>geod</v>
      </c>
      <c r="C6231" s="4" t="str">
        <f>IFERROR(__xludf.DUMMYFUNCTION("""COMPUTED_VALUE"""),"ioTube Bridged GEOD (IoTeX)")</f>
        <v>ioTube Bridged GEOD (IoTeX)</v>
      </c>
    </row>
    <row r="6232">
      <c r="A6232" s="4" t="str">
        <f>IFERROR(__xludf.DUMMYFUNCTION("""COMPUTED_VALUE"""),"iotube-bridged-wifi-iotex")</f>
        <v>iotube-bridged-wifi-iotex</v>
      </c>
      <c r="B6232" s="4" t="str">
        <f>IFERROR(__xludf.DUMMYFUNCTION("""COMPUTED_VALUE"""),"wifi")</f>
        <v>wifi</v>
      </c>
      <c r="C6232" s="4" t="str">
        <f>IFERROR(__xludf.DUMMYFUNCTION("""COMPUTED_VALUE"""),"ioTube Bridged WIFI (IoTeX)")</f>
        <v>ioTube Bridged WIFI (IoTeX)</v>
      </c>
    </row>
    <row r="6233">
      <c r="A6233" s="4" t="str">
        <f>IFERROR(__xludf.DUMMYFUNCTION("""COMPUTED_VALUE"""),"iotube-bridged-wnt-iotex")</f>
        <v>iotube-bridged-wnt-iotex</v>
      </c>
      <c r="B6233" s="4" t="str">
        <f>IFERROR(__xludf.DUMMYFUNCTION("""COMPUTED_VALUE"""),"wnt")</f>
        <v>wnt</v>
      </c>
      <c r="C6233" s="4" t="str">
        <f>IFERROR(__xludf.DUMMYFUNCTION("""COMPUTED_VALUE"""),"ioTube Bridged WNT (IoTeX)")</f>
        <v>ioTube Bridged WNT (IoTeX)</v>
      </c>
    </row>
    <row r="6234">
      <c r="A6234" s="4" t="str">
        <f>IFERROR(__xludf.DUMMYFUNCTION("""COMPUTED_VALUE"""),"iotube-bridged-xnet-iotex")</f>
        <v>iotube-bridged-xnet-iotex</v>
      </c>
      <c r="B6234" s="4" t="str">
        <f>IFERROR(__xludf.DUMMYFUNCTION("""COMPUTED_VALUE"""),"xnet")</f>
        <v>xnet</v>
      </c>
      <c r="C6234" s="4" t="str">
        <f>IFERROR(__xludf.DUMMYFUNCTION("""COMPUTED_VALUE"""),"ioTube Bridged XNET (IoTeX)")</f>
        <v>ioTube Bridged XNET (IoTeX)</v>
      </c>
    </row>
    <row r="6235">
      <c r="A6235" s="4" t="str">
        <f>IFERROR(__xludf.DUMMYFUNCTION("""COMPUTED_VALUE"""),"iousdc")</f>
        <v>iousdc</v>
      </c>
      <c r="B6235" s="4" t="str">
        <f>IFERROR(__xludf.DUMMYFUNCTION("""COMPUTED_VALUE"""),"iousdc")</f>
        <v>iousdc</v>
      </c>
      <c r="C6235" s="4" t="str">
        <f>IFERROR(__xludf.DUMMYFUNCTION("""COMPUTED_VALUE"""),"Bridged USD Coin (IoTeX)")</f>
        <v>Bridged USD Coin (IoTeX)</v>
      </c>
    </row>
    <row r="6236">
      <c r="A6236" s="4" t="str">
        <f>IFERROR(__xludf.DUMMYFUNCTION("""COMPUTED_VALUE"""),"iousdt")</f>
        <v>iousdt</v>
      </c>
      <c r="B6236" s="4" t="str">
        <f>IFERROR(__xludf.DUMMYFUNCTION("""COMPUTED_VALUE"""),"iousdt")</f>
        <v>iousdt</v>
      </c>
      <c r="C6236" s="4" t="str">
        <f>IFERROR(__xludf.DUMMYFUNCTION("""COMPUTED_VALUE"""),"Bridged Tether (IoTeX)")</f>
        <v>Bridged Tether (IoTeX)</v>
      </c>
    </row>
    <row r="6237">
      <c r="A6237" s="4" t="str">
        <f>IFERROR(__xludf.DUMMYFUNCTION("""COMPUTED_VALUE"""),"iowbtc")</f>
        <v>iowbtc</v>
      </c>
      <c r="B6237" s="4" t="str">
        <f>IFERROR(__xludf.DUMMYFUNCTION("""COMPUTED_VALUE"""),"iowbtc")</f>
        <v>iowbtc</v>
      </c>
      <c r="C6237" s="4" t="str">
        <f>IFERROR(__xludf.DUMMYFUNCTION("""COMPUTED_VALUE"""),"ioWBTC")</f>
        <v>ioWBTC</v>
      </c>
    </row>
    <row r="6238">
      <c r="A6238" s="4" t="str">
        <f>IFERROR(__xludf.DUMMYFUNCTION("""COMPUTED_VALUE"""),"iown")</f>
        <v>iown</v>
      </c>
      <c r="B6238" s="4" t="str">
        <f>IFERROR(__xludf.DUMMYFUNCTION("""COMPUTED_VALUE"""),"iown")</f>
        <v>iown</v>
      </c>
      <c r="C6238" s="4" t="str">
        <f>IFERROR(__xludf.DUMMYFUNCTION("""COMPUTED_VALUE"""),"iOWN")</f>
        <v>iOWN</v>
      </c>
    </row>
    <row r="6239">
      <c r="A6239" s="4" t="str">
        <f>IFERROR(__xludf.DUMMYFUNCTION("""COMPUTED_VALUE"""),"ipmb")</f>
        <v>ipmb</v>
      </c>
      <c r="B6239" s="4" t="str">
        <f>IFERROR(__xludf.DUMMYFUNCTION("""COMPUTED_VALUE"""),"ipmb")</f>
        <v>ipmb</v>
      </c>
      <c r="C6239" s="4" t="str">
        <f>IFERROR(__xludf.DUMMYFUNCTION("""COMPUTED_VALUE"""),"IPMB")</f>
        <v>IPMB</v>
      </c>
    </row>
    <row r="6240">
      <c r="A6240" s="4" t="str">
        <f>IFERROR(__xludf.DUMMYFUNCTION("""COMPUTED_VALUE"""),"ipor")</f>
        <v>ipor</v>
      </c>
      <c r="B6240" s="4" t="str">
        <f>IFERROR(__xludf.DUMMYFUNCTION("""COMPUTED_VALUE"""),"ipor")</f>
        <v>ipor</v>
      </c>
      <c r="C6240" s="4" t="str">
        <f>IFERROR(__xludf.DUMMYFUNCTION("""COMPUTED_VALUE"""),"IPOR")</f>
        <v>IPOR</v>
      </c>
    </row>
    <row r="6241">
      <c r="A6241" s="4" t="str">
        <f>IFERROR(__xludf.DUMMYFUNCTION("""COMPUTED_VALUE"""),"ipulse")</f>
        <v>ipulse</v>
      </c>
      <c r="B6241" s="4" t="str">
        <f>IFERROR(__xludf.DUMMYFUNCTION("""COMPUTED_VALUE"""),"pls")</f>
        <v>pls</v>
      </c>
      <c r="C6241" s="4" t="str">
        <f>IFERROR(__xludf.DUMMYFUNCTION("""COMPUTED_VALUE"""),"iPulse")</f>
        <v>iPulse</v>
      </c>
    </row>
    <row r="6242">
      <c r="A6242" s="4" t="str">
        <f>IFERROR(__xludf.DUMMYFUNCTION("""COMPUTED_VALUE"""),"ipverse")</f>
        <v>ipverse</v>
      </c>
      <c r="B6242" s="4" t="str">
        <f>IFERROR(__xludf.DUMMYFUNCTION("""COMPUTED_VALUE"""),"ipv")</f>
        <v>ipv</v>
      </c>
      <c r="C6242" s="4" t="str">
        <f>IFERROR(__xludf.DUMMYFUNCTION("""COMPUTED_VALUE"""),"IPVERSE")</f>
        <v>IPVERSE</v>
      </c>
    </row>
    <row r="6243">
      <c r="A6243" s="4" t="str">
        <f>IFERROR(__xludf.DUMMYFUNCTION("""COMPUTED_VALUE"""),"ipx-token")</f>
        <v>ipx-token</v>
      </c>
      <c r="B6243" s="4" t="str">
        <f>IFERROR(__xludf.DUMMYFUNCTION("""COMPUTED_VALUE"""),"ipx")</f>
        <v>ipx</v>
      </c>
      <c r="C6243" s="4" t="str">
        <f>IFERROR(__xludf.DUMMYFUNCTION("""COMPUTED_VALUE"""),"Tachyon Protocol")</f>
        <v>Tachyon Protocol</v>
      </c>
    </row>
    <row r="6244">
      <c r="A6244" s="4" t="str">
        <f>IFERROR(__xludf.DUMMYFUNCTION("""COMPUTED_VALUE"""),"iq50")</f>
        <v>iq50</v>
      </c>
      <c r="B6244" s="4" t="str">
        <f>IFERROR(__xludf.DUMMYFUNCTION("""COMPUTED_VALUE"""),"iq50")</f>
        <v>iq50</v>
      </c>
      <c r="C6244" s="4" t="str">
        <f>IFERROR(__xludf.DUMMYFUNCTION("""COMPUTED_VALUE"""),"IQ50")</f>
        <v>IQ50</v>
      </c>
    </row>
    <row r="6245">
      <c r="A6245" s="4" t="str">
        <f>IFERROR(__xludf.DUMMYFUNCTION("""COMPUTED_VALUE"""),"iqeon")</f>
        <v>iqeon</v>
      </c>
      <c r="B6245" s="4" t="str">
        <f>IFERROR(__xludf.DUMMYFUNCTION("""COMPUTED_VALUE"""),"iqn")</f>
        <v>iqn</v>
      </c>
      <c r="C6245" s="4" t="str">
        <f>IFERROR(__xludf.DUMMYFUNCTION("""COMPUTED_VALUE"""),"IQeon")</f>
        <v>IQeon</v>
      </c>
    </row>
    <row r="6246">
      <c r="A6246" s="4" t="str">
        <f>IFERROR(__xludf.DUMMYFUNCTION("""COMPUTED_VALUE"""),"iq-protocol")</f>
        <v>iq-protocol</v>
      </c>
      <c r="B6246" s="4" t="str">
        <f>IFERROR(__xludf.DUMMYFUNCTION("""COMPUTED_VALUE"""),"iqt")</f>
        <v>iqt</v>
      </c>
      <c r="C6246" s="4" t="str">
        <f>IFERROR(__xludf.DUMMYFUNCTION("""COMPUTED_VALUE"""),"IQ Protocol")</f>
        <v>IQ Protocol</v>
      </c>
    </row>
    <row r="6247">
      <c r="A6247" s="4" t="str">
        <f>IFERROR(__xludf.DUMMYFUNCTION("""COMPUTED_VALUE"""),"irena-green-energy")</f>
        <v>irena-green-energy</v>
      </c>
      <c r="B6247" s="4" t="str">
        <f>IFERROR(__xludf.DUMMYFUNCTION("""COMPUTED_VALUE"""),"irena")</f>
        <v>irena</v>
      </c>
      <c r="C6247" s="4" t="str">
        <f>IFERROR(__xludf.DUMMYFUNCTION("""COMPUTED_VALUE"""),"Irena Coin Apps")</f>
        <v>Irena Coin Apps</v>
      </c>
    </row>
    <row r="6248">
      <c r="A6248" s="4" t="str">
        <f>IFERROR(__xludf.DUMMYFUNCTION("""COMPUTED_VALUE"""),"iridium")</f>
        <v>iridium</v>
      </c>
      <c r="B6248" s="4" t="str">
        <f>IFERROR(__xludf.DUMMYFUNCTION("""COMPUTED_VALUE"""),"ird")</f>
        <v>ird</v>
      </c>
      <c r="C6248" s="4" t="str">
        <f>IFERROR(__xludf.DUMMYFUNCTION("""COMPUTED_VALUE"""),"Iridium")</f>
        <v>Iridium</v>
      </c>
    </row>
    <row r="6249">
      <c r="A6249" s="4" t="str">
        <f>IFERROR(__xludf.DUMMYFUNCTION("""COMPUTED_VALUE"""),"iris-ecosystem")</f>
        <v>iris-ecosystem</v>
      </c>
      <c r="B6249" s="4" t="str">
        <f>IFERROR(__xludf.DUMMYFUNCTION("""COMPUTED_VALUE"""),"iristoken")</f>
        <v>iristoken</v>
      </c>
      <c r="C6249" s="4" t="str">
        <f>IFERROR(__xludf.DUMMYFUNCTION("""COMPUTED_VALUE"""),"Iris Ecosystem")</f>
        <v>Iris Ecosystem</v>
      </c>
    </row>
    <row r="6250">
      <c r="A6250" s="4" t="str">
        <f>IFERROR(__xludf.DUMMYFUNCTION("""COMPUTED_VALUE"""),"iris-network")</f>
        <v>iris-network</v>
      </c>
      <c r="B6250" s="4" t="str">
        <f>IFERROR(__xludf.DUMMYFUNCTION("""COMPUTED_VALUE"""),"iris")</f>
        <v>iris</v>
      </c>
      <c r="C6250" s="4" t="str">
        <f>IFERROR(__xludf.DUMMYFUNCTION("""COMPUTED_VALUE"""),"IRISnet")</f>
        <v>IRISnet</v>
      </c>
    </row>
    <row r="6251">
      <c r="A6251" s="4" t="str">
        <f>IFERROR(__xludf.DUMMYFUNCTION("""COMPUTED_VALUE"""),"iris-token-2")</f>
        <v>iris-token-2</v>
      </c>
      <c r="B6251" s="4" t="str">
        <f>IFERROR(__xludf.DUMMYFUNCTION("""COMPUTED_VALUE"""),"iris")</f>
        <v>iris</v>
      </c>
      <c r="C6251" s="4" t="str">
        <f>IFERROR(__xludf.DUMMYFUNCTION("""COMPUTED_VALUE"""),"Iris")</f>
        <v>Iris</v>
      </c>
    </row>
    <row r="6252">
      <c r="A6252" s="4" t="str">
        <f>IFERROR(__xludf.DUMMYFUNCTION("""COMPUTED_VALUE"""),"iron-bank")</f>
        <v>iron-bank</v>
      </c>
      <c r="B6252" s="4" t="str">
        <f>IFERROR(__xludf.DUMMYFUNCTION("""COMPUTED_VALUE"""),"ib")</f>
        <v>ib</v>
      </c>
      <c r="C6252" s="4" t="str">
        <f>IFERROR(__xludf.DUMMYFUNCTION("""COMPUTED_VALUE"""),"Iron Bank")</f>
        <v>Iron Bank</v>
      </c>
    </row>
    <row r="6253">
      <c r="A6253" s="4" t="str">
        <f>IFERROR(__xludf.DUMMYFUNCTION("""COMPUTED_VALUE"""),"iron-bank-euro")</f>
        <v>iron-bank-euro</v>
      </c>
      <c r="B6253" s="4" t="str">
        <f>IFERROR(__xludf.DUMMYFUNCTION("""COMPUTED_VALUE"""),"ibeur")</f>
        <v>ibeur</v>
      </c>
      <c r="C6253" s="4" t="str">
        <f>IFERROR(__xludf.DUMMYFUNCTION("""COMPUTED_VALUE"""),"Iron Bank EUR")</f>
        <v>Iron Bank EUR</v>
      </c>
    </row>
    <row r="6254">
      <c r="A6254" s="4" t="str">
        <f>IFERROR(__xludf.DUMMYFUNCTION("""COMPUTED_VALUE"""),"iron-bsc")</f>
        <v>iron-bsc</v>
      </c>
      <c r="B6254" s="4" t="str">
        <f>IFERROR(__xludf.DUMMYFUNCTION("""COMPUTED_VALUE"""),"iron")</f>
        <v>iron</v>
      </c>
      <c r="C6254" s="4" t="str">
        <f>IFERROR(__xludf.DUMMYFUNCTION("""COMPUTED_VALUE"""),"Iron BSC")</f>
        <v>Iron BSC</v>
      </c>
    </row>
    <row r="6255">
      <c r="A6255" s="4" t="str">
        <f>IFERROR(__xludf.DUMMYFUNCTION("""COMPUTED_VALUE"""),"iron-finance")</f>
        <v>iron-finance</v>
      </c>
      <c r="B6255" s="4" t="str">
        <f>IFERROR(__xludf.DUMMYFUNCTION("""COMPUTED_VALUE"""),"ice")</f>
        <v>ice</v>
      </c>
      <c r="C6255" s="4" t="str">
        <f>IFERROR(__xludf.DUMMYFUNCTION("""COMPUTED_VALUE"""),"Iron Finance")</f>
        <v>Iron Finance</v>
      </c>
    </row>
    <row r="6256">
      <c r="A6256" s="4" t="str">
        <f>IFERROR(__xludf.DUMMYFUNCTION("""COMPUTED_VALUE"""),"iron-fish")</f>
        <v>iron-fish</v>
      </c>
      <c r="B6256" s="4" t="str">
        <f>IFERROR(__xludf.DUMMYFUNCTION("""COMPUTED_VALUE"""),"iron")</f>
        <v>iron</v>
      </c>
      <c r="C6256" s="4" t="str">
        <f>IFERROR(__xludf.DUMMYFUNCTION("""COMPUTED_VALUE"""),"Iron Fish")</f>
        <v>Iron Fish</v>
      </c>
    </row>
    <row r="6257">
      <c r="A6257" s="4" t="str">
        <f>IFERROR(__xludf.DUMMYFUNCTION("""COMPUTED_VALUE"""),"iron-stablecoin")</f>
        <v>iron-stablecoin</v>
      </c>
      <c r="B6257" s="4" t="str">
        <f>IFERROR(__xludf.DUMMYFUNCTION("""COMPUTED_VALUE"""),"iron")</f>
        <v>iron</v>
      </c>
      <c r="C6257" s="4" t="str">
        <f>IFERROR(__xludf.DUMMYFUNCTION("""COMPUTED_VALUE"""),"Iron")</f>
        <v>Iron</v>
      </c>
    </row>
    <row r="6258">
      <c r="A6258" s="4" t="str">
        <f>IFERROR(__xludf.DUMMYFUNCTION("""COMPUTED_VALUE"""),"iron-titanium-token")</f>
        <v>iron-titanium-token</v>
      </c>
      <c r="B6258" s="4" t="str">
        <f>IFERROR(__xludf.DUMMYFUNCTION("""COMPUTED_VALUE"""),"titan")</f>
        <v>titan</v>
      </c>
      <c r="C6258" s="4" t="str">
        <f>IFERROR(__xludf.DUMMYFUNCTION("""COMPUTED_VALUE"""),"IRON Titanium")</f>
        <v>IRON Titanium</v>
      </c>
    </row>
    <row r="6259">
      <c r="A6259" s="4" t="str">
        <f>IFERROR(__xludf.DUMMYFUNCTION("""COMPUTED_VALUE"""),"iryde")</f>
        <v>iryde</v>
      </c>
      <c r="B6259" s="4" t="str">
        <f>IFERROR(__xludf.DUMMYFUNCTION("""COMPUTED_VALUE"""),"iryde")</f>
        <v>iryde</v>
      </c>
      <c r="C6259" s="4" t="str">
        <f>IFERROR(__xludf.DUMMYFUNCTION("""COMPUTED_VALUE"""),"iRYDE")</f>
        <v>iRYDE</v>
      </c>
    </row>
    <row r="6260">
      <c r="A6260" s="4" t="str">
        <f>IFERROR(__xludf.DUMMYFUNCTION("""COMPUTED_VALUE"""),"isengard-nft-marketplace")</f>
        <v>isengard-nft-marketplace</v>
      </c>
      <c r="B6260" s="4" t="str">
        <f>IFERROR(__xludf.DUMMYFUNCTION("""COMPUTED_VALUE"""),"iset-84e55e")</f>
        <v>iset-84e55e</v>
      </c>
      <c r="C6260" s="4" t="str">
        <f>IFERROR(__xludf.DUMMYFUNCTION("""COMPUTED_VALUE"""),"Isengard NFT Marketplace")</f>
        <v>Isengard NFT Marketplace</v>
      </c>
    </row>
    <row r="6261">
      <c r="A6261" s="4" t="str">
        <f>IFERROR(__xludf.DUMMYFUNCTION("""COMPUTED_VALUE"""),"ishares-msci-world-etf-tokenized-stock-defichain")</f>
        <v>ishares-msci-world-etf-tokenized-stock-defichain</v>
      </c>
      <c r="B6261" s="4" t="str">
        <f>IFERROR(__xludf.DUMMYFUNCTION("""COMPUTED_VALUE"""),"durth")</f>
        <v>durth</v>
      </c>
      <c r="C6261" s="4" t="str">
        <f>IFERROR(__xludf.DUMMYFUNCTION("""COMPUTED_VALUE"""),"iShares MSCI World ETF Tokenized Stock Defichain")</f>
        <v>iShares MSCI World ETF Tokenized Stock Defichain</v>
      </c>
    </row>
    <row r="6262">
      <c r="A6262" s="4" t="str">
        <f>IFERROR(__xludf.DUMMYFUNCTION("""COMPUTED_VALUE"""),"ishi")</f>
        <v>ishi</v>
      </c>
      <c r="B6262" s="4" t="str">
        <f>IFERROR(__xludf.DUMMYFUNCTION("""COMPUTED_VALUE"""),"ishi")</f>
        <v>ishi</v>
      </c>
      <c r="C6262" s="4" t="str">
        <f>IFERROR(__xludf.DUMMYFUNCTION("""COMPUTED_VALUE"""),"Ishi")</f>
        <v>Ishi</v>
      </c>
    </row>
    <row r="6263">
      <c r="A6263" s="4" t="str">
        <f>IFERROR(__xludf.DUMMYFUNCTION("""COMPUTED_VALUE"""),"ishib")</f>
        <v>ishib</v>
      </c>
      <c r="B6263" s="4" t="str">
        <f>IFERROR(__xludf.DUMMYFUNCTION("""COMPUTED_VALUE"""),"ishib")</f>
        <v>ishib</v>
      </c>
      <c r="C6263" s="4" t="str">
        <f>IFERROR(__xludf.DUMMYFUNCTION("""COMPUTED_VALUE"""),"iSHIB")</f>
        <v>iSHIB</v>
      </c>
    </row>
    <row r="6264">
      <c r="A6264" s="4" t="str">
        <f>IFERROR(__xludf.DUMMYFUNCTION("""COMPUTED_VALUE"""),"ishook")</f>
        <v>ishook</v>
      </c>
      <c r="B6264" s="4" t="str">
        <f>IFERROR(__xludf.DUMMYFUNCTION("""COMPUTED_VALUE"""),"shk")</f>
        <v>shk</v>
      </c>
      <c r="C6264" s="4" t="str">
        <f>IFERROR(__xludf.DUMMYFUNCTION("""COMPUTED_VALUE"""),"iShook")</f>
        <v>iShook</v>
      </c>
    </row>
    <row r="6265">
      <c r="A6265" s="4" t="str">
        <f>IFERROR(__xludf.DUMMYFUNCTION("""COMPUTED_VALUE"""),"isiklar-coin")</f>
        <v>isiklar-coin</v>
      </c>
      <c r="B6265" s="4" t="str">
        <f>IFERROR(__xludf.DUMMYFUNCTION("""COMPUTED_VALUE"""),"isikc")</f>
        <v>isikc</v>
      </c>
      <c r="C6265" s="4" t="str">
        <f>IFERROR(__xludf.DUMMYFUNCTION("""COMPUTED_VALUE"""),"Isiklar Coin")</f>
        <v>Isiklar Coin</v>
      </c>
    </row>
    <row r="6266">
      <c r="A6266" s="4" t="str">
        <f>IFERROR(__xludf.DUMMYFUNCTION("""COMPUTED_VALUE"""),"iskra-token")</f>
        <v>iskra-token</v>
      </c>
      <c r="B6266" s="4" t="str">
        <f>IFERROR(__xludf.DUMMYFUNCTION("""COMPUTED_VALUE"""),"isk")</f>
        <v>isk</v>
      </c>
      <c r="C6266" s="4" t="str">
        <f>IFERROR(__xludf.DUMMYFUNCTION("""COMPUTED_VALUE"""),"ISKRA Token")</f>
        <v>ISKRA Token</v>
      </c>
    </row>
    <row r="6267">
      <c r="A6267" s="4" t="str">
        <f>IFERROR(__xludf.DUMMYFUNCTION("""COMPUTED_VALUE"""),"islamic-coin")</f>
        <v>islamic-coin</v>
      </c>
      <c r="B6267" s="4" t="str">
        <f>IFERROR(__xludf.DUMMYFUNCTION("""COMPUTED_VALUE"""),"islm")</f>
        <v>islm</v>
      </c>
      <c r="C6267" s="4" t="str">
        <f>IFERROR(__xludf.DUMMYFUNCTION("""COMPUTED_VALUE"""),"Islamic Coin")</f>
        <v>Islamic Coin</v>
      </c>
    </row>
    <row r="6268">
      <c r="A6268" s="4" t="str">
        <f>IFERROR(__xludf.DUMMYFUNCTION("""COMPUTED_VALUE"""),"islamicoin")</f>
        <v>islamicoin</v>
      </c>
      <c r="B6268" s="4" t="str">
        <f>IFERROR(__xludf.DUMMYFUNCTION("""COMPUTED_VALUE"""),"islami")</f>
        <v>islami</v>
      </c>
      <c r="C6268" s="4" t="str">
        <f>IFERROR(__xludf.DUMMYFUNCTION("""COMPUTED_VALUE"""),"ISLAMICOIN")</f>
        <v>ISLAMICOIN</v>
      </c>
    </row>
    <row r="6269">
      <c r="A6269" s="4" t="str">
        <f>IFERROR(__xludf.DUMMYFUNCTION("""COMPUTED_VALUE"""),"islander")</f>
        <v>islander</v>
      </c>
      <c r="B6269" s="4" t="str">
        <f>IFERROR(__xludf.DUMMYFUNCTION("""COMPUTED_VALUE"""),"isa")</f>
        <v>isa</v>
      </c>
      <c r="C6269" s="4" t="str">
        <f>IFERROR(__xludf.DUMMYFUNCTION("""COMPUTED_VALUE"""),"Islander")</f>
        <v>Islander</v>
      </c>
    </row>
    <row r="6270">
      <c r="A6270" s="4" t="str">
        <f>IFERROR(__xludf.DUMMYFUNCTION("""COMPUTED_VALUE"""),"ispolink")</f>
        <v>ispolink</v>
      </c>
      <c r="B6270" s="4" t="str">
        <f>IFERROR(__xludf.DUMMYFUNCTION("""COMPUTED_VALUE"""),"isp")</f>
        <v>isp</v>
      </c>
      <c r="C6270" s="4" t="str">
        <f>IFERROR(__xludf.DUMMYFUNCTION("""COMPUTED_VALUE"""),"Ispolink")</f>
        <v>Ispolink</v>
      </c>
    </row>
    <row r="6271">
      <c r="A6271" s="4" t="str">
        <f>IFERROR(__xludf.DUMMYFUNCTION("""COMPUTED_VALUE"""),"issp")</f>
        <v>issp</v>
      </c>
      <c r="B6271" s="4" t="str">
        <f>IFERROR(__xludf.DUMMYFUNCTION("""COMPUTED_VALUE"""),"issp")</f>
        <v>issp</v>
      </c>
      <c r="C6271" s="4" t="str">
        <f>IFERROR(__xludf.DUMMYFUNCTION("""COMPUTED_VALUE"""),"ISSP")</f>
        <v>ISSP</v>
      </c>
    </row>
    <row r="6272">
      <c r="A6272" s="4" t="str">
        <f>IFERROR(__xludf.DUMMYFUNCTION("""COMPUTED_VALUE"""),"issuaa")</f>
        <v>issuaa</v>
      </c>
      <c r="B6272" s="4" t="str">
        <f>IFERROR(__xludf.DUMMYFUNCTION("""COMPUTED_VALUE"""),"iss")</f>
        <v>iss</v>
      </c>
      <c r="C6272" s="4" t="str">
        <f>IFERROR(__xludf.DUMMYFUNCTION("""COMPUTED_VALUE"""),"ISSUAA")</f>
        <v>ISSUAA</v>
      </c>
    </row>
    <row r="6273">
      <c r="A6273" s="4" t="str">
        <f>IFERROR(__xludf.DUMMYFUNCTION("""COMPUTED_VALUE"""),"istable")</f>
        <v>istable</v>
      </c>
      <c r="B6273" s="4" t="str">
        <f>IFERROR(__xludf.DUMMYFUNCTION("""COMPUTED_VALUE"""),"i-stable")</f>
        <v>i-stable</v>
      </c>
      <c r="C6273" s="4" t="str">
        <f>IFERROR(__xludf.DUMMYFUNCTION("""COMPUTED_VALUE"""),"iStable")</f>
        <v>iStable</v>
      </c>
    </row>
    <row r="6274">
      <c r="A6274" s="4" t="str">
        <f>IFERROR(__xludf.DUMMYFUNCTION("""COMPUTED_VALUE"""),"istanbul-basaksehir-fan-token")</f>
        <v>istanbul-basaksehir-fan-token</v>
      </c>
      <c r="B6274" s="4" t="str">
        <f>IFERROR(__xludf.DUMMYFUNCTION("""COMPUTED_VALUE"""),"ibfk")</f>
        <v>ibfk</v>
      </c>
      <c r="C6274" s="4" t="str">
        <f>IFERROR(__xludf.DUMMYFUNCTION("""COMPUTED_VALUE"""),"İstanbul Başakşehir Fan Token")</f>
        <v>İstanbul Başakşehir Fan Token</v>
      </c>
    </row>
    <row r="6275">
      <c r="A6275" s="4" t="str">
        <f>IFERROR(__xludf.DUMMYFUNCTION("""COMPUTED_VALUE"""),"istanbul-wild-cats-fan-token")</f>
        <v>istanbul-wild-cats-fan-token</v>
      </c>
      <c r="B6275" s="4" t="str">
        <f>IFERROR(__xludf.DUMMYFUNCTION("""COMPUTED_VALUE"""),"iwft")</f>
        <v>iwft</v>
      </c>
      <c r="C6275" s="4" t="str">
        <f>IFERROR(__xludf.DUMMYFUNCTION("""COMPUTED_VALUE"""),"İstanbul Wild Cats Fan Token")</f>
        <v>İstanbul Wild Cats Fan Token</v>
      </c>
    </row>
    <row r="6276">
      <c r="A6276" s="4" t="str">
        <f>IFERROR(__xludf.DUMMYFUNCTION("""COMPUTED_VALUE"""),"istep")</f>
        <v>istep</v>
      </c>
      <c r="B6276" s="4" t="str">
        <f>IFERROR(__xludf.DUMMYFUNCTION("""COMPUTED_VALUE"""),"istep")</f>
        <v>istep</v>
      </c>
      <c r="C6276" s="4" t="str">
        <f>IFERROR(__xludf.DUMMYFUNCTION("""COMPUTED_VALUE"""),"iSTEP")</f>
        <v>iSTEP</v>
      </c>
    </row>
    <row r="6277">
      <c r="A6277" s="4" t="str">
        <f>IFERROR(__xludf.DUMMYFUNCTION("""COMPUTED_VALUE"""),"isynthetic-token")</f>
        <v>isynthetic-token</v>
      </c>
      <c r="B6277" s="4" t="str">
        <f>IFERROR(__xludf.DUMMYFUNCTION("""COMPUTED_VALUE"""),"syth")</f>
        <v>syth</v>
      </c>
      <c r="C6277" s="4" t="str">
        <f>IFERROR(__xludf.DUMMYFUNCTION("""COMPUTED_VALUE"""),"iSynthetic Token")</f>
        <v>iSynthetic Token</v>
      </c>
    </row>
    <row r="6278">
      <c r="A6278" s="4" t="str">
        <f>IFERROR(__xludf.DUMMYFUNCTION("""COMPUTED_VALUE"""),"italian-national-football-team-fan-token")</f>
        <v>italian-national-football-team-fan-token</v>
      </c>
      <c r="B6278" s="4" t="str">
        <f>IFERROR(__xludf.DUMMYFUNCTION("""COMPUTED_VALUE"""),"ita")</f>
        <v>ita</v>
      </c>
      <c r="C6278" s="4" t="str">
        <f>IFERROR(__xludf.DUMMYFUNCTION("""COMPUTED_VALUE"""),"Italian National Football Team Fan Token")</f>
        <v>Italian National Football Team Fan Token</v>
      </c>
    </row>
    <row r="6279">
      <c r="A6279" s="4" t="str">
        <f>IFERROR(__xludf.DUMMYFUNCTION("""COMPUTED_VALUE"""),"itam-games")</f>
        <v>itam-games</v>
      </c>
      <c r="B6279" s="4" t="str">
        <f>IFERROR(__xludf.DUMMYFUNCTION("""COMPUTED_VALUE"""),"itam")</f>
        <v>itam</v>
      </c>
      <c r="C6279" s="4" t="str">
        <f>IFERROR(__xludf.DUMMYFUNCTION("""COMPUTED_VALUE"""),"ITAM Games")</f>
        <v>ITAM Games</v>
      </c>
    </row>
    <row r="6280">
      <c r="A6280" s="4" t="str">
        <f>IFERROR(__xludf.DUMMYFUNCTION("""COMPUTED_VALUE"""),"itc")</f>
        <v>itc</v>
      </c>
      <c r="B6280" s="4" t="str">
        <f>IFERROR(__xludf.DUMMYFUNCTION("""COMPUTED_VALUE"""),"itc")</f>
        <v>itc</v>
      </c>
      <c r="C6280" s="4" t="str">
        <f>IFERROR(__xludf.DUMMYFUNCTION("""COMPUTED_VALUE"""),"ITC")</f>
        <v>ITC</v>
      </c>
    </row>
    <row r="6281">
      <c r="A6281" s="4" t="str">
        <f>IFERROR(__xludf.DUMMYFUNCTION("""COMPUTED_VALUE"""),"itemverse")</f>
        <v>itemverse</v>
      </c>
      <c r="B6281" s="4" t="str">
        <f>IFERROR(__xludf.DUMMYFUNCTION("""COMPUTED_VALUE"""),"item")</f>
        <v>item</v>
      </c>
      <c r="C6281" s="4" t="str">
        <f>IFERROR(__xludf.DUMMYFUNCTION("""COMPUTED_VALUE"""),"ITEMVERSE")</f>
        <v>ITEMVERSE</v>
      </c>
    </row>
    <row r="6282">
      <c r="A6282" s="4" t="str">
        <f>IFERROR(__xludf.DUMMYFUNCTION("""COMPUTED_VALUE"""),"itheum")</f>
        <v>itheum</v>
      </c>
      <c r="B6282" s="4" t="str">
        <f>IFERROR(__xludf.DUMMYFUNCTION("""COMPUTED_VALUE"""),"itheum")</f>
        <v>itheum</v>
      </c>
      <c r="C6282" s="4" t="str">
        <f>IFERROR(__xludf.DUMMYFUNCTION("""COMPUTED_VALUE"""),"Itheum")</f>
        <v>Itheum</v>
      </c>
    </row>
    <row r="6283">
      <c r="A6283" s="4" t="str">
        <f>IFERROR(__xludf.DUMMYFUNCTION("""COMPUTED_VALUE"""),"its-as-shrimple-as-that")</f>
        <v>its-as-shrimple-as-that</v>
      </c>
      <c r="B6283" s="4" t="str">
        <f>IFERROR(__xludf.DUMMYFUNCTION("""COMPUTED_VALUE"""),"shrimple")</f>
        <v>shrimple</v>
      </c>
      <c r="C6283" s="4" t="str">
        <f>IFERROR(__xludf.DUMMYFUNCTION("""COMPUTED_VALUE"""),"its as shrimple as that")</f>
        <v>its as shrimple as that</v>
      </c>
    </row>
    <row r="6284">
      <c r="A6284" s="4" t="str">
        <f>IFERROR(__xludf.DUMMYFUNCTION("""COMPUTED_VALUE"""),"itsbloc")</f>
        <v>itsbloc</v>
      </c>
      <c r="B6284" s="4" t="str">
        <f>IFERROR(__xludf.DUMMYFUNCTION("""COMPUTED_VALUE"""),"itsb")</f>
        <v>itsb</v>
      </c>
      <c r="C6284" s="4" t="str">
        <f>IFERROR(__xludf.DUMMYFUNCTION("""COMPUTED_VALUE"""),"ITSBLOC")</f>
        <v>ITSBLOC</v>
      </c>
    </row>
    <row r="6285">
      <c r="A6285" s="4" t="str">
        <f>IFERROR(__xludf.DUMMYFUNCTION("""COMPUTED_VALUE"""),"it-s-just-a-rock")</f>
        <v>it-s-just-a-rock</v>
      </c>
      <c r="B6285" s="4" t="str">
        <f>IFERROR(__xludf.DUMMYFUNCTION("""COMPUTED_VALUE"""),"rock")</f>
        <v>rock</v>
      </c>
      <c r="C6285" s="4" t="str">
        <f>IFERROR(__xludf.DUMMYFUNCTION("""COMPUTED_VALUE"""),"Rock")</f>
        <v>Rock</v>
      </c>
    </row>
    <row r="6286">
      <c r="A6286" s="4" t="str">
        <f>IFERROR(__xludf.DUMMYFUNCTION("""COMPUTED_VALUE"""),"it-s-so-over")</f>
        <v>it-s-so-over</v>
      </c>
      <c r="B6286" s="4" t="str">
        <f>IFERROR(__xludf.DUMMYFUNCTION("""COMPUTED_VALUE"""),"over")</f>
        <v>over</v>
      </c>
      <c r="C6286" s="4" t="str">
        <f>IFERROR(__xludf.DUMMYFUNCTION("""COMPUTED_VALUE"""),"It's so over")</f>
        <v>It's so over</v>
      </c>
    </row>
    <row r="6287">
      <c r="A6287" s="4" t="str">
        <f>IFERROR(__xludf.DUMMYFUNCTION("""COMPUTED_VALUE"""),"it-technology-global-ltd")</f>
        <v>it-technology-global-ltd</v>
      </c>
      <c r="B6287" s="4" t="str">
        <f>IFERROR(__xludf.DUMMYFUNCTION("""COMPUTED_VALUE"""),"itg")</f>
        <v>itg</v>
      </c>
      <c r="C6287" s="4" t="str">
        <f>IFERROR(__xludf.DUMMYFUNCTION("""COMPUTED_VALUE"""),"IT Technology Global Ltd")</f>
        <v>IT Technology Global Ltd</v>
      </c>
    </row>
    <row r="6288">
      <c r="A6288" s="4" t="str">
        <f>IFERROR(__xludf.DUMMYFUNCTION("""COMPUTED_VALUE"""),"iucn-coin")</f>
        <v>iucn-coin</v>
      </c>
      <c r="B6288" s="4" t="str">
        <f>IFERROR(__xludf.DUMMYFUNCTION("""COMPUTED_VALUE"""),"iucn")</f>
        <v>iucn</v>
      </c>
      <c r="C6288" s="4" t="str">
        <f>IFERROR(__xludf.DUMMYFUNCTION("""COMPUTED_VALUE"""),"IUCN Coin")</f>
        <v>IUCN Coin</v>
      </c>
    </row>
    <row r="6289">
      <c r="A6289" s="4" t="str">
        <f>IFERROR(__xludf.DUMMYFUNCTION("""COMPUTED_VALUE"""),"iusd")</f>
        <v>iusd</v>
      </c>
      <c r="B6289" s="4" t="str">
        <f>IFERROR(__xludf.DUMMYFUNCTION("""COMPUTED_VALUE"""),"iusd")</f>
        <v>iusd</v>
      </c>
      <c r="C6289" s="4" t="str">
        <f>IFERROR(__xludf.DUMMYFUNCTION("""COMPUTED_VALUE"""),"iUSD")</f>
        <v>iUSD</v>
      </c>
    </row>
    <row r="6290">
      <c r="A6290" s="4" t="str">
        <f>IFERROR(__xludf.DUMMYFUNCTION("""COMPUTED_VALUE"""),"iustitia-coin")</f>
        <v>iustitia-coin</v>
      </c>
      <c r="B6290" s="4" t="str">
        <f>IFERROR(__xludf.DUMMYFUNCTION("""COMPUTED_VALUE"""),"ius")</f>
        <v>ius</v>
      </c>
      <c r="C6290" s="4" t="str">
        <f>IFERROR(__xludf.DUMMYFUNCTION("""COMPUTED_VALUE"""),"Iustitia Coin")</f>
        <v>Iustitia Coin</v>
      </c>
    </row>
    <row r="6291">
      <c r="A6291" s="4" t="str">
        <f>IFERROR(__xludf.DUMMYFUNCTION("""COMPUTED_VALUE"""),"ivendpay")</f>
        <v>ivendpay</v>
      </c>
      <c r="B6291" s="4" t="str">
        <f>IFERROR(__xludf.DUMMYFUNCTION("""COMPUTED_VALUE"""),"ivpay")</f>
        <v>ivpay</v>
      </c>
      <c r="C6291" s="4" t="str">
        <f>IFERROR(__xludf.DUMMYFUNCTION("""COMPUTED_VALUE"""),"ivendPay")</f>
        <v>ivendPay</v>
      </c>
    </row>
    <row r="6292">
      <c r="A6292" s="4" t="str">
        <f>IFERROR(__xludf.DUMMYFUNCTION("""COMPUTED_VALUE"""),"ivy-live")</f>
        <v>ivy-live</v>
      </c>
      <c r="B6292" s="4" t="str">
        <f>IFERROR(__xludf.DUMMYFUNCTION("""COMPUTED_VALUE"""),"ivy")</f>
        <v>ivy</v>
      </c>
      <c r="C6292" s="4" t="str">
        <f>IFERROR(__xludf.DUMMYFUNCTION("""COMPUTED_VALUE"""),"Ivy Live")</f>
        <v>Ivy Live</v>
      </c>
    </row>
    <row r="6293">
      <c r="A6293" s="4" t="str">
        <f>IFERROR(__xludf.DUMMYFUNCTION("""COMPUTED_VALUE"""),"i-well-track-pro")</f>
        <v>i-well-track-pro</v>
      </c>
      <c r="B6293" s="4" t="str">
        <f>IFERROR(__xludf.DUMMYFUNCTION("""COMPUTED_VALUE"""),"iwell")</f>
        <v>iwell</v>
      </c>
      <c r="C6293" s="4" t="str">
        <f>IFERROR(__xludf.DUMMYFUNCTION("""COMPUTED_VALUE"""),"I WELL TRACK PRO")</f>
        <v>I WELL TRACK PRO</v>
      </c>
    </row>
    <row r="6294">
      <c r="A6294" s="4" t="str">
        <f>IFERROR(__xludf.DUMMYFUNCTION("""COMPUTED_VALUE"""),"i-will-poop-it-nft")</f>
        <v>i-will-poop-it-nft</v>
      </c>
      <c r="B6294" s="4" t="str">
        <f>IFERROR(__xludf.DUMMYFUNCTION("""COMPUTED_VALUE"""),"shit")</f>
        <v>shit</v>
      </c>
      <c r="C6294" s="4" t="str">
        <f>IFERROR(__xludf.DUMMYFUNCTION("""COMPUTED_VALUE"""),"I will poop it NFT")</f>
        <v>I will poop it NFT</v>
      </c>
    </row>
    <row r="6295">
      <c r="A6295" s="4" t="str">
        <f>IFERROR(__xludf.DUMMYFUNCTION("""COMPUTED_VALUE"""),"ixcoin")</f>
        <v>ixcoin</v>
      </c>
      <c r="B6295" s="4" t="str">
        <f>IFERROR(__xludf.DUMMYFUNCTION("""COMPUTED_VALUE"""),"ixc")</f>
        <v>ixc</v>
      </c>
      <c r="C6295" s="4" t="str">
        <f>IFERROR(__xludf.DUMMYFUNCTION("""COMPUTED_VALUE"""),"Ixcoin")</f>
        <v>Ixcoin</v>
      </c>
    </row>
    <row r="6296">
      <c r="A6296" s="4" t="str">
        <f>IFERROR(__xludf.DUMMYFUNCTION("""COMPUTED_VALUE"""),"ixicash")</f>
        <v>ixicash</v>
      </c>
      <c r="B6296" s="4" t="str">
        <f>IFERROR(__xludf.DUMMYFUNCTION("""COMPUTED_VALUE"""),"ixi")</f>
        <v>ixi</v>
      </c>
      <c r="C6296" s="4" t="str">
        <f>IFERROR(__xludf.DUMMYFUNCTION("""COMPUTED_VALUE"""),"IXI")</f>
        <v>IXI</v>
      </c>
    </row>
    <row r="6297">
      <c r="A6297" s="4" t="str">
        <f>IFERROR(__xludf.DUMMYFUNCTION("""COMPUTED_VALUE"""),"ixirswap")</f>
        <v>ixirswap</v>
      </c>
      <c r="B6297" s="4" t="str">
        <f>IFERROR(__xludf.DUMMYFUNCTION("""COMPUTED_VALUE"""),"ixir")</f>
        <v>ixir</v>
      </c>
      <c r="C6297" s="4" t="str">
        <f>IFERROR(__xludf.DUMMYFUNCTION("""COMPUTED_VALUE"""),"Ixirswap")</f>
        <v>Ixirswap</v>
      </c>
    </row>
    <row r="6298">
      <c r="A6298" s="4" t="str">
        <f>IFERROR(__xludf.DUMMYFUNCTION("""COMPUTED_VALUE"""),"ixo")</f>
        <v>ixo</v>
      </c>
      <c r="B6298" s="4" t="str">
        <f>IFERROR(__xludf.DUMMYFUNCTION("""COMPUTED_VALUE"""),"ixo")</f>
        <v>ixo</v>
      </c>
      <c r="C6298" s="4" t="str">
        <f>IFERROR(__xludf.DUMMYFUNCTION("""COMPUTED_VALUE"""),"IXO")</f>
        <v>IXO</v>
      </c>
    </row>
    <row r="6299">
      <c r="A6299" s="4" t="str">
        <f>IFERROR(__xludf.DUMMYFUNCTION("""COMPUTED_VALUE"""),"ix-swap")</f>
        <v>ix-swap</v>
      </c>
      <c r="B6299" s="4" t="str">
        <f>IFERROR(__xludf.DUMMYFUNCTION("""COMPUTED_VALUE"""),"ixs")</f>
        <v>ixs</v>
      </c>
      <c r="C6299" s="4" t="str">
        <f>IFERROR(__xludf.DUMMYFUNCTION("""COMPUTED_VALUE"""),"IX Swap")</f>
        <v>IX Swap</v>
      </c>
    </row>
    <row r="6300">
      <c r="A6300" s="4" t="str">
        <f>IFERROR(__xludf.DUMMYFUNCTION("""COMPUTED_VALUE"""),"ix-token")</f>
        <v>ix-token</v>
      </c>
      <c r="B6300" s="4" t="str">
        <f>IFERROR(__xludf.DUMMYFUNCTION("""COMPUTED_VALUE"""),"ixt")</f>
        <v>ixt</v>
      </c>
      <c r="C6300" s="4" t="str">
        <f>IFERROR(__xludf.DUMMYFUNCTION("""COMPUTED_VALUE"""),"Planet IX")</f>
        <v>Planet IX</v>
      </c>
    </row>
    <row r="6301">
      <c r="A6301" s="4" t="str">
        <f>IFERROR(__xludf.DUMMYFUNCTION("""COMPUTED_VALUE"""),"iykyk")</f>
        <v>iykyk</v>
      </c>
      <c r="B6301" s="4" t="str">
        <f>IFERROR(__xludf.DUMMYFUNCTION("""COMPUTED_VALUE"""),"iykyk")</f>
        <v>iykyk</v>
      </c>
      <c r="C6301" s="4" t="str">
        <f>IFERROR(__xludf.DUMMYFUNCTION("""COMPUTED_VALUE"""),"IYKYK")</f>
        <v>IYKYK</v>
      </c>
    </row>
    <row r="6302">
      <c r="A6302" s="4" t="str">
        <f>IFERROR(__xludf.DUMMYFUNCTION("""COMPUTED_VALUE"""),"iyu-finance")</f>
        <v>iyu-finance</v>
      </c>
      <c r="B6302" s="4" t="str">
        <f>IFERROR(__xludf.DUMMYFUNCTION("""COMPUTED_VALUE"""),"iyu")</f>
        <v>iyu</v>
      </c>
      <c r="C6302" s="4" t="str">
        <f>IFERROR(__xludf.DUMMYFUNCTION("""COMPUTED_VALUE"""),"IYU Finance")</f>
        <v>IYU Finance</v>
      </c>
    </row>
    <row r="6303">
      <c r="A6303" s="4" t="str">
        <f>IFERROR(__xludf.DUMMYFUNCTION("""COMPUTED_VALUE"""),"izumi-bond-usd")</f>
        <v>izumi-bond-usd</v>
      </c>
      <c r="B6303" s="4" t="str">
        <f>IFERROR(__xludf.DUMMYFUNCTION("""COMPUTED_VALUE"""),"iusd")</f>
        <v>iusd</v>
      </c>
      <c r="C6303" s="4" t="str">
        <f>IFERROR(__xludf.DUMMYFUNCTION("""COMPUTED_VALUE"""),"iZUMi Bond USD")</f>
        <v>iZUMi Bond USD</v>
      </c>
    </row>
    <row r="6304">
      <c r="A6304" s="4" t="str">
        <f>IFERROR(__xludf.DUMMYFUNCTION("""COMPUTED_VALUE"""),"izumi-finance")</f>
        <v>izumi-finance</v>
      </c>
      <c r="B6304" s="4" t="str">
        <f>IFERROR(__xludf.DUMMYFUNCTION("""COMPUTED_VALUE"""),"izi")</f>
        <v>izi</v>
      </c>
      <c r="C6304" s="4" t="str">
        <f>IFERROR(__xludf.DUMMYFUNCTION("""COMPUTED_VALUE"""),"iZUMi Finance")</f>
        <v>iZUMi Finance</v>
      </c>
    </row>
    <row r="6305">
      <c r="A6305" s="4" t="str">
        <f>IFERROR(__xludf.DUMMYFUNCTION("""COMPUTED_VALUE"""),"jable")</f>
        <v>jable</v>
      </c>
      <c r="B6305" s="4" t="str">
        <f>IFERROR(__xludf.DUMMYFUNCTION("""COMPUTED_VALUE"""),"jab")</f>
        <v>jab</v>
      </c>
      <c r="C6305" s="4" t="str">
        <f>IFERROR(__xludf.DUMMYFUNCTION("""COMPUTED_VALUE"""),"Jable")</f>
        <v>Jable</v>
      </c>
    </row>
    <row r="6306">
      <c r="A6306" s="4" t="str">
        <f>IFERROR(__xludf.DUMMYFUNCTION("""COMPUTED_VALUE"""),"jackal-protocol")</f>
        <v>jackal-protocol</v>
      </c>
      <c r="B6306" s="4" t="str">
        <f>IFERROR(__xludf.DUMMYFUNCTION("""COMPUTED_VALUE"""),"jkl")</f>
        <v>jkl</v>
      </c>
      <c r="C6306" s="4" t="str">
        <f>IFERROR(__xludf.DUMMYFUNCTION("""COMPUTED_VALUE"""),"Jackal Protocol")</f>
        <v>Jackal Protocol</v>
      </c>
    </row>
    <row r="6307">
      <c r="A6307" s="4" t="str">
        <f>IFERROR(__xludf.DUMMYFUNCTION("""COMPUTED_VALUE"""),"jackbot")</f>
        <v>jackbot</v>
      </c>
      <c r="B6307" s="4" t="str">
        <f>IFERROR(__xludf.DUMMYFUNCTION("""COMPUTED_VALUE"""),"jbot")</f>
        <v>jbot</v>
      </c>
      <c r="C6307" s="4" t="str">
        <f>IFERROR(__xludf.DUMMYFUNCTION("""COMPUTED_VALUE"""),"JACKBOT")</f>
        <v>JACKBOT</v>
      </c>
    </row>
    <row r="6308">
      <c r="A6308" s="4" t="str">
        <f>IFERROR(__xludf.DUMMYFUNCTION("""COMPUTED_VALUE"""),"jackpool-finance")</f>
        <v>jackpool-finance</v>
      </c>
      <c r="B6308" s="4" t="str">
        <f>IFERROR(__xludf.DUMMYFUNCTION("""COMPUTED_VALUE"""),"jfi")</f>
        <v>jfi</v>
      </c>
      <c r="C6308" s="4" t="str">
        <f>IFERROR(__xludf.DUMMYFUNCTION("""COMPUTED_VALUE"""),"JackPool.finance")</f>
        <v>JackPool.finance</v>
      </c>
    </row>
    <row r="6309">
      <c r="A6309" s="4" t="str">
        <f>IFERROR(__xludf.DUMMYFUNCTION("""COMPUTED_VALUE"""),"jackpot")</f>
        <v>jackpot</v>
      </c>
      <c r="B6309" s="4" t="str">
        <f>IFERROR(__xludf.DUMMYFUNCTION("""COMPUTED_VALUE"""),"777")</f>
        <v>777</v>
      </c>
      <c r="C6309" s="4" t="str">
        <f>IFERROR(__xludf.DUMMYFUNCTION("""COMPUTED_VALUE"""),"Jackpot")</f>
        <v>Jackpot</v>
      </c>
    </row>
    <row r="6310">
      <c r="A6310" s="4" t="str">
        <f>IFERROR(__xludf.DUMMYFUNCTION("""COMPUTED_VALUE"""),"jackpotdoge")</f>
        <v>jackpotdoge</v>
      </c>
      <c r="B6310" s="4" t="str">
        <f>IFERROR(__xludf.DUMMYFUNCTION("""COMPUTED_VALUE"""),"jpd")</f>
        <v>jpd</v>
      </c>
      <c r="C6310" s="4" t="str">
        <f>IFERROR(__xludf.DUMMYFUNCTION("""COMPUTED_VALUE"""),"JackpotDoge")</f>
        <v>JackpotDoge</v>
      </c>
    </row>
    <row r="6311">
      <c r="A6311" s="4" t="str">
        <f>IFERROR(__xludf.DUMMYFUNCTION("""COMPUTED_VALUE"""),"jack-token")</f>
        <v>jack-token</v>
      </c>
      <c r="B6311" s="4" t="str">
        <f>IFERROR(__xludf.DUMMYFUNCTION("""COMPUTED_VALUE"""),"jack")</f>
        <v>jack</v>
      </c>
      <c r="C6311" s="4" t="str">
        <f>IFERROR(__xludf.DUMMYFUNCTION("""COMPUTED_VALUE"""),"Jack Token")</f>
        <v>Jack Token</v>
      </c>
    </row>
    <row r="6312">
      <c r="A6312" s="4" t="str">
        <f>IFERROR(__xludf.DUMMYFUNCTION("""COMPUTED_VALUE"""),"jacy")</f>
        <v>jacy</v>
      </c>
      <c r="B6312" s="4" t="str">
        <f>IFERROR(__xludf.DUMMYFUNCTION("""COMPUTED_VALUE"""),"jacy")</f>
        <v>jacy</v>
      </c>
      <c r="C6312" s="4" t="str">
        <f>IFERROR(__xludf.DUMMYFUNCTION("""COMPUTED_VALUE"""),"JACY")</f>
        <v>JACY</v>
      </c>
    </row>
    <row r="6313">
      <c r="A6313" s="4" t="str">
        <f>IFERROR(__xludf.DUMMYFUNCTION("""COMPUTED_VALUE"""),"jade")</f>
        <v>jade</v>
      </c>
      <c r="B6313" s="4" t="str">
        <f>IFERROR(__xludf.DUMMYFUNCTION("""COMPUTED_VALUE"""),"jade")</f>
        <v>jade</v>
      </c>
      <c r="C6313" s="4" t="str">
        <f>IFERROR(__xludf.DUMMYFUNCTION("""COMPUTED_VALUE"""),"DeFi Kingdoms Jade")</f>
        <v>DeFi Kingdoms Jade</v>
      </c>
    </row>
    <row r="6314">
      <c r="A6314" s="4" t="str">
        <f>IFERROR(__xludf.DUMMYFUNCTION("""COMPUTED_VALUE"""),"jade-currency")</f>
        <v>jade-currency</v>
      </c>
      <c r="B6314" s="4" t="str">
        <f>IFERROR(__xludf.DUMMYFUNCTION("""COMPUTED_VALUE"""),"jade")</f>
        <v>jade</v>
      </c>
      <c r="C6314" s="4" t="str">
        <f>IFERROR(__xludf.DUMMYFUNCTION("""COMPUTED_VALUE"""),"Jade Currency")</f>
        <v>Jade Currency</v>
      </c>
    </row>
    <row r="6315">
      <c r="A6315" s="4" t="str">
        <f>IFERROR(__xludf.DUMMYFUNCTION("""COMPUTED_VALUE"""),"jaiho-crypto")</f>
        <v>jaiho-crypto</v>
      </c>
      <c r="B6315" s="4" t="str">
        <f>IFERROR(__xludf.DUMMYFUNCTION("""COMPUTED_VALUE"""),"jaiho")</f>
        <v>jaiho</v>
      </c>
      <c r="C6315" s="4" t="str">
        <f>IFERROR(__xludf.DUMMYFUNCTION("""COMPUTED_VALUE"""),"Jaiho Crypto")</f>
        <v>Jaiho Crypto</v>
      </c>
    </row>
    <row r="6316">
      <c r="A6316" s="4" t="str">
        <f>IFERROR(__xludf.DUMMYFUNCTION("""COMPUTED_VALUE"""),"jake-newman-enterprises")</f>
        <v>jake-newman-enterprises</v>
      </c>
      <c r="B6316" s="4" t="str">
        <f>IFERROR(__xludf.DUMMYFUNCTION("""COMPUTED_VALUE"""),"jne")</f>
        <v>jne</v>
      </c>
      <c r="C6316" s="4" t="str">
        <f>IFERROR(__xludf.DUMMYFUNCTION("""COMPUTED_VALUE"""),"Jake Newman Enterprises")</f>
        <v>Jake Newman Enterprises</v>
      </c>
    </row>
    <row r="6317">
      <c r="A6317" s="4" t="str">
        <f>IFERROR(__xludf.DUMMYFUNCTION("""COMPUTED_VALUE"""),"jalapeno-finance")</f>
        <v>jalapeno-finance</v>
      </c>
      <c r="B6317" s="4" t="str">
        <f>IFERROR(__xludf.DUMMYFUNCTION("""COMPUTED_VALUE"""),"jala")</f>
        <v>jala</v>
      </c>
      <c r="C6317" s="4" t="str">
        <f>IFERROR(__xludf.DUMMYFUNCTION("""COMPUTED_VALUE"""),"Jalapeno Finance")</f>
        <v>Jalapeno Finance</v>
      </c>
    </row>
    <row r="6318">
      <c r="A6318" s="4" t="str">
        <f>IFERROR(__xludf.DUMMYFUNCTION("""COMPUTED_VALUE"""),"janus-network")</f>
        <v>janus-network</v>
      </c>
      <c r="B6318" s="4" t="str">
        <f>IFERROR(__xludf.DUMMYFUNCTION("""COMPUTED_VALUE"""),"jns")</f>
        <v>jns</v>
      </c>
      <c r="C6318" s="4" t="str">
        <f>IFERROR(__xludf.DUMMYFUNCTION("""COMPUTED_VALUE"""),"Janus Network")</f>
        <v>Janus Network</v>
      </c>
    </row>
    <row r="6319">
      <c r="A6319" s="4" t="str">
        <f>IFERROR(__xludf.DUMMYFUNCTION("""COMPUTED_VALUE"""),"jared-from-subway")</f>
        <v>jared-from-subway</v>
      </c>
      <c r="B6319" s="4" t="str">
        <f>IFERROR(__xludf.DUMMYFUNCTION("""COMPUTED_VALUE"""),"jared")</f>
        <v>jared</v>
      </c>
      <c r="C6319" s="4" t="str">
        <f>IFERROR(__xludf.DUMMYFUNCTION("""COMPUTED_VALUE"""),"Jared From Subway")</f>
        <v>Jared From Subway</v>
      </c>
    </row>
    <row r="6320">
      <c r="A6320" s="4" t="str">
        <f>IFERROR(__xludf.DUMMYFUNCTION("""COMPUTED_VALUE"""),"jarvis-2")</f>
        <v>jarvis-2</v>
      </c>
      <c r="B6320" s="4" t="str">
        <f>IFERROR(__xludf.DUMMYFUNCTION("""COMPUTED_VALUE"""),"jarvis")</f>
        <v>jarvis</v>
      </c>
      <c r="C6320" s="4" t="str">
        <f>IFERROR(__xludf.DUMMYFUNCTION("""COMPUTED_VALUE"""),"Jarvis")</f>
        <v>Jarvis</v>
      </c>
    </row>
    <row r="6321">
      <c r="A6321" s="4" t="str">
        <f>IFERROR(__xludf.DUMMYFUNCTION("""COMPUTED_VALUE"""),"jarvis-reward-token")</f>
        <v>jarvis-reward-token</v>
      </c>
      <c r="B6321" s="4" t="str">
        <f>IFERROR(__xludf.DUMMYFUNCTION("""COMPUTED_VALUE"""),"jrt")</f>
        <v>jrt</v>
      </c>
      <c r="C6321" s="4" t="str">
        <f>IFERROR(__xludf.DUMMYFUNCTION("""COMPUTED_VALUE"""),"Jarvis Reward")</f>
        <v>Jarvis Reward</v>
      </c>
    </row>
    <row r="6322">
      <c r="A6322" s="4" t="str">
        <f>IFERROR(__xludf.DUMMYFUNCTION("""COMPUTED_VALUE"""),"jarvis-synthetic-euro")</f>
        <v>jarvis-synthetic-euro</v>
      </c>
      <c r="B6322" s="4" t="str">
        <f>IFERROR(__xludf.DUMMYFUNCTION("""COMPUTED_VALUE"""),"jeur")</f>
        <v>jeur</v>
      </c>
      <c r="C6322" s="4" t="str">
        <f>IFERROR(__xludf.DUMMYFUNCTION("""COMPUTED_VALUE"""),"Jarvis Synthetic Euro")</f>
        <v>Jarvis Synthetic Euro</v>
      </c>
    </row>
    <row r="6323">
      <c r="A6323" s="4" t="str">
        <f>IFERROR(__xludf.DUMMYFUNCTION("""COMPUTED_VALUE"""),"jarvis-synthetic-japanese-yen")</f>
        <v>jarvis-synthetic-japanese-yen</v>
      </c>
      <c r="B6323" s="4" t="str">
        <f>IFERROR(__xludf.DUMMYFUNCTION("""COMPUTED_VALUE"""),"jjpy")</f>
        <v>jjpy</v>
      </c>
      <c r="C6323" s="4" t="str">
        <f>IFERROR(__xludf.DUMMYFUNCTION("""COMPUTED_VALUE"""),"Jarvis Synthetic Japanese Yen")</f>
        <v>Jarvis Synthetic Japanese Yen</v>
      </c>
    </row>
    <row r="6324">
      <c r="A6324" s="4" t="str">
        <f>IFERROR(__xludf.DUMMYFUNCTION("""COMPUTED_VALUE"""),"jarvis-synthetic-swiss-franc")</f>
        <v>jarvis-synthetic-swiss-franc</v>
      </c>
      <c r="B6324" s="4" t="str">
        <f>IFERROR(__xludf.DUMMYFUNCTION("""COMPUTED_VALUE"""),"jchf")</f>
        <v>jchf</v>
      </c>
      <c r="C6324" s="4" t="str">
        <f>IFERROR(__xludf.DUMMYFUNCTION("""COMPUTED_VALUE"""),"Jarvis Synthetic Swiss Franc")</f>
        <v>Jarvis Synthetic Swiss Franc</v>
      </c>
    </row>
    <row r="6325">
      <c r="A6325" s="4" t="str">
        <f>IFERROR(__xludf.DUMMYFUNCTION("""COMPUTED_VALUE"""),"jaseonmun")</f>
        <v>jaseonmun</v>
      </c>
      <c r="B6325" s="4" t="str">
        <f>IFERROR(__xludf.DUMMYFUNCTION("""COMPUTED_VALUE"""),"jsm")</f>
        <v>jsm</v>
      </c>
      <c r="C6325" s="4" t="str">
        <f>IFERROR(__xludf.DUMMYFUNCTION("""COMPUTED_VALUE"""),"Joseon-Mun")</f>
        <v>Joseon-Mun</v>
      </c>
    </row>
    <row r="6326">
      <c r="A6326" s="4" t="str">
        <f>IFERROR(__xludf.DUMMYFUNCTION("""COMPUTED_VALUE"""),"jasmine-forwards-voluntary-rec-front-half-2024-liquidity-token")</f>
        <v>jasmine-forwards-voluntary-rec-front-half-2024-liquidity-token</v>
      </c>
      <c r="B6326" s="4" t="str">
        <f>IFERROR(__xludf.DUMMYFUNCTION("""COMPUTED_VALUE"""),"fjlt-f24")</f>
        <v>fjlt-f24</v>
      </c>
      <c r="C6326" s="4" t="str">
        <f>IFERROR(__xludf.DUMMYFUNCTION("""COMPUTED_VALUE"""),"Jasmine Forwards Voluntary REC Front-Half 2024 Liquidity Token")</f>
        <v>Jasmine Forwards Voluntary REC Front-Half 2024 Liquidity Token</v>
      </c>
    </row>
    <row r="6327">
      <c r="A6327" s="4" t="str">
        <f>IFERROR(__xludf.DUMMYFUNCTION("""COMPUTED_VALUE"""),"jasmycoin")</f>
        <v>jasmycoin</v>
      </c>
      <c r="B6327" s="4" t="str">
        <f>IFERROR(__xludf.DUMMYFUNCTION("""COMPUTED_VALUE"""),"jasmy")</f>
        <v>jasmy</v>
      </c>
      <c r="C6327" s="4" t="str">
        <f>IFERROR(__xludf.DUMMYFUNCTION("""COMPUTED_VALUE"""),"JasmyCoin")</f>
        <v>JasmyCoin</v>
      </c>
    </row>
    <row r="6328">
      <c r="A6328" s="4" t="str">
        <f>IFERROR(__xludf.DUMMYFUNCTION("""COMPUTED_VALUE"""),"jason-eth")</f>
        <v>jason-eth</v>
      </c>
      <c r="B6328" s="4" t="str">
        <f>IFERROR(__xludf.DUMMYFUNCTION("""COMPUTED_VALUE"""),"jason")</f>
        <v>jason</v>
      </c>
      <c r="C6328" s="4" t="str">
        <f>IFERROR(__xludf.DUMMYFUNCTION("""COMPUTED_VALUE"""),"Jason (Eth)")</f>
        <v>Jason (Eth)</v>
      </c>
    </row>
    <row r="6329">
      <c r="A6329" s="4" t="str">
        <f>IFERROR(__xludf.DUMMYFUNCTION("""COMPUTED_VALUE"""),"jason-sol")</f>
        <v>jason-sol</v>
      </c>
      <c r="B6329" s="4" t="str">
        <f>IFERROR(__xludf.DUMMYFUNCTION("""COMPUTED_VALUE"""),"jason")</f>
        <v>jason</v>
      </c>
      <c r="C6329" s="4" t="str">
        <f>IFERROR(__xludf.DUMMYFUNCTION("""COMPUTED_VALUE"""),"Jason (Sol)")</f>
        <v>Jason (Sol)</v>
      </c>
    </row>
    <row r="6330">
      <c r="A6330" s="4" t="str">
        <f>IFERROR(__xludf.DUMMYFUNCTION("""COMPUTED_VALUE"""),"javelin")</f>
        <v>javelin</v>
      </c>
      <c r="B6330" s="4" t="str">
        <f>IFERROR(__xludf.DUMMYFUNCTION("""COMPUTED_VALUE"""),"jvl")</f>
        <v>jvl</v>
      </c>
      <c r="C6330" s="4" t="str">
        <f>IFERROR(__xludf.DUMMYFUNCTION("""COMPUTED_VALUE"""),"Javelin")</f>
        <v>Javelin</v>
      </c>
    </row>
    <row r="6331">
      <c r="A6331" s="4" t="str">
        <f>IFERROR(__xludf.DUMMYFUNCTION("""COMPUTED_VALUE"""),"javsphere")</f>
        <v>javsphere</v>
      </c>
      <c r="B6331" s="4" t="str">
        <f>IFERROR(__xludf.DUMMYFUNCTION("""COMPUTED_VALUE"""),"jav")</f>
        <v>jav</v>
      </c>
      <c r="C6331" s="4" t="str">
        <f>IFERROR(__xludf.DUMMYFUNCTION("""COMPUTED_VALUE"""),"Javsphere")</f>
        <v>Javsphere</v>
      </c>
    </row>
    <row r="6332">
      <c r="A6332" s="4" t="str">
        <f>IFERROR(__xludf.DUMMYFUNCTION("""COMPUTED_VALUE"""),"jax-network")</f>
        <v>jax-network</v>
      </c>
      <c r="B6332" s="4" t="str">
        <f>IFERROR(__xludf.DUMMYFUNCTION("""COMPUTED_VALUE"""),"wjxn")</f>
        <v>wjxn</v>
      </c>
      <c r="C6332" s="4" t="str">
        <f>IFERROR(__xludf.DUMMYFUNCTION("""COMPUTED_VALUE"""),"Jax.Network")</f>
        <v>Jax.Network</v>
      </c>
    </row>
    <row r="6333">
      <c r="A6333" s="4" t="str">
        <f>IFERROR(__xludf.DUMMYFUNCTION("""COMPUTED_VALUE"""),"jaypegggers")</f>
        <v>jaypegggers</v>
      </c>
      <c r="B6333" s="4" t="str">
        <f>IFERROR(__xludf.DUMMYFUNCTION("""COMPUTED_VALUE"""),"jay")</f>
        <v>jay</v>
      </c>
      <c r="C6333" s="4" t="str">
        <f>IFERROR(__xludf.DUMMYFUNCTION("""COMPUTED_VALUE"""),"Jaypeggers")</f>
        <v>Jaypeggers</v>
      </c>
    </row>
    <row r="6334">
      <c r="A6334" s="4" t="str">
        <f>IFERROR(__xludf.DUMMYFUNCTION("""COMPUTED_VALUE"""),"jd-coin")</f>
        <v>jd-coin</v>
      </c>
      <c r="B6334" s="4" t="str">
        <f>IFERROR(__xludf.DUMMYFUNCTION("""COMPUTED_VALUE"""),"jdc")</f>
        <v>jdc</v>
      </c>
      <c r="C6334" s="4" t="str">
        <f>IFERROR(__xludf.DUMMYFUNCTION("""COMPUTED_VALUE"""),"JD Coin")</f>
        <v>JD Coin</v>
      </c>
    </row>
    <row r="6335">
      <c r="A6335" s="4" t="str">
        <f>IFERROR(__xludf.DUMMYFUNCTION("""COMPUTED_VALUE"""),"jefe")</f>
        <v>jefe</v>
      </c>
      <c r="B6335" s="4" t="str">
        <f>IFERROR(__xludf.DUMMYFUNCTION("""COMPUTED_VALUE"""),"jefe")</f>
        <v>jefe</v>
      </c>
      <c r="C6335" s="4" t="str">
        <f>IFERROR(__xludf.DUMMYFUNCTION("""COMPUTED_VALUE"""),"Jefe")</f>
        <v>Jefe</v>
      </c>
    </row>
    <row r="6336">
      <c r="A6336" s="4" t="str">
        <f>IFERROR(__xludf.DUMMYFUNCTION("""COMPUTED_VALUE"""),"jefe-2")</f>
        <v>jefe-2</v>
      </c>
      <c r="B6336" s="4" t="str">
        <f>IFERROR(__xludf.DUMMYFUNCTION("""COMPUTED_VALUE"""),"jefe")</f>
        <v>jefe</v>
      </c>
      <c r="C6336" s="4" t="str">
        <f>IFERROR(__xludf.DUMMYFUNCTION("""COMPUTED_VALUE"""),"Jefe")</f>
        <v>Jefe</v>
      </c>
    </row>
    <row r="6337">
      <c r="A6337" s="4" t="str">
        <f>IFERROR(__xludf.DUMMYFUNCTION("""COMPUTED_VALUE"""),"jeff")</f>
        <v>jeff</v>
      </c>
      <c r="B6337" s="4" t="str">
        <f>IFERROR(__xludf.DUMMYFUNCTION("""COMPUTED_VALUE"""),"jeff")</f>
        <v>jeff</v>
      </c>
      <c r="C6337" s="4" t="str">
        <f>IFERROR(__xludf.DUMMYFUNCTION("""COMPUTED_VALUE"""),"Jeff")</f>
        <v>Jeff</v>
      </c>
    </row>
    <row r="6338">
      <c r="A6338" s="4" t="str">
        <f>IFERROR(__xludf.DUMMYFUNCTION("""COMPUTED_VALUE"""),"jeff-2")</f>
        <v>jeff-2</v>
      </c>
      <c r="B6338" s="4" t="str">
        <f>IFERROR(__xludf.DUMMYFUNCTION("""COMPUTED_VALUE"""),"jeff")</f>
        <v>jeff</v>
      </c>
      <c r="C6338" s="4" t="str">
        <f>IFERROR(__xludf.DUMMYFUNCTION("""COMPUTED_VALUE"""),"JEFF")</f>
        <v>JEFF</v>
      </c>
    </row>
    <row r="6339">
      <c r="A6339" s="4" t="str">
        <f>IFERROR(__xludf.DUMMYFUNCTION("""COMPUTED_VALUE"""),"jeffworld-token")</f>
        <v>jeffworld-token</v>
      </c>
      <c r="B6339" s="4" t="str">
        <f>IFERROR(__xludf.DUMMYFUNCTION("""COMPUTED_VALUE"""),"jeff")</f>
        <v>jeff</v>
      </c>
      <c r="C6339" s="4" t="str">
        <f>IFERROR(__xludf.DUMMYFUNCTION("""COMPUTED_VALUE"""),"JEFFWorld Token")</f>
        <v>JEFFWorld Token</v>
      </c>
    </row>
    <row r="6340">
      <c r="A6340" s="4" t="str">
        <f>IFERROR(__xludf.DUMMYFUNCTION("""COMPUTED_VALUE"""),"jelly-esports")</f>
        <v>jelly-esports</v>
      </c>
      <c r="B6340" s="4" t="str">
        <f>IFERROR(__xludf.DUMMYFUNCTION("""COMPUTED_VALUE"""),"jelly")</f>
        <v>jelly</v>
      </c>
      <c r="C6340" s="4" t="str">
        <f>IFERROR(__xludf.DUMMYFUNCTION("""COMPUTED_VALUE"""),"Jelly eSports")</f>
        <v>Jelly eSports</v>
      </c>
    </row>
    <row r="6341">
      <c r="A6341" s="4" t="str">
        <f>IFERROR(__xludf.DUMMYFUNCTION("""COMPUTED_VALUE"""),"jellyfish-mobile")</f>
        <v>jellyfish-mobile</v>
      </c>
      <c r="B6341" s="4" t="str">
        <f>IFERROR(__xludf.DUMMYFUNCTION("""COMPUTED_VALUE"""),"jfish")</f>
        <v>jfish</v>
      </c>
      <c r="C6341" s="4" t="str">
        <f>IFERROR(__xludf.DUMMYFUNCTION("""COMPUTED_VALUE"""),"Jellyfish Mobile")</f>
        <v>Jellyfish Mobile</v>
      </c>
    </row>
    <row r="6342">
      <c r="A6342" s="4" t="str">
        <f>IFERROR(__xludf.DUMMYFUNCTION("""COMPUTED_VALUE"""),"jellyverse")</f>
        <v>jellyverse</v>
      </c>
      <c r="B6342" s="4" t="str">
        <f>IFERROR(__xludf.DUMMYFUNCTION("""COMPUTED_VALUE"""),"jly")</f>
        <v>jly</v>
      </c>
      <c r="C6342" s="4" t="str">
        <f>IFERROR(__xludf.DUMMYFUNCTION("""COMPUTED_VALUE"""),"Jellyverse")</f>
        <v>Jellyverse</v>
      </c>
    </row>
    <row r="6343">
      <c r="A6343" s="4" t="str">
        <f>IFERROR(__xludf.DUMMYFUNCTION("""COMPUTED_VALUE"""),"jen-coin")</f>
        <v>jen-coin</v>
      </c>
      <c r="B6343" s="4" t="str">
        <f>IFERROR(__xludf.DUMMYFUNCTION("""COMPUTED_VALUE"""),"jen")</f>
        <v>jen</v>
      </c>
      <c r="C6343" s="4" t="str">
        <f>IFERROR(__xludf.DUMMYFUNCTION("""COMPUTED_VALUE"""),"JEN COIN")</f>
        <v>JEN COIN</v>
      </c>
    </row>
    <row r="6344">
      <c r="A6344" s="4" t="str">
        <f>IFERROR(__xludf.DUMMYFUNCTION("""COMPUTED_VALUE"""),"jennyco")</f>
        <v>jennyco</v>
      </c>
      <c r="B6344" s="4" t="str">
        <f>IFERROR(__xludf.DUMMYFUNCTION("""COMPUTED_VALUE"""),"jco")</f>
        <v>jco</v>
      </c>
      <c r="C6344" s="4" t="str">
        <f>IFERROR(__xludf.DUMMYFUNCTION("""COMPUTED_VALUE"""),"JennyCo")</f>
        <v>JennyCo</v>
      </c>
    </row>
    <row r="6345">
      <c r="A6345" s="4" t="str">
        <f>IFERROR(__xludf.DUMMYFUNCTION("""COMPUTED_VALUE"""),"jeo-boden")</f>
        <v>jeo-boden</v>
      </c>
      <c r="B6345" s="4" t="str">
        <f>IFERROR(__xludf.DUMMYFUNCTION("""COMPUTED_VALUE"""),"boden")</f>
        <v>boden</v>
      </c>
      <c r="C6345" s="4" t="str">
        <f>IFERROR(__xludf.DUMMYFUNCTION("""COMPUTED_VALUE"""),"Jeo Boden")</f>
        <v>Jeo Boden</v>
      </c>
    </row>
    <row r="6346">
      <c r="A6346" s="4" t="str">
        <f>IFERROR(__xludf.DUMMYFUNCTION("""COMPUTED_VALUE"""),"jerry-inu")</f>
        <v>jerry-inu</v>
      </c>
      <c r="B6346" s="4" t="str">
        <f>IFERROR(__xludf.DUMMYFUNCTION("""COMPUTED_VALUE"""),"jerry")</f>
        <v>jerry</v>
      </c>
      <c r="C6346" s="4" t="str">
        <f>IFERROR(__xludf.DUMMYFUNCTION("""COMPUTED_VALUE"""),"Jerry Inu")</f>
        <v>Jerry Inu</v>
      </c>
    </row>
    <row r="6347">
      <c r="A6347" s="4" t="str">
        <f>IFERROR(__xludf.DUMMYFUNCTION("""COMPUTED_VALUE"""),"jesus")</f>
        <v>jesus</v>
      </c>
      <c r="B6347" s="4" t="str">
        <f>IFERROR(__xludf.DUMMYFUNCTION("""COMPUTED_VALUE"""),"raptor")</f>
        <v>raptor</v>
      </c>
      <c r="C6347" s="4" t="str">
        <f>IFERROR(__xludf.DUMMYFUNCTION("""COMPUTED_VALUE"""),"Jesus")</f>
        <v>Jesus</v>
      </c>
    </row>
    <row r="6348">
      <c r="A6348" s="4" t="str">
        <f>IFERROR(__xludf.DUMMYFUNCTION("""COMPUTED_VALUE"""),"jesus-coin")</f>
        <v>jesus-coin</v>
      </c>
      <c r="B6348" s="4" t="str">
        <f>IFERROR(__xludf.DUMMYFUNCTION("""COMPUTED_VALUE"""),"jesus")</f>
        <v>jesus</v>
      </c>
      <c r="C6348" s="4" t="str">
        <f>IFERROR(__xludf.DUMMYFUNCTION("""COMPUTED_VALUE"""),"Jesus Coin")</f>
        <v>Jesus Coin</v>
      </c>
    </row>
    <row r="6349">
      <c r="A6349" s="4" t="str">
        <f>IFERROR(__xludf.DUMMYFUNCTION("""COMPUTED_VALUE"""),"jesus-on-sol")</f>
        <v>jesus-on-sol</v>
      </c>
      <c r="B6349" s="4" t="str">
        <f>IFERROR(__xludf.DUMMYFUNCTION("""COMPUTED_VALUE"""),"jesus")</f>
        <v>jesus</v>
      </c>
      <c r="C6349" s="4" t="str">
        <f>IFERROR(__xludf.DUMMYFUNCTION("""COMPUTED_VALUE"""),"JESUS ON SOL")</f>
        <v>JESUS ON SOL</v>
      </c>
    </row>
    <row r="6350">
      <c r="A6350" s="4" t="str">
        <f>IFERROR(__xludf.DUMMYFUNCTION("""COMPUTED_VALUE"""),"jet")</f>
        <v>jet</v>
      </c>
      <c r="B6350" s="4" t="str">
        <f>IFERROR(__xludf.DUMMYFUNCTION("""COMPUTED_VALUE"""),"jet")</f>
        <v>jet</v>
      </c>
      <c r="C6350" s="4" t="str">
        <f>IFERROR(__xludf.DUMMYFUNCTION("""COMPUTED_VALUE"""),"JET")</f>
        <v>JET</v>
      </c>
    </row>
    <row r="6351">
      <c r="A6351" s="4" t="str">
        <f>IFERROR(__xludf.DUMMYFUNCTION("""COMPUTED_VALUE"""),"jetcoin")</f>
        <v>jetcoin</v>
      </c>
      <c r="B6351" s="4" t="str">
        <f>IFERROR(__xludf.DUMMYFUNCTION("""COMPUTED_VALUE"""),"jet")</f>
        <v>jet</v>
      </c>
      <c r="C6351" s="4" t="str">
        <f>IFERROR(__xludf.DUMMYFUNCTION("""COMPUTED_VALUE"""),"Jetcoin")</f>
        <v>Jetcoin</v>
      </c>
    </row>
    <row r="6352">
      <c r="A6352" s="4" t="str">
        <f>IFERROR(__xludf.DUMMYFUNCTION("""COMPUTED_VALUE"""),"jetoken")</f>
        <v>jetoken</v>
      </c>
      <c r="B6352" s="4" t="str">
        <f>IFERROR(__xludf.DUMMYFUNCTION("""COMPUTED_VALUE"""),"jets")</f>
        <v>jets</v>
      </c>
      <c r="C6352" s="4" t="str">
        <f>IFERROR(__xludf.DUMMYFUNCTION("""COMPUTED_VALUE"""),"JeToken")</f>
        <v>JeToken</v>
      </c>
    </row>
    <row r="6353">
      <c r="A6353" s="4" t="str">
        <f>IFERROR(__xludf.DUMMYFUNCTION("""COMPUTED_VALUE"""),"jetset")</f>
        <v>jetset</v>
      </c>
      <c r="B6353" s="4" t="str">
        <f>IFERROR(__xludf.DUMMYFUNCTION("""COMPUTED_VALUE"""),"jts")</f>
        <v>jts</v>
      </c>
      <c r="C6353" s="4" t="str">
        <f>IFERROR(__xludf.DUMMYFUNCTION("""COMPUTED_VALUE"""),"Jetset")</f>
        <v>Jetset</v>
      </c>
    </row>
    <row r="6354">
      <c r="A6354" s="4" t="str">
        <f>IFERROR(__xludf.DUMMYFUNCTION("""COMPUTED_VALUE"""),"jetton")</f>
        <v>jetton</v>
      </c>
      <c r="B6354" s="4" t="str">
        <f>IFERROR(__xludf.DUMMYFUNCTION("""COMPUTED_VALUE"""),"jetton")</f>
        <v>jetton</v>
      </c>
      <c r="C6354" s="4" t="str">
        <f>IFERROR(__xludf.DUMMYFUNCTION("""COMPUTED_VALUE"""),"JetTon Game")</f>
        <v>JetTon Game</v>
      </c>
    </row>
    <row r="6355">
      <c r="A6355" s="4" t="str">
        <f>IFERROR(__xludf.DUMMYFUNCTION("""COMPUTED_VALUE"""),"jexchange")</f>
        <v>jexchange</v>
      </c>
      <c r="B6355" s="4" t="str">
        <f>IFERROR(__xludf.DUMMYFUNCTION("""COMPUTED_VALUE"""),"jex")</f>
        <v>jex</v>
      </c>
      <c r="C6355" s="4" t="str">
        <f>IFERROR(__xludf.DUMMYFUNCTION("""COMPUTED_VALUE"""),"JEXchange")</f>
        <v>JEXchange</v>
      </c>
    </row>
    <row r="6356">
      <c r="A6356" s="4" t="str">
        <f>IFERROR(__xludf.DUMMYFUNCTION("""COMPUTED_VALUE"""),"jfin-coin")</f>
        <v>jfin-coin</v>
      </c>
      <c r="B6356" s="4" t="str">
        <f>IFERROR(__xludf.DUMMYFUNCTION("""COMPUTED_VALUE"""),"jfin")</f>
        <v>jfin</v>
      </c>
      <c r="C6356" s="4" t="str">
        <f>IFERROR(__xludf.DUMMYFUNCTION("""COMPUTED_VALUE"""),"JFIN Coin")</f>
        <v>JFIN Coin</v>
      </c>
    </row>
    <row r="6357">
      <c r="A6357" s="4" t="str">
        <f>IFERROR(__xludf.DUMMYFUNCTION("""COMPUTED_VALUE"""),"jigstack")</f>
        <v>jigstack</v>
      </c>
      <c r="B6357" s="4" t="str">
        <f>IFERROR(__xludf.DUMMYFUNCTION("""COMPUTED_VALUE"""),"stak")</f>
        <v>stak</v>
      </c>
      <c r="C6357" s="4" t="str">
        <f>IFERROR(__xludf.DUMMYFUNCTION("""COMPUTED_VALUE"""),"Jigstack")</f>
        <v>Jigstack</v>
      </c>
    </row>
    <row r="6358">
      <c r="A6358" s="4" t="str">
        <f>IFERROR(__xludf.DUMMYFUNCTION("""COMPUTED_VALUE"""),"jill-boden")</f>
        <v>jill-boden</v>
      </c>
      <c r="B6358" s="4" t="str">
        <f>IFERROR(__xludf.DUMMYFUNCTION("""COMPUTED_VALUE"""),"jillboden")</f>
        <v>jillboden</v>
      </c>
      <c r="C6358" s="4" t="str">
        <f>IFERROR(__xludf.DUMMYFUNCTION("""COMPUTED_VALUE"""),"Jill Boden")</f>
        <v>Jill Boden</v>
      </c>
    </row>
    <row r="6359">
      <c r="A6359" s="4" t="str">
        <f>IFERROR(__xludf.DUMMYFUNCTION("""COMPUTED_VALUE"""),"jimmy-on-solana")</f>
        <v>jimmy-on-solana</v>
      </c>
      <c r="B6359" s="4" t="str">
        <f>IFERROR(__xludf.DUMMYFUNCTION("""COMPUTED_VALUE"""),"jimmy")</f>
        <v>jimmy</v>
      </c>
      <c r="C6359" s="4" t="str">
        <f>IFERROR(__xludf.DUMMYFUNCTION("""COMPUTED_VALUE"""),"Jimmy on Solana")</f>
        <v>Jimmy on Solana</v>
      </c>
    </row>
    <row r="6360">
      <c r="A6360" s="4" t="str">
        <f>IFERROR(__xludf.DUMMYFUNCTION("""COMPUTED_VALUE"""),"jindo-inu")</f>
        <v>jindo-inu</v>
      </c>
      <c r="B6360" s="4" t="str">
        <f>IFERROR(__xludf.DUMMYFUNCTION("""COMPUTED_VALUE"""),"jind")</f>
        <v>jind</v>
      </c>
      <c r="C6360" s="4" t="str">
        <f>IFERROR(__xludf.DUMMYFUNCTION("""COMPUTED_VALUE"""),"Jindo Inu")</f>
        <v>Jindo Inu</v>
      </c>
    </row>
    <row r="6361">
      <c r="A6361" s="4" t="str">
        <f>IFERROR(__xludf.DUMMYFUNCTION("""COMPUTED_VALUE"""),"jinko-ai")</f>
        <v>jinko-ai</v>
      </c>
      <c r="B6361" s="4" t="str">
        <f>IFERROR(__xludf.DUMMYFUNCTION("""COMPUTED_VALUE"""),"jinko")</f>
        <v>jinko</v>
      </c>
      <c r="C6361" s="4" t="str">
        <f>IFERROR(__xludf.DUMMYFUNCTION("""COMPUTED_VALUE"""),"Jinko AI")</f>
        <v>Jinko AI</v>
      </c>
    </row>
    <row r="6362">
      <c r="A6362" s="4" t="str">
        <f>IFERROR(__xludf.DUMMYFUNCTION("""COMPUTED_VALUE"""),"jito-governance-token")</f>
        <v>jito-governance-token</v>
      </c>
      <c r="B6362" s="4" t="str">
        <f>IFERROR(__xludf.DUMMYFUNCTION("""COMPUTED_VALUE"""),"jto")</f>
        <v>jto</v>
      </c>
      <c r="C6362" s="4" t="str">
        <f>IFERROR(__xludf.DUMMYFUNCTION("""COMPUTED_VALUE"""),"Jito")</f>
        <v>Jito</v>
      </c>
    </row>
    <row r="6363">
      <c r="A6363" s="4" t="str">
        <f>IFERROR(__xludf.DUMMYFUNCTION("""COMPUTED_VALUE"""),"jito-staked-sol")</f>
        <v>jito-staked-sol</v>
      </c>
      <c r="B6363" s="4" t="str">
        <f>IFERROR(__xludf.DUMMYFUNCTION("""COMPUTED_VALUE"""),"jitosol")</f>
        <v>jitosol</v>
      </c>
      <c r="C6363" s="4" t="str">
        <f>IFERROR(__xludf.DUMMYFUNCTION("""COMPUTED_VALUE"""),"Jito Staked SOL")</f>
        <v>Jito Staked SOL</v>
      </c>
    </row>
    <row r="6364">
      <c r="A6364" s="4" t="str">
        <f>IFERROR(__xludf.DUMMYFUNCTION("""COMPUTED_VALUE"""),"jiyuu")</f>
        <v>jiyuu</v>
      </c>
      <c r="B6364" s="4" t="str">
        <f>IFERROR(__xludf.DUMMYFUNCTION("""COMPUTED_VALUE"""),"jiyuu")</f>
        <v>jiyuu</v>
      </c>
      <c r="C6364" s="4" t="str">
        <f>IFERROR(__xludf.DUMMYFUNCTION("""COMPUTED_VALUE"""),"Jiyuu")</f>
        <v>Jiyuu</v>
      </c>
    </row>
    <row r="6365">
      <c r="A6365" s="4" t="str">
        <f>IFERROR(__xludf.DUMMYFUNCTION("""COMPUTED_VALUE"""),"jizzrocket")</f>
        <v>jizzrocket</v>
      </c>
      <c r="B6365" s="4" t="str">
        <f>IFERROR(__xludf.DUMMYFUNCTION("""COMPUTED_VALUE"""),"jizz")</f>
        <v>jizz</v>
      </c>
      <c r="C6365" s="4" t="str">
        <f>IFERROR(__xludf.DUMMYFUNCTION("""COMPUTED_VALUE"""),"JizzRocket")</f>
        <v>JizzRocket</v>
      </c>
    </row>
    <row r="6366">
      <c r="A6366" s="4" t="str">
        <f>IFERROR(__xludf.DUMMYFUNCTION("""COMPUTED_VALUE"""),"jjmoji")</f>
        <v>jjmoji</v>
      </c>
      <c r="B6366" s="4" t="str">
        <f>IFERROR(__xludf.DUMMYFUNCTION("""COMPUTED_VALUE"""),"jj")</f>
        <v>jj</v>
      </c>
      <c r="C6366" s="4" t="str">
        <f>IFERROR(__xludf.DUMMYFUNCTION("""COMPUTED_VALUE"""),"Jjmoji")</f>
        <v>Jjmoji</v>
      </c>
    </row>
    <row r="6367">
      <c r="A6367" s="4" t="str">
        <f>IFERROR(__xludf.DUMMYFUNCTION("""COMPUTED_VALUE"""),"jobai")</f>
        <v>jobai</v>
      </c>
      <c r="B6367" s="4" t="str">
        <f>IFERROR(__xludf.DUMMYFUNCTION("""COMPUTED_VALUE"""),"job")</f>
        <v>job</v>
      </c>
      <c r="C6367" s="4" t="str">
        <f>IFERROR(__xludf.DUMMYFUNCTION("""COMPUTED_VALUE"""),"JobAi")</f>
        <v>JobAi</v>
      </c>
    </row>
    <row r="6368">
      <c r="A6368" s="4" t="str">
        <f>IFERROR(__xludf.DUMMYFUNCTION("""COMPUTED_VALUE"""),"jobchain")</f>
        <v>jobchain</v>
      </c>
      <c r="B6368" s="4" t="str">
        <f>IFERROR(__xludf.DUMMYFUNCTION("""COMPUTED_VALUE"""),"job")</f>
        <v>job</v>
      </c>
      <c r="C6368" s="4" t="str">
        <f>IFERROR(__xludf.DUMMYFUNCTION("""COMPUTED_VALUE"""),"Jobchain")</f>
        <v>Jobchain</v>
      </c>
    </row>
    <row r="6369">
      <c r="A6369" s="4" t="str">
        <f>IFERROR(__xludf.DUMMYFUNCTION("""COMPUTED_VALUE"""),"joe")</f>
        <v>joe</v>
      </c>
      <c r="B6369" s="4" t="str">
        <f>IFERROR(__xludf.DUMMYFUNCTION("""COMPUTED_VALUE"""),"joe")</f>
        <v>joe</v>
      </c>
      <c r="C6369" s="4" t="str">
        <f>IFERROR(__xludf.DUMMYFUNCTION("""COMPUTED_VALUE"""),"JOE")</f>
        <v>JOE</v>
      </c>
    </row>
    <row r="6370">
      <c r="A6370" s="4" t="str">
        <f>IFERROR(__xludf.DUMMYFUNCTION("""COMPUTED_VALUE"""),"joe-coin")</f>
        <v>joe-coin</v>
      </c>
      <c r="B6370" s="4" t="str">
        <f>IFERROR(__xludf.DUMMYFUNCTION("""COMPUTED_VALUE"""),"joe")</f>
        <v>joe</v>
      </c>
      <c r="C6370" s="4" t="str">
        <f>IFERROR(__xludf.DUMMYFUNCTION("""COMPUTED_VALUE"""),"Joe Coin")</f>
        <v>Joe Coin</v>
      </c>
    </row>
    <row r="6371">
      <c r="A6371" s="4" t="str">
        <f>IFERROR(__xludf.DUMMYFUNCTION("""COMPUTED_VALUE"""),"joe-hat-token")</f>
        <v>joe-hat-token</v>
      </c>
      <c r="B6371" s="4" t="str">
        <f>IFERROR(__xludf.DUMMYFUNCTION("""COMPUTED_VALUE"""),"hat")</f>
        <v>hat</v>
      </c>
      <c r="C6371" s="4" t="str">
        <f>IFERROR(__xludf.DUMMYFUNCTION("""COMPUTED_VALUE"""),"Joe Hat")</f>
        <v>Joe Hat</v>
      </c>
    </row>
    <row r="6372">
      <c r="A6372" s="4" t="str">
        <f>IFERROR(__xludf.DUMMYFUNCTION("""COMPUTED_VALUE"""),"joel")</f>
        <v>joel</v>
      </c>
      <c r="B6372" s="4" t="str">
        <f>IFERROR(__xludf.DUMMYFUNCTION("""COMPUTED_VALUE"""),"joel")</f>
        <v>joel</v>
      </c>
      <c r="C6372" s="4" t="str">
        <f>IFERROR(__xludf.DUMMYFUNCTION("""COMPUTED_VALUE"""),"Joel")</f>
        <v>Joel</v>
      </c>
    </row>
    <row r="6373">
      <c r="A6373" s="4" t="str">
        <f>IFERROR(__xludf.DUMMYFUNCTION("""COMPUTED_VALUE"""),"joe-yo-coin")</f>
        <v>joe-yo-coin</v>
      </c>
      <c r="B6373" s="4" t="str">
        <f>IFERROR(__xludf.DUMMYFUNCTION("""COMPUTED_VALUE"""),"jyc")</f>
        <v>jyc</v>
      </c>
      <c r="C6373" s="4" t="str">
        <f>IFERROR(__xludf.DUMMYFUNCTION("""COMPUTED_VALUE"""),"Joe-Yo Coin")</f>
        <v>Joe-Yo Coin</v>
      </c>
    </row>
    <row r="6374">
      <c r="A6374" s="4" t="str">
        <f>IFERROR(__xludf.DUMMYFUNCTION("""COMPUTED_VALUE"""),"john-doge")</f>
        <v>john-doge</v>
      </c>
      <c r="B6374" s="4" t="str">
        <f>IFERROR(__xludf.DUMMYFUNCTION("""COMPUTED_VALUE"""),"jdoge")</f>
        <v>jdoge</v>
      </c>
      <c r="C6374" s="4" t="str">
        <f>IFERROR(__xludf.DUMMYFUNCTION("""COMPUTED_VALUE"""),"John Doge")</f>
        <v>John Doge</v>
      </c>
    </row>
    <row r="6375">
      <c r="A6375" s="4" t="str">
        <f>IFERROR(__xludf.DUMMYFUNCTION("""COMPUTED_VALUE"""),"john-pork")</f>
        <v>john-pork</v>
      </c>
      <c r="B6375" s="4" t="str">
        <f>IFERROR(__xludf.DUMMYFUNCTION("""COMPUTED_VALUE"""),"pork")</f>
        <v>pork</v>
      </c>
      <c r="C6375" s="4" t="str">
        <f>IFERROR(__xludf.DUMMYFUNCTION("""COMPUTED_VALUE"""),"john pork")</f>
        <v>john pork</v>
      </c>
    </row>
    <row r="6376">
      <c r="A6376" s="4" t="str">
        <f>IFERROR(__xludf.DUMMYFUNCTION("""COMPUTED_VALUE"""),"johor-darul-ta-zim-fc")</f>
        <v>johor-darul-ta-zim-fc</v>
      </c>
      <c r="B6376" s="4" t="str">
        <f>IFERROR(__xludf.DUMMYFUNCTION("""COMPUTED_VALUE"""),"jdt")</f>
        <v>jdt</v>
      </c>
      <c r="C6376" s="4" t="str">
        <f>IFERROR(__xludf.DUMMYFUNCTION("""COMPUTED_VALUE"""),"Johor Darul Ta’zim FC Fan Token")</f>
        <v>Johor Darul Ta’zim FC Fan Token</v>
      </c>
    </row>
    <row r="6377">
      <c r="A6377" s="4" t="str">
        <f>IFERROR(__xludf.DUMMYFUNCTION("""COMPUTED_VALUE"""),"join-learn-and-thrive-token")</f>
        <v>join-learn-and-thrive-token</v>
      </c>
      <c r="B6377" s="4" t="str">
        <f>IFERROR(__xludf.DUMMYFUNCTION("""COMPUTED_VALUE"""),"jlt")</f>
        <v>jlt</v>
      </c>
      <c r="C6377" s="4" t="str">
        <f>IFERROR(__xludf.DUMMYFUNCTION("""COMPUTED_VALUE"""),"JLT Token")</f>
        <v>JLT Token</v>
      </c>
    </row>
    <row r="6378">
      <c r="A6378" s="4" t="str">
        <f>IFERROR(__xludf.DUMMYFUNCTION("""COMPUTED_VALUE"""),"jojo")</f>
        <v>jojo</v>
      </c>
      <c r="B6378" s="4" t="str">
        <f>IFERROR(__xludf.DUMMYFUNCTION("""COMPUTED_VALUE"""),"jojo")</f>
        <v>jojo</v>
      </c>
      <c r="C6378" s="4" t="str">
        <f>IFERROR(__xludf.DUMMYFUNCTION("""COMPUTED_VALUE"""),"JOJO")</f>
        <v>JOJO</v>
      </c>
    </row>
    <row r="6379">
      <c r="A6379" s="4" t="str">
        <f>IFERROR(__xludf.DUMMYFUNCTION("""COMPUTED_VALUE"""),"joker")</f>
        <v>joker</v>
      </c>
      <c r="B6379" s="4" t="str">
        <f>IFERROR(__xludf.DUMMYFUNCTION("""COMPUTED_VALUE"""),"joker")</f>
        <v>joker</v>
      </c>
      <c r="C6379" s="4" t="str">
        <f>IFERROR(__xludf.DUMMYFUNCTION("""COMPUTED_VALUE"""),"Joker")</f>
        <v>Joker</v>
      </c>
    </row>
    <row r="6380">
      <c r="A6380" s="4" t="str">
        <f>IFERROR(__xludf.DUMMYFUNCTION("""COMPUTED_VALUE"""),"joltify")</f>
        <v>joltify</v>
      </c>
      <c r="B6380" s="4" t="str">
        <f>IFERROR(__xludf.DUMMYFUNCTION("""COMPUTED_VALUE"""),"jolt")</f>
        <v>jolt</v>
      </c>
      <c r="C6380" s="4" t="str">
        <f>IFERROR(__xludf.DUMMYFUNCTION("""COMPUTED_VALUE"""),"Joltify")</f>
        <v>Joltify</v>
      </c>
    </row>
    <row r="6381">
      <c r="A6381" s="4" t="str">
        <f>IFERROR(__xludf.DUMMYFUNCTION("""COMPUTED_VALUE"""),"jones")</f>
        <v>jones</v>
      </c>
      <c r="B6381" s="4" t="str">
        <f>IFERROR(__xludf.DUMMYFUNCTION("""COMPUTED_VALUE"""),"$jones")</f>
        <v>$jones</v>
      </c>
      <c r="C6381" s="4" t="str">
        <f>IFERROR(__xludf.DUMMYFUNCTION("""COMPUTED_VALUE"""),"$JONES")</f>
        <v>$JONES</v>
      </c>
    </row>
    <row r="6382">
      <c r="A6382" s="4" t="str">
        <f>IFERROR(__xludf.DUMMYFUNCTION("""COMPUTED_VALUE"""),"jones-dao")</f>
        <v>jones-dao</v>
      </c>
      <c r="B6382" s="4" t="str">
        <f>IFERROR(__xludf.DUMMYFUNCTION("""COMPUTED_VALUE"""),"jones")</f>
        <v>jones</v>
      </c>
      <c r="C6382" s="4" t="str">
        <f>IFERROR(__xludf.DUMMYFUNCTION("""COMPUTED_VALUE"""),"Jones DAO")</f>
        <v>Jones DAO</v>
      </c>
    </row>
    <row r="6383">
      <c r="A6383" s="4" t="str">
        <f>IFERROR(__xludf.DUMMYFUNCTION("""COMPUTED_VALUE"""),"jones-glp")</f>
        <v>jones-glp</v>
      </c>
      <c r="B6383" s="4" t="str">
        <f>IFERROR(__xludf.DUMMYFUNCTION("""COMPUTED_VALUE"""),"jglp")</f>
        <v>jglp</v>
      </c>
      <c r="C6383" s="4" t="str">
        <f>IFERROR(__xludf.DUMMYFUNCTION("""COMPUTED_VALUE"""),"Jones GLP")</f>
        <v>Jones GLP</v>
      </c>
    </row>
    <row r="6384">
      <c r="A6384" s="4" t="str">
        <f>IFERROR(__xludf.DUMMYFUNCTION("""COMPUTED_VALUE"""),"jones-usdc")</f>
        <v>jones-usdc</v>
      </c>
      <c r="B6384" s="4" t="str">
        <f>IFERROR(__xludf.DUMMYFUNCTION("""COMPUTED_VALUE"""),"jusdc")</f>
        <v>jusdc</v>
      </c>
      <c r="C6384" s="4" t="str">
        <f>IFERROR(__xludf.DUMMYFUNCTION("""COMPUTED_VALUE"""),"Jones USDC")</f>
        <v>Jones USDC</v>
      </c>
    </row>
    <row r="6385">
      <c r="A6385" s="4" t="str">
        <f>IFERROR(__xludf.DUMMYFUNCTION("""COMPUTED_VALUE"""),"jongro-boutique")</f>
        <v>jongro-boutique</v>
      </c>
      <c r="B6385" s="4" t="str">
        <f>IFERROR(__xludf.DUMMYFUNCTION("""COMPUTED_VALUE"""),"jobt")</f>
        <v>jobt</v>
      </c>
      <c r="C6385" s="4" t="str">
        <f>IFERROR(__xludf.DUMMYFUNCTION("""COMPUTED_VALUE"""),"Jongro Boutique")</f>
        <v>Jongro Boutique</v>
      </c>
    </row>
    <row r="6386">
      <c r="A6386" s="4" t="str">
        <f>IFERROR(__xludf.DUMMYFUNCTION("""COMPUTED_VALUE"""),"jonny-five")</f>
        <v>jonny-five</v>
      </c>
      <c r="B6386" s="4" t="str">
        <f>IFERROR(__xludf.DUMMYFUNCTION("""COMPUTED_VALUE"""),"jfive")</f>
        <v>jfive</v>
      </c>
      <c r="C6386" s="4" t="str">
        <f>IFERROR(__xludf.DUMMYFUNCTION("""COMPUTED_VALUE"""),"Jonny Five")</f>
        <v>Jonny Five</v>
      </c>
    </row>
    <row r="6387">
      <c r="A6387" s="4" t="str">
        <f>IFERROR(__xludf.DUMMYFUNCTION("""COMPUTED_VALUE"""),"joops")</f>
        <v>joops</v>
      </c>
      <c r="B6387" s="4" t="str">
        <f>IFERROR(__xludf.DUMMYFUNCTION("""COMPUTED_VALUE"""),"joops")</f>
        <v>joops</v>
      </c>
      <c r="C6387" s="4" t="str">
        <f>IFERROR(__xludf.DUMMYFUNCTION("""COMPUTED_VALUE"""),"JOOPS")</f>
        <v>JOOPS</v>
      </c>
    </row>
    <row r="6388">
      <c r="A6388" s="4" t="str">
        <f>IFERROR(__xludf.DUMMYFUNCTION("""COMPUTED_VALUE"""),"joram-poowel")</f>
        <v>joram-poowel</v>
      </c>
      <c r="B6388" s="4" t="str">
        <f>IFERROR(__xludf.DUMMYFUNCTION("""COMPUTED_VALUE"""),"poowel")</f>
        <v>poowel</v>
      </c>
      <c r="C6388" s="4" t="str">
        <f>IFERROR(__xludf.DUMMYFUNCTION("""COMPUTED_VALUE"""),"JORAM POOWEL")</f>
        <v>JORAM POOWEL</v>
      </c>
    </row>
    <row r="6389">
      <c r="A6389" s="4" t="str">
        <f>IFERROR(__xludf.DUMMYFUNCTION("""COMPUTED_VALUE"""),"journart")</f>
        <v>journart</v>
      </c>
      <c r="B6389" s="4" t="str">
        <f>IFERROR(__xludf.DUMMYFUNCTION("""COMPUTED_VALUE"""),"jart")</f>
        <v>jart</v>
      </c>
      <c r="C6389" s="4" t="str">
        <f>IFERROR(__xludf.DUMMYFUNCTION("""COMPUTED_VALUE"""),"JournArt")</f>
        <v>JournArt</v>
      </c>
    </row>
    <row r="6390">
      <c r="A6390" s="4" t="str">
        <f>IFERROR(__xludf.DUMMYFUNCTION("""COMPUTED_VALUE"""),"journey-ai")</f>
        <v>journey-ai</v>
      </c>
      <c r="B6390" s="4" t="str">
        <f>IFERROR(__xludf.DUMMYFUNCTION("""COMPUTED_VALUE"""),"jrny")</f>
        <v>jrny</v>
      </c>
      <c r="C6390" s="4" t="str">
        <f>IFERROR(__xludf.DUMMYFUNCTION("""COMPUTED_VALUE"""),"Journey")</f>
        <v>Journey</v>
      </c>
    </row>
    <row r="6391">
      <c r="A6391" s="4" t="str">
        <f>IFERROR(__xludf.DUMMYFUNCTION("""COMPUTED_VALUE"""),"jovjou")</f>
        <v>jovjou</v>
      </c>
      <c r="B6391" s="4" t="str">
        <f>IFERROR(__xludf.DUMMYFUNCTION("""COMPUTED_VALUE"""),"jovjou")</f>
        <v>jovjou</v>
      </c>
      <c r="C6391" s="4" t="str">
        <f>IFERROR(__xludf.DUMMYFUNCTION("""COMPUTED_VALUE"""),"JovJou")</f>
        <v>JovJou</v>
      </c>
    </row>
    <row r="6392">
      <c r="A6392" s="4" t="str">
        <f>IFERROR(__xludf.DUMMYFUNCTION("""COMPUTED_VALUE"""),"joystick-club")</f>
        <v>joystick-club</v>
      </c>
      <c r="B6392" s="4" t="str">
        <f>IFERROR(__xludf.DUMMYFUNCTION("""COMPUTED_VALUE"""),"joy")</f>
        <v>joy</v>
      </c>
      <c r="C6392" s="4" t="str">
        <f>IFERROR(__xludf.DUMMYFUNCTION("""COMPUTED_VALUE"""),"Joystick.club")</f>
        <v>Joystick.club</v>
      </c>
    </row>
    <row r="6393">
      <c r="A6393" s="4" t="str">
        <f>IFERROR(__xludf.DUMMYFUNCTION("""COMPUTED_VALUE"""),"joystream")</f>
        <v>joystream</v>
      </c>
      <c r="B6393" s="4" t="str">
        <f>IFERROR(__xludf.DUMMYFUNCTION("""COMPUTED_VALUE"""),"joy")</f>
        <v>joy</v>
      </c>
      <c r="C6393" s="4" t="str">
        <f>IFERROR(__xludf.DUMMYFUNCTION("""COMPUTED_VALUE"""),"Joystream")</f>
        <v>Joystream</v>
      </c>
    </row>
    <row r="6394">
      <c r="A6394" s="4" t="str">
        <f>IFERROR(__xludf.DUMMYFUNCTION("""COMPUTED_VALUE"""),"jp")</f>
        <v>jp</v>
      </c>
      <c r="B6394" s="4" t="str">
        <f>IFERROR(__xludf.DUMMYFUNCTION("""COMPUTED_VALUE"""),"jp")</f>
        <v>jp</v>
      </c>
      <c r="C6394" s="4" t="str">
        <f>IFERROR(__xludf.DUMMYFUNCTION("""COMPUTED_VALUE"""),"JP")</f>
        <v>JP</v>
      </c>
    </row>
    <row r="6395">
      <c r="A6395" s="4" t="str">
        <f>IFERROR(__xludf.DUMMYFUNCTION("""COMPUTED_VALUE"""),"jpeg-d")</f>
        <v>jpeg-d</v>
      </c>
      <c r="B6395" s="4" t="str">
        <f>IFERROR(__xludf.DUMMYFUNCTION("""COMPUTED_VALUE"""),"jpeg")</f>
        <v>jpeg</v>
      </c>
      <c r="C6395" s="4" t="str">
        <f>IFERROR(__xludf.DUMMYFUNCTION("""COMPUTED_VALUE"""),"JPEG'd (OLD)")</f>
        <v>JPEG'd (OLD)</v>
      </c>
    </row>
    <row r="6396">
      <c r="A6396" s="4" t="str">
        <f>IFERROR(__xludf.DUMMYFUNCTION("""COMPUTED_VALUE"""),"jpeg-d-2")</f>
        <v>jpeg-d-2</v>
      </c>
      <c r="B6396" s="4" t="str">
        <f>IFERROR(__xludf.DUMMYFUNCTION("""COMPUTED_VALUE"""),"jpgd")</f>
        <v>jpgd</v>
      </c>
      <c r="C6396" s="4" t="str">
        <f>IFERROR(__xludf.DUMMYFUNCTION("""COMPUTED_VALUE"""),"JPEG'd")</f>
        <v>JPEG'd</v>
      </c>
    </row>
    <row r="6397">
      <c r="A6397" s="4" t="str">
        <f>IFERROR(__xludf.DUMMYFUNCTION("""COMPUTED_VALUE"""),"jpeg-ordinals")</f>
        <v>jpeg-ordinals</v>
      </c>
      <c r="B6397" s="4" t="str">
        <f>IFERROR(__xludf.DUMMYFUNCTION("""COMPUTED_VALUE"""),"jpeg")</f>
        <v>jpeg</v>
      </c>
      <c r="C6397" s="4" t="str">
        <f>IFERROR(__xludf.DUMMYFUNCTION("""COMPUTED_VALUE"""),"JPEG (Ordinals)")</f>
        <v>JPEG (Ordinals)</v>
      </c>
    </row>
    <row r="6398">
      <c r="A6398" s="4" t="str">
        <f>IFERROR(__xludf.DUMMYFUNCTION("""COMPUTED_VALUE"""),"jpg-nft-index")</f>
        <v>jpg-nft-index</v>
      </c>
      <c r="B6398" s="4" t="str">
        <f>IFERROR(__xludf.DUMMYFUNCTION("""COMPUTED_VALUE"""),"jpg")</f>
        <v>jpg</v>
      </c>
      <c r="C6398" s="4" t="str">
        <f>IFERROR(__xludf.DUMMYFUNCTION("""COMPUTED_VALUE"""),"JPG NFT Index")</f>
        <v>JPG NFT Index</v>
      </c>
    </row>
    <row r="6399">
      <c r="A6399" s="4" t="str">
        <f>IFERROR(__xludf.DUMMYFUNCTION("""COMPUTED_VALUE"""),"jpgoldcoin")</f>
        <v>jpgoldcoin</v>
      </c>
      <c r="B6399" s="4" t="str">
        <f>IFERROR(__xludf.DUMMYFUNCTION("""COMPUTED_VALUE"""),"jpgc")</f>
        <v>jpgc</v>
      </c>
      <c r="C6399" s="4" t="str">
        <f>IFERROR(__xludf.DUMMYFUNCTION("""COMPUTED_VALUE"""),"JPGoldCoin")</f>
        <v>JPGoldCoin</v>
      </c>
    </row>
    <row r="6400">
      <c r="A6400" s="4" t="str">
        <f>IFERROR(__xludf.DUMMYFUNCTION("""COMPUTED_VALUE"""),"jpg-store")</f>
        <v>jpg-store</v>
      </c>
      <c r="B6400" s="4" t="str">
        <f>IFERROR(__xludf.DUMMYFUNCTION("""COMPUTED_VALUE"""),"jpg")</f>
        <v>jpg</v>
      </c>
      <c r="C6400" s="4" t="str">
        <f>IFERROR(__xludf.DUMMYFUNCTION("""COMPUTED_VALUE"""),"JPG")</f>
        <v>JPG</v>
      </c>
    </row>
    <row r="6401">
      <c r="A6401" s="4" t="str">
        <f>IFERROR(__xludf.DUMMYFUNCTION("""COMPUTED_VALUE"""),"jpool")</f>
        <v>jpool</v>
      </c>
      <c r="B6401" s="4" t="str">
        <f>IFERROR(__xludf.DUMMYFUNCTION("""COMPUTED_VALUE"""),"jsol")</f>
        <v>jsol</v>
      </c>
      <c r="C6401" s="4" t="str">
        <f>IFERROR(__xludf.DUMMYFUNCTION("""COMPUTED_VALUE"""),"JPool")</f>
        <v>JPool</v>
      </c>
    </row>
    <row r="6402">
      <c r="A6402" s="4" t="str">
        <f>IFERROR(__xludf.DUMMYFUNCTION("""COMPUTED_VALUE"""),"jpyc")</f>
        <v>jpyc</v>
      </c>
      <c r="B6402" s="4" t="str">
        <f>IFERROR(__xludf.DUMMYFUNCTION("""COMPUTED_VALUE"""),"jpyc")</f>
        <v>jpyc</v>
      </c>
      <c r="C6402" s="4" t="str">
        <f>IFERROR(__xludf.DUMMYFUNCTION("""COMPUTED_VALUE"""),"JPY Coin v1")</f>
        <v>JPY Coin v1</v>
      </c>
    </row>
    <row r="6403">
      <c r="A6403" s="4" t="str">
        <f>IFERROR(__xludf.DUMMYFUNCTION("""COMPUTED_VALUE"""),"jpy-coin")</f>
        <v>jpy-coin</v>
      </c>
      <c r="B6403" s="4" t="str">
        <f>IFERROR(__xludf.DUMMYFUNCTION("""COMPUTED_VALUE"""),"jpyc")</f>
        <v>jpyc</v>
      </c>
      <c r="C6403" s="4" t="str">
        <f>IFERROR(__xludf.DUMMYFUNCTION("""COMPUTED_VALUE"""),"JPY Coin")</f>
        <v>JPY Coin</v>
      </c>
    </row>
    <row r="6404">
      <c r="A6404" s="4" t="str">
        <f>IFERROR(__xludf.DUMMYFUNCTION("""COMPUTED_VALUE"""),"jtc-network")</f>
        <v>jtc-network</v>
      </c>
      <c r="B6404" s="4" t="str">
        <f>IFERROR(__xludf.DUMMYFUNCTION("""COMPUTED_VALUE"""),"jtc")</f>
        <v>jtc</v>
      </c>
      <c r="C6404" s="4" t="str">
        <f>IFERROR(__xludf.DUMMYFUNCTION("""COMPUTED_VALUE"""),"JTC Network")</f>
        <v>JTC Network</v>
      </c>
    </row>
    <row r="6405">
      <c r="A6405" s="4" t="str">
        <f>IFERROR(__xludf.DUMMYFUNCTION("""COMPUTED_VALUE"""),"jts")</f>
        <v>jts</v>
      </c>
      <c r="B6405" s="4" t="str">
        <f>IFERROR(__xludf.DUMMYFUNCTION("""COMPUTED_VALUE"""),"jts")</f>
        <v>jts</v>
      </c>
      <c r="C6405" s="4" t="str">
        <f>IFERROR(__xludf.DUMMYFUNCTION("""COMPUTED_VALUE"""),"JTS")</f>
        <v>JTS</v>
      </c>
    </row>
    <row r="6406">
      <c r="A6406" s="4" t="str">
        <f>IFERROR(__xludf.DUMMYFUNCTION("""COMPUTED_VALUE"""),"judas")</f>
        <v>judas</v>
      </c>
      <c r="B6406" s="4" t="str">
        <f>IFERROR(__xludf.DUMMYFUNCTION("""COMPUTED_VALUE"""),"$judas")</f>
        <v>$judas</v>
      </c>
      <c r="C6406" s="4" t="str">
        <f>IFERROR(__xludf.DUMMYFUNCTION("""COMPUTED_VALUE"""),"JUDAS")</f>
        <v>JUDAS</v>
      </c>
    </row>
    <row r="6407">
      <c r="A6407" s="4" t="str">
        <f>IFERROR(__xludf.DUMMYFUNCTION("""COMPUTED_VALUE"""),"judge-ai")</f>
        <v>judge-ai</v>
      </c>
      <c r="B6407" s="4" t="str">
        <f>IFERROR(__xludf.DUMMYFUNCTION("""COMPUTED_VALUE"""),"judge")</f>
        <v>judge</v>
      </c>
      <c r="C6407" s="4" t="str">
        <f>IFERROR(__xludf.DUMMYFUNCTION("""COMPUTED_VALUE"""),"Judge AI")</f>
        <v>Judge AI</v>
      </c>
    </row>
    <row r="6408">
      <c r="A6408" s="4" t="str">
        <f>IFERROR(__xludf.DUMMYFUNCTION("""COMPUTED_VALUE"""),"judgment-ai")</f>
        <v>judgment-ai</v>
      </c>
      <c r="B6408" s="4" t="str">
        <f>IFERROR(__xludf.DUMMYFUNCTION("""COMPUTED_VALUE"""),"jmtai")</f>
        <v>jmtai</v>
      </c>
      <c r="C6408" s="4" t="str">
        <f>IFERROR(__xludf.DUMMYFUNCTION("""COMPUTED_VALUE"""),"Judgment AI")</f>
        <v>Judgment AI</v>
      </c>
    </row>
    <row r="6409">
      <c r="A6409" s="4" t="str">
        <f>IFERROR(__xludf.DUMMYFUNCTION("""COMPUTED_VALUE"""),"juggernaut")</f>
        <v>juggernaut</v>
      </c>
      <c r="B6409" s="4" t="str">
        <f>IFERROR(__xludf.DUMMYFUNCTION("""COMPUTED_VALUE"""),"jgn")</f>
        <v>jgn</v>
      </c>
      <c r="C6409" s="4" t="str">
        <f>IFERROR(__xludf.DUMMYFUNCTION("""COMPUTED_VALUE"""),"Juggernaut")</f>
        <v>Juggernaut</v>
      </c>
    </row>
    <row r="6410">
      <c r="A6410" s="4" t="str">
        <f>IFERROR(__xludf.DUMMYFUNCTION("""COMPUTED_VALUE"""),"jugni")</f>
        <v>jugni</v>
      </c>
      <c r="B6410" s="4" t="str">
        <f>IFERROR(__xludf.DUMMYFUNCTION("""COMPUTED_VALUE"""),"jugni")</f>
        <v>jugni</v>
      </c>
      <c r="C6410" s="4" t="str">
        <f>IFERROR(__xludf.DUMMYFUNCTION("""COMPUTED_VALUE"""),"JUGNI")</f>
        <v>JUGNI</v>
      </c>
    </row>
    <row r="6411">
      <c r="A6411" s="4" t="str">
        <f>IFERROR(__xludf.DUMMYFUNCTION("""COMPUTED_VALUE"""),"juice")</f>
        <v>juice</v>
      </c>
      <c r="B6411" s="4" t="str">
        <f>IFERROR(__xludf.DUMMYFUNCTION("""COMPUTED_VALUE"""),"$juice")</f>
        <v>$juice</v>
      </c>
      <c r="C6411" s="4" t="str">
        <f>IFERROR(__xludf.DUMMYFUNCTION("""COMPUTED_VALUE"""),"Juice")</f>
        <v>Juice</v>
      </c>
    </row>
    <row r="6412">
      <c r="A6412" s="4" t="str">
        <f>IFERROR(__xludf.DUMMYFUNCTION("""COMPUTED_VALUE"""),"juicebox")</f>
        <v>juicebox</v>
      </c>
      <c r="B6412" s="4" t="str">
        <f>IFERROR(__xludf.DUMMYFUNCTION("""COMPUTED_VALUE"""),"jbx")</f>
        <v>jbx</v>
      </c>
      <c r="C6412" s="4" t="str">
        <f>IFERROR(__xludf.DUMMYFUNCTION("""COMPUTED_VALUE"""),"Juicebox")</f>
        <v>Juicebox</v>
      </c>
    </row>
    <row r="6413">
      <c r="A6413" s="4" t="str">
        <f>IFERROR(__xludf.DUMMYFUNCTION("""COMPUTED_VALUE"""),"juice-finance")</f>
        <v>juice-finance</v>
      </c>
      <c r="B6413" s="4" t="str">
        <f>IFERROR(__xludf.DUMMYFUNCTION("""COMPUTED_VALUE"""),"juice")</f>
        <v>juice</v>
      </c>
      <c r="C6413" s="4" t="str">
        <f>IFERROR(__xludf.DUMMYFUNCTION("""COMPUTED_VALUE"""),"Juice Finance")</f>
        <v>Juice Finance</v>
      </c>
    </row>
    <row r="6414">
      <c r="A6414" s="4" t="str">
        <f>IFERROR(__xludf.DUMMYFUNCTION("""COMPUTED_VALUE"""),"jujube")</f>
        <v>jujube</v>
      </c>
      <c r="B6414" s="4" t="str">
        <f>IFERROR(__xludf.DUMMYFUNCTION("""COMPUTED_VALUE"""),"jujube")</f>
        <v>jujube</v>
      </c>
      <c r="C6414" s="4" t="str">
        <f>IFERROR(__xludf.DUMMYFUNCTION("""COMPUTED_VALUE"""),"Jujube")</f>
        <v>Jujube</v>
      </c>
    </row>
    <row r="6415">
      <c r="A6415" s="4" t="str">
        <f>IFERROR(__xludf.DUMMYFUNCTION("""COMPUTED_VALUE"""),"julswap")</f>
        <v>julswap</v>
      </c>
      <c r="B6415" s="4" t="str">
        <f>IFERROR(__xludf.DUMMYFUNCTION("""COMPUTED_VALUE"""),"juld")</f>
        <v>juld</v>
      </c>
      <c r="C6415" s="4" t="str">
        <f>IFERROR(__xludf.DUMMYFUNCTION("""COMPUTED_VALUE"""),"JulSwap")</f>
        <v>JulSwap</v>
      </c>
    </row>
    <row r="6416">
      <c r="A6416" s="4" t="str">
        <f>IFERROR(__xludf.DUMMYFUNCTION("""COMPUTED_VALUE"""),"jumbo-exchange")</f>
        <v>jumbo-exchange</v>
      </c>
      <c r="B6416" s="4" t="str">
        <f>IFERROR(__xludf.DUMMYFUNCTION("""COMPUTED_VALUE"""),"jumbo")</f>
        <v>jumbo</v>
      </c>
      <c r="C6416" s="4" t="str">
        <f>IFERROR(__xludf.DUMMYFUNCTION("""COMPUTED_VALUE"""),"Jumbo Exchange")</f>
        <v>Jumbo Exchange</v>
      </c>
    </row>
    <row r="6417">
      <c r="A6417" s="4" t="str">
        <f>IFERROR(__xludf.DUMMYFUNCTION("""COMPUTED_VALUE"""),"jumptoken")</f>
        <v>jumptoken</v>
      </c>
      <c r="B6417" s="4" t="str">
        <f>IFERROR(__xludf.DUMMYFUNCTION("""COMPUTED_VALUE"""),"jmpt")</f>
        <v>jmpt</v>
      </c>
      <c r="C6417" s="4" t="str">
        <f>IFERROR(__xludf.DUMMYFUNCTION("""COMPUTED_VALUE"""),"JumpToken")</f>
        <v>JumpToken</v>
      </c>
    </row>
    <row r="6418">
      <c r="A6418" s="4" t="str">
        <f>IFERROR(__xludf.DUMMYFUNCTION("""COMPUTED_VALUE"""),"jungle")</f>
        <v>jungle</v>
      </c>
      <c r="B6418" s="4" t="str">
        <f>IFERROR(__xludf.DUMMYFUNCTION("""COMPUTED_VALUE"""),"jungle")</f>
        <v>jungle</v>
      </c>
      <c r="C6418" s="4" t="str">
        <f>IFERROR(__xludf.DUMMYFUNCTION("""COMPUTED_VALUE"""),"Jungle")</f>
        <v>Jungle</v>
      </c>
    </row>
    <row r="6419">
      <c r="A6419" s="4" t="str">
        <f>IFERROR(__xludf.DUMMYFUNCTION("""COMPUTED_VALUE"""),"jungle-defi")</f>
        <v>jungle-defi</v>
      </c>
      <c r="B6419" s="4" t="str">
        <f>IFERROR(__xludf.DUMMYFUNCTION("""COMPUTED_VALUE"""),"jfi")</f>
        <v>jfi</v>
      </c>
      <c r="C6419" s="4" t="str">
        <f>IFERROR(__xludf.DUMMYFUNCTION("""COMPUTED_VALUE"""),"Jungle DeFi")</f>
        <v>Jungle DeFi</v>
      </c>
    </row>
    <row r="6420">
      <c r="A6420" s="4" t="str">
        <f>IFERROR(__xludf.DUMMYFUNCTION("""COMPUTED_VALUE"""),"jungleking-tigercoin")</f>
        <v>jungleking-tigercoin</v>
      </c>
      <c r="B6420" s="4" t="str">
        <f>IFERROR(__xludf.DUMMYFUNCTION("""COMPUTED_VALUE"""),"tiger")</f>
        <v>tiger</v>
      </c>
      <c r="C6420" s="4" t="str">
        <f>IFERROR(__xludf.DUMMYFUNCTION("""COMPUTED_VALUE"""),"JungleKing TigerCoin")</f>
        <v>JungleKing TigerCoin</v>
      </c>
    </row>
    <row r="6421">
      <c r="A6421" s="4" t="str">
        <f>IFERROR(__xludf.DUMMYFUNCTION("""COMPUTED_VALUE"""),"jungle-labz")</f>
        <v>jungle-labz</v>
      </c>
      <c r="B6421" s="4" t="str">
        <f>IFERROR(__xludf.DUMMYFUNCTION("""COMPUTED_VALUE"""),"jngl")</f>
        <v>jngl</v>
      </c>
      <c r="C6421" s="4" t="str">
        <f>IFERROR(__xludf.DUMMYFUNCTION("""COMPUTED_VALUE"""),"Jungle Labz")</f>
        <v>Jungle Labz</v>
      </c>
    </row>
    <row r="6422">
      <c r="A6422" s="4" t="str">
        <f>IFERROR(__xludf.DUMMYFUNCTION("""COMPUTED_VALUE"""),"juno-network")</f>
        <v>juno-network</v>
      </c>
      <c r="B6422" s="4" t="str">
        <f>IFERROR(__xludf.DUMMYFUNCTION("""COMPUTED_VALUE"""),"juno")</f>
        <v>juno</v>
      </c>
      <c r="C6422" s="4" t="str">
        <f>IFERROR(__xludf.DUMMYFUNCTION("""COMPUTED_VALUE"""),"JUNO")</f>
        <v>JUNO</v>
      </c>
    </row>
    <row r="6423">
      <c r="A6423" s="4" t="str">
        <f>IFERROR(__xludf.DUMMYFUNCTION("""COMPUTED_VALUE"""),"jupbot")</f>
        <v>jupbot</v>
      </c>
      <c r="B6423" s="4" t="str">
        <f>IFERROR(__xludf.DUMMYFUNCTION("""COMPUTED_VALUE"""),"jupbot")</f>
        <v>jupbot</v>
      </c>
      <c r="C6423" s="4" t="str">
        <f>IFERROR(__xludf.DUMMYFUNCTION("""COMPUTED_VALUE"""),"JupBot")</f>
        <v>JupBot</v>
      </c>
    </row>
    <row r="6424">
      <c r="A6424" s="4" t="str">
        <f>IFERROR(__xludf.DUMMYFUNCTION("""COMPUTED_VALUE"""),"jupiter")</f>
        <v>jupiter</v>
      </c>
      <c r="B6424" s="4" t="str">
        <f>IFERROR(__xludf.DUMMYFUNCTION("""COMPUTED_VALUE"""),"jup")</f>
        <v>jup</v>
      </c>
      <c r="C6424" s="4" t="str">
        <f>IFERROR(__xludf.DUMMYFUNCTION("""COMPUTED_VALUE"""),"Jupiter Project")</f>
        <v>Jupiter Project</v>
      </c>
    </row>
    <row r="6425">
      <c r="A6425" s="4" t="str">
        <f>IFERROR(__xludf.DUMMYFUNCTION("""COMPUTED_VALUE"""),"jupiter-exchange-solana")</f>
        <v>jupiter-exchange-solana</v>
      </c>
      <c r="B6425" s="4" t="str">
        <f>IFERROR(__xludf.DUMMYFUNCTION("""COMPUTED_VALUE"""),"jup")</f>
        <v>jup</v>
      </c>
      <c r="C6425" s="4" t="str">
        <f>IFERROR(__xludf.DUMMYFUNCTION("""COMPUTED_VALUE"""),"Jupiter")</f>
        <v>Jupiter</v>
      </c>
    </row>
    <row r="6426">
      <c r="A6426" s="4" t="str">
        <f>IFERROR(__xludf.DUMMYFUNCTION("""COMPUTED_VALUE"""),"jupiter-perpetuals-liquidity-provider-token")</f>
        <v>jupiter-perpetuals-liquidity-provider-token</v>
      </c>
      <c r="B6426" s="4" t="str">
        <f>IFERROR(__xludf.DUMMYFUNCTION("""COMPUTED_VALUE"""),"jlp")</f>
        <v>jlp</v>
      </c>
      <c r="C6426" s="4" t="str">
        <f>IFERROR(__xludf.DUMMYFUNCTION("""COMPUTED_VALUE"""),"Jupiter Perpetuals Liquidity Provider Token")</f>
        <v>Jupiter Perpetuals Liquidity Provider Token</v>
      </c>
    </row>
    <row r="6427">
      <c r="A6427" s="4" t="str">
        <f>IFERROR(__xludf.DUMMYFUNCTION("""COMPUTED_VALUE"""),"jupu")</f>
        <v>jupu</v>
      </c>
      <c r="B6427" s="4" t="str">
        <f>IFERROR(__xludf.DUMMYFUNCTION("""COMPUTED_VALUE"""),"jupu")</f>
        <v>jupu</v>
      </c>
      <c r="C6427" s="4" t="str">
        <f>IFERROR(__xludf.DUMMYFUNCTION("""COMPUTED_VALUE"""),"Jupu")</f>
        <v>Jupu</v>
      </c>
    </row>
    <row r="6428">
      <c r="A6428" s="4" t="str">
        <f>IFERROR(__xludf.DUMMYFUNCTION("""COMPUTED_VALUE"""),"jur")</f>
        <v>jur</v>
      </c>
      <c r="B6428" s="4" t="str">
        <f>IFERROR(__xludf.DUMMYFUNCTION("""COMPUTED_VALUE"""),"jur")</f>
        <v>jur</v>
      </c>
      <c r="C6428" s="4" t="str">
        <f>IFERROR(__xludf.DUMMYFUNCTION("""COMPUTED_VALUE"""),"Jur")</f>
        <v>Jur</v>
      </c>
    </row>
    <row r="6429">
      <c r="A6429" s="4" t="str">
        <f>IFERROR(__xludf.DUMMYFUNCTION("""COMPUTED_VALUE"""),"jusd")</f>
        <v>jusd</v>
      </c>
      <c r="B6429" s="4" t="str">
        <f>IFERROR(__xludf.DUMMYFUNCTION("""COMPUTED_VALUE"""),"jusd")</f>
        <v>jusd</v>
      </c>
      <c r="C6429" s="4" t="str">
        <f>IFERROR(__xludf.DUMMYFUNCTION("""COMPUTED_VALUE"""),"JUSD")</f>
        <v>JUSD</v>
      </c>
    </row>
    <row r="6430">
      <c r="A6430" s="4" t="str">
        <f>IFERROR(__xludf.DUMMYFUNCTION("""COMPUTED_VALUE"""),"just")</f>
        <v>just</v>
      </c>
      <c r="B6430" s="4" t="str">
        <f>IFERROR(__xludf.DUMMYFUNCTION("""COMPUTED_VALUE"""),"jst")</f>
        <v>jst</v>
      </c>
      <c r="C6430" s="4" t="str">
        <f>IFERROR(__xludf.DUMMYFUNCTION("""COMPUTED_VALUE"""),"JUST")</f>
        <v>JUST</v>
      </c>
    </row>
    <row r="6431">
      <c r="A6431" s="4" t="str">
        <f>IFERROR(__xludf.DUMMYFUNCTION("""COMPUTED_VALUE"""),"just-a-black-rock-on-base")</f>
        <v>just-a-black-rock-on-base</v>
      </c>
      <c r="B6431" s="4" t="str">
        <f>IFERROR(__xludf.DUMMYFUNCTION("""COMPUTED_VALUE"""),"rock")</f>
        <v>rock</v>
      </c>
      <c r="C6431" s="4" t="str">
        <f>IFERROR(__xludf.DUMMYFUNCTION("""COMPUTED_VALUE"""),"Just a Black Rock on Base")</f>
        <v>Just a Black Rock on Base</v>
      </c>
    </row>
    <row r="6432">
      <c r="A6432" s="4" t="str">
        <f>IFERROR(__xludf.DUMMYFUNCTION("""COMPUTED_VALUE"""),"justanegg-2")</f>
        <v>justanegg-2</v>
      </c>
      <c r="B6432" s="4" t="str">
        <f>IFERROR(__xludf.DUMMYFUNCTION("""COMPUTED_VALUE"""),"egg")</f>
        <v>egg</v>
      </c>
      <c r="C6432" s="4" t="str">
        <f>IFERROR(__xludf.DUMMYFUNCTION("""COMPUTED_VALUE"""),"JustAnEgg")</f>
        <v>JustAnEgg</v>
      </c>
    </row>
    <row r="6433">
      <c r="A6433" s="4" t="str">
        <f>IFERROR(__xludf.DUMMYFUNCTION("""COMPUTED_VALUE"""),"justmoney-2")</f>
        <v>justmoney-2</v>
      </c>
      <c r="B6433" s="4" t="str">
        <f>IFERROR(__xludf.DUMMYFUNCTION("""COMPUTED_VALUE"""),"jm")</f>
        <v>jm</v>
      </c>
      <c r="C6433" s="4" t="str">
        <f>IFERROR(__xludf.DUMMYFUNCTION("""COMPUTED_VALUE"""),"JustMoney")</f>
        <v>JustMoney</v>
      </c>
    </row>
    <row r="6434">
      <c r="A6434" s="4" t="str">
        <f>IFERROR(__xludf.DUMMYFUNCTION("""COMPUTED_VALUE"""),"just-stablecoin")</f>
        <v>just-stablecoin</v>
      </c>
      <c r="B6434" s="4" t="str">
        <f>IFERROR(__xludf.DUMMYFUNCTION("""COMPUTED_VALUE"""),"usdj")</f>
        <v>usdj</v>
      </c>
      <c r="C6434" s="4" t="str">
        <f>IFERROR(__xludf.DUMMYFUNCTION("""COMPUTED_VALUE"""),"JUST Stablecoin")</f>
        <v>JUST Stablecoin</v>
      </c>
    </row>
    <row r="6435">
      <c r="A6435" s="4" t="str">
        <f>IFERROR(__xludf.DUMMYFUNCTION("""COMPUTED_VALUE"""),"just-the-tip")</f>
        <v>just-the-tip</v>
      </c>
      <c r="B6435" s="4" t="str">
        <f>IFERROR(__xludf.DUMMYFUNCTION("""COMPUTED_VALUE"""),"tips")</f>
        <v>tips</v>
      </c>
      <c r="C6435" s="4" t="str">
        <f>IFERROR(__xludf.DUMMYFUNCTION("""COMPUTED_VALUE"""),"Just The Tip")</f>
        <v>Just The Tip</v>
      </c>
    </row>
    <row r="6436">
      <c r="A6436" s="4" t="str">
        <f>IFERROR(__xludf.DUMMYFUNCTION("""COMPUTED_VALUE"""),"justus")</f>
        <v>justus</v>
      </c>
      <c r="B6436" s="4" t="str">
        <f>IFERROR(__xludf.DUMMYFUNCTION("""COMPUTED_VALUE"""),"jtt")</f>
        <v>jtt</v>
      </c>
      <c r="C6436" s="4" t="str">
        <f>IFERROR(__xludf.DUMMYFUNCTION("""COMPUTED_VALUE"""),"Justus")</f>
        <v>Justus</v>
      </c>
    </row>
    <row r="6437">
      <c r="A6437" s="4" t="str">
        <f>IFERROR(__xludf.DUMMYFUNCTION("""COMPUTED_VALUE"""),"juventus-fan-token")</f>
        <v>juventus-fan-token</v>
      </c>
      <c r="B6437" s="4" t="str">
        <f>IFERROR(__xludf.DUMMYFUNCTION("""COMPUTED_VALUE"""),"juv")</f>
        <v>juv</v>
      </c>
      <c r="C6437" s="4" t="str">
        <f>IFERROR(__xludf.DUMMYFUNCTION("""COMPUTED_VALUE"""),"Juventus Fan Token")</f>
        <v>Juventus Fan Token</v>
      </c>
    </row>
    <row r="6438">
      <c r="A6438" s="4" t="str">
        <f>IFERROR(__xludf.DUMMYFUNCTION("""COMPUTED_VALUE"""),"k21")</f>
        <v>k21</v>
      </c>
      <c r="B6438" s="4" t="str">
        <f>IFERROR(__xludf.DUMMYFUNCTION("""COMPUTED_VALUE"""),"k21")</f>
        <v>k21</v>
      </c>
      <c r="C6438" s="4" t="str">
        <f>IFERROR(__xludf.DUMMYFUNCTION("""COMPUTED_VALUE"""),"K21")</f>
        <v>K21</v>
      </c>
    </row>
    <row r="6439">
      <c r="A6439" s="4" t="str">
        <f>IFERROR(__xludf.DUMMYFUNCTION("""COMPUTED_VALUE"""),"k9-finance-dao")</f>
        <v>k9-finance-dao</v>
      </c>
      <c r="B6439" s="4" t="str">
        <f>IFERROR(__xludf.DUMMYFUNCTION("""COMPUTED_VALUE"""),"knine")</f>
        <v>knine</v>
      </c>
      <c r="C6439" s="4" t="str">
        <f>IFERROR(__xludf.DUMMYFUNCTION("""COMPUTED_VALUE"""),"K9 Finance DAO")</f>
        <v>K9 Finance DAO</v>
      </c>
    </row>
    <row r="6440">
      <c r="A6440" s="4" t="str">
        <f>IFERROR(__xludf.DUMMYFUNCTION("""COMPUTED_VALUE"""),"kabochan")</f>
        <v>kabochan</v>
      </c>
      <c r="B6440" s="4" t="str">
        <f>IFERROR(__xludf.DUMMYFUNCTION("""COMPUTED_VALUE"""),"kabo")</f>
        <v>kabo</v>
      </c>
      <c r="C6440" s="4" t="str">
        <f>IFERROR(__xludf.DUMMYFUNCTION("""COMPUTED_VALUE"""),"KaboChan")</f>
        <v>KaboChan</v>
      </c>
    </row>
    <row r="6441">
      <c r="A6441" s="4" t="str">
        <f>IFERROR(__xludf.DUMMYFUNCTION("""COMPUTED_VALUE"""),"kabosu")</f>
        <v>kabosu</v>
      </c>
      <c r="B6441" s="4" t="str">
        <f>IFERROR(__xludf.DUMMYFUNCTION("""COMPUTED_VALUE"""),"kabosu")</f>
        <v>kabosu</v>
      </c>
      <c r="C6441" s="4" t="str">
        <f>IFERROR(__xludf.DUMMYFUNCTION("""COMPUTED_VALUE"""),"Kabosu")</f>
        <v>Kabosu</v>
      </c>
    </row>
    <row r="6442">
      <c r="A6442" s="4" t="str">
        <f>IFERROR(__xludf.DUMMYFUNCTION("""COMPUTED_VALUE"""),"kabosu-2")</f>
        <v>kabosu-2</v>
      </c>
      <c r="B6442" s="4" t="str">
        <f>IFERROR(__xludf.DUMMYFUNCTION("""COMPUTED_VALUE"""),"kabosu")</f>
        <v>kabosu</v>
      </c>
      <c r="C6442" s="4" t="str">
        <f>IFERROR(__xludf.DUMMYFUNCTION("""COMPUTED_VALUE"""),"KaBoSu")</f>
        <v>KaBoSu</v>
      </c>
    </row>
    <row r="6443">
      <c r="A6443" s="4" t="str">
        <f>IFERROR(__xludf.DUMMYFUNCTION("""COMPUTED_VALUE"""),"kabosu-3")</f>
        <v>kabosu-3</v>
      </c>
      <c r="B6443" s="4" t="str">
        <f>IFERROR(__xludf.DUMMYFUNCTION("""COMPUTED_VALUE"""),"$kabosu")</f>
        <v>$kabosu</v>
      </c>
      <c r="C6443" s="4" t="str">
        <f>IFERROR(__xludf.DUMMYFUNCTION("""COMPUTED_VALUE"""),"Kabosu")</f>
        <v>Kabosu</v>
      </c>
    </row>
    <row r="6444">
      <c r="A6444" s="4" t="str">
        <f>IFERROR(__xludf.DUMMYFUNCTION("""COMPUTED_VALUE"""),"kabosu-arbitrum")</f>
        <v>kabosu-arbitrum</v>
      </c>
      <c r="B6444" s="4" t="str">
        <f>IFERROR(__xludf.DUMMYFUNCTION("""COMPUTED_VALUE"""),"kabosu")</f>
        <v>kabosu</v>
      </c>
      <c r="C6444" s="4" t="str">
        <f>IFERROR(__xludf.DUMMYFUNCTION("""COMPUTED_VALUE"""),"Kabosu (Arbitrum)")</f>
        <v>Kabosu (Arbitrum)</v>
      </c>
    </row>
    <row r="6445">
      <c r="A6445" s="4" t="str">
        <f>IFERROR(__xludf.DUMMYFUNCTION("""COMPUTED_VALUE"""),"kabosuceo")</f>
        <v>kabosuceo</v>
      </c>
      <c r="B6445" s="4" t="str">
        <f>IFERROR(__xludf.DUMMYFUNCTION("""COMPUTED_VALUE"""),"kceo")</f>
        <v>kceo</v>
      </c>
      <c r="C6445" s="4" t="str">
        <f>IFERROR(__xludf.DUMMYFUNCTION("""COMPUTED_VALUE"""),"KabosuCEO")</f>
        <v>KabosuCEO</v>
      </c>
    </row>
    <row r="6446">
      <c r="A6446" s="4" t="str">
        <f>IFERROR(__xludf.DUMMYFUNCTION("""COMPUTED_VALUE"""),"kabosu-inu")</f>
        <v>kabosu-inu</v>
      </c>
      <c r="B6446" s="4" t="str">
        <f>IFERROR(__xludf.DUMMYFUNCTION("""COMPUTED_VALUE"""),"kabosu")</f>
        <v>kabosu</v>
      </c>
      <c r="C6446" s="4" t="str">
        <f>IFERROR(__xludf.DUMMYFUNCTION("""COMPUTED_VALUE"""),"Kabosu Inu")</f>
        <v>Kabosu Inu</v>
      </c>
    </row>
    <row r="6447">
      <c r="A6447" s="4" t="str">
        <f>IFERROR(__xludf.DUMMYFUNCTION("""COMPUTED_VALUE"""),"kabuni")</f>
        <v>kabuni</v>
      </c>
      <c r="B6447" s="4" t="str">
        <f>IFERROR(__xludf.DUMMYFUNCTION("""COMPUTED_VALUE"""),"kbc")</f>
        <v>kbc</v>
      </c>
      <c r="C6447" s="4" t="str">
        <f>IFERROR(__xludf.DUMMYFUNCTION("""COMPUTED_VALUE"""),"Kabuni")</f>
        <v>Kabuni</v>
      </c>
    </row>
    <row r="6448">
      <c r="A6448" s="4" t="str">
        <f>IFERROR(__xludf.DUMMYFUNCTION("""COMPUTED_VALUE"""),"kaby-arena")</f>
        <v>kaby-arena</v>
      </c>
      <c r="B6448" s="4" t="str">
        <f>IFERROR(__xludf.DUMMYFUNCTION("""COMPUTED_VALUE"""),"kaby")</f>
        <v>kaby</v>
      </c>
      <c r="C6448" s="4" t="str">
        <f>IFERROR(__xludf.DUMMYFUNCTION("""COMPUTED_VALUE"""),"Kaby Arena")</f>
        <v>Kaby Arena</v>
      </c>
    </row>
    <row r="6449">
      <c r="A6449" s="4" t="str">
        <f>IFERROR(__xludf.DUMMYFUNCTION("""COMPUTED_VALUE"""),"kaching")</f>
        <v>kaching</v>
      </c>
      <c r="B6449" s="4" t="str">
        <f>IFERROR(__xludf.DUMMYFUNCTION("""COMPUTED_VALUE"""),"kch")</f>
        <v>kch</v>
      </c>
      <c r="C6449" s="4" t="str">
        <f>IFERROR(__xludf.DUMMYFUNCTION("""COMPUTED_VALUE"""),"Kaching")</f>
        <v>Kaching</v>
      </c>
    </row>
    <row r="6450">
      <c r="A6450" s="4" t="str">
        <f>IFERROR(__xludf.DUMMYFUNCTION("""COMPUTED_VALUE"""),"kaddex")</f>
        <v>kaddex</v>
      </c>
      <c r="B6450" s="4" t="str">
        <f>IFERROR(__xludf.DUMMYFUNCTION("""COMPUTED_VALUE"""),"kdx")</f>
        <v>kdx</v>
      </c>
      <c r="C6450" s="4" t="str">
        <f>IFERROR(__xludf.DUMMYFUNCTION("""COMPUTED_VALUE"""),"eckoDAO")</f>
        <v>eckoDAO</v>
      </c>
    </row>
    <row r="6451">
      <c r="A6451" s="4" t="str">
        <f>IFERROR(__xludf.DUMMYFUNCTION("""COMPUTED_VALUE"""),"kadena")</f>
        <v>kadena</v>
      </c>
      <c r="B6451" s="4" t="str">
        <f>IFERROR(__xludf.DUMMYFUNCTION("""COMPUTED_VALUE"""),"kda")</f>
        <v>kda</v>
      </c>
      <c r="C6451" s="4" t="str">
        <f>IFERROR(__xludf.DUMMYFUNCTION("""COMPUTED_VALUE"""),"Kadena")</f>
        <v>Kadena</v>
      </c>
    </row>
    <row r="6452">
      <c r="A6452" s="4" t="str">
        <f>IFERROR(__xludf.DUMMYFUNCTION("""COMPUTED_VALUE"""),"kaeri")</f>
        <v>kaeri</v>
      </c>
      <c r="B6452" s="4" t="str">
        <f>IFERROR(__xludf.DUMMYFUNCTION("""COMPUTED_VALUE"""),"kaeri")</f>
        <v>kaeri</v>
      </c>
      <c r="C6452" s="4" t="str">
        <f>IFERROR(__xludf.DUMMYFUNCTION("""COMPUTED_VALUE"""),"Kaeri")</f>
        <v>Kaeri</v>
      </c>
    </row>
    <row r="6453">
      <c r="A6453" s="4" t="str">
        <f>IFERROR(__xludf.DUMMYFUNCTION("""COMPUTED_VALUE"""),"kafenio-coin")</f>
        <v>kafenio-coin</v>
      </c>
      <c r="B6453" s="4" t="str">
        <f>IFERROR(__xludf.DUMMYFUNCTION("""COMPUTED_VALUE"""),"kfn")</f>
        <v>kfn</v>
      </c>
      <c r="C6453" s="4" t="str">
        <f>IFERROR(__xludf.DUMMYFUNCTION("""COMPUTED_VALUE"""),"Kafenio Coin")</f>
        <v>Kafenio Coin</v>
      </c>
    </row>
    <row r="6454">
      <c r="A6454" s="4" t="str">
        <f>IFERROR(__xludf.DUMMYFUNCTION("""COMPUTED_VALUE"""),"kage")</f>
        <v>kage</v>
      </c>
      <c r="B6454" s="4" t="str">
        <f>IFERROR(__xludf.DUMMYFUNCTION("""COMPUTED_VALUE"""),"kage")</f>
        <v>kage</v>
      </c>
      <c r="C6454" s="4" t="str">
        <f>IFERROR(__xludf.DUMMYFUNCTION("""COMPUTED_VALUE"""),"Kage")</f>
        <v>Kage</v>
      </c>
    </row>
    <row r="6455">
      <c r="A6455" s="4" t="str">
        <f>IFERROR(__xludf.DUMMYFUNCTION("""COMPUTED_VALUE"""),"kagla-finance")</f>
        <v>kagla-finance</v>
      </c>
      <c r="B6455" s="4" t="str">
        <f>IFERROR(__xludf.DUMMYFUNCTION("""COMPUTED_VALUE"""),"kgl")</f>
        <v>kgl</v>
      </c>
      <c r="C6455" s="4" t="str">
        <f>IFERROR(__xludf.DUMMYFUNCTION("""COMPUTED_VALUE"""),"Kagla Finance")</f>
        <v>Kagla Finance</v>
      </c>
    </row>
    <row r="6456">
      <c r="A6456" s="4" t="str">
        <f>IFERROR(__xludf.DUMMYFUNCTION("""COMPUTED_VALUE"""),"kaidex")</f>
        <v>kaidex</v>
      </c>
      <c r="B6456" s="4" t="str">
        <f>IFERROR(__xludf.DUMMYFUNCTION("""COMPUTED_VALUE"""),"kdx")</f>
        <v>kdx</v>
      </c>
      <c r="C6456" s="4" t="str">
        <f>IFERROR(__xludf.DUMMYFUNCTION("""COMPUTED_VALUE"""),"Kaidex")</f>
        <v>Kaidex</v>
      </c>
    </row>
    <row r="6457">
      <c r="A6457" s="4" t="str">
        <f>IFERROR(__xludf.DUMMYFUNCTION("""COMPUTED_VALUE"""),"kaif")</f>
        <v>kaif</v>
      </c>
      <c r="B6457" s="4" t="str">
        <f>IFERROR(__xludf.DUMMYFUNCTION("""COMPUTED_VALUE"""),"kaf")</f>
        <v>kaf</v>
      </c>
      <c r="C6457" s="4" t="str">
        <f>IFERROR(__xludf.DUMMYFUNCTION("""COMPUTED_VALUE"""),"KAIF")</f>
        <v>KAIF</v>
      </c>
    </row>
    <row r="6458">
      <c r="A6458" s="4" t="str">
        <f>IFERROR(__xludf.DUMMYFUNCTION("""COMPUTED_VALUE"""),"kaijuno8")</f>
        <v>kaijuno8</v>
      </c>
      <c r="B6458" s="4" t="str">
        <f>IFERROR(__xludf.DUMMYFUNCTION("""COMPUTED_VALUE"""),"kaiju")</f>
        <v>kaiju</v>
      </c>
      <c r="C6458" s="4" t="str">
        <f>IFERROR(__xludf.DUMMYFUNCTION("""COMPUTED_VALUE"""),"KAIJUNO8")</f>
        <v>KAIJUNO8</v>
      </c>
    </row>
    <row r="6459">
      <c r="A6459" s="4" t="str">
        <f>IFERROR(__xludf.DUMMYFUNCTION("""COMPUTED_VALUE"""),"kairos-a612bf05-b9c8-4e6b-aeb6-1f5b788ddd40")</f>
        <v>kairos-a612bf05-b9c8-4e6b-aeb6-1f5b788ddd40</v>
      </c>
      <c r="B6459" s="4" t="str">
        <f>IFERROR(__xludf.DUMMYFUNCTION("""COMPUTED_VALUE"""),"$kairos")</f>
        <v>$kairos</v>
      </c>
      <c r="C6459" s="4" t="str">
        <f>IFERROR(__xludf.DUMMYFUNCTION("""COMPUTED_VALUE"""),"Kairos")</f>
        <v>Kairos</v>
      </c>
    </row>
    <row r="6460">
      <c r="A6460" s="4" t="str">
        <f>IFERROR(__xludf.DUMMYFUNCTION("""COMPUTED_VALUE"""),"kaizen")</f>
        <v>kaizen</v>
      </c>
      <c r="B6460" s="4" t="str">
        <f>IFERROR(__xludf.DUMMYFUNCTION("""COMPUTED_VALUE"""),"kzen")</f>
        <v>kzen</v>
      </c>
      <c r="C6460" s="4" t="str">
        <f>IFERROR(__xludf.DUMMYFUNCTION("""COMPUTED_VALUE"""),"Kaizen.Finance")</f>
        <v>Kaizen.Finance</v>
      </c>
    </row>
    <row r="6461">
      <c r="A6461" s="4" t="str">
        <f>IFERROR(__xludf.DUMMYFUNCTION("""COMPUTED_VALUE"""),"kaka-nft-world")</f>
        <v>kaka-nft-world</v>
      </c>
      <c r="B6461" s="4" t="str">
        <f>IFERROR(__xludf.DUMMYFUNCTION("""COMPUTED_VALUE"""),"kaka")</f>
        <v>kaka</v>
      </c>
      <c r="C6461" s="4" t="str">
        <f>IFERROR(__xludf.DUMMYFUNCTION("""COMPUTED_VALUE"""),"KAKA NFT World")</f>
        <v>KAKA NFT World</v>
      </c>
    </row>
    <row r="6462">
      <c r="A6462" s="4" t="str">
        <f>IFERROR(__xludf.DUMMYFUNCTION("""COMPUTED_VALUE"""),"kala")</f>
        <v>kala</v>
      </c>
      <c r="B6462" s="4" t="str">
        <f>IFERROR(__xludf.DUMMYFUNCTION("""COMPUTED_VALUE"""),"kala")</f>
        <v>kala</v>
      </c>
      <c r="C6462" s="4" t="str">
        <f>IFERROR(__xludf.DUMMYFUNCTION("""COMPUTED_VALUE"""),"Kala")</f>
        <v>Kala</v>
      </c>
    </row>
    <row r="6463">
      <c r="A6463" s="4" t="str">
        <f>IFERROR(__xludf.DUMMYFUNCTION("""COMPUTED_VALUE"""),"kalamint")</f>
        <v>kalamint</v>
      </c>
      <c r="B6463" s="4" t="str">
        <f>IFERROR(__xludf.DUMMYFUNCTION("""COMPUTED_VALUE"""),"kalam")</f>
        <v>kalam</v>
      </c>
      <c r="C6463" s="4" t="str">
        <f>IFERROR(__xludf.DUMMYFUNCTION("""COMPUTED_VALUE"""),"Kalamint")</f>
        <v>Kalamint</v>
      </c>
    </row>
    <row r="6464">
      <c r="A6464" s="4" t="str">
        <f>IFERROR(__xludf.DUMMYFUNCTION("""COMPUTED_VALUE"""),"kalao")</f>
        <v>kalao</v>
      </c>
      <c r="B6464" s="4" t="str">
        <f>IFERROR(__xludf.DUMMYFUNCTION("""COMPUTED_VALUE"""),"klo")</f>
        <v>klo</v>
      </c>
      <c r="C6464" s="4" t="str">
        <f>IFERROR(__xludf.DUMMYFUNCTION("""COMPUTED_VALUE"""),"Kalao")</f>
        <v>Kalao</v>
      </c>
    </row>
    <row r="6465">
      <c r="A6465" s="4" t="str">
        <f>IFERROR(__xludf.DUMMYFUNCTION("""COMPUTED_VALUE"""),"kaleidocube")</f>
        <v>kaleidocube</v>
      </c>
      <c r="B6465" s="4" t="str">
        <f>IFERROR(__xludf.DUMMYFUNCTION("""COMPUTED_VALUE"""),"$kalei")</f>
        <v>$kalei</v>
      </c>
      <c r="C6465" s="4" t="str">
        <f>IFERROR(__xludf.DUMMYFUNCTION("""COMPUTED_VALUE"""),"KaleidoCube")</f>
        <v>KaleidoCube</v>
      </c>
    </row>
    <row r="6466">
      <c r="A6466" s="4" t="str">
        <f>IFERROR(__xludf.DUMMYFUNCTION("""COMPUTED_VALUE"""),"kalichain")</f>
        <v>kalichain</v>
      </c>
      <c r="B6466" s="4" t="str">
        <f>IFERROR(__xludf.DUMMYFUNCTION("""COMPUTED_VALUE"""),"kalis")</f>
        <v>kalis</v>
      </c>
      <c r="C6466" s="4" t="str">
        <f>IFERROR(__xludf.DUMMYFUNCTION("""COMPUTED_VALUE"""),"Kalichain")</f>
        <v>Kalichain</v>
      </c>
    </row>
    <row r="6467">
      <c r="A6467" s="4" t="str">
        <f>IFERROR(__xludf.DUMMYFUNCTION("""COMPUTED_VALUE"""),"kalisten")</f>
        <v>kalisten</v>
      </c>
      <c r="B6467" s="4" t="str">
        <f>IFERROR(__xludf.DUMMYFUNCTION("""COMPUTED_VALUE"""),"ks")</f>
        <v>ks</v>
      </c>
      <c r="C6467" s="4" t="str">
        <f>IFERROR(__xludf.DUMMYFUNCTION("""COMPUTED_VALUE"""),"Kalisten")</f>
        <v>Kalisten</v>
      </c>
    </row>
    <row r="6468">
      <c r="A6468" s="4" t="str">
        <f>IFERROR(__xludf.DUMMYFUNCTION("""COMPUTED_VALUE"""),"kalmar")</f>
        <v>kalmar</v>
      </c>
      <c r="B6468" s="4" t="str">
        <f>IFERROR(__xludf.DUMMYFUNCTION("""COMPUTED_VALUE"""),"kalm")</f>
        <v>kalm</v>
      </c>
      <c r="C6468" s="4" t="str">
        <f>IFERROR(__xludf.DUMMYFUNCTION("""COMPUTED_VALUE"""),"KALM")</f>
        <v>KALM</v>
      </c>
    </row>
    <row r="6469">
      <c r="A6469" s="4" t="str">
        <f>IFERROR(__xludf.DUMMYFUNCTION("""COMPUTED_VALUE"""),"kalycoin")</f>
        <v>kalycoin</v>
      </c>
      <c r="B6469" s="4" t="str">
        <f>IFERROR(__xludf.DUMMYFUNCTION("""COMPUTED_VALUE"""),"klc")</f>
        <v>klc</v>
      </c>
      <c r="C6469" s="4" t="str">
        <f>IFERROR(__xludf.DUMMYFUNCTION("""COMPUTED_VALUE"""),"KalyChain")</f>
        <v>KalyChain</v>
      </c>
    </row>
    <row r="6470">
      <c r="A6470" s="4" t="str">
        <f>IFERROR(__xludf.DUMMYFUNCTION("""COMPUTED_VALUE"""),"kamaleont")</f>
        <v>kamaleont</v>
      </c>
      <c r="B6470" s="4" t="str">
        <f>IFERROR(__xludf.DUMMYFUNCTION("""COMPUTED_VALUE"""),"klt")</f>
        <v>klt</v>
      </c>
      <c r="C6470" s="4" t="str">
        <f>IFERROR(__xludf.DUMMYFUNCTION("""COMPUTED_VALUE"""),"Kamaleont")</f>
        <v>Kamaleont</v>
      </c>
    </row>
    <row r="6471">
      <c r="A6471" s="4" t="str">
        <f>IFERROR(__xludf.DUMMYFUNCTION("""COMPUTED_VALUE"""),"kambria")</f>
        <v>kambria</v>
      </c>
      <c r="B6471" s="4" t="str">
        <f>IFERROR(__xludf.DUMMYFUNCTION("""COMPUTED_VALUE"""),"kat")</f>
        <v>kat</v>
      </c>
      <c r="C6471" s="4" t="str">
        <f>IFERROR(__xludf.DUMMYFUNCTION("""COMPUTED_VALUE"""),"Kambria")</f>
        <v>Kambria</v>
      </c>
    </row>
    <row r="6472">
      <c r="A6472" s="4" t="str">
        <f>IFERROR(__xludf.DUMMYFUNCTION("""COMPUTED_VALUE"""),"kampay")</f>
        <v>kampay</v>
      </c>
      <c r="B6472" s="4" t="str">
        <f>IFERROR(__xludf.DUMMYFUNCTION("""COMPUTED_VALUE"""),"kampay")</f>
        <v>kampay</v>
      </c>
      <c r="C6472" s="4" t="str">
        <f>IFERROR(__xludf.DUMMYFUNCTION("""COMPUTED_VALUE"""),"Kampay")</f>
        <v>Kampay</v>
      </c>
    </row>
    <row r="6473">
      <c r="A6473" s="4" t="str">
        <f>IFERROR(__xludf.DUMMYFUNCTION("""COMPUTED_VALUE"""),"kan")</f>
        <v>kan</v>
      </c>
      <c r="B6473" s="4" t="str">
        <f>IFERROR(__xludf.DUMMYFUNCTION("""COMPUTED_VALUE"""),"kan")</f>
        <v>kan</v>
      </c>
      <c r="C6473" s="4" t="str">
        <f>IFERROR(__xludf.DUMMYFUNCTION("""COMPUTED_VALUE"""),"BitKan")</f>
        <v>BitKan</v>
      </c>
    </row>
    <row r="6474">
      <c r="A6474" s="4" t="str">
        <f>IFERROR(__xludf.DUMMYFUNCTION("""COMPUTED_VALUE"""),"kanagawa-nami")</f>
        <v>kanagawa-nami</v>
      </c>
      <c r="B6474" s="4" t="str">
        <f>IFERROR(__xludf.DUMMYFUNCTION("""COMPUTED_VALUE"""),"okinami")</f>
        <v>okinami</v>
      </c>
      <c r="C6474" s="4" t="str">
        <f>IFERROR(__xludf.DUMMYFUNCTION("""COMPUTED_VALUE"""),"Kanagawa Nami")</f>
        <v>Kanagawa Nami</v>
      </c>
    </row>
    <row r="6475">
      <c r="A6475" s="4" t="str">
        <f>IFERROR(__xludf.DUMMYFUNCTION("""COMPUTED_VALUE"""),"kanaloa-network")</f>
        <v>kanaloa-network</v>
      </c>
      <c r="B6475" s="4" t="str">
        <f>IFERROR(__xludf.DUMMYFUNCTION("""COMPUTED_VALUE"""),"kana")</f>
        <v>kana</v>
      </c>
      <c r="C6475" s="4" t="str">
        <f>IFERROR(__xludf.DUMMYFUNCTION("""COMPUTED_VALUE"""),"Kanaloa Network")</f>
        <v>Kanaloa Network</v>
      </c>
    </row>
    <row r="6476">
      <c r="A6476" s="4" t="str">
        <f>IFERROR(__xludf.DUMMYFUNCTION("""COMPUTED_VALUE"""),"kang3n")</f>
        <v>kang3n</v>
      </c>
      <c r="B6476" s="4" t="str">
        <f>IFERROR(__xludf.DUMMYFUNCTION("""COMPUTED_VALUE"""),"kang3n")</f>
        <v>kang3n</v>
      </c>
      <c r="C6476" s="4" t="str">
        <f>IFERROR(__xludf.DUMMYFUNCTION("""COMPUTED_VALUE"""),"kang3n")</f>
        <v>kang3n</v>
      </c>
    </row>
    <row r="6477">
      <c r="A6477" s="4" t="str">
        <f>IFERROR(__xludf.DUMMYFUNCTION("""COMPUTED_VALUE"""),"kanga-exchange")</f>
        <v>kanga-exchange</v>
      </c>
      <c r="B6477" s="4" t="str">
        <f>IFERROR(__xludf.DUMMYFUNCTION("""COMPUTED_VALUE"""),"kng")</f>
        <v>kng</v>
      </c>
      <c r="C6477" s="4" t="str">
        <f>IFERROR(__xludf.DUMMYFUNCTION("""COMPUTED_VALUE"""),"Kanga Exchange")</f>
        <v>Kanga Exchange</v>
      </c>
    </row>
    <row r="6478">
      <c r="A6478" s="4" t="str">
        <f>IFERROR(__xludf.DUMMYFUNCTION("""COMPUTED_VALUE"""),"kangal")</f>
        <v>kangal</v>
      </c>
      <c r="B6478" s="4" t="str">
        <f>IFERROR(__xludf.DUMMYFUNCTION("""COMPUTED_VALUE"""),"kangal")</f>
        <v>kangal</v>
      </c>
      <c r="C6478" s="4" t="str">
        <f>IFERROR(__xludf.DUMMYFUNCTION("""COMPUTED_VALUE"""),"Kangal")</f>
        <v>Kangal</v>
      </c>
    </row>
    <row r="6479">
      <c r="A6479" s="4" t="str">
        <f>IFERROR(__xludf.DUMMYFUNCTION("""COMPUTED_VALUE"""),"kangaroo-community")</f>
        <v>kangaroo-community</v>
      </c>
      <c r="B6479" s="4" t="str">
        <f>IFERROR(__xludf.DUMMYFUNCTION("""COMPUTED_VALUE"""),"kroo")</f>
        <v>kroo</v>
      </c>
      <c r="C6479" s="4" t="str">
        <f>IFERROR(__xludf.DUMMYFUNCTION("""COMPUTED_VALUE"""),"Kangaroo Community")</f>
        <v>Kangaroo Community</v>
      </c>
    </row>
    <row r="6480">
      <c r="A6480" s="4" t="str">
        <f>IFERROR(__xludf.DUMMYFUNCTION("""COMPUTED_VALUE"""),"kannagi-finance")</f>
        <v>kannagi-finance</v>
      </c>
      <c r="B6480" s="4" t="str">
        <f>IFERROR(__xludf.DUMMYFUNCTION("""COMPUTED_VALUE"""),"kana")</f>
        <v>kana</v>
      </c>
      <c r="C6480" s="4" t="str">
        <f>IFERROR(__xludf.DUMMYFUNCTION("""COMPUTED_VALUE"""),"Kannagi Finance")</f>
        <v>Kannagi Finance</v>
      </c>
    </row>
    <row r="6481">
      <c r="A6481" s="4" t="str">
        <f>IFERROR(__xludf.DUMMYFUNCTION("""COMPUTED_VALUE"""),"kanpeki")</f>
        <v>kanpeki</v>
      </c>
      <c r="B6481" s="4" t="str">
        <f>IFERROR(__xludf.DUMMYFUNCTION("""COMPUTED_VALUE"""),"kae")</f>
        <v>kae</v>
      </c>
      <c r="C6481" s="4" t="str">
        <f>IFERROR(__xludf.DUMMYFUNCTION("""COMPUTED_VALUE"""),"Kanpeki")</f>
        <v>Kanpeki</v>
      </c>
    </row>
    <row r="6482">
      <c r="A6482" s="4" t="str">
        <f>IFERROR(__xludf.DUMMYFUNCTION("""COMPUTED_VALUE"""),"kanye")</f>
        <v>kanye</v>
      </c>
      <c r="B6482" s="4" t="str">
        <f>IFERROR(__xludf.DUMMYFUNCTION("""COMPUTED_VALUE"""),"ye")</f>
        <v>ye</v>
      </c>
      <c r="C6482" s="4" t="str">
        <f>IFERROR(__xludf.DUMMYFUNCTION("""COMPUTED_VALUE"""),"Kanye")</f>
        <v>Kanye</v>
      </c>
    </row>
    <row r="6483">
      <c r="A6483" s="4" t="str">
        <f>IFERROR(__xludf.DUMMYFUNCTION("""COMPUTED_VALUE"""),"kapital-dao")</f>
        <v>kapital-dao</v>
      </c>
      <c r="B6483" s="4" t="str">
        <f>IFERROR(__xludf.DUMMYFUNCTION("""COMPUTED_VALUE"""),"kap")</f>
        <v>kap</v>
      </c>
      <c r="C6483" s="4" t="str">
        <f>IFERROR(__xludf.DUMMYFUNCTION("""COMPUTED_VALUE"""),"KAP Games")</f>
        <v>KAP Games</v>
      </c>
    </row>
    <row r="6484">
      <c r="A6484" s="4" t="str">
        <f>IFERROR(__xludf.DUMMYFUNCTION("""COMPUTED_VALUE"""),"karastar-umy")</f>
        <v>karastar-umy</v>
      </c>
      <c r="B6484" s="4" t="str">
        <f>IFERROR(__xludf.DUMMYFUNCTION("""COMPUTED_VALUE"""),"umy")</f>
        <v>umy</v>
      </c>
      <c r="C6484" s="4" t="str">
        <f>IFERROR(__xludf.DUMMYFUNCTION("""COMPUTED_VALUE"""),"KaraStar UMY")</f>
        <v>KaraStar UMY</v>
      </c>
    </row>
    <row r="6485">
      <c r="A6485" s="4" t="str">
        <f>IFERROR(__xludf.DUMMYFUNCTION("""COMPUTED_VALUE"""),"karat")</f>
        <v>karat</v>
      </c>
      <c r="B6485" s="4" t="str">
        <f>IFERROR(__xludf.DUMMYFUNCTION("""COMPUTED_VALUE"""),"kat")</f>
        <v>kat</v>
      </c>
      <c r="C6485" s="4" t="str">
        <f>IFERROR(__xludf.DUMMYFUNCTION("""COMPUTED_VALUE"""),"Karat")</f>
        <v>Karat</v>
      </c>
    </row>
    <row r="6486">
      <c r="A6486" s="4" t="str">
        <f>IFERROR(__xludf.DUMMYFUNCTION("""COMPUTED_VALUE"""),"karate-combat")</f>
        <v>karate-combat</v>
      </c>
      <c r="B6486" s="4" t="str">
        <f>IFERROR(__xludf.DUMMYFUNCTION("""COMPUTED_VALUE"""),"karate")</f>
        <v>karate</v>
      </c>
      <c r="C6486" s="4" t="str">
        <f>IFERROR(__xludf.DUMMYFUNCTION("""COMPUTED_VALUE"""),"Karate Combat")</f>
        <v>Karate Combat</v>
      </c>
    </row>
    <row r="6487">
      <c r="A6487" s="4" t="str">
        <f>IFERROR(__xludf.DUMMYFUNCTION("""COMPUTED_VALUE"""),"karbo")</f>
        <v>karbo</v>
      </c>
      <c r="B6487" s="4" t="str">
        <f>IFERROR(__xludf.DUMMYFUNCTION("""COMPUTED_VALUE"""),"krb")</f>
        <v>krb</v>
      </c>
      <c r="C6487" s="4" t="str">
        <f>IFERROR(__xludf.DUMMYFUNCTION("""COMPUTED_VALUE"""),"Karbo")</f>
        <v>Karbo</v>
      </c>
    </row>
    <row r="6488">
      <c r="A6488" s="4" t="str">
        <f>IFERROR(__xludf.DUMMYFUNCTION("""COMPUTED_VALUE"""),"kardiachain")</f>
        <v>kardiachain</v>
      </c>
      <c r="B6488" s="4" t="str">
        <f>IFERROR(__xludf.DUMMYFUNCTION("""COMPUTED_VALUE"""),"kai")</f>
        <v>kai</v>
      </c>
      <c r="C6488" s="4" t="str">
        <f>IFERROR(__xludf.DUMMYFUNCTION("""COMPUTED_VALUE"""),"KardiaChain")</f>
        <v>KardiaChain</v>
      </c>
    </row>
    <row r="6489">
      <c r="A6489" s="4" t="str">
        <f>IFERROR(__xludf.DUMMYFUNCTION("""COMPUTED_VALUE"""),"karencoin")</f>
        <v>karencoin</v>
      </c>
      <c r="B6489" s="4" t="str">
        <f>IFERROR(__xludf.DUMMYFUNCTION("""COMPUTED_VALUE"""),"karen")</f>
        <v>karen</v>
      </c>
      <c r="C6489" s="4" t="str">
        <f>IFERROR(__xludf.DUMMYFUNCTION("""COMPUTED_VALUE"""),"KarenCoin")</f>
        <v>KarenCoin</v>
      </c>
    </row>
    <row r="6490">
      <c r="A6490" s="4" t="str">
        <f>IFERROR(__xludf.DUMMYFUNCTION("""COMPUTED_VALUE"""),"karen-hates-you")</f>
        <v>karen-hates-you</v>
      </c>
      <c r="B6490" s="4" t="str">
        <f>IFERROR(__xludf.DUMMYFUNCTION("""COMPUTED_VALUE"""),"karen")</f>
        <v>karen</v>
      </c>
      <c r="C6490" s="4" t="str">
        <f>IFERROR(__xludf.DUMMYFUNCTION("""COMPUTED_VALUE"""),"Karen Hates You")</f>
        <v>Karen Hates You</v>
      </c>
    </row>
    <row r="6491">
      <c r="A6491" s="4" t="str">
        <f>IFERROR(__xludf.DUMMYFUNCTION("""COMPUTED_VALUE"""),"karen-pepe")</f>
        <v>karen-pepe</v>
      </c>
      <c r="B6491" s="4" t="str">
        <f>IFERROR(__xludf.DUMMYFUNCTION("""COMPUTED_VALUE"""),"$kepe")</f>
        <v>$kepe</v>
      </c>
      <c r="C6491" s="4" t="str">
        <f>IFERROR(__xludf.DUMMYFUNCTION("""COMPUTED_VALUE"""),"Karen Pepe")</f>
        <v>Karen Pepe</v>
      </c>
    </row>
    <row r="6492">
      <c r="A6492" s="4" t="str">
        <f>IFERROR(__xludf.DUMMYFUNCTION("""COMPUTED_VALUE"""),"karlsen")</f>
        <v>karlsen</v>
      </c>
      <c r="B6492" s="4" t="str">
        <f>IFERROR(__xludf.DUMMYFUNCTION("""COMPUTED_VALUE"""),"kls")</f>
        <v>kls</v>
      </c>
      <c r="C6492" s="4" t="str">
        <f>IFERROR(__xludf.DUMMYFUNCTION("""COMPUTED_VALUE"""),"Karlsen")</f>
        <v>Karlsen</v>
      </c>
    </row>
    <row r="6493">
      <c r="A6493" s="4" t="str">
        <f>IFERROR(__xludf.DUMMYFUNCTION("""COMPUTED_VALUE"""),"karmacoin")</f>
        <v>karmacoin</v>
      </c>
      <c r="B6493" s="4" t="str">
        <f>IFERROR(__xludf.DUMMYFUNCTION("""COMPUTED_VALUE"""),"karma")</f>
        <v>karma</v>
      </c>
      <c r="C6493" s="4" t="str">
        <f>IFERROR(__xludf.DUMMYFUNCTION("""COMPUTED_VALUE"""),"KarmaCoin")</f>
        <v>KarmaCoin</v>
      </c>
    </row>
    <row r="6494">
      <c r="A6494" s="4" t="str">
        <f>IFERROR(__xludf.DUMMYFUNCTION("""COMPUTED_VALUE"""),"karma-dao")</f>
        <v>karma-dao</v>
      </c>
      <c r="B6494" s="4" t="str">
        <f>IFERROR(__xludf.DUMMYFUNCTION("""COMPUTED_VALUE"""),"karma")</f>
        <v>karma</v>
      </c>
      <c r="C6494" s="4" t="str">
        <f>IFERROR(__xludf.DUMMYFUNCTION("""COMPUTED_VALUE"""),"Karma DAO")</f>
        <v>Karma DAO</v>
      </c>
    </row>
    <row r="6495">
      <c r="A6495" s="4" t="str">
        <f>IFERROR(__xludf.DUMMYFUNCTION("""COMPUTED_VALUE"""),"karmaverse")</f>
        <v>karmaverse</v>
      </c>
      <c r="B6495" s="4" t="str">
        <f>IFERROR(__xludf.DUMMYFUNCTION("""COMPUTED_VALUE"""),"knot")</f>
        <v>knot</v>
      </c>
      <c r="C6495" s="4" t="str">
        <f>IFERROR(__xludf.DUMMYFUNCTION("""COMPUTED_VALUE"""),"Karmaverse")</f>
        <v>Karmaverse</v>
      </c>
    </row>
    <row r="6496">
      <c r="A6496" s="4" t="str">
        <f>IFERROR(__xludf.DUMMYFUNCTION("""COMPUTED_VALUE"""),"karmaverse-zombie-serum")</f>
        <v>karmaverse-zombie-serum</v>
      </c>
      <c r="B6496" s="4" t="str">
        <f>IFERROR(__xludf.DUMMYFUNCTION("""COMPUTED_VALUE"""),"serum")</f>
        <v>serum</v>
      </c>
      <c r="C6496" s="4" t="str">
        <f>IFERROR(__xludf.DUMMYFUNCTION("""COMPUTED_VALUE"""),"Karmaverse Zombie Serum")</f>
        <v>Karmaverse Zombie Serum</v>
      </c>
    </row>
    <row r="6497">
      <c r="A6497" s="4" t="str">
        <f>IFERROR(__xludf.DUMMYFUNCTION("""COMPUTED_VALUE"""),"karsiyaka-taraftar-token")</f>
        <v>karsiyaka-taraftar-token</v>
      </c>
      <c r="B6497" s="4" t="str">
        <f>IFERROR(__xludf.DUMMYFUNCTION("""COMPUTED_VALUE"""),"ksk")</f>
        <v>ksk</v>
      </c>
      <c r="C6497" s="4" t="str">
        <f>IFERROR(__xludf.DUMMYFUNCTION("""COMPUTED_VALUE"""),"Karşıyaka Taraftar Fan Token")</f>
        <v>Karşıyaka Taraftar Fan Token</v>
      </c>
    </row>
    <row r="6498">
      <c r="A6498" s="4" t="str">
        <f>IFERROR(__xludf.DUMMYFUNCTION("""COMPUTED_VALUE"""),"karura")</f>
        <v>karura</v>
      </c>
      <c r="B6498" s="4" t="str">
        <f>IFERROR(__xludf.DUMMYFUNCTION("""COMPUTED_VALUE"""),"kar")</f>
        <v>kar</v>
      </c>
      <c r="C6498" s="4" t="str">
        <f>IFERROR(__xludf.DUMMYFUNCTION("""COMPUTED_VALUE"""),"Karura")</f>
        <v>Karura</v>
      </c>
    </row>
    <row r="6499">
      <c r="A6499" s="4" t="str">
        <f>IFERROR(__xludf.DUMMYFUNCTION("""COMPUTED_VALUE"""),"kasa-central")</f>
        <v>kasa-central</v>
      </c>
      <c r="B6499" s="4" t="str">
        <f>IFERROR(__xludf.DUMMYFUNCTION("""COMPUTED_VALUE"""),"kasa")</f>
        <v>kasa</v>
      </c>
      <c r="C6499" s="4" t="str">
        <f>IFERROR(__xludf.DUMMYFUNCTION("""COMPUTED_VALUE"""),"Kasa Central")</f>
        <v>Kasa Central</v>
      </c>
    </row>
    <row r="6500">
      <c r="A6500" s="4" t="str">
        <f>IFERROR(__xludf.DUMMYFUNCTION("""COMPUTED_VALUE"""),"kaspa")</f>
        <v>kaspa</v>
      </c>
      <c r="B6500" s="4" t="str">
        <f>IFERROR(__xludf.DUMMYFUNCTION("""COMPUTED_VALUE"""),"kas")</f>
        <v>kas</v>
      </c>
      <c r="C6500" s="4" t="str">
        <f>IFERROR(__xludf.DUMMYFUNCTION("""COMPUTED_VALUE"""),"Kaspa")</f>
        <v>Kaspa</v>
      </c>
    </row>
    <row r="6501">
      <c r="A6501" s="4" t="str">
        <f>IFERROR(__xludf.DUMMYFUNCTION("""COMPUTED_VALUE"""),"kaspa-classic")</f>
        <v>kaspa-classic</v>
      </c>
      <c r="B6501" s="4" t="str">
        <f>IFERROR(__xludf.DUMMYFUNCTION("""COMPUTED_VALUE"""),"cas")</f>
        <v>cas</v>
      </c>
      <c r="C6501" s="4" t="str">
        <f>IFERROR(__xludf.DUMMYFUNCTION("""COMPUTED_VALUE"""),"Kaspa Classic")</f>
        <v>Kaspa Classic</v>
      </c>
    </row>
    <row r="6502">
      <c r="A6502" s="4" t="str">
        <f>IFERROR(__xludf.DUMMYFUNCTION("""COMPUTED_VALUE"""),"kaspamining")</f>
        <v>kaspamining</v>
      </c>
      <c r="B6502" s="4" t="str">
        <f>IFERROR(__xludf.DUMMYFUNCTION("""COMPUTED_VALUE"""),"kmn")</f>
        <v>kmn</v>
      </c>
      <c r="C6502" s="4" t="str">
        <f>IFERROR(__xludf.DUMMYFUNCTION("""COMPUTED_VALUE"""),"KASPAMINING")</f>
        <v>KASPAMINING</v>
      </c>
    </row>
    <row r="6503">
      <c r="A6503" s="4" t="str">
        <f>IFERROR(__xludf.DUMMYFUNCTION("""COMPUTED_VALUE"""),"kassandra")</f>
        <v>kassandra</v>
      </c>
      <c r="B6503" s="4" t="str">
        <f>IFERROR(__xludf.DUMMYFUNCTION("""COMPUTED_VALUE"""),"kacy")</f>
        <v>kacy</v>
      </c>
      <c r="C6503" s="4" t="str">
        <f>IFERROR(__xludf.DUMMYFUNCTION("""COMPUTED_VALUE"""),"Kassandra")</f>
        <v>Kassandra</v>
      </c>
    </row>
    <row r="6504">
      <c r="A6504" s="4" t="str">
        <f>IFERROR(__xludf.DUMMYFUNCTION("""COMPUTED_VALUE"""),"kasta")</f>
        <v>kasta</v>
      </c>
      <c r="B6504" s="4" t="str">
        <f>IFERROR(__xludf.DUMMYFUNCTION("""COMPUTED_VALUE"""),"kasta")</f>
        <v>kasta</v>
      </c>
      <c r="C6504" s="4" t="str">
        <f>IFERROR(__xludf.DUMMYFUNCTION("""COMPUTED_VALUE"""),"Kasta")</f>
        <v>Kasta</v>
      </c>
    </row>
    <row r="6505">
      <c r="A6505" s="4" t="str">
        <f>IFERROR(__xludf.DUMMYFUNCTION("""COMPUTED_VALUE"""),"katana-inu")</f>
        <v>katana-inu</v>
      </c>
      <c r="B6505" s="4" t="str">
        <f>IFERROR(__xludf.DUMMYFUNCTION("""COMPUTED_VALUE"""),"kata")</f>
        <v>kata</v>
      </c>
      <c r="C6505" s="4" t="str">
        <f>IFERROR(__xludf.DUMMYFUNCTION("""COMPUTED_VALUE"""),"Katana Inu")</f>
        <v>Katana Inu</v>
      </c>
    </row>
    <row r="6506">
      <c r="A6506" s="4" t="str">
        <f>IFERROR(__xludf.DUMMYFUNCTION("""COMPUTED_VALUE"""),"kattana")</f>
        <v>kattana</v>
      </c>
      <c r="B6506" s="4" t="str">
        <f>IFERROR(__xludf.DUMMYFUNCTION("""COMPUTED_VALUE"""),"ktn")</f>
        <v>ktn</v>
      </c>
      <c r="C6506" s="4" t="str">
        <f>IFERROR(__xludf.DUMMYFUNCTION("""COMPUTED_VALUE"""),"Kattana")</f>
        <v>Kattana</v>
      </c>
    </row>
    <row r="6507">
      <c r="A6507" s="4" t="str">
        <f>IFERROR(__xludf.DUMMYFUNCTION("""COMPUTED_VALUE"""),"kava")</f>
        <v>kava</v>
      </c>
      <c r="B6507" s="4" t="str">
        <f>IFERROR(__xludf.DUMMYFUNCTION("""COMPUTED_VALUE"""),"kava")</f>
        <v>kava</v>
      </c>
      <c r="C6507" s="4" t="str">
        <f>IFERROR(__xludf.DUMMYFUNCTION("""COMPUTED_VALUE"""),"Kava")</f>
        <v>Kava</v>
      </c>
    </row>
    <row r="6508">
      <c r="A6508" s="4" t="str">
        <f>IFERROR(__xludf.DUMMYFUNCTION("""COMPUTED_VALUE"""),"kava-lend")</f>
        <v>kava-lend</v>
      </c>
      <c r="B6508" s="4" t="str">
        <f>IFERROR(__xludf.DUMMYFUNCTION("""COMPUTED_VALUE"""),"hard")</f>
        <v>hard</v>
      </c>
      <c r="C6508" s="4" t="str">
        <f>IFERROR(__xludf.DUMMYFUNCTION("""COMPUTED_VALUE"""),"Kava Lend")</f>
        <v>Kava Lend</v>
      </c>
    </row>
    <row r="6509">
      <c r="A6509" s="4" t="str">
        <f>IFERROR(__xludf.DUMMYFUNCTION("""COMPUTED_VALUE"""),"kava-swap")</f>
        <v>kava-swap</v>
      </c>
      <c r="B6509" s="4" t="str">
        <f>IFERROR(__xludf.DUMMYFUNCTION("""COMPUTED_VALUE"""),"swp")</f>
        <v>swp</v>
      </c>
      <c r="C6509" s="4" t="str">
        <f>IFERROR(__xludf.DUMMYFUNCTION("""COMPUTED_VALUE"""),"Kava Swap")</f>
        <v>Kava Swap</v>
      </c>
    </row>
    <row r="6510">
      <c r="A6510" s="4" t="str">
        <f>IFERROR(__xludf.DUMMYFUNCTION("""COMPUTED_VALUE"""),"kawaii-islands")</f>
        <v>kawaii-islands</v>
      </c>
      <c r="B6510" s="4" t="str">
        <f>IFERROR(__xludf.DUMMYFUNCTION("""COMPUTED_VALUE"""),"kwt")</f>
        <v>kwt</v>
      </c>
      <c r="C6510" s="4" t="str">
        <f>IFERROR(__xludf.DUMMYFUNCTION("""COMPUTED_VALUE"""),"Kawaii Islands")</f>
        <v>Kawaii Islands</v>
      </c>
    </row>
    <row r="6511">
      <c r="A6511" s="4" t="str">
        <f>IFERROR(__xludf.DUMMYFUNCTION("""COMPUTED_VALUE"""),"kay-pacha")</f>
        <v>kay-pacha</v>
      </c>
      <c r="B6511" s="4" t="str">
        <f>IFERROR(__xludf.DUMMYFUNCTION("""COMPUTED_VALUE"""),"pacha")</f>
        <v>pacha</v>
      </c>
      <c r="C6511" s="4" t="str">
        <f>IFERROR(__xludf.DUMMYFUNCTION("""COMPUTED_VALUE"""),"Kay Pacha")</f>
        <v>Kay Pacha</v>
      </c>
    </row>
    <row r="6512">
      <c r="A6512" s="4" t="str">
        <f>IFERROR(__xludf.DUMMYFUNCTION("""COMPUTED_VALUE"""),"kcal")</f>
        <v>kcal</v>
      </c>
      <c r="B6512" s="4" t="str">
        <f>IFERROR(__xludf.DUMMYFUNCTION("""COMPUTED_VALUE"""),"kcal")</f>
        <v>kcal</v>
      </c>
      <c r="C6512" s="4" t="str">
        <f>IFERROR(__xludf.DUMMYFUNCTION("""COMPUTED_VALUE"""),"KCAL")</f>
        <v>KCAL</v>
      </c>
    </row>
    <row r="6513">
      <c r="A6513" s="4" t="str">
        <f>IFERROR(__xludf.DUMMYFUNCTION("""COMPUTED_VALUE"""),"kccpad")</f>
        <v>kccpad</v>
      </c>
      <c r="B6513" s="4" t="str">
        <f>IFERROR(__xludf.DUMMYFUNCTION("""COMPUTED_VALUE"""),"kccpad")</f>
        <v>kccpad</v>
      </c>
      <c r="C6513" s="4" t="str">
        <f>IFERROR(__xludf.DUMMYFUNCTION("""COMPUTED_VALUE"""),"KCCPad")</f>
        <v>KCCPad</v>
      </c>
    </row>
    <row r="6514">
      <c r="A6514" s="4" t="str">
        <f>IFERROR(__xludf.DUMMYFUNCTION("""COMPUTED_VALUE"""),"kdag")</f>
        <v>kdag</v>
      </c>
      <c r="B6514" s="4" t="str">
        <f>IFERROR(__xludf.DUMMYFUNCTION("""COMPUTED_VALUE"""),"kdag")</f>
        <v>kdag</v>
      </c>
      <c r="C6514" s="4" t="str">
        <f>IFERROR(__xludf.DUMMYFUNCTION("""COMPUTED_VALUE"""),"King DAG")</f>
        <v>King DAG</v>
      </c>
    </row>
    <row r="6515">
      <c r="A6515" s="4" t="str">
        <f>IFERROR(__xludf.DUMMYFUNCTION("""COMPUTED_VALUE"""),"kdlaunch")</f>
        <v>kdlaunch</v>
      </c>
      <c r="B6515" s="4" t="str">
        <f>IFERROR(__xludf.DUMMYFUNCTION("""COMPUTED_VALUE"""),"kdl")</f>
        <v>kdl</v>
      </c>
      <c r="C6515" s="4" t="str">
        <f>IFERROR(__xludf.DUMMYFUNCTION("""COMPUTED_VALUE"""),"KDLaunch")</f>
        <v>KDLaunch</v>
      </c>
    </row>
    <row r="6516">
      <c r="A6516" s="4" t="str">
        <f>IFERROR(__xludf.DUMMYFUNCTION("""COMPUTED_VALUE"""),"kdswap")</f>
        <v>kdswap</v>
      </c>
      <c r="B6516" s="4" t="str">
        <f>IFERROR(__xludf.DUMMYFUNCTION("""COMPUTED_VALUE"""),"kds")</f>
        <v>kds</v>
      </c>
      <c r="C6516" s="4" t="str">
        <f>IFERROR(__xludf.DUMMYFUNCTION("""COMPUTED_VALUE"""),"KDSwap")</f>
        <v>KDSwap</v>
      </c>
    </row>
    <row r="6517">
      <c r="A6517" s="4" t="str">
        <f>IFERROR(__xludf.DUMMYFUNCTION("""COMPUTED_VALUE"""),"keep3rv1")</f>
        <v>keep3rv1</v>
      </c>
      <c r="B6517" s="4" t="str">
        <f>IFERROR(__xludf.DUMMYFUNCTION("""COMPUTED_VALUE"""),"kp3r")</f>
        <v>kp3r</v>
      </c>
      <c r="C6517" s="4" t="str">
        <f>IFERROR(__xludf.DUMMYFUNCTION("""COMPUTED_VALUE"""),"Keep3rV1")</f>
        <v>Keep3rV1</v>
      </c>
    </row>
    <row r="6518">
      <c r="A6518" s="4" t="str">
        <f>IFERROR(__xludf.DUMMYFUNCTION("""COMPUTED_VALUE"""),"keep-finance")</f>
        <v>keep-finance</v>
      </c>
      <c r="B6518" s="4" t="str">
        <f>IFERROR(__xludf.DUMMYFUNCTION("""COMPUTED_VALUE"""),"keep")</f>
        <v>keep</v>
      </c>
      <c r="C6518" s="4" t="str">
        <f>IFERROR(__xludf.DUMMYFUNCTION("""COMPUTED_VALUE"""),"Keep Finance")</f>
        <v>Keep Finance</v>
      </c>
    </row>
    <row r="6519">
      <c r="A6519" s="4" t="str">
        <f>IFERROR(__xludf.DUMMYFUNCTION("""COMPUTED_VALUE"""),"keep-network")</f>
        <v>keep-network</v>
      </c>
      <c r="B6519" s="4" t="str">
        <f>IFERROR(__xludf.DUMMYFUNCTION("""COMPUTED_VALUE"""),"keep")</f>
        <v>keep</v>
      </c>
      <c r="C6519" s="4" t="str">
        <f>IFERROR(__xludf.DUMMYFUNCTION("""COMPUTED_VALUE"""),"Keep Network")</f>
        <v>Keep Network</v>
      </c>
    </row>
    <row r="6520">
      <c r="A6520" s="4" t="str">
        <f>IFERROR(__xludf.DUMMYFUNCTION("""COMPUTED_VALUE"""),"keeps-coin")</f>
        <v>keeps-coin</v>
      </c>
      <c r="B6520" s="4" t="str">
        <f>IFERROR(__xludf.DUMMYFUNCTION("""COMPUTED_VALUE"""),"kverse")</f>
        <v>kverse</v>
      </c>
      <c r="C6520" s="4" t="str">
        <f>IFERROR(__xludf.DUMMYFUNCTION("""COMPUTED_VALUE"""),"KEEPs Coin")</f>
        <v>KEEPs Coin</v>
      </c>
    </row>
    <row r="6521">
      <c r="A6521" s="4" t="str">
        <f>IFERROR(__xludf.DUMMYFUNCTION("""COMPUTED_VALUE"""),"kei-finance")</f>
        <v>kei-finance</v>
      </c>
      <c r="B6521" s="4" t="str">
        <f>IFERROR(__xludf.DUMMYFUNCTION("""COMPUTED_VALUE"""),"kei")</f>
        <v>kei</v>
      </c>
      <c r="C6521" s="4" t="str">
        <f>IFERROR(__xludf.DUMMYFUNCTION("""COMPUTED_VALUE"""),"KEI Finance")</f>
        <v>KEI Finance</v>
      </c>
    </row>
    <row r="6522">
      <c r="A6522" s="4" t="str">
        <f>IFERROR(__xludf.DUMMYFUNCTION("""COMPUTED_VALUE"""),"kek")</f>
        <v>kek</v>
      </c>
      <c r="B6522" s="4" t="str">
        <f>IFERROR(__xludf.DUMMYFUNCTION("""COMPUTED_VALUE"""),"keke")</f>
        <v>keke</v>
      </c>
      <c r="C6522" s="4" t="str">
        <f>IFERROR(__xludf.DUMMYFUNCTION("""COMPUTED_VALUE"""),"KEK")</f>
        <v>KEK</v>
      </c>
    </row>
    <row r="6523">
      <c r="A6523" s="4" t="str">
        <f>IFERROR(__xludf.DUMMYFUNCTION("""COMPUTED_VALUE"""),"kekchain")</f>
        <v>kekchain</v>
      </c>
      <c r="B6523" s="4" t="str">
        <f>IFERROR(__xludf.DUMMYFUNCTION("""COMPUTED_VALUE"""),"kek")</f>
        <v>kek</v>
      </c>
      <c r="C6523" s="4" t="str">
        <f>IFERROR(__xludf.DUMMYFUNCTION("""COMPUTED_VALUE"""),"KeKChain")</f>
        <v>KeKChain</v>
      </c>
    </row>
    <row r="6524">
      <c r="A6524" s="4" t="str">
        <f>IFERROR(__xludf.DUMMYFUNCTION("""COMPUTED_VALUE"""),"kekcoin-eth")</f>
        <v>kekcoin-eth</v>
      </c>
      <c r="B6524" s="4" t="str">
        <f>IFERROR(__xludf.DUMMYFUNCTION("""COMPUTED_VALUE"""),"kek")</f>
        <v>kek</v>
      </c>
      <c r="C6524" s="4" t="str">
        <f>IFERROR(__xludf.DUMMYFUNCTION("""COMPUTED_VALUE"""),"Kekcoin (ETH)")</f>
        <v>Kekcoin (ETH)</v>
      </c>
    </row>
    <row r="6525">
      <c r="A6525" s="4" t="str">
        <f>IFERROR(__xludf.DUMMYFUNCTION("""COMPUTED_VALUE"""),"keke-inu")</f>
        <v>keke-inu</v>
      </c>
      <c r="B6525" s="4" t="str">
        <f>IFERROR(__xludf.DUMMYFUNCTION("""COMPUTED_VALUE"""),"keke")</f>
        <v>keke</v>
      </c>
      <c r="C6525" s="4" t="str">
        <f>IFERROR(__xludf.DUMMYFUNCTION("""COMPUTED_VALUE"""),"Keke Inu")</f>
        <v>Keke Inu</v>
      </c>
    </row>
    <row r="6526">
      <c r="A6526" s="4" t="str">
        <f>IFERROR(__xludf.DUMMYFUNCTION("""COMPUTED_VALUE"""),"keko")</f>
        <v>keko</v>
      </c>
      <c r="B6526" s="4" t="str">
        <f>IFERROR(__xludf.DUMMYFUNCTION("""COMPUTED_VALUE"""),"keko")</f>
        <v>keko</v>
      </c>
      <c r="C6526" s="4" t="str">
        <f>IFERROR(__xludf.DUMMYFUNCTION("""COMPUTED_VALUE"""),"Keko")</f>
        <v>Keko</v>
      </c>
    </row>
    <row r="6527">
      <c r="A6527" s="4" t="str">
        <f>IFERROR(__xludf.DUMMYFUNCTION("""COMPUTED_VALUE"""),"kelp-dao-restaked-eth")</f>
        <v>kelp-dao-restaked-eth</v>
      </c>
      <c r="B6527" s="4" t="str">
        <f>IFERROR(__xludf.DUMMYFUNCTION("""COMPUTED_VALUE"""),"rseth")</f>
        <v>rseth</v>
      </c>
      <c r="C6527" s="4" t="str">
        <f>IFERROR(__xludf.DUMMYFUNCTION("""COMPUTED_VALUE"""),"Kelp DAO Restaked ETH")</f>
        <v>Kelp DAO Restaked ETH</v>
      </c>
    </row>
    <row r="6528">
      <c r="A6528" s="4" t="str">
        <f>IFERROR(__xludf.DUMMYFUNCTION("""COMPUTED_VALUE"""),"kelp-earned-points")</f>
        <v>kelp-earned-points</v>
      </c>
      <c r="B6528" s="4" t="str">
        <f>IFERROR(__xludf.DUMMYFUNCTION("""COMPUTED_VALUE"""),"kep")</f>
        <v>kep</v>
      </c>
      <c r="C6528" s="4" t="str">
        <f>IFERROR(__xludf.DUMMYFUNCTION("""COMPUTED_VALUE"""),"Kelp Earned Points")</f>
        <v>Kelp Earned Points</v>
      </c>
    </row>
    <row r="6529">
      <c r="A6529" s="4" t="str">
        <f>IFERROR(__xludf.DUMMYFUNCTION("""COMPUTED_VALUE"""),"kelvpn")</f>
        <v>kelvpn</v>
      </c>
      <c r="B6529" s="4" t="str">
        <f>IFERROR(__xludf.DUMMYFUNCTION("""COMPUTED_VALUE"""),"kel")</f>
        <v>kel</v>
      </c>
      <c r="C6529" s="4" t="str">
        <f>IFERROR(__xludf.DUMMYFUNCTION("""COMPUTED_VALUE"""),"KelVPN")</f>
        <v>KelVPN</v>
      </c>
    </row>
    <row r="6530">
      <c r="A6530" s="4" t="str">
        <f>IFERROR(__xludf.DUMMYFUNCTION("""COMPUTED_VALUE"""),"kemacoin")</f>
        <v>kemacoin</v>
      </c>
      <c r="B6530" s="4" t="str">
        <f>IFERROR(__xludf.DUMMYFUNCTION("""COMPUTED_VALUE"""),"kema")</f>
        <v>kema</v>
      </c>
      <c r="C6530" s="4" t="str">
        <f>IFERROR(__xludf.DUMMYFUNCTION("""COMPUTED_VALUE"""),"KemaCoin")</f>
        <v>KemaCoin</v>
      </c>
    </row>
    <row r="6531">
      <c r="A6531" s="4" t="str">
        <f>IFERROR(__xludf.DUMMYFUNCTION("""COMPUTED_VALUE"""),"kenda")</f>
        <v>kenda</v>
      </c>
      <c r="B6531" s="4" t="str">
        <f>IFERROR(__xludf.DUMMYFUNCTION("""COMPUTED_VALUE"""),"knda")</f>
        <v>knda</v>
      </c>
      <c r="C6531" s="4" t="str">
        <f>IFERROR(__xludf.DUMMYFUNCTION("""COMPUTED_VALUE"""),"Kenda")</f>
        <v>Kenda</v>
      </c>
    </row>
    <row r="6532">
      <c r="A6532" s="4" t="str">
        <f>IFERROR(__xludf.DUMMYFUNCTION("""COMPUTED_VALUE"""),"kendoll-janner")</f>
        <v>kendoll-janner</v>
      </c>
      <c r="B6532" s="4" t="str">
        <f>IFERROR(__xludf.DUMMYFUNCTION("""COMPUTED_VALUE"""),"ken")</f>
        <v>ken</v>
      </c>
      <c r="C6532" s="4" t="str">
        <f>IFERROR(__xludf.DUMMYFUNCTION("""COMPUTED_VALUE"""),"Kendoll Janner")</f>
        <v>Kendoll Janner</v>
      </c>
    </row>
    <row r="6533">
      <c r="A6533" s="4" t="str">
        <f>IFERROR(__xludf.DUMMYFUNCTION("""COMPUTED_VALUE"""),"kendu-inu")</f>
        <v>kendu-inu</v>
      </c>
      <c r="B6533" s="4" t="str">
        <f>IFERROR(__xludf.DUMMYFUNCTION("""COMPUTED_VALUE"""),"kendu")</f>
        <v>kendu</v>
      </c>
      <c r="C6533" s="4" t="str">
        <f>IFERROR(__xludf.DUMMYFUNCTION("""COMPUTED_VALUE"""),"Kendu Inu")</f>
        <v>Kendu Inu</v>
      </c>
    </row>
    <row r="6534">
      <c r="A6534" s="4" t="str">
        <f>IFERROR(__xludf.DUMMYFUNCTION("""COMPUTED_VALUE"""),"kenka-metaverse")</f>
        <v>kenka-metaverse</v>
      </c>
      <c r="B6534" s="4" t="str">
        <f>IFERROR(__xludf.DUMMYFUNCTION("""COMPUTED_VALUE"""),"kenka")</f>
        <v>kenka</v>
      </c>
      <c r="C6534" s="4" t="str">
        <f>IFERROR(__xludf.DUMMYFUNCTION("""COMPUTED_VALUE"""),"KENKA METAVERSE")</f>
        <v>KENKA METAVERSE</v>
      </c>
    </row>
    <row r="6535">
      <c r="A6535" s="4" t="str">
        <f>IFERROR(__xludf.DUMMYFUNCTION("""COMPUTED_VALUE"""),"kenshi-2")</f>
        <v>kenshi-2</v>
      </c>
      <c r="B6535" s="4" t="str">
        <f>IFERROR(__xludf.DUMMYFUNCTION("""COMPUTED_VALUE"""),"kns")</f>
        <v>kns</v>
      </c>
      <c r="C6535" s="4" t="str">
        <f>IFERROR(__xludf.DUMMYFUNCTION("""COMPUTED_VALUE"""),"Kenshi")</f>
        <v>Kenshi</v>
      </c>
    </row>
    <row r="6536">
      <c r="A6536" s="4" t="str">
        <f>IFERROR(__xludf.DUMMYFUNCTION("""COMPUTED_VALUE"""),"kento")</f>
        <v>kento</v>
      </c>
      <c r="B6536" s="4" t="str">
        <f>IFERROR(__xludf.DUMMYFUNCTION("""COMPUTED_VALUE"""),"knto")</f>
        <v>knto</v>
      </c>
      <c r="C6536" s="4" t="str">
        <f>IFERROR(__xludf.DUMMYFUNCTION("""COMPUTED_VALUE"""),"Kento")</f>
        <v>Kento</v>
      </c>
    </row>
    <row r="6537">
      <c r="A6537" s="4" t="str">
        <f>IFERROR(__xludf.DUMMYFUNCTION("""COMPUTED_VALUE"""),"kephi-gallery")</f>
        <v>kephi-gallery</v>
      </c>
      <c r="B6537" s="4" t="str">
        <f>IFERROR(__xludf.DUMMYFUNCTION("""COMPUTED_VALUE"""),"kphi")</f>
        <v>kphi</v>
      </c>
      <c r="C6537" s="4" t="str">
        <f>IFERROR(__xludf.DUMMYFUNCTION("""COMPUTED_VALUE"""),"Kephi Gallery")</f>
        <v>Kephi Gallery</v>
      </c>
    </row>
    <row r="6538">
      <c r="A6538" s="4" t="str">
        <f>IFERROR(__xludf.DUMMYFUNCTION("""COMPUTED_VALUE"""),"kepple")</f>
        <v>kepple</v>
      </c>
      <c r="B6538" s="4" t="str">
        <f>IFERROR(__xludf.DUMMYFUNCTION("""COMPUTED_VALUE"""),"kpl")</f>
        <v>kpl</v>
      </c>
      <c r="C6538" s="4" t="str">
        <f>IFERROR(__xludf.DUMMYFUNCTION("""COMPUTED_VALUE"""),"Kepple")</f>
        <v>Kepple</v>
      </c>
    </row>
    <row r="6539">
      <c r="A6539" s="4" t="str">
        <f>IFERROR(__xludf.DUMMYFUNCTION("""COMPUTED_VALUE"""),"kerc")</f>
        <v>kerc</v>
      </c>
      <c r="B6539" s="4" t="str">
        <f>IFERROR(__xludf.DUMMYFUNCTION("""COMPUTED_VALUE"""),"kerc")</f>
        <v>kerc</v>
      </c>
      <c r="C6539" s="4" t="str">
        <f>IFERROR(__xludf.DUMMYFUNCTION("""COMPUTED_VALUE"""),"KERC")</f>
        <v>KERC</v>
      </c>
    </row>
    <row r="6540">
      <c r="A6540" s="4" t="str">
        <f>IFERROR(__xludf.DUMMYFUNCTION("""COMPUTED_VALUE"""),"kermit-cc0e2d66-4b46-4eaf-9f4e-5caa883d1c09")</f>
        <v>kermit-cc0e2d66-4b46-4eaf-9f4e-5caa883d1c09</v>
      </c>
      <c r="B6540" s="4" t="str">
        <f>IFERROR(__xludf.DUMMYFUNCTION("""COMPUTED_VALUE"""),"kermit")</f>
        <v>kermit</v>
      </c>
      <c r="C6540" s="4" t="str">
        <f>IFERROR(__xludf.DUMMYFUNCTION("""COMPUTED_VALUE"""),"Kermit")</f>
        <v>Kermit</v>
      </c>
    </row>
    <row r="6541">
      <c r="A6541" s="4" t="str">
        <f>IFERROR(__xludf.DUMMYFUNCTION("""COMPUTED_VALUE"""),"kerosene")</f>
        <v>kerosene</v>
      </c>
      <c r="B6541" s="4" t="str">
        <f>IFERROR(__xludf.DUMMYFUNCTION("""COMPUTED_VALUE"""),"kerosene")</f>
        <v>kerosene</v>
      </c>
      <c r="C6541" s="4" t="str">
        <f>IFERROR(__xludf.DUMMYFUNCTION("""COMPUTED_VALUE"""),"Kerosene")</f>
        <v>Kerosene</v>
      </c>
    </row>
    <row r="6542">
      <c r="A6542" s="4" t="str">
        <f>IFERROR(__xludf.DUMMYFUNCTION("""COMPUTED_VALUE"""),"ketaicoin")</f>
        <v>ketaicoin</v>
      </c>
      <c r="B6542" s="4" t="str">
        <f>IFERROR(__xludf.DUMMYFUNCTION("""COMPUTED_VALUE"""),"ethereum")</f>
        <v>ethereum</v>
      </c>
      <c r="C6542" s="4" t="str">
        <f>IFERROR(__xludf.DUMMYFUNCTION("""COMPUTED_VALUE"""),"Ketaicoin")</f>
        <v>Ketaicoin</v>
      </c>
    </row>
    <row r="6543">
      <c r="A6543" s="4" t="str">
        <f>IFERROR(__xludf.DUMMYFUNCTION("""COMPUTED_VALUE"""),"kevin-2")</f>
        <v>kevin-2</v>
      </c>
      <c r="B6543" s="4" t="str">
        <f>IFERROR(__xludf.DUMMYFUNCTION("""COMPUTED_VALUE"""),"kevin")</f>
        <v>kevin</v>
      </c>
      <c r="C6543" s="4" t="str">
        <f>IFERROR(__xludf.DUMMYFUNCTION("""COMPUTED_VALUE"""),"Kevin")</f>
        <v>Kevin</v>
      </c>
    </row>
    <row r="6544">
      <c r="A6544" s="4" t="str">
        <f>IFERROR(__xludf.DUMMYFUNCTION("""COMPUTED_VALUE"""),"kewl")</f>
        <v>kewl</v>
      </c>
      <c r="B6544" s="4" t="str">
        <f>IFERROR(__xludf.DUMMYFUNCTION("""COMPUTED_VALUE"""),"kewl")</f>
        <v>kewl</v>
      </c>
      <c r="C6544" s="4" t="str">
        <f>IFERROR(__xludf.DUMMYFUNCTION("""COMPUTED_VALUE"""),"Kewl")</f>
        <v>Kewl</v>
      </c>
    </row>
    <row r="6545">
      <c r="A6545" s="4" t="str">
        <f>IFERROR(__xludf.DUMMYFUNCTION("""COMPUTED_VALUE"""),"kewl-exchange")</f>
        <v>kewl-exchange</v>
      </c>
      <c r="B6545" s="4" t="str">
        <f>IFERROR(__xludf.DUMMYFUNCTION("""COMPUTED_VALUE"""),"kwl")</f>
        <v>kwl</v>
      </c>
      <c r="C6545" s="4" t="str">
        <f>IFERROR(__xludf.DUMMYFUNCTION("""COMPUTED_VALUE"""),"KEWL EXCHANGE")</f>
        <v>KEWL EXCHANGE</v>
      </c>
    </row>
    <row r="6546">
      <c r="A6546" s="4" t="str">
        <f>IFERROR(__xludf.DUMMYFUNCTION("""COMPUTED_VALUE"""),"keyboard-cat")</f>
        <v>keyboard-cat</v>
      </c>
      <c r="B6546" s="4" t="str">
        <f>IFERROR(__xludf.DUMMYFUNCTION("""COMPUTED_VALUE"""),"keycat")</f>
        <v>keycat</v>
      </c>
      <c r="C6546" s="4" t="str">
        <f>IFERROR(__xludf.DUMMYFUNCTION("""COMPUTED_VALUE"""),"Keyboard Cat")</f>
        <v>Keyboard Cat</v>
      </c>
    </row>
    <row r="6547">
      <c r="A6547" s="4" t="str">
        <f>IFERROR(__xludf.DUMMYFUNCTION("""COMPUTED_VALUE"""),"keyboard-cat-base")</f>
        <v>keyboard-cat-base</v>
      </c>
      <c r="B6547" s="4" t="str">
        <f>IFERROR(__xludf.DUMMYFUNCTION("""COMPUTED_VALUE"""),"keycat")</f>
        <v>keycat</v>
      </c>
      <c r="C6547" s="4" t="str">
        <f>IFERROR(__xludf.DUMMYFUNCTION("""COMPUTED_VALUE"""),"Keyboard Cat (Base)")</f>
        <v>Keyboard Cat (Base)</v>
      </c>
    </row>
    <row r="6548">
      <c r="A6548" s="4" t="str">
        <f>IFERROR(__xludf.DUMMYFUNCTION("""COMPUTED_VALUE"""),"keydog")</f>
        <v>keydog</v>
      </c>
      <c r="B6548" s="4" t="str">
        <f>IFERROR(__xludf.DUMMYFUNCTION("""COMPUTED_VALUE"""),"$keydog")</f>
        <v>$keydog</v>
      </c>
      <c r="C6548" s="4" t="str">
        <f>IFERROR(__xludf.DUMMYFUNCTION("""COMPUTED_VALUE"""),"KEYDOG")</f>
        <v>KEYDOG</v>
      </c>
    </row>
    <row r="6549">
      <c r="A6549" s="4" t="str">
        <f>IFERROR(__xludf.DUMMYFUNCTION("""COMPUTED_VALUE"""),"keyfi")</f>
        <v>keyfi</v>
      </c>
      <c r="B6549" s="4" t="str">
        <f>IFERROR(__xludf.DUMMYFUNCTION("""COMPUTED_VALUE"""),"keyfi")</f>
        <v>keyfi</v>
      </c>
      <c r="C6549" s="4" t="str">
        <f>IFERROR(__xludf.DUMMYFUNCTION("""COMPUTED_VALUE"""),"KeyFi")</f>
        <v>KeyFi</v>
      </c>
    </row>
    <row r="6550">
      <c r="A6550" s="4" t="str">
        <f>IFERROR(__xludf.DUMMYFUNCTION("""COMPUTED_VALUE"""),"keyoflife")</f>
        <v>keyoflife</v>
      </c>
      <c r="B6550" s="4" t="str">
        <f>IFERROR(__xludf.DUMMYFUNCTION("""COMPUTED_VALUE"""),"kol")</f>
        <v>kol</v>
      </c>
      <c r="C6550" s="4" t="str">
        <f>IFERROR(__xludf.DUMMYFUNCTION("""COMPUTED_VALUE"""),"KeyOfLife")</f>
        <v>KeyOfLife</v>
      </c>
    </row>
    <row r="6551">
      <c r="A6551" s="4" t="str">
        <f>IFERROR(__xludf.DUMMYFUNCTION("""COMPUTED_VALUE"""),"keysatin")</f>
        <v>keysatin</v>
      </c>
      <c r="B6551" s="4" t="str">
        <f>IFERROR(__xludf.DUMMYFUNCTION("""COMPUTED_VALUE"""),"keysatin")</f>
        <v>keysatin</v>
      </c>
      <c r="C6551" s="4" t="str">
        <f>IFERROR(__xludf.DUMMYFUNCTION("""COMPUTED_VALUE"""),"KeySATIN")</f>
        <v>KeySATIN</v>
      </c>
    </row>
    <row r="6552">
      <c r="A6552" s="4" t="str">
        <f>IFERROR(__xludf.DUMMYFUNCTION("""COMPUTED_VALUE"""),"keysians-network")</f>
        <v>keysians-network</v>
      </c>
      <c r="B6552" s="4" t="str">
        <f>IFERROR(__xludf.DUMMYFUNCTION("""COMPUTED_VALUE"""),"ken")</f>
        <v>ken</v>
      </c>
      <c r="C6552" s="4" t="str">
        <f>IFERROR(__xludf.DUMMYFUNCTION("""COMPUTED_VALUE"""),"Keysians Network")</f>
        <v>Keysians Network</v>
      </c>
    </row>
    <row r="6553">
      <c r="A6553" s="4" t="str">
        <f>IFERROR(__xludf.DUMMYFUNCTION("""COMPUTED_VALUE"""),"keys-token")</f>
        <v>keys-token</v>
      </c>
      <c r="B6553" s="4" t="str">
        <f>IFERROR(__xludf.DUMMYFUNCTION("""COMPUTED_VALUE"""),"keys")</f>
        <v>keys</v>
      </c>
      <c r="C6553" s="4" t="str">
        <f>IFERROR(__xludf.DUMMYFUNCTION("""COMPUTED_VALUE"""),"Keys")</f>
        <v>Keys</v>
      </c>
    </row>
    <row r="6554">
      <c r="A6554" s="4" t="str">
        <f>IFERROR(__xludf.DUMMYFUNCTION("""COMPUTED_VALUE"""),"ki")</f>
        <v>ki</v>
      </c>
      <c r="B6554" s="4" t="str">
        <f>IFERROR(__xludf.DUMMYFUNCTION("""COMPUTED_VALUE"""),"xki")</f>
        <v>xki</v>
      </c>
      <c r="C6554" s="4" t="str">
        <f>IFERROR(__xludf.DUMMYFUNCTION("""COMPUTED_VALUE"""),"KI")</f>
        <v>KI</v>
      </c>
    </row>
    <row r="6555">
      <c r="A6555" s="4" t="str">
        <f>IFERROR(__xludf.DUMMYFUNCTION("""COMPUTED_VALUE"""),"kiba-inu")</f>
        <v>kiba-inu</v>
      </c>
      <c r="B6555" s="4" t="str">
        <f>IFERROR(__xludf.DUMMYFUNCTION("""COMPUTED_VALUE"""),"kiba")</f>
        <v>kiba</v>
      </c>
      <c r="C6555" s="4" t="str">
        <f>IFERROR(__xludf.DUMMYFUNCTION("""COMPUTED_VALUE"""),"Kiba Inu")</f>
        <v>Kiba Inu</v>
      </c>
    </row>
    <row r="6556">
      <c r="A6556" s="4" t="str">
        <f>IFERROR(__xludf.DUMMYFUNCTION("""COMPUTED_VALUE"""),"kibble")</f>
        <v>kibble</v>
      </c>
      <c r="B6556" s="4" t="str">
        <f>IFERROR(__xludf.DUMMYFUNCTION("""COMPUTED_VALUE"""),"kibble")</f>
        <v>kibble</v>
      </c>
      <c r="C6556" s="4" t="str">
        <f>IFERROR(__xludf.DUMMYFUNCTION("""COMPUTED_VALUE"""),"Kibble")</f>
        <v>Kibble</v>
      </c>
    </row>
    <row r="6557">
      <c r="A6557" s="4" t="str">
        <f>IFERROR(__xludf.DUMMYFUNCTION("""COMPUTED_VALUE"""),"kibbleswap")</f>
        <v>kibbleswap</v>
      </c>
      <c r="B6557" s="4" t="str">
        <f>IFERROR(__xludf.DUMMYFUNCTION("""COMPUTED_VALUE"""),"kib")</f>
        <v>kib</v>
      </c>
      <c r="C6557" s="4" t="str">
        <f>IFERROR(__xludf.DUMMYFUNCTION("""COMPUTED_VALUE"""),"KibbleSwap")</f>
        <v>KibbleSwap</v>
      </c>
    </row>
    <row r="6558">
      <c r="A6558" s="4" t="str">
        <f>IFERROR(__xludf.DUMMYFUNCTION("""COMPUTED_VALUE"""),"kiboshib")</f>
        <v>kiboshib</v>
      </c>
      <c r="B6558" s="4" t="str">
        <f>IFERROR(__xludf.DUMMYFUNCTION("""COMPUTED_VALUE"""),"kibshi")</f>
        <v>kibshi</v>
      </c>
      <c r="C6558" s="4" t="str">
        <f>IFERROR(__xludf.DUMMYFUNCTION("""COMPUTED_VALUE"""),"KiboShib")</f>
        <v>KiboShib</v>
      </c>
    </row>
    <row r="6559">
      <c r="A6559" s="4" t="str">
        <f>IFERROR(__xludf.DUMMYFUNCTION("""COMPUTED_VALUE"""),"kick")</f>
        <v>kick</v>
      </c>
      <c r="B6559" s="4" t="str">
        <f>IFERROR(__xludf.DUMMYFUNCTION("""COMPUTED_VALUE"""),"kick")</f>
        <v>kick</v>
      </c>
      <c r="C6559" s="4" t="str">
        <f>IFERROR(__xludf.DUMMYFUNCTION("""COMPUTED_VALUE"""),"Kick")</f>
        <v>Kick</v>
      </c>
    </row>
    <row r="6560">
      <c r="A6560" s="4" t="str">
        <f>IFERROR(__xludf.DUMMYFUNCTION("""COMPUTED_VALUE"""),"kickpad")</f>
        <v>kickpad</v>
      </c>
      <c r="B6560" s="4" t="str">
        <f>IFERROR(__xludf.DUMMYFUNCTION("""COMPUTED_VALUE"""),"kpad")</f>
        <v>kpad</v>
      </c>
      <c r="C6560" s="4" t="str">
        <f>IFERROR(__xludf.DUMMYFUNCTION("""COMPUTED_VALUE"""),"KickPad")</f>
        <v>KickPad</v>
      </c>
    </row>
    <row r="6561">
      <c r="A6561" s="4" t="str">
        <f>IFERROR(__xludf.DUMMYFUNCTION("""COMPUTED_VALUE"""),"kiirocoin")</f>
        <v>kiirocoin</v>
      </c>
      <c r="B6561" s="4" t="str">
        <f>IFERROR(__xludf.DUMMYFUNCTION("""COMPUTED_VALUE"""),"kiiro")</f>
        <v>kiiro</v>
      </c>
      <c r="C6561" s="4" t="str">
        <f>IFERROR(__xludf.DUMMYFUNCTION("""COMPUTED_VALUE"""),"Kiirocoin")</f>
        <v>Kiirocoin</v>
      </c>
    </row>
    <row r="6562">
      <c r="A6562" s="4" t="str">
        <f>IFERROR(__xludf.DUMMYFUNCTION("""COMPUTED_VALUE"""),"killer-bean")</f>
        <v>killer-bean</v>
      </c>
      <c r="B6562" s="4" t="str">
        <f>IFERROR(__xludf.DUMMYFUNCTION("""COMPUTED_VALUE"""),"bean")</f>
        <v>bean</v>
      </c>
      <c r="C6562" s="4" t="str">
        <f>IFERROR(__xludf.DUMMYFUNCTION("""COMPUTED_VALUE"""),"Killer Bean")</f>
        <v>Killer Bean</v>
      </c>
    </row>
    <row r="6563">
      <c r="A6563" s="4" t="str">
        <f>IFERROR(__xludf.DUMMYFUNCTION("""COMPUTED_VALUE"""),"kilopi-8ee65670-efa5-4414-b9b4-1a1240415d74")</f>
        <v>kilopi-8ee65670-efa5-4414-b9b4-1a1240415d74</v>
      </c>
      <c r="B6563" s="4" t="str">
        <f>IFERROR(__xludf.DUMMYFUNCTION("""COMPUTED_VALUE"""),"lop")</f>
        <v>lop</v>
      </c>
      <c r="C6563" s="4" t="str">
        <f>IFERROR(__xludf.DUMMYFUNCTION("""COMPUTED_VALUE"""),"Kilopi")</f>
        <v>Kilopi</v>
      </c>
    </row>
    <row r="6564">
      <c r="A6564" s="4" t="str">
        <f>IFERROR(__xludf.DUMMYFUNCTION("""COMPUTED_VALUE"""),"kilt-protocol")</f>
        <v>kilt-protocol</v>
      </c>
      <c r="B6564" s="4" t="str">
        <f>IFERROR(__xludf.DUMMYFUNCTION("""COMPUTED_VALUE"""),"kilt")</f>
        <v>kilt</v>
      </c>
      <c r="C6564" s="4" t="str">
        <f>IFERROR(__xludf.DUMMYFUNCTION("""COMPUTED_VALUE"""),"KILT Protocol")</f>
        <v>KILT Protocol</v>
      </c>
    </row>
    <row r="6565">
      <c r="A6565" s="4" t="str">
        <f>IFERROR(__xludf.DUMMYFUNCTION("""COMPUTED_VALUE"""),"kimbo")</f>
        <v>kimbo</v>
      </c>
      <c r="B6565" s="4" t="str">
        <f>IFERROR(__xludf.DUMMYFUNCTION("""COMPUTED_VALUE"""),"kimbo")</f>
        <v>kimbo</v>
      </c>
      <c r="C6565" s="4" t="str">
        <f>IFERROR(__xludf.DUMMYFUNCTION("""COMPUTED_VALUE"""),"Kimbo")</f>
        <v>Kimbo</v>
      </c>
    </row>
    <row r="6566">
      <c r="A6566" s="4" t="str">
        <f>IFERROR(__xludf.DUMMYFUNCTION("""COMPUTED_VALUE"""),"kimchi-finance")</f>
        <v>kimchi-finance</v>
      </c>
      <c r="B6566" s="4" t="str">
        <f>IFERROR(__xludf.DUMMYFUNCTION("""COMPUTED_VALUE"""),"kimchi")</f>
        <v>kimchi</v>
      </c>
      <c r="C6566" s="4" t="str">
        <f>IFERROR(__xludf.DUMMYFUNCTION("""COMPUTED_VALUE"""),"KIMCHI.finance")</f>
        <v>KIMCHI.finance</v>
      </c>
    </row>
    <row r="6567">
      <c r="A6567" s="4" t="str">
        <f>IFERROR(__xludf.DUMMYFUNCTION("""COMPUTED_VALUE"""),"kin")</f>
        <v>kin</v>
      </c>
      <c r="B6567" s="4" t="str">
        <f>IFERROR(__xludf.DUMMYFUNCTION("""COMPUTED_VALUE"""),"kin")</f>
        <v>kin</v>
      </c>
      <c r="C6567" s="4" t="str">
        <f>IFERROR(__xludf.DUMMYFUNCTION("""COMPUTED_VALUE"""),"Kin")</f>
        <v>Kin</v>
      </c>
    </row>
    <row r="6568">
      <c r="A6568" s="4" t="str">
        <f>IFERROR(__xludf.DUMMYFUNCTION("""COMPUTED_VALUE"""),"kindness-for-the-soul")</f>
        <v>kindness-for-the-soul</v>
      </c>
      <c r="B6568" s="4" t="str">
        <f>IFERROR(__xludf.DUMMYFUNCTION("""COMPUTED_VALUE"""),"kind")</f>
        <v>kind</v>
      </c>
      <c r="C6568" s="4" t="str">
        <f>IFERROR(__xludf.DUMMYFUNCTION("""COMPUTED_VALUE"""),"Kindness For The Soul")</f>
        <v>Kindness For The Soul</v>
      </c>
    </row>
    <row r="6569">
      <c r="A6569" s="4" t="str">
        <f>IFERROR(__xludf.DUMMYFUNCTION("""COMPUTED_VALUE"""),"kindness-for-the-soul-soul")</f>
        <v>kindness-for-the-soul-soul</v>
      </c>
      <c r="B6569" s="4" t="str">
        <f>IFERROR(__xludf.DUMMYFUNCTION("""COMPUTED_VALUE"""),"soul")</f>
        <v>soul</v>
      </c>
      <c r="C6569" s="4" t="str">
        <f>IFERROR(__xludf.DUMMYFUNCTION("""COMPUTED_VALUE"""),"Kindness For The Soul SOUL")</f>
        <v>Kindness For The Soul SOUL</v>
      </c>
    </row>
    <row r="6570">
      <c r="A6570" s="4" t="str">
        <f>IFERROR(__xludf.DUMMYFUNCTION("""COMPUTED_VALUE"""),"kinect-finance")</f>
        <v>kinect-finance</v>
      </c>
      <c r="B6570" s="4" t="str">
        <f>IFERROR(__xludf.DUMMYFUNCTION("""COMPUTED_VALUE"""),"knt")</f>
        <v>knt</v>
      </c>
      <c r="C6570" s="4" t="str">
        <f>IFERROR(__xludf.DUMMYFUNCTION("""COMPUTED_VALUE"""),"Kinect Finance")</f>
        <v>Kinect Finance</v>
      </c>
    </row>
    <row r="6571">
      <c r="A6571" s="4" t="str">
        <f>IFERROR(__xludf.DUMMYFUNCTION("""COMPUTED_VALUE"""),"kineko")</f>
        <v>kineko</v>
      </c>
      <c r="B6571" s="4" t="str">
        <f>IFERROR(__xludf.DUMMYFUNCTION("""COMPUTED_VALUE"""),"kko")</f>
        <v>kko</v>
      </c>
      <c r="C6571" s="4" t="str">
        <f>IFERROR(__xludf.DUMMYFUNCTION("""COMPUTED_VALUE"""),"KKO Protocol")</f>
        <v>KKO Protocol</v>
      </c>
    </row>
    <row r="6572">
      <c r="A6572" s="4" t="str">
        <f>IFERROR(__xludf.DUMMYFUNCTION("""COMPUTED_VALUE"""),"kineko-knk")</f>
        <v>kineko-knk</v>
      </c>
      <c r="B6572" s="4" t="str">
        <f>IFERROR(__xludf.DUMMYFUNCTION("""COMPUTED_VALUE"""),"knk")</f>
        <v>knk</v>
      </c>
      <c r="C6572" s="4" t="str">
        <f>IFERROR(__xludf.DUMMYFUNCTION("""COMPUTED_VALUE"""),"Kineko")</f>
        <v>Kineko</v>
      </c>
    </row>
    <row r="6573">
      <c r="A6573" s="4" t="str">
        <f>IFERROR(__xludf.DUMMYFUNCTION("""COMPUTED_VALUE"""),"kine-protocol")</f>
        <v>kine-protocol</v>
      </c>
      <c r="B6573" s="4" t="str">
        <f>IFERROR(__xludf.DUMMYFUNCTION("""COMPUTED_VALUE"""),"kine")</f>
        <v>kine</v>
      </c>
      <c r="C6573" s="4" t="str">
        <f>IFERROR(__xludf.DUMMYFUNCTION("""COMPUTED_VALUE"""),"Kine Protocol")</f>
        <v>Kine Protocol</v>
      </c>
    </row>
    <row r="6574">
      <c r="A6574" s="4" t="str">
        <f>IFERROR(__xludf.DUMMYFUNCTION("""COMPUTED_VALUE"""),"kinesis-gold")</f>
        <v>kinesis-gold</v>
      </c>
      <c r="B6574" s="4" t="str">
        <f>IFERROR(__xludf.DUMMYFUNCTION("""COMPUTED_VALUE"""),"kau")</f>
        <v>kau</v>
      </c>
      <c r="C6574" s="4" t="str">
        <f>IFERROR(__xludf.DUMMYFUNCTION("""COMPUTED_VALUE"""),"Kinesis Gold")</f>
        <v>Kinesis Gold</v>
      </c>
    </row>
    <row r="6575">
      <c r="A6575" s="4" t="str">
        <f>IFERROR(__xludf.DUMMYFUNCTION("""COMPUTED_VALUE"""),"kinesis-silver")</f>
        <v>kinesis-silver</v>
      </c>
      <c r="B6575" s="4" t="str">
        <f>IFERROR(__xludf.DUMMYFUNCTION("""COMPUTED_VALUE"""),"kag")</f>
        <v>kag</v>
      </c>
      <c r="C6575" s="4" t="str">
        <f>IFERROR(__xludf.DUMMYFUNCTION("""COMPUTED_VALUE"""),"Kinesis Silver")</f>
        <v>Kinesis Silver</v>
      </c>
    </row>
    <row r="6576">
      <c r="A6576" s="4" t="str">
        <f>IFERROR(__xludf.DUMMYFUNCTION("""COMPUTED_VALUE"""),"kinetixfi")</f>
        <v>kinetixfi</v>
      </c>
      <c r="B6576" s="4" t="str">
        <f>IFERROR(__xludf.DUMMYFUNCTION("""COMPUTED_VALUE"""),"kfi")</f>
        <v>kfi</v>
      </c>
      <c r="C6576" s="4" t="str">
        <f>IFERROR(__xludf.DUMMYFUNCTION("""COMPUTED_VALUE"""),"KinetixFi")</f>
        <v>KinetixFi</v>
      </c>
    </row>
    <row r="6577">
      <c r="A6577" s="4" t="str">
        <f>IFERROR(__xludf.DUMMYFUNCTION("""COMPUTED_VALUE"""),"king-2")</f>
        <v>king-2</v>
      </c>
      <c r="B6577" s="4" t="str">
        <f>IFERROR(__xludf.DUMMYFUNCTION("""COMPUTED_VALUE"""),"king")</f>
        <v>king</v>
      </c>
      <c r="C6577" s="4" t="str">
        <f>IFERROR(__xludf.DUMMYFUNCTION("""COMPUTED_VALUE"""),"KING Coin")</f>
        <v>KING Coin</v>
      </c>
    </row>
    <row r="6578">
      <c r="A6578" s="4" t="str">
        <f>IFERROR(__xludf.DUMMYFUNCTION("""COMPUTED_VALUE"""),"kingaru")</f>
        <v>kingaru</v>
      </c>
      <c r="B6578" s="4" t="str">
        <f>IFERROR(__xludf.DUMMYFUNCTION("""COMPUTED_VALUE"""),"kru")</f>
        <v>kru</v>
      </c>
      <c r="C6578" s="4" t="str">
        <f>IFERROR(__xludf.DUMMYFUNCTION("""COMPUTED_VALUE"""),"Kingaru")</f>
        <v>Kingaru</v>
      </c>
    </row>
    <row r="6579">
      <c r="A6579" s="4" t="str">
        <f>IFERROR(__xludf.DUMMYFUNCTION("""COMPUTED_VALUE"""),"king-bonk")</f>
        <v>king-bonk</v>
      </c>
      <c r="B6579" s="4" t="str">
        <f>IFERROR(__xludf.DUMMYFUNCTION("""COMPUTED_VALUE"""),"kingbonk")</f>
        <v>kingbonk</v>
      </c>
      <c r="C6579" s="4" t="str">
        <f>IFERROR(__xludf.DUMMYFUNCTION("""COMPUTED_VALUE"""),"King Bonk")</f>
        <v>King Bonk</v>
      </c>
    </row>
    <row r="6580">
      <c r="A6580" s="4" t="str">
        <f>IFERROR(__xludf.DUMMYFUNCTION("""COMPUTED_VALUE"""),"king-cat")</f>
        <v>king-cat</v>
      </c>
      <c r="B6580" s="4" t="str">
        <f>IFERROR(__xludf.DUMMYFUNCTION("""COMPUTED_VALUE"""),"kingcat")</f>
        <v>kingcat</v>
      </c>
      <c r="C6580" s="4" t="str">
        <f>IFERROR(__xludf.DUMMYFUNCTION("""COMPUTED_VALUE"""),"King Cat")</f>
        <v>King Cat</v>
      </c>
    </row>
    <row r="6581">
      <c r="A6581" s="4" t="str">
        <f>IFERROR(__xludf.DUMMYFUNCTION("""COMPUTED_VALUE"""),"king-dog-inu")</f>
        <v>king-dog-inu</v>
      </c>
      <c r="B6581" s="4" t="str">
        <f>IFERROR(__xludf.DUMMYFUNCTION("""COMPUTED_VALUE"""),"kingdog")</f>
        <v>kingdog</v>
      </c>
      <c r="C6581" s="4" t="str">
        <f>IFERROR(__xludf.DUMMYFUNCTION("""COMPUTED_VALUE"""),"King Dog Inu")</f>
        <v>King Dog Inu</v>
      </c>
    </row>
    <row r="6582">
      <c r="A6582" s="4" t="str">
        <f>IFERROR(__xludf.DUMMYFUNCTION("""COMPUTED_VALUE"""),"kingdomgame")</f>
        <v>kingdomgame</v>
      </c>
      <c r="B6582" s="4" t="str">
        <f>IFERROR(__xludf.DUMMYFUNCTION("""COMPUTED_VALUE"""),"kingdom")</f>
        <v>kingdom</v>
      </c>
      <c r="C6582" s="4" t="str">
        <f>IFERROR(__xludf.DUMMYFUNCTION("""COMPUTED_VALUE"""),"KingdomGame")</f>
        <v>KingdomGame</v>
      </c>
    </row>
    <row r="6583">
      <c r="A6583" s="4" t="str">
        <f>IFERROR(__xludf.DUMMYFUNCTION("""COMPUTED_VALUE"""),"kingdom-game-4-0")</f>
        <v>kingdom-game-4-0</v>
      </c>
      <c r="B6583" s="4" t="str">
        <f>IFERROR(__xludf.DUMMYFUNCTION("""COMPUTED_VALUE"""),"kdg")</f>
        <v>kdg</v>
      </c>
      <c r="C6583" s="4" t="str">
        <f>IFERROR(__xludf.DUMMYFUNCTION("""COMPUTED_VALUE"""),"KingdomStarter")</f>
        <v>KingdomStarter</v>
      </c>
    </row>
    <row r="6584">
      <c r="A6584" s="4" t="str">
        <f>IFERROR(__xludf.DUMMYFUNCTION("""COMPUTED_VALUE"""),"kingdom-karnage")</f>
        <v>kingdom-karnage</v>
      </c>
      <c r="B6584" s="4" t="str">
        <f>IFERROR(__xludf.DUMMYFUNCTION("""COMPUTED_VALUE"""),"kkt")</f>
        <v>kkt</v>
      </c>
      <c r="C6584" s="4" t="str">
        <f>IFERROR(__xludf.DUMMYFUNCTION("""COMPUTED_VALUE"""),"Kingdom Karnage")</f>
        <v>Kingdom Karnage</v>
      </c>
    </row>
    <row r="6585">
      <c r="A6585" s="4" t="str">
        <f>IFERROR(__xludf.DUMMYFUNCTION("""COMPUTED_VALUE"""),"kingdom-of-ants-ant-coins")</f>
        <v>kingdom-of-ants-ant-coins</v>
      </c>
      <c r="B6585" s="4" t="str">
        <f>IFERROR(__xludf.DUMMYFUNCTION("""COMPUTED_VALUE"""),"antc")</f>
        <v>antc</v>
      </c>
      <c r="C6585" s="4" t="str">
        <f>IFERROR(__xludf.DUMMYFUNCTION("""COMPUTED_VALUE"""),"Kingdom of ANTs ANT Coins")</f>
        <v>Kingdom of ANTs ANT Coins</v>
      </c>
    </row>
    <row r="6586">
      <c r="A6586" s="4" t="str">
        <f>IFERROR(__xludf.DUMMYFUNCTION("""COMPUTED_VALUE"""),"kingdomverse")</f>
        <v>kingdomverse</v>
      </c>
      <c r="B6586" s="4" t="str">
        <f>IFERROR(__xludf.DUMMYFUNCTION("""COMPUTED_VALUE"""),"king")</f>
        <v>king</v>
      </c>
      <c r="C6586" s="4" t="str">
        <f>IFERROR(__xludf.DUMMYFUNCTION("""COMPUTED_VALUE"""),"Kingdomverse")</f>
        <v>Kingdomverse</v>
      </c>
    </row>
    <row r="6587">
      <c r="A6587" s="4" t="str">
        <f>IFERROR(__xludf.DUMMYFUNCTION("""COMPUTED_VALUE"""),"kingdomx")</f>
        <v>kingdomx</v>
      </c>
      <c r="B6587" s="4" t="str">
        <f>IFERROR(__xludf.DUMMYFUNCTION("""COMPUTED_VALUE"""),"kt")</f>
        <v>kt</v>
      </c>
      <c r="C6587" s="4" t="str">
        <f>IFERROR(__xludf.DUMMYFUNCTION("""COMPUTED_VALUE"""),"KingdomX")</f>
        <v>KingdomX</v>
      </c>
    </row>
    <row r="6588">
      <c r="A6588" s="4" t="str">
        <f>IFERROR(__xludf.DUMMYFUNCTION("""COMPUTED_VALUE"""),"king-forever")</f>
        <v>king-forever</v>
      </c>
      <c r="B6588" s="4" t="str">
        <f>IFERROR(__xludf.DUMMYFUNCTION("""COMPUTED_VALUE"""),"kfr")</f>
        <v>kfr</v>
      </c>
      <c r="C6588" s="4" t="str">
        <f>IFERROR(__xludf.DUMMYFUNCTION("""COMPUTED_VALUE"""),"KING FOREVER")</f>
        <v>KING FOREVER</v>
      </c>
    </row>
    <row r="6589">
      <c r="A6589" s="4" t="str">
        <f>IFERROR(__xludf.DUMMYFUNCTION("""COMPUTED_VALUE"""),"king-grok")</f>
        <v>king-grok</v>
      </c>
      <c r="B6589" s="4" t="str">
        <f>IFERROR(__xludf.DUMMYFUNCTION("""COMPUTED_VALUE"""),"kinggrok")</f>
        <v>kinggrok</v>
      </c>
      <c r="C6589" s="4" t="str">
        <f>IFERROR(__xludf.DUMMYFUNCTION("""COMPUTED_VALUE"""),"King Grok")</f>
        <v>King Grok</v>
      </c>
    </row>
    <row r="6590">
      <c r="A6590" s="4" t="str">
        <f>IFERROR(__xludf.DUMMYFUNCTION("""COMPUTED_VALUE"""),"king-of-legends-2")</f>
        <v>king-of-legends-2</v>
      </c>
      <c r="B6590" s="4" t="str">
        <f>IFERROR(__xludf.DUMMYFUNCTION("""COMPUTED_VALUE"""),"kol")</f>
        <v>kol</v>
      </c>
      <c r="C6590" s="4" t="str">
        <f>IFERROR(__xludf.DUMMYFUNCTION("""COMPUTED_VALUE"""),"King of Legends")</f>
        <v>King of Legends</v>
      </c>
    </row>
    <row r="6591">
      <c r="A6591" s="4" t="str">
        <f>IFERROR(__xludf.DUMMYFUNCTION("""COMPUTED_VALUE"""),"king-shiba")</f>
        <v>king-shiba</v>
      </c>
      <c r="B6591" s="4" t="str">
        <f>IFERROR(__xludf.DUMMYFUNCTION("""COMPUTED_VALUE"""),"kingshib")</f>
        <v>kingshib</v>
      </c>
      <c r="C6591" s="4" t="str">
        <f>IFERROR(__xludf.DUMMYFUNCTION("""COMPUTED_VALUE"""),"King Shiba")</f>
        <v>King Shiba</v>
      </c>
    </row>
    <row r="6592">
      <c r="A6592" s="4" t="str">
        <f>IFERROR(__xludf.DUMMYFUNCTION("""COMPUTED_VALUE"""),"kingshit")</f>
        <v>kingshit</v>
      </c>
      <c r="B6592" s="4" t="str">
        <f>IFERROR(__xludf.DUMMYFUNCTION("""COMPUTED_VALUE"""),"kingshit")</f>
        <v>kingshit</v>
      </c>
      <c r="C6592" s="4" t="str">
        <f>IFERROR(__xludf.DUMMYFUNCTION("""COMPUTED_VALUE"""),"Kingshit")</f>
        <v>Kingshit</v>
      </c>
    </row>
    <row r="6593">
      <c r="A6593" s="4" t="str">
        <f>IFERROR(__xludf.DUMMYFUNCTION("""COMPUTED_VALUE"""),"kingspeed")</f>
        <v>kingspeed</v>
      </c>
      <c r="B6593" s="4" t="str">
        <f>IFERROR(__xludf.DUMMYFUNCTION("""COMPUTED_VALUE"""),"ksc")</f>
        <v>ksc</v>
      </c>
      <c r="C6593" s="4" t="str">
        <f>IFERROR(__xludf.DUMMYFUNCTION("""COMPUTED_VALUE"""),"KingSpeed")</f>
        <v>KingSpeed</v>
      </c>
    </row>
    <row r="6594">
      <c r="A6594" s="4" t="str">
        <f>IFERROR(__xludf.DUMMYFUNCTION("""COMPUTED_VALUE"""),"kingu")</f>
        <v>kingu</v>
      </c>
      <c r="B6594" s="4" t="str">
        <f>IFERROR(__xludf.DUMMYFUNCTION("""COMPUTED_VALUE"""),"kingu")</f>
        <v>kingu</v>
      </c>
      <c r="C6594" s="4" t="str">
        <f>IFERROR(__xludf.DUMMYFUNCTION("""COMPUTED_VALUE"""),"KingU")</f>
        <v>KingU</v>
      </c>
    </row>
    <row r="6595">
      <c r="A6595" s="4" t="str">
        <f>IFERROR(__xludf.DUMMYFUNCTION("""COMPUTED_VALUE"""),"king-wif")</f>
        <v>king-wif</v>
      </c>
      <c r="B6595" s="4" t="str">
        <f>IFERROR(__xludf.DUMMYFUNCTION("""COMPUTED_VALUE"""),"kingwif")</f>
        <v>kingwif</v>
      </c>
      <c r="C6595" s="4" t="str">
        <f>IFERROR(__xludf.DUMMYFUNCTION("""COMPUTED_VALUE"""),"King WIF")</f>
        <v>King WIF</v>
      </c>
    </row>
    <row r="6596">
      <c r="A6596" s="4" t="str">
        <f>IFERROR(__xludf.DUMMYFUNCTION("""COMPUTED_VALUE"""),"kingyton")</f>
        <v>kingyton</v>
      </c>
      <c r="B6596" s="4" t="str">
        <f>IFERROR(__xludf.DUMMYFUNCTION("""COMPUTED_VALUE"""),"kingy")</f>
        <v>kingy</v>
      </c>
      <c r="C6596" s="4" t="str">
        <f>IFERROR(__xludf.DUMMYFUNCTION("""COMPUTED_VALUE"""),"KingyTON")</f>
        <v>KingyTON</v>
      </c>
    </row>
    <row r="6597">
      <c r="A6597" s="4" t="str">
        <f>IFERROR(__xludf.DUMMYFUNCTION("""COMPUTED_VALUE"""),"kinka")</f>
        <v>kinka</v>
      </c>
      <c r="B6597" s="4" t="str">
        <f>IFERROR(__xludf.DUMMYFUNCTION("""COMPUTED_VALUE"""),"xnk")</f>
        <v>xnk</v>
      </c>
      <c r="C6597" s="4" t="str">
        <f>IFERROR(__xludf.DUMMYFUNCTION("""COMPUTED_VALUE"""),"Kinka")</f>
        <v>Kinka</v>
      </c>
    </row>
    <row r="6598">
      <c r="A6598" s="4" t="str">
        <f>IFERROR(__xludf.DUMMYFUNCTION("""COMPUTED_VALUE"""),"kintsugi")</f>
        <v>kintsugi</v>
      </c>
      <c r="B6598" s="4" t="str">
        <f>IFERROR(__xludf.DUMMYFUNCTION("""COMPUTED_VALUE"""),"kint")</f>
        <v>kint</v>
      </c>
      <c r="C6598" s="4" t="str">
        <f>IFERROR(__xludf.DUMMYFUNCTION("""COMPUTED_VALUE"""),"Kintsugi")</f>
        <v>Kintsugi</v>
      </c>
    </row>
    <row r="6599">
      <c r="A6599" s="4" t="str">
        <f>IFERROR(__xludf.DUMMYFUNCTION("""COMPUTED_VALUE"""),"kintsugi-btc")</f>
        <v>kintsugi-btc</v>
      </c>
      <c r="B6599" s="4" t="str">
        <f>IFERROR(__xludf.DUMMYFUNCTION("""COMPUTED_VALUE"""),"kbtc")</f>
        <v>kbtc</v>
      </c>
      <c r="C6599" s="4" t="str">
        <f>IFERROR(__xludf.DUMMYFUNCTION("""COMPUTED_VALUE"""),"Kintsugi BTC")</f>
        <v>Kintsugi BTC</v>
      </c>
    </row>
    <row r="6600">
      <c r="A6600" s="4" t="str">
        <f>IFERROR(__xludf.DUMMYFUNCTION("""COMPUTED_VALUE"""),"kira")</f>
        <v>kira</v>
      </c>
      <c r="B6600" s="4" t="str">
        <f>IFERROR(__xludf.DUMMYFUNCTION("""COMPUTED_VALUE"""),"kira")</f>
        <v>kira</v>
      </c>
      <c r="C6600" s="4" t="str">
        <f>IFERROR(__xludf.DUMMYFUNCTION("""COMPUTED_VALUE"""),"KIRA")</f>
        <v>KIRA</v>
      </c>
    </row>
    <row r="6601">
      <c r="A6601" s="4" t="str">
        <f>IFERROR(__xludf.DUMMYFUNCTION("""COMPUTED_VALUE"""),"kira-2")</f>
        <v>kira-2</v>
      </c>
      <c r="B6601" s="4" t="str">
        <f>IFERROR(__xludf.DUMMYFUNCTION("""COMPUTED_VALUE"""),"kira")</f>
        <v>kira</v>
      </c>
      <c r="C6601" s="4" t="str">
        <f>IFERROR(__xludf.DUMMYFUNCTION("""COMPUTED_VALUE"""),"KIRA")</f>
        <v>KIRA</v>
      </c>
    </row>
    <row r="6602">
      <c r="A6602" s="4" t="str">
        <f>IFERROR(__xludf.DUMMYFUNCTION("""COMPUTED_VALUE"""),"kira-network")</f>
        <v>kira-network</v>
      </c>
      <c r="B6602" s="4" t="str">
        <f>IFERROR(__xludf.DUMMYFUNCTION("""COMPUTED_VALUE"""),"kex")</f>
        <v>kex</v>
      </c>
      <c r="C6602" s="4" t="str">
        <f>IFERROR(__xludf.DUMMYFUNCTION("""COMPUTED_VALUE"""),"KIRA Network")</f>
        <v>KIRA Network</v>
      </c>
    </row>
    <row r="6603">
      <c r="A6603" s="4" t="str">
        <f>IFERROR(__xludf.DUMMYFUNCTION("""COMPUTED_VALUE"""),"kira-the-injective-cat")</f>
        <v>kira-the-injective-cat</v>
      </c>
      <c r="B6603" s="4" t="str">
        <f>IFERROR(__xludf.DUMMYFUNCTION("""COMPUTED_VALUE"""),"kira")</f>
        <v>kira</v>
      </c>
      <c r="C6603" s="4" t="str">
        <f>IFERROR(__xludf.DUMMYFUNCTION("""COMPUTED_VALUE"""),"Kira the Injective Cat")</f>
        <v>Kira the Injective Cat</v>
      </c>
    </row>
    <row r="6604">
      <c r="A6604" s="4" t="str">
        <f>IFERROR(__xludf.DUMMYFUNCTION("""COMPUTED_VALUE"""),"kirobo")</f>
        <v>kirobo</v>
      </c>
      <c r="B6604" s="4" t="str">
        <f>IFERROR(__xludf.DUMMYFUNCTION("""COMPUTED_VALUE"""),"kiro")</f>
        <v>kiro</v>
      </c>
      <c r="C6604" s="4" t="str">
        <f>IFERROR(__xludf.DUMMYFUNCTION("""COMPUTED_VALUE"""),"KIRO")</f>
        <v>KIRO</v>
      </c>
    </row>
    <row r="6605">
      <c r="A6605" s="4" t="str">
        <f>IFERROR(__xludf.DUMMYFUNCTION("""COMPUTED_VALUE"""),"kiseki")</f>
        <v>kiseki</v>
      </c>
      <c r="B6605" s="4" t="str">
        <f>IFERROR(__xludf.DUMMYFUNCTION("""COMPUTED_VALUE"""),"kitup")</f>
        <v>kitup</v>
      </c>
      <c r="C6605" s="4" t="str">
        <f>IFERROR(__xludf.DUMMYFUNCTION("""COMPUTED_VALUE"""),"Kiseki")</f>
        <v>Kiseki</v>
      </c>
    </row>
    <row r="6606">
      <c r="A6606" s="4" t="str">
        <f>IFERROR(__xludf.DUMMYFUNCTION("""COMPUTED_VALUE"""),"kishimoto")</f>
        <v>kishimoto</v>
      </c>
      <c r="B6606" s="4" t="str">
        <f>IFERROR(__xludf.DUMMYFUNCTION("""COMPUTED_VALUE"""),"kishimoto")</f>
        <v>kishimoto</v>
      </c>
      <c r="C6606" s="4" t="str">
        <f>IFERROR(__xludf.DUMMYFUNCTION("""COMPUTED_VALUE"""),"Kishimoto")</f>
        <v>Kishimoto</v>
      </c>
    </row>
    <row r="6607">
      <c r="A6607" s="4" t="str">
        <f>IFERROR(__xludf.DUMMYFUNCTION("""COMPUTED_VALUE"""),"kishu-inu")</f>
        <v>kishu-inu</v>
      </c>
      <c r="B6607" s="4" t="str">
        <f>IFERROR(__xludf.DUMMYFUNCTION("""COMPUTED_VALUE"""),"kishu")</f>
        <v>kishu</v>
      </c>
      <c r="C6607" s="4" t="str">
        <f>IFERROR(__xludf.DUMMYFUNCTION("""COMPUTED_VALUE"""),"Kishu Inu")</f>
        <v>Kishu Inu</v>
      </c>
    </row>
    <row r="6608">
      <c r="A6608" s="4" t="str">
        <f>IFERROR(__xludf.DUMMYFUNCTION("""COMPUTED_VALUE"""),"kishu-ken")</f>
        <v>kishu-ken</v>
      </c>
      <c r="B6608" s="4" t="str">
        <f>IFERROR(__xludf.DUMMYFUNCTION("""COMPUTED_VALUE"""),"kishk")</f>
        <v>kishk</v>
      </c>
      <c r="C6608" s="4" t="str">
        <f>IFERROR(__xludf.DUMMYFUNCTION("""COMPUTED_VALUE"""),"Kishu Ken")</f>
        <v>Kishu Ken</v>
      </c>
    </row>
    <row r="6609">
      <c r="A6609" s="4" t="str">
        <f>IFERROR(__xludf.DUMMYFUNCTION("""COMPUTED_VALUE"""),"kissan")</f>
        <v>kissan</v>
      </c>
      <c r="B6609" s="4" t="str">
        <f>IFERROR(__xludf.DUMMYFUNCTION("""COMPUTED_VALUE"""),"ksn")</f>
        <v>ksn</v>
      </c>
      <c r="C6609" s="4" t="str">
        <f>IFERROR(__xludf.DUMMYFUNCTION("""COMPUTED_VALUE"""),"Kissan")</f>
        <v>Kissan</v>
      </c>
    </row>
    <row r="6610">
      <c r="A6610" s="4" t="str">
        <f>IFERROR(__xludf.DUMMYFUNCTION("""COMPUTED_VALUE"""),"kitbull")</f>
        <v>kitbull</v>
      </c>
      <c r="B6610" s="4" t="str">
        <f>IFERROR(__xludf.DUMMYFUNCTION("""COMPUTED_VALUE"""),"kitbull")</f>
        <v>kitbull</v>
      </c>
      <c r="C6610" s="4" t="str">
        <f>IFERROR(__xludf.DUMMYFUNCTION("""COMPUTED_VALUE"""),"Kitbull")</f>
        <v>Kitbull</v>
      </c>
    </row>
    <row r="6611">
      <c r="A6611" s="4" t="str">
        <f>IFERROR(__xludf.DUMMYFUNCTION("""COMPUTED_VALUE"""),"kite")</f>
        <v>kite</v>
      </c>
      <c r="B6611" s="4" t="str">
        <f>IFERROR(__xludf.DUMMYFUNCTION("""COMPUTED_VALUE"""),"kite")</f>
        <v>kite</v>
      </c>
      <c r="C6611" s="4" t="str">
        <f>IFERROR(__xludf.DUMMYFUNCTION("""COMPUTED_VALUE"""),"Kite")</f>
        <v>Kite</v>
      </c>
    </row>
    <row r="6612">
      <c r="A6612" s="4" t="str">
        <f>IFERROR(__xludf.DUMMYFUNCTION("""COMPUTED_VALUE"""),"kitsumon")</f>
        <v>kitsumon</v>
      </c>
      <c r="B6612" s="4" t="str">
        <f>IFERROR(__xludf.DUMMYFUNCTION("""COMPUTED_VALUE"""),"$kmc")</f>
        <v>$kmc</v>
      </c>
      <c r="C6612" s="4" t="str">
        <f>IFERROR(__xludf.DUMMYFUNCTION("""COMPUTED_VALUE"""),"Kitsumon")</f>
        <v>Kitsumon</v>
      </c>
    </row>
    <row r="6613">
      <c r="A6613" s="4" t="str">
        <f>IFERROR(__xludf.DUMMYFUNCTION("""COMPUTED_VALUE"""),"kitsune")</f>
        <v>kitsune</v>
      </c>
      <c r="B6613" s="4" t="str">
        <f>IFERROR(__xludf.DUMMYFUNCTION("""COMPUTED_VALUE"""),"kit")</f>
        <v>kit</v>
      </c>
      <c r="C6613" s="4" t="str">
        <f>IFERROR(__xludf.DUMMYFUNCTION("""COMPUTED_VALUE"""),"Kitsune")</f>
        <v>Kitsune</v>
      </c>
    </row>
    <row r="6614">
      <c r="A6614" s="4" t="str">
        <f>IFERROR(__xludf.DUMMYFUNCTION("""COMPUTED_VALUE"""),"kittenfinance")</f>
        <v>kittenfinance</v>
      </c>
      <c r="B6614" s="4" t="str">
        <f>IFERROR(__xludf.DUMMYFUNCTION("""COMPUTED_VALUE"""),"kif")</f>
        <v>kif</v>
      </c>
      <c r="C6614" s="4" t="str">
        <f>IFERROR(__xludf.DUMMYFUNCTION("""COMPUTED_VALUE"""),"KittenFinance")</f>
        <v>KittenFinance</v>
      </c>
    </row>
    <row r="6615">
      <c r="A6615" s="4" t="str">
        <f>IFERROR(__xludf.DUMMYFUNCTION("""COMPUTED_VALUE"""),"kitten-haimer")</f>
        <v>kitten-haimer</v>
      </c>
      <c r="B6615" s="4" t="str">
        <f>IFERROR(__xludf.DUMMYFUNCTION("""COMPUTED_VALUE"""),"khai")</f>
        <v>khai</v>
      </c>
      <c r="C6615" s="4" t="str">
        <f>IFERROR(__xludf.DUMMYFUNCTION("""COMPUTED_VALUE"""),"Kitten Haimer")</f>
        <v>Kitten Haimer</v>
      </c>
    </row>
    <row r="6616">
      <c r="A6616" s="4" t="str">
        <f>IFERROR(__xludf.DUMMYFUNCTION("""COMPUTED_VALUE"""),"kitti")</f>
        <v>kitti</v>
      </c>
      <c r="B6616" s="4" t="str">
        <f>IFERROR(__xludf.DUMMYFUNCTION("""COMPUTED_VALUE"""),"kitti")</f>
        <v>kitti</v>
      </c>
      <c r="C6616" s="4" t="str">
        <f>IFERROR(__xludf.DUMMYFUNCTION("""COMPUTED_VALUE"""),"KITTI")</f>
        <v>KITTI</v>
      </c>
    </row>
    <row r="6617">
      <c r="A6617" s="4" t="str">
        <f>IFERROR(__xludf.DUMMYFUNCTION("""COMPUTED_VALUE"""),"kitty")</f>
        <v>kitty</v>
      </c>
      <c r="B6617" s="4" t="str">
        <f>IFERROR(__xludf.DUMMYFUNCTION("""COMPUTED_VALUE"""),"kit")</f>
        <v>kit</v>
      </c>
      <c r="C6617" s="4" t="str">
        <f>IFERROR(__xludf.DUMMYFUNCTION("""COMPUTED_VALUE"""),"Kitty")</f>
        <v>Kitty</v>
      </c>
    </row>
    <row r="6618">
      <c r="A6618" s="4" t="str">
        <f>IFERROR(__xludf.DUMMYFUNCTION("""COMPUTED_VALUE"""),"kitty-ai")</f>
        <v>kitty-ai</v>
      </c>
      <c r="B6618" s="4" t="str">
        <f>IFERROR(__xludf.DUMMYFUNCTION("""COMPUTED_VALUE"""),"kitty")</f>
        <v>kitty</v>
      </c>
      <c r="C6618" s="4" t="str">
        <f>IFERROR(__xludf.DUMMYFUNCTION("""COMPUTED_VALUE"""),"Kitty AI")</f>
        <v>Kitty AI</v>
      </c>
    </row>
    <row r="6619">
      <c r="A6619" s="4" t="str">
        <f>IFERROR(__xludf.DUMMYFUNCTION("""COMPUTED_VALUE"""),"kittycake")</f>
        <v>kittycake</v>
      </c>
      <c r="B6619" s="4" t="str">
        <f>IFERROR(__xludf.DUMMYFUNCTION("""COMPUTED_VALUE"""),"kcake")</f>
        <v>kcake</v>
      </c>
      <c r="C6619" s="4" t="str">
        <f>IFERROR(__xludf.DUMMYFUNCTION("""COMPUTED_VALUE"""),"KittyCake")</f>
        <v>KittyCake</v>
      </c>
    </row>
    <row r="6620">
      <c r="A6620" s="4" t="str">
        <f>IFERROR(__xludf.DUMMYFUNCTION("""COMPUTED_VALUE"""),"kitty-coin-solana")</f>
        <v>kitty-coin-solana</v>
      </c>
      <c r="B6620" s="4" t="str">
        <f>IFERROR(__xludf.DUMMYFUNCTION("""COMPUTED_VALUE"""),"kitty")</f>
        <v>kitty</v>
      </c>
      <c r="C6620" s="4" t="str">
        <f>IFERROR(__xludf.DUMMYFUNCTION("""COMPUTED_VALUE"""),"Kitty Coin Solana")</f>
        <v>Kitty Coin Solana</v>
      </c>
    </row>
    <row r="6621">
      <c r="A6621" s="4" t="str">
        <f>IFERROR(__xludf.DUMMYFUNCTION("""COMPUTED_VALUE"""),"kitty-inu")</f>
        <v>kitty-inu</v>
      </c>
      <c r="B6621" s="4" t="str">
        <f>IFERROR(__xludf.DUMMYFUNCTION("""COMPUTED_VALUE"""),"kitty")</f>
        <v>kitty</v>
      </c>
      <c r="C6621" s="4" t="str">
        <f>IFERROR(__xludf.DUMMYFUNCTION("""COMPUTED_VALUE"""),"Kitty Inu")</f>
        <v>Kitty Inu</v>
      </c>
    </row>
    <row r="6622">
      <c r="A6622" s="4" t="str">
        <f>IFERROR(__xludf.DUMMYFUNCTION("""COMPUTED_VALUE"""),"kiwi")</f>
        <v>kiwi</v>
      </c>
      <c r="B6622" s="4" t="str">
        <f>IFERROR(__xludf.DUMMYFUNCTION("""COMPUTED_VALUE"""),"kiwi")</f>
        <v>kiwi</v>
      </c>
      <c r="C6622" s="4" t="str">
        <f>IFERROR(__xludf.DUMMYFUNCTION("""COMPUTED_VALUE"""),"kiwi")</f>
        <v>kiwi</v>
      </c>
    </row>
    <row r="6623">
      <c r="A6623" s="4" t="str">
        <f>IFERROR(__xludf.DUMMYFUNCTION("""COMPUTED_VALUE"""),"kiwi-deployer-bot")</f>
        <v>kiwi-deployer-bot</v>
      </c>
      <c r="B6623" s="4" t="str">
        <f>IFERROR(__xludf.DUMMYFUNCTION("""COMPUTED_VALUE"""),"$kiwi")</f>
        <v>$kiwi</v>
      </c>
      <c r="C6623" s="4" t="str">
        <f>IFERROR(__xludf.DUMMYFUNCTION("""COMPUTED_VALUE"""),"KIWI DEPLOYER BOT")</f>
        <v>KIWI DEPLOYER BOT</v>
      </c>
    </row>
    <row r="6624">
      <c r="A6624" s="4" t="str">
        <f>IFERROR(__xludf.DUMMYFUNCTION("""COMPUTED_VALUE"""),"kiwi-meme")</f>
        <v>kiwi-meme</v>
      </c>
      <c r="B6624" s="4" t="str">
        <f>IFERROR(__xludf.DUMMYFUNCTION("""COMPUTED_VALUE"""),"kiwi")</f>
        <v>kiwi</v>
      </c>
      <c r="C6624" s="4" t="str">
        <f>IFERROR(__xludf.DUMMYFUNCTION("""COMPUTED_VALUE"""),"Kiwi")</f>
        <v>Kiwi</v>
      </c>
    </row>
    <row r="6625">
      <c r="A6625" s="4" t="str">
        <f>IFERROR(__xludf.DUMMYFUNCTION("""COMPUTED_VALUE"""),"kiwi-token-2")</f>
        <v>kiwi-token-2</v>
      </c>
      <c r="B6625" s="4" t="str">
        <f>IFERROR(__xludf.DUMMYFUNCTION("""COMPUTED_VALUE"""),"kiwi")</f>
        <v>kiwi</v>
      </c>
      <c r="C6625" s="4" t="str">
        <f>IFERROR(__xludf.DUMMYFUNCTION("""COMPUTED_VALUE"""),"KIWI Token")</f>
        <v>KIWI Token</v>
      </c>
    </row>
    <row r="6626">
      <c r="A6626" s="4" t="str">
        <f>IFERROR(__xludf.DUMMYFUNCTION("""COMPUTED_VALUE"""),"kizuna")</f>
        <v>kizuna</v>
      </c>
      <c r="B6626" s="4" t="str">
        <f>IFERROR(__xludf.DUMMYFUNCTION("""COMPUTED_VALUE"""),"kizuna")</f>
        <v>kizuna</v>
      </c>
      <c r="C6626" s="4" t="str">
        <f>IFERROR(__xludf.DUMMYFUNCTION("""COMPUTED_VALUE"""),"Kizuna")</f>
        <v>Kizuna</v>
      </c>
    </row>
    <row r="6627">
      <c r="A6627" s="4" t="str">
        <f>IFERROR(__xludf.DUMMYFUNCTION("""COMPUTED_VALUE"""),"klap-finance")</f>
        <v>klap-finance</v>
      </c>
      <c r="B6627" s="4" t="str">
        <f>IFERROR(__xludf.DUMMYFUNCTION("""COMPUTED_VALUE"""),"klap")</f>
        <v>klap</v>
      </c>
      <c r="C6627" s="4" t="str">
        <f>IFERROR(__xludf.DUMMYFUNCTION("""COMPUTED_VALUE"""),"Klap Finance")</f>
        <v>Klap Finance</v>
      </c>
    </row>
    <row r="6628">
      <c r="A6628" s="4" t="str">
        <f>IFERROR(__xludf.DUMMYFUNCTION("""COMPUTED_VALUE"""),"klaycity-orb")</f>
        <v>klaycity-orb</v>
      </c>
      <c r="B6628" s="4" t="str">
        <f>IFERROR(__xludf.DUMMYFUNCTION("""COMPUTED_VALUE"""),"orb")</f>
        <v>orb</v>
      </c>
      <c r="C6628" s="4" t="str">
        <f>IFERROR(__xludf.DUMMYFUNCTION("""COMPUTED_VALUE"""),"Orbcity")</f>
        <v>Orbcity</v>
      </c>
    </row>
    <row r="6629">
      <c r="A6629" s="4" t="str">
        <f>IFERROR(__xludf.DUMMYFUNCTION("""COMPUTED_VALUE"""),"klaydice")</f>
        <v>klaydice</v>
      </c>
      <c r="B6629" s="4" t="str">
        <f>IFERROR(__xludf.DUMMYFUNCTION("""COMPUTED_VALUE"""),"dice")</f>
        <v>dice</v>
      </c>
      <c r="C6629" s="4" t="str">
        <f>IFERROR(__xludf.DUMMYFUNCTION("""COMPUTED_VALUE"""),"Klaydice")</f>
        <v>Klaydice</v>
      </c>
    </row>
    <row r="6630">
      <c r="A6630" s="4" t="str">
        <f>IFERROR(__xludf.DUMMYFUNCTION("""COMPUTED_VALUE"""),"klayfi-finance")</f>
        <v>klayfi-finance</v>
      </c>
      <c r="B6630" s="4" t="str">
        <f>IFERROR(__xludf.DUMMYFUNCTION("""COMPUTED_VALUE"""),"kfi")</f>
        <v>kfi</v>
      </c>
      <c r="C6630" s="4" t="str">
        <f>IFERROR(__xludf.DUMMYFUNCTION("""COMPUTED_VALUE"""),"KlayFi Finance")</f>
        <v>KlayFi Finance</v>
      </c>
    </row>
    <row r="6631">
      <c r="A6631" s="4" t="str">
        <f>IFERROR(__xludf.DUMMYFUNCTION("""COMPUTED_VALUE"""),"klayswap-protocol")</f>
        <v>klayswap-protocol</v>
      </c>
      <c r="B6631" s="4" t="str">
        <f>IFERROR(__xludf.DUMMYFUNCTION("""COMPUTED_VALUE"""),"ksp")</f>
        <v>ksp</v>
      </c>
      <c r="C6631" s="4" t="str">
        <f>IFERROR(__xludf.DUMMYFUNCTION("""COMPUTED_VALUE"""),"KlaySwap Protocol")</f>
        <v>KlaySwap Protocol</v>
      </c>
    </row>
    <row r="6632">
      <c r="A6632" s="4" t="str">
        <f>IFERROR(__xludf.DUMMYFUNCTION("""COMPUTED_VALUE"""),"klaytn-dai")</f>
        <v>klaytn-dai</v>
      </c>
      <c r="B6632" s="4" t="str">
        <f>IFERROR(__xludf.DUMMYFUNCTION("""COMPUTED_VALUE"""),"kdai")</f>
        <v>kdai</v>
      </c>
      <c r="C6632" s="4" t="str">
        <f>IFERROR(__xludf.DUMMYFUNCTION("""COMPUTED_VALUE"""),"Klaytn Dai")</f>
        <v>Klaytn Dai</v>
      </c>
    </row>
    <row r="6633">
      <c r="A6633" s="4" t="str">
        <f>IFERROR(__xludf.DUMMYFUNCTION("""COMPUTED_VALUE"""),"klay-token")</f>
        <v>klay-token</v>
      </c>
      <c r="B6633" s="4" t="str">
        <f>IFERROR(__xludf.DUMMYFUNCTION("""COMPUTED_VALUE"""),"klay")</f>
        <v>klay</v>
      </c>
      <c r="C6633" s="4" t="str">
        <f>IFERROR(__xludf.DUMMYFUNCTION("""COMPUTED_VALUE"""),"Klaytn")</f>
        <v>Klaytn</v>
      </c>
    </row>
    <row r="6634">
      <c r="A6634" s="4" t="str">
        <f>IFERROR(__xludf.DUMMYFUNCTION("""COMPUTED_VALUE"""),"klaytu")</f>
        <v>klaytu</v>
      </c>
      <c r="B6634" s="4" t="str">
        <f>IFERROR(__xludf.DUMMYFUNCTION("""COMPUTED_VALUE"""),"ktu")</f>
        <v>ktu</v>
      </c>
      <c r="C6634" s="4" t="str">
        <f>IFERROR(__xludf.DUMMYFUNCTION("""COMPUTED_VALUE"""),"Klaytu")</f>
        <v>Klaytu</v>
      </c>
    </row>
    <row r="6635">
      <c r="A6635" s="4" t="str">
        <f>IFERROR(__xludf.DUMMYFUNCTION("""COMPUTED_VALUE"""),"kleekai")</f>
        <v>kleekai</v>
      </c>
      <c r="B6635" s="4" t="str">
        <f>IFERROR(__xludf.DUMMYFUNCTION("""COMPUTED_VALUE"""),"klee")</f>
        <v>klee</v>
      </c>
      <c r="C6635" s="4" t="str">
        <f>IFERROR(__xludf.DUMMYFUNCTION("""COMPUTED_VALUE"""),"KleeKai")</f>
        <v>KleeKai</v>
      </c>
    </row>
    <row r="6636">
      <c r="A6636" s="4" t="str">
        <f>IFERROR(__xludf.DUMMYFUNCTION("""COMPUTED_VALUE"""),"kleomedes")</f>
        <v>kleomedes</v>
      </c>
      <c r="B6636" s="4" t="str">
        <f>IFERROR(__xludf.DUMMYFUNCTION("""COMPUTED_VALUE"""),"kleo")</f>
        <v>kleo</v>
      </c>
      <c r="C6636" s="4" t="str">
        <f>IFERROR(__xludf.DUMMYFUNCTION("""COMPUTED_VALUE"""),"Kleomedes")</f>
        <v>Kleomedes</v>
      </c>
    </row>
    <row r="6637">
      <c r="A6637" s="4" t="str">
        <f>IFERROR(__xludf.DUMMYFUNCTION("""COMPUTED_VALUE"""),"kleros")</f>
        <v>kleros</v>
      </c>
      <c r="B6637" s="4" t="str">
        <f>IFERROR(__xludf.DUMMYFUNCTION("""COMPUTED_VALUE"""),"pnk")</f>
        <v>pnk</v>
      </c>
      <c r="C6637" s="4" t="str">
        <f>IFERROR(__xludf.DUMMYFUNCTION("""COMPUTED_VALUE"""),"Kleros")</f>
        <v>Kleros</v>
      </c>
    </row>
    <row r="6638">
      <c r="A6638" s="4" t="str">
        <f>IFERROR(__xludf.DUMMYFUNCTION("""COMPUTED_VALUE"""),"kleva")</f>
        <v>kleva</v>
      </c>
      <c r="B6638" s="4" t="str">
        <f>IFERROR(__xludf.DUMMYFUNCTION("""COMPUTED_VALUE"""),"kleva")</f>
        <v>kleva</v>
      </c>
      <c r="C6638" s="4" t="str">
        <f>IFERROR(__xludf.DUMMYFUNCTION("""COMPUTED_VALUE"""),"KLEVA")</f>
        <v>KLEVA</v>
      </c>
    </row>
    <row r="6639">
      <c r="A6639" s="4" t="str">
        <f>IFERROR(__xludf.DUMMYFUNCTION("""COMPUTED_VALUE"""),"klever")</f>
        <v>klever</v>
      </c>
      <c r="B6639" s="4" t="str">
        <f>IFERROR(__xludf.DUMMYFUNCTION("""COMPUTED_VALUE"""),"klv")</f>
        <v>klv</v>
      </c>
      <c r="C6639" s="4" t="str">
        <f>IFERROR(__xludf.DUMMYFUNCTION("""COMPUTED_VALUE"""),"Klever")</f>
        <v>Klever</v>
      </c>
    </row>
    <row r="6640">
      <c r="A6640" s="4" t="str">
        <f>IFERROR(__xludf.DUMMYFUNCTION("""COMPUTED_VALUE"""),"klever-finance")</f>
        <v>klever-finance</v>
      </c>
      <c r="B6640" s="4" t="str">
        <f>IFERROR(__xludf.DUMMYFUNCTION("""COMPUTED_VALUE"""),"kfi")</f>
        <v>kfi</v>
      </c>
      <c r="C6640" s="4" t="str">
        <f>IFERROR(__xludf.DUMMYFUNCTION("""COMPUTED_VALUE"""),"Klever Finance")</f>
        <v>Klever Finance</v>
      </c>
    </row>
    <row r="6641">
      <c r="A6641" s="4" t="str">
        <f>IFERROR(__xludf.DUMMYFUNCTION("""COMPUTED_VALUE"""),"kleverkid-coin")</f>
        <v>kleverkid-coin</v>
      </c>
      <c r="B6641" s="4" t="str">
        <f>IFERROR(__xludf.DUMMYFUNCTION("""COMPUTED_VALUE"""),"kid")</f>
        <v>kid</v>
      </c>
      <c r="C6641" s="4" t="str">
        <f>IFERROR(__xludf.DUMMYFUNCTION("""COMPUTED_VALUE"""),"Kleverkid Coin")</f>
        <v>Kleverkid Coin</v>
      </c>
    </row>
    <row r="6642">
      <c r="A6642" s="4" t="str">
        <f>IFERROR(__xludf.DUMMYFUNCTION("""COMPUTED_VALUE"""),"klima-dao")</f>
        <v>klima-dao</v>
      </c>
      <c r="B6642" s="4" t="str">
        <f>IFERROR(__xludf.DUMMYFUNCTION("""COMPUTED_VALUE"""),"klima")</f>
        <v>klima</v>
      </c>
      <c r="C6642" s="4" t="str">
        <f>IFERROR(__xludf.DUMMYFUNCTION("""COMPUTED_VALUE"""),"KlimaDAO")</f>
        <v>KlimaDAO</v>
      </c>
    </row>
    <row r="6643">
      <c r="A6643" s="4" t="str">
        <f>IFERROR(__xludf.DUMMYFUNCTION("""COMPUTED_VALUE"""),"klubcoin")</f>
        <v>klubcoin</v>
      </c>
      <c r="B6643" s="4" t="str">
        <f>IFERROR(__xludf.DUMMYFUNCTION("""COMPUTED_VALUE"""),"klub")</f>
        <v>klub</v>
      </c>
      <c r="C6643" s="4" t="str">
        <f>IFERROR(__xludf.DUMMYFUNCTION("""COMPUTED_VALUE"""),"KlubCoin")</f>
        <v>KlubCoin</v>
      </c>
    </row>
    <row r="6644">
      <c r="A6644" s="4" t="str">
        <f>IFERROR(__xludf.DUMMYFUNCTION("""COMPUTED_VALUE"""),"kmushicoin")</f>
        <v>kmushicoin</v>
      </c>
      <c r="B6644" s="4" t="str">
        <f>IFERROR(__xludf.DUMMYFUNCTION("""COMPUTED_VALUE"""),"ktv")</f>
        <v>ktv</v>
      </c>
      <c r="C6644" s="4" t="str">
        <f>IFERROR(__xludf.DUMMYFUNCTION("""COMPUTED_VALUE"""),"Kmushicoin")</f>
        <v>Kmushicoin</v>
      </c>
    </row>
    <row r="6645">
      <c r="A6645" s="4" t="str">
        <f>IFERROR(__xludf.DUMMYFUNCTION("""COMPUTED_VALUE"""),"knights-peasants")</f>
        <v>knights-peasants</v>
      </c>
      <c r="B6645" s="4" t="str">
        <f>IFERROR(__xludf.DUMMYFUNCTION("""COMPUTED_VALUE"""),"knight")</f>
        <v>knight</v>
      </c>
      <c r="C6645" s="4" t="str">
        <f>IFERROR(__xludf.DUMMYFUNCTION("""COMPUTED_VALUE"""),"Knights &amp; Peasants")</f>
        <v>Knights &amp; Peasants</v>
      </c>
    </row>
    <row r="6646">
      <c r="A6646" s="4" t="str">
        <f>IFERROR(__xludf.DUMMYFUNCTION("""COMPUTED_VALUE"""),"knightswap")</f>
        <v>knightswap</v>
      </c>
      <c r="B6646" s="4" t="str">
        <f>IFERROR(__xludf.DUMMYFUNCTION("""COMPUTED_VALUE"""),"knight")</f>
        <v>knight</v>
      </c>
      <c r="C6646" s="4" t="str">
        <f>IFERROR(__xludf.DUMMYFUNCTION("""COMPUTED_VALUE"""),"KnightSwap")</f>
        <v>KnightSwap</v>
      </c>
    </row>
    <row r="6647">
      <c r="A6647" s="4" t="str">
        <f>IFERROR(__xludf.DUMMYFUNCTION("""COMPUTED_VALUE"""),"knight-war-spirits")</f>
        <v>knight-war-spirits</v>
      </c>
      <c r="B6647" s="4" t="str">
        <f>IFERROR(__xludf.DUMMYFUNCTION("""COMPUTED_VALUE"""),"kws")</f>
        <v>kws</v>
      </c>
      <c r="C6647" s="4" t="str">
        <f>IFERROR(__xludf.DUMMYFUNCTION("""COMPUTED_VALUE"""),"Knight War Spirits")</f>
        <v>Knight War Spirits</v>
      </c>
    </row>
    <row r="6648">
      <c r="A6648" s="4" t="str">
        <f>IFERROR(__xludf.DUMMYFUNCTION("""COMPUTED_VALUE"""),"knit-finance")</f>
        <v>knit-finance</v>
      </c>
      <c r="B6648" s="4" t="str">
        <f>IFERROR(__xludf.DUMMYFUNCTION("""COMPUTED_VALUE"""),"kft")</f>
        <v>kft</v>
      </c>
      <c r="C6648" s="4" t="str">
        <f>IFERROR(__xludf.DUMMYFUNCTION("""COMPUTED_VALUE"""),"Knit Finance")</f>
        <v>Knit Finance</v>
      </c>
    </row>
    <row r="6649">
      <c r="A6649" s="4" t="str">
        <f>IFERROR(__xludf.DUMMYFUNCTION("""COMPUTED_VALUE"""),"knob")</f>
        <v>knob</v>
      </c>
      <c r="B6649" s="4" t="str">
        <f>IFERROR(__xludf.DUMMYFUNCTION("""COMPUTED_VALUE"""),"knob")</f>
        <v>knob</v>
      </c>
      <c r="C6649" s="4" t="str">
        <f>IFERROR(__xludf.DUMMYFUNCTION("""COMPUTED_VALUE"""),"KNOB$")</f>
        <v>KNOB$</v>
      </c>
    </row>
    <row r="6650">
      <c r="A6650" s="4" t="str">
        <f>IFERROR(__xludf.DUMMYFUNCTION("""COMPUTED_VALUE"""),"koakuma")</f>
        <v>koakuma</v>
      </c>
      <c r="B6650" s="4" t="str">
        <f>IFERROR(__xludf.DUMMYFUNCTION("""COMPUTED_VALUE"""),"kkma")</f>
        <v>kkma</v>
      </c>
      <c r="C6650" s="4" t="str">
        <f>IFERROR(__xludf.DUMMYFUNCTION("""COMPUTED_VALUE"""),"Koakuma")</f>
        <v>Koakuma</v>
      </c>
    </row>
    <row r="6651">
      <c r="A6651" s="4" t="str">
        <f>IFERROR(__xludf.DUMMYFUNCTION("""COMPUTED_VALUE"""),"koala-ai")</f>
        <v>koala-ai</v>
      </c>
      <c r="B6651" s="4" t="str">
        <f>IFERROR(__xludf.DUMMYFUNCTION("""COMPUTED_VALUE"""),"koko")</f>
        <v>koko</v>
      </c>
      <c r="C6651" s="4" t="str">
        <f>IFERROR(__xludf.DUMMYFUNCTION("""COMPUTED_VALUE"""),"KOALA AI")</f>
        <v>KOALA AI</v>
      </c>
    </row>
    <row r="6652">
      <c r="A6652" s="4" t="str">
        <f>IFERROR(__xludf.DUMMYFUNCTION("""COMPUTED_VALUE"""),"koava")</f>
        <v>koava</v>
      </c>
      <c r="B6652" s="4" t="str">
        <f>IFERROR(__xludf.DUMMYFUNCTION("""COMPUTED_VALUE"""),"koava")</f>
        <v>koava</v>
      </c>
      <c r="C6652" s="4" t="str">
        <f>IFERROR(__xludf.DUMMYFUNCTION("""COMPUTED_VALUE"""),"Koava")</f>
        <v>Koava</v>
      </c>
    </row>
    <row r="6653">
      <c r="A6653" s="4" t="str">
        <f>IFERROR(__xludf.DUMMYFUNCTION("""COMPUTED_VALUE"""),"kobe")</f>
        <v>kobe</v>
      </c>
      <c r="B6653" s="4" t="str">
        <f>IFERROR(__xludf.DUMMYFUNCTION("""COMPUTED_VALUE"""),"beef")</f>
        <v>beef</v>
      </c>
      <c r="C6653" s="4" t="str">
        <f>IFERROR(__xludf.DUMMYFUNCTION("""COMPUTED_VALUE"""),"Kobe")</f>
        <v>Kobe</v>
      </c>
    </row>
    <row r="6654">
      <c r="A6654" s="4" t="str">
        <f>IFERROR(__xludf.DUMMYFUNCTION("""COMPUTED_VALUE"""),"kocaelispor-fan-token")</f>
        <v>kocaelispor-fan-token</v>
      </c>
      <c r="B6654" s="4" t="str">
        <f>IFERROR(__xludf.DUMMYFUNCTION("""COMPUTED_VALUE"""),"kstt")</f>
        <v>kstt</v>
      </c>
      <c r="C6654" s="4" t="str">
        <f>IFERROR(__xludf.DUMMYFUNCTION("""COMPUTED_VALUE"""),"Kocaelispor Fan Token")</f>
        <v>Kocaelispor Fan Token</v>
      </c>
    </row>
    <row r="6655">
      <c r="A6655" s="4" t="str">
        <f>IFERROR(__xludf.DUMMYFUNCTION("""COMPUTED_VALUE"""),"kochi-ken")</f>
        <v>kochi-ken</v>
      </c>
      <c r="B6655" s="4" t="str">
        <f>IFERROR(__xludf.DUMMYFUNCTION("""COMPUTED_VALUE"""),"kochi")</f>
        <v>kochi</v>
      </c>
      <c r="C6655" s="4" t="str">
        <f>IFERROR(__xludf.DUMMYFUNCTION("""COMPUTED_VALUE"""),"Kochi Ken")</f>
        <v>Kochi Ken</v>
      </c>
    </row>
    <row r="6656">
      <c r="A6656" s="4" t="str">
        <f>IFERROR(__xludf.DUMMYFUNCTION("""COMPUTED_VALUE"""),"koda-finance")</f>
        <v>koda-finance</v>
      </c>
      <c r="B6656" s="4" t="str">
        <f>IFERROR(__xludf.DUMMYFUNCTION("""COMPUTED_VALUE"""),"koda")</f>
        <v>koda</v>
      </c>
      <c r="C6656" s="4" t="str">
        <f>IFERROR(__xludf.DUMMYFUNCTION("""COMPUTED_VALUE"""),"Koda Cryptocurrency")</f>
        <v>Koda Cryptocurrency</v>
      </c>
    </row>
    <row r="6657">
      <c r="A6657" s="4" t="str">
        <f>IFERROR(__xludf.DUMMYFUNCTION("""COMPUTED_VALUE"""),"kogecoin")</f>
        <v>kogecoin</v>
      </c>
      <c r="B6657" s="4" t="str">
        <f>IFERROR(__xludf.DUMMYFUNCTION("""COMPUTED_VALUE"""),"kogecoin")</f>
        <v>kogecoin</v>
      </c>
      <c r="C6657" s="4" t="str">
        <f>IFERROR(__xludf.DUMMYFUNCTION("""COMPUTED_VALUE"""),"KogeCoin")</f>
        <v>KogeCoin</v>
      </c>
    </row>
    <row r="6658">
      <c r="A6658" s="4" t="str">
        <f>IFERROR(__xludf.DUMMYFUNCTION("""COMPUTED_VALUE"""),"kohenoor")</f>
        <v>kohenoor</v>
      </c>
      <c r="B6658" s="4" t="str">
        <f>IFERROR(__xludf.DUMMYFUNCTION("""COMPUTED_VALUE"""),"ken")</f>
        <v>ken</v>
      </c>
      <c r="C6658" s="4" t="str">
        <f>IFERROR(__xludf.DUMMYFUNCTION("""COMPUTED_VALUE"""),"KOHENOOR")</f>
        <v>KOHENOOR</v>
      </c>
    </row>
    <row r="6659">
      <c r="A6659" s="4" t="str">
        <f>IFERROR(__xludf.DUMMYFUNCTION("""COMPUTED_VALUE"""),"koi")</f>
        <v>koi</v>
      </c>
      <c r="B6659" s="4" t="str">
        <f>IFERROR(__xludf.DUMMYFUNCTION("""COMPUTED_VALUE"""),"koi")</f>
        <v>koi</v>
      </c>
      <c r="C6659" s="4" t="str">
        <f>IFERROR(__xludf.DUMMYFUNCTION("""COMPUTED_VALUE"""),"KOI")</f>
        <v>KOI</v>
      </c>
    </row>
    <row r="6660">
      <c r="A6660" s="4" t="str">
        <f>IFERROR(__xludf.DUMMYFUNCTION("""COMPUTED_VALUE"""),"koi-2")</f>
        <v>koi-2</v>
      </c>
      <c r="B6660" s="4" t="str">
        <f>IFERROR(__xludf.DUMMYFUNCTION("""COMPUTED_VALUE"""),"koi")</f>
        <v>koi</v>
      </c>
      <c r="C6660" s="4" t="str">
        <f>IFERROR(__xludf.DUMMYFUNCTION("""COMPUTED_VALUE"""),"KOI")</f>
        <v>KOI</v>
      </c>
    </row>
    <row r="6661">
      <c r="A6661" s="6" t="str">
        <f>IFERROR(__xludf.DUMMYFUNCTION("""COMPUTED_VALUE"""),"koi-3")</f>
        <v>koi-3</v>
      </c>
      <c r="B6661" s="4" t="str">
        <f>IFERROR(__xludf.DUMMYFUNCTION("""COMPUTED_VALUE"""),"koi")</f>
        <v>koi</v>
      </c>
      <c r="C6661" s="4" t="str">
        <f>IFERROR(__xludf.DUMMYFUNCTION("""COMPUTED_VALUE"""),"Koi")</f>
        <v>Koi</v>
      </c>
    </row>
    <row r="6662">
      <c r="A6662" s="4" t="str">
        <f>IFERROR(__xludf.DUMMYFUNCTION("""COMPUTED_VALUE"""),"koinbay-token")</f>
        <v>koinbay-token</v>
      </c>
      <c r="B6662" s="4" t="str">
        <f>IFERROR(__xludf.DUMMYFUNCTION("""COMPUTED_VALUE"""),"kbt")</f>
        <v>kbt</v>
      </c>
      <c r="C6662" s="4" t="str">
        <f>IFERROR(__xludf.DUMMYFUNCTION("""COMPUTED_VALUE"""),"KoinBay Token")</f>
        <v>KoinBay Token</v>
      </c>
    </row>
    <row r="6663">
      <c r="A6663" s="4" t="str">
        <f>IFERROR(__xludf.DUMMYFUNCTION("""COMPUTED_VALUE"""),"koinon")</f>
        <v>koinon</v>
      </c>
      <c r="B6663" s="4" t="str">
        <f>IFERROR(__xludf.DUMMYFUNCTION("""COMPUTED_VALUE"""),"koin")</f>
        <v>koin</v>
      </c>
      <c r="C6663" s="4" t="str">
        <f>IFERROR(__xludf.DUMMYFUNCTION("""COMPUTED_VALUE"""),"Koinon")</f>
        <v>Koinon</v>
      </c>
    </row>
    <row r="6664">
      <c r="A6664" s="4" t="str">
        <f>IFERROR(__xludf.DUMMYFUNCTION("""COMPUTED_VALUE"""),"koinos")</f>
        <v>koinos</v>
      </c>
      <c r="B6664" s="4" t="str">
        <f>IFERROR(__xludf.DUMMYFUNCTION("""COMPUTED_VALUE"""),"koin")</f>
        <v>koin</v>
      </c>
      <c r="C6664" s="4" t="str">
        <f>IFERROR(__xludf.DUMMYFUNCTION("""COMPUTED_VALUE"""),"Koinos")</f>
        <v>Koinos</v>
      </c>
    </row>
    <row r="6665">
      <c r="A6665" s="4" t="str">
        <f>IFERROR(__xludf.DUMMYFUNCTION("""COMPUTED_VALUE"""),"koji")</f>
        <v>koji</v>
      </c>
      <c r="B6665" s="4" t="str">
        <f>IFERROR(__xludf.DUMMYFUNCTION("""COMPUTED_VALUE"""),"koji")</f>
        <v>koji</v>
      </c>
      <c r="C6665" s="4" t="str">
        <f>IFERROR(__xludf.DUMMYFUNCTION("""COMPUTED_VALUE"""),"Koji")</f>
        <v>Koji</v>
      </c>
    </row>
    <row r="6666">
      <c r="A6666" s="4" t="str">
        <f>IFERROR(__xludf.DUMMYFUNCTION("""COMPUTED_VALUE"""),"kok")</f>
        <v>kok</v>
      </c>
      <c r="B6666" s="4" t="str">
        <f>IFERROR(__xludf.DUMMYFUNCTION("""COMPUTED_VALUE"""),"kok")</f>
        <v>kok</v>
      </c>
      <c r="C6666" s="4" t="str">
        <f>IFERROR(__xludf.DUMMYFUNCTION("""COMPUTED_VALUE"""),"KOK")</f>
        <v>KOK</v>
      </c>
    </row>
    <row r="6667">
      <c r="A6667" s="4" t="str">
        <f>IFERROR(__xludf.DUMMYFUNCTION("""COMPUTED_VALUE"""),"kokoa-finance")</f>
        <v>kokoa-finance</v>
      </c>
      <c r="B6667" s="4" t="str">
        <f>IFERROR(__xludf.DUMMYFUNCTION("""COMPUTED_VALUE"""),"kokoa")</f>
        <v>kokoa</v>
      </c>
      <c r="C6667" s="4" t="str">
        <f>IFERROR(__xludf.DUMMYFUNCTION("""COMPUTED_VALUE"""),"Kokoa Finance")</f>
        <v>Kokoa Finance</v>
      </c>
    </row>
    <row r="6668">
      <c r="A6668" s="4" t="str">
        <f>IFERROR(__xludf.DUMMYFUNCTION("""COMPUTED_VALUE"""),"kokoa-stable-dollar")</f>
        <v>kokoa-stable-dollar</v>
      </c>
      <c r="B6668" s="4" t="str">
        <f>IFERROR(__xludf.DUMMYFUNCTION("""COMPUTED_VALUE"""),"ksd")</f>
        <v>ksd</v>
      </c>
      <c r="C6668" s="4" t="str">
        <f>IFERROR(__xludf.DUMMYFUNCTION("""COMPUTED_VALUE"""),"Kokoa Stable Dollar")</f>
        <v>Kokoa Stable Dollar</v>
      </c>
    </row>
    <row r="6669">
      <c r="A6669" s="4" t="str">
        <f>IFERROR(__xludf.DUMMYFUNCTION("""COMPUTED_VALUE"""),"kokonut-swap")</f>
        <v>kokonut-swap</v>
      </c>
      <c r="B6669" s="4" t="str">
        <f>IFERROR(__xludf.DUMMYFUNCTION("""COMPUTED_VALUE"""),"kokos")</f>
        <v>kokos</v>
      </c>
      <c r="C6669" s="4" t="str">
        <f>IFERROR(__xludf.DUMMYFUNCTION("""COMPUTED_VALUE"""),"Kokonut Swap")</f>
        <v>Kokonut Swap</v>
      </c>
    </row>
    <row r="6670">
      <c r="A6670" s="4" t="str">
        <f>IFERROR(__xludf.DUMMYFUNCTION("""COMPUTED_VALUE"""),"kolibri-dao")</f>
        <v>kolibri-dao</v>
      </c>
      <c r="B6670" s="4" t="str">
        <f>IFERROR(__xludf.DUMMYFUNCTION("""COMPUTED_VALUE"""),"kdao")</f>
        <v>kdao</v>
      </c>
      <c r="C6670" s="4" t="str">
        <f>IFERROR(__xludf.DUMMYFUNCTION("""COMPUTED_VALUE"""),"Kolibri DAO")</f>
        <v>Kolibri DAO</v>
      </c>
    </row>
    <row r="6671">
      <c r="A6671" s="4" t="str">
        <f>IFERROR(__xludf.DUMMYFUNCTION("""COMPUTED_VALUE"""),"kolibri-usd")</f>
        <v>kolibri-usd</v>
      </c>
      <c r="B6671" s="4" t="str">
        <f>IFERROR(__xludf.DUMMYFUNCTION("""COMPUTED_VALUE"""),"kusd")</f>
        <v>kusd</v>
      </c>
      <c r="C6671" s="4" t="str">
        <f>IFERROR(__xludf.DUMMYFUNCTION("""COMPUTED_VALUE"""),"Kolibri USD")</f>
        <v>Kolibri USD</v>
      </c>
    </row>
    <row r="6672">
      <c r="A6672" s="4" t="str">
        <f>IFERROR(__xludf.DUMMYFUNCTION("""COMPUTED_VALUE"""),"kollector")</f>
        <v>kollector</v>
      </c>
      <c r="B6672" s="4" t="str">
        <f>IFERROR(__xludf.DUMMYFUNCTION("""COMPUTED_VALUE"""),"kltr")</f>
        <v>kltr</v>
      </c>
      <c r="C6672" s="4" t="str">
        <f>IFERROR(__xludf.DUMMYFUNCTION("""COMPUTED_VALUE"""),"Kollector")</f>
        <v>Kollector</v>
      </c>
    </row>
    <row r="6673">
      <c r="A6673" s="4" t="str">
        <f>IFERROR(__xludf.DUMMYFUNCTION("""COMPUTED_VALUE"""),"kommunitas")</f>
        <v>kommunitas</v>
      </c>
      <c r="B6673" s="4" t="str">
        <f>IFERROR(__xludf.DUMMYFUNCTION("""COMPUTED_VALUE"""),"kom")</f>
        <v>kom</v>
      </c>
      <c r="C6673" s="4" t="str">
        <f>IFERROR(__xludf.DUMMYFUNCTION("""COMPUTED_VALUE"""),"Kommunitas")</f>
        <v>Kommunitas</v>
      </c>
    </row>
    <row r="6674">
      <c r="A6674" s="4" t="str">
        <f>IFERROR(__xludf.DUMMYFUNCTION("""COMPUTED_VALUE"""),"komodo")</f>
        <v>komodo</v>
      </c>
      <c r="B6674" s="4" t="str">
        <f>IFERROR(__xludf.DUMMYFUNCTION("""COMPUTED_VALUE"""),"kmd")</f>
        <v>kmd</v>
      </c>
      <c r="C6674" s="4" t="str">
        <f>IFERROR(__xludf.DUMMYFUNCTION("""COMPUTED_VALUE"""),"Komodo")</f>
        <v>Komodo</v>
      </c>
    </row>
    <row r="6675">
      <c r="A6675" s="4" t="str">
        <f>IFERROR(__xludf.DUMMYFUNCTION("""COMPUTED_VALUE"""),"kompete")</f>
        <v>kompete</v>
      </c>
      <c r="B6675" s="4" t="str">
        <f>IFERROR(__xludf.DUMMYFUNCTION("""COMPUTED_VALUE"""),"kompete")</f>
        <v>kompete</v>
      </c>
      <c r="C6675" s="4" t="str">
        <f>IFERROR(__xludf.DUMMYFUNCTION("""COMPUTED_VALUE"""),"KOMPETE")</f>
        <v>KOMPETE</v>
      </c>
    </row>
    <row r="6676">
      <c r="A6676" s="4" t="str">
        <f>IFERROR(__xludf.DUMMYFUNCTION("""COMPUTED_VALUE"""),"kondux-v2")</f>
        <v>kondux-v2</v>
      </c>
      <c r="B6676" s="4" t="str">
        <f>IFERROR(__xludf.DUMMYFUNCTION("""COMPUTED_VALUE"""),"kndx")</f>
        <v>kndx</v>
      </c>
      <c r="C6676" s="4" t="str">
        <f>IFERROR(__xludf.DUMMYFUNCTION("""COMPUTED_VALUE"""),"KONDUX")</f>
        <v>KONDUX</v>
      </c>
    </row>
    <row r="6677">
      <c r="A6677" s="4" t="str">
        <f>IFERROR(__xludf.DUMMYFUNCTION("""COMPUTED_VALUE"""),"kong")</f>
        <v>kong</v>
      </c>
      <c r="B6677" s="4" t="str">
        <f>IFERROR(__xludf.DUMMYFUNCTION("""COMPUTED_VALUE"""),"kong")</f>
        <v>kong</v>
      </c>
      <c r="C6677" s="4" t="str">
        <f>IFERROR(__xludf.DUMMYFUNCTION("""COMPUTED_VALUE"""),"KONG")</f>
        <v>KONG</v>
      </c>
    </row>
    <row r="6678">
      <c r="A6678" s="4" t="str">
        <f>IFERROR(__xludf.DUMMYFUNCTION("""COMPUTED_VALUE"""),"konke")</f>
        <v>konke</v>
      </c>
      <c r="B6678" s="4" t="str">
        <f>IFERROR(__xludf.DUMMYFUNCTION("""COMPUTED_VALUE"""),"konke")</f>
        <v>konke</v>
      </c>
      <c r="C6678" s="4" t="str">
        <f>IFERROR(__xludf.DUMMYFUNCTION("""COMPUTED_VALUE"""),"Konke")</f>
        <v>Konke</v>
      </c>
    </row>
    <row r="6679">
      <c r="A6679" s="4" t="str">
        <f>IFERROR(__xludf.DUMMYFUNCTION("""COMPUTED_VALUE"""),"konnect")</f>
        <v>konnect</v>
      </c>
      <c r="B6679" s="4" t="str">
        <f>IFERROR(__xludf.DUMMYFUNCTION("""COMPUTED_VALUE"""),"kct")</f>
        <v>kct</v>
      </c>
      <c r="C6679" s="4" t="str">
        <f>IFERROR(__xludf.DUMMYFUNCTION("""COMPUTED_VALUE"""),"Konnect")</f>
        <v>Konnect</v>
      </c>
    </row>
    <row r="6680">
      <c r="A6680" s="4" t="str">
        <f>IFERROR(__xludf.DUMMYFUNCTION("""COMPUTED_VALUE"""),"konomi-network")</f>
        <v>konomi-network</v>
      </c>
      <c r="B6680" s="4" t="str">
        <f>IFERROR(__xludf.DUMMYFUNCTION("""COMPUTED_VALUE"""),"kono")</f>
        <v>kono</v>
      </c>
      <c r="C6680" s="4" t="str">
        <f>IFERROR(__xludf.DUMMYFUNCTION("""COMPUTED_VALUE"""),"Konomi Network")</f>
        <v>Konomi Network</v>
      </c>
    </row>
    <row r="6681">
      <c r="A6681" s="4" t="str">
        <f>IFERROR(__xludf.DUMMYFUNCTION("""COMPUTED_VALUE"""),"konpay")</f>
        <v>konpay</v>
      </c>
      <c r="B6681" s="4" t="str">
        <f>IFERROR(__xludf.DUMMYFUNCTION("""COMPUTED_VALUE"""),"kon")</f>
        <v>kon</v>
      </c>
      <c r="C6681" s="4" t="str">
        <f>IFERROR(__xludf.DUMMYFUNCTION("""COMPUTED_VALUE"""),"KonPay")</f>
        <v>KonPay</v>
      </c>
    </row>
    <row r="6682">
      <c r="A6682" s="4" t="str">
        <f>IFERROR(__xludf.DUMMYFUNCTION("""COMPUTED_VALUE"""),"koop360")</f>
        <v>koop360</v>
      </c>
      <c r="B6682" s="4" t="str">
        <f>IFERROR(__xludf.DUMMYFUNCTION("""COMPUTED_VALUE"""),"koop")</f>
        <v>koop</v>
      </c>
      <c r="C6682" s="4" t="str">
        <f>IFERROR(__xludf.DUMMYFUNCTION("""COMPUTED_VALUE"""),"Koop360")</f>
        <v>Koop360</v>
      </c>
    </row>
    <row r="6683">
      <c r="A6683" s="4" t="str">
        <f>IFERROR(__xludf.DUMMYFUNCTION("""COMPUTED_VALUE"""),"korra")</f>
        <v>korra</v>
      </c>
      <c r="B6683" s="4" t="str">
        <f>IFERROR(__xludf.DUMMYFUNCTION("""COMPUTED_VALUE"""),"korra")</f>
        <v>korra</v>
      </c>
      <c r="C6683" s="4" t="str">
        <f>IFERROR(__xludf.DUMMYFUNCTION("""COMPUTED_VALUE"""),"KORRA")</f>
        <v>KORRA</v>
      </c>
    </row>
    <row r="6684">
      <c r="A6684" s="4" t="str">
        <f>IFERROR(__xludf.DUMMYFUNCTION("""COMPUTED_VALUE"""),"kortana")</f>
        <v>kortana</v>
      </c>
      <c r="B6684" s="4" t="str">
        <f>IFERROR(__xludf.DUMMYFUNCTION("""COMPUTED_VALUE"""),"kora")</f>
        <v>kora</v>
      </c>
      <c r="C6684" s="4" t="str">
        <f>IFERROR(__xludf.DUMMYFUNCTION("""COMPUTED_VALUE"""),"Kortana")</f>
        <v>Kortana</v>
      </c>
    </row>
    <row r="6685">
      <c r="A6685" s="4" t="str">
        <f>IFERROR(__xludf.DUMMYFUNCTION("""COMPUTED_VALUE"""),"kotia")</f>
        <v>kotia</v>
      </c>
      <c r="B6685" s="4" t="str">
        <f>IFERROR(__xludf.DUMMYFUNCTION("""COMPUTED_VALUE"""),"kot")</f>
        <v>kot</v>
      </c>
      <c r="C6685" s="4" t="str">
        <f>IFERROR(__xludf.DUMMYFUNCTION("""COMPUTED_VALUE"""),"kotia")</f>
        <v>kotia</v>
      </c>
    </row>
    <row r="6686">
      <c r="A6686" s="4" t="str">
        <f>IFERROR(__xludf.DUMMYFUNCTION("""COMPUTED_VALUE"""),"kounotori")</f>
        <v>kounotori</v>
      </c>
      <c r="B6686" s="4" t="str">
        <f>IFERROR(__xludf.DUMMYFUNCTION("""COMPUTED_VALUE"""),"kto")</f>
        <v>kto</v>
      </c>
      <c r="C6686" s="4" t="str">
        <f>IFERROR(__xludf.DUMMYFUNCTION("""COMPUTED_VALUE"""),"Kounotori")</f>
        <v>Kounotori</v>
      </c>
    </row>
    <row r="6687">
      <c r="A6687" s="4" t="str">
        <f>IFERROR(__xludf.DUMMYFUNCTION("""COMPUTED_VALUE"""),"kovin-segnocchi")</f>
        <v>kovin-segnocchi</v>
      </c>
      <c r="B6687" s="4" t="str">
        <f>IFERROR(__xludf.DUMMYFUNCTION("""COMPUTED_VALUE"""),"kovin")</f>
        <v>kovin</v>
      </c>
      <c r="C6687" s="4" t="str">
        <f>IFERROR(__xludf.DUMMYFUNCTION("""COMPUTED_VALUE"""),"Kovin Segnocchi")</f>
        <v>Kovin Segnocchi</v>
      </c>
    </row>
    <row r="6688">
      <c r="A6688" s="4" t="str">
        <f>IFERROR(__xludf.DUMMYFUNCTION("""COMPUTED_VALUE"""),"koyo")</f>
        <v>koyo</v>
      </c>
      <c r="B6688" s="4" t="str">
        <f>IFERROR(__xludf.DUMMYFUNCTION("""COMPUTED_VALUE"""),"kyo")</f>
        <v>kyo</v>
      </c>
      <c r="C6688" s="4" t="str">
        <f>IFERROR(__xludf.DUMMYFUNCTION("""COMPUTED_VALUE"""),"Kōyō")</f>
        <v>Kōyō</v>
      </c>
    </row>
    <row r="6689">
      <c r="A6689" s="4" t="str">
        <f>IFERROR(__xludf.DUMMYFUNCTION("""COMPUTED_VALUE"""),"koyo-6e93c7c7-03a3-4475-86a1-f0bc80ee09d6")</f>
        <v>koyo-6e93c7c7-03a3-4475-86a1-f0bc80ee09d6</v>
      </c>
      <c r="B6689" s="4" t="str">
        <f>IFERROR(__xludf.DUMMYFUNCTION("""COMPUTED_VALUE"""),"koy")</f>
        <v>koy</v>
      </c>
      <c r="C6689" s="4" t="str">
        <f>IFERROR(__xludf.DUMMYFUNCTION("""COMPUTED_VALUE"""),"Koyo")</f>
        <v>Koyo</v>
      </c>
    </row>
    <row r="6690">
      <c r="A6690" s="4" t="str">
        <f>IFERROR(__xludf.DUMMYFUNCTION("""COMPUTED_VALUE"""),"k-pop-click-coin")</f>
        <v>k-pop-click-coin</v>
      </c>
      <c r="B6690" s="4" t="str">
        <f>IFERROR(__xludf.DUMMYFUNCTION("""COMPUTED_VALUE"""),"kpc")</f>
        <v>kpc</v>
      </c>
      <c r="C6690" s="4" t="str">
        <f>IFERROR(__xludf.DUMMYFUNCTION("""COMPUTED_VALUE"""),"K-POP CLICK COIN")</f>
        <v>K-POP CLICK COIN</v>
      </c>
    </row>
    <row r="6691">
      <c r="A6691" s="4" t="str">
        <f>IFERROR(__xludf.DUMMYFUNCTION("""COMPUTED_VALUE"""),"kpop-coin")</f>
        <v>kpop-coin</v>
      </c>
      <c r="B6691" s="4" t="str">
        <f>IFERROR(__xludf.DUMMYFUNCTION("""COMPUTED_VALUE"""),"kpop")</f>
        <v>kpop</v>
      </c>
      <c r="C6691" s="4" t="str">
        <f>IFERROR(__xludf.DUMMYFUNCTION("""COMPUTED_VALUE"""),"KPOP Coin")</f>
        <v>KPOP Coin</v>
      </c>
    </row>
    <row r="6692">
      <c r="A6692" s="4" t="str">
        <f>IFERROR(__xludf.DUMMYFUNCTION("""COMPUTED_VALUE"""),"k-pop-on-solana")</f>
        <v>k-pop-on-solana</v>
      </c>
      <c r="B6692" s="4" t="str">
        <f>IFERROR(__xludf.DUMMYFUNCTION("""COMPUTED_VALUE"""),"kpop")</f>
        <v>kpop</v>
      </c>
      <c r="C6692" s="4" t="str">
        <f>IFERROR(__xludf.DUMMYFUNCTION("""COMPUTED_VALUE"""),"K-Pop on Solana")</f>
        <v>K-Pop on Solana</v>
      </c>
    </row>
    <row r="6693">
      <c r="A6693" s="4" t="str">
        <f>IFERROR(__xludf.DUMMYFUNCTION("""COMPUTED_VALUE"""),"kragger-inu")</f>
        <v>kragger-inu</v>
      </c>
      <c r="B6693" s="4" t="str">
        <f>IFERROR(__xludf.DUMMYFUNCTION("""COMPUTED_VALUE"""),"kinu")</f>
        <v>kinu</v>
      </c>
      <c r="C6693" s="4" t="str">
        <f>IFERROR(__xludf.DUMMYFUNCTION("""COMPUTED_VALUE"""),"Kragger Inu")</f>
        <v>Kragger Inu</v>
      </c>
    </row>
    <row r="6694">
      <c r="A6694" s="4" t="str">
        <f>IFERROR(__xludf.DUMMYFUNCTION("""COMPUTED_VALUE"""),"krav")</f>
        <v>krav</v>
      </c>
      <c r="B6694" s="4" t="str">
        <f>IFERROR(__xludf.DUMMYFUNCTION("""COMPUTED_VALUE"""),"krav")</f>
        <v>krav</v>
      </c>
      <c r="C6694" s="4" t="str">
        <f>IFERROR(__xludf.DUMMYFUNCTION("""COMPUTED_VALUE"""),"Krav")</f>
        <v>Krav</v>
      </c>
    </row>
    <row r="6695">
      <c r="A6695" s="4" t="str">
        <f>IFERROR(__xludf.DUMMYFUNCTION("""COMPUTED_VALUE"""),"kreaitor")</f>
        <v>kreaitor</v>
      </c>
      <c r="B6695" s="4" t="str">
        <f>IFERROR(__xludf.DUMMYFUNCTION("""COMPUTED_VALUE"""),"kai")</f>
        <v>kai</v>
      </c>
      <c r="C6695" s="4" t="str">
        <f>IFERROR(__xludf.DUMMYFUNCTION("""COMPUTED_VALUE"""),"Kreaitor")</f>
        <v>Kreaitor</v>
      </c>
    </row>
    <row r="6696">
      <c r="A6696" s="4" t="str">
        <f>IFERROR(__xludf.DUMMYFUNCTION("""COMPUTED_VALUE"""),"kred")</f>
        <v>kred</v>
      </c>
      <c r="B6696" s="4" t="str">
        <f>IFERROR(__xludf.DUMMYFUNCTION("""COMPUTED_VALUE"""),"kred")</f>
        <v>kred</v>
      </c>
      <c r="C6696" s="4" t="str">
        <f>IFERROR(__xludf.DUMMYFUNCTION("""COMPUTED_VALUE"""),"KRED")</f>
        <v>KRED</v>
      </c>
    </row>
    <row r="6697">
      <c r="A6697" s="4" t="str">
        <f>IFERROR(__xludf.DUMMYFUNCTION("""COMPUTED_VALUE"""),"krees")</f>
        <v>krees</v>
      </c>
      <c r="B6697" s="4" t="str">
        <f>IFERROR(__xludf.DUMMYFUNCTION("""COMPUTED_VALUE"""),"krees")</f>
        <v>krees</v>
      </c>
      <c r="C6697" s="4" t="str">
        <f>IFERROR(__xludf.DUMMYFUNCTION("""COMPUTED_VALUE"""),"Krees")</f>
        <v>Krees</v>
      </c>
    </row>
    <row r="6698">
      <c r="A6698" s="4" t="str">
        <f>IFERROR(__xludf.DUMMYFUNCTION("""COMPUTED_VALUE"""),"krest")</f>
        <v>krest</v>
      </c>
      <c r="B6698" s="4" t="str">
        <f>IFERROR(__xludf.DUMMYFUNCTION("""COMPUTED_VALUE"""),"krest")</f>
        <v>krest</v>
      </c>
      <c r="C6698" s="4" t="str">
        <f>IFERROR(__xludf.DUMMYFUNCTION("""COMPUTED_VALUE"""),"Krest")</f>
        <v>Krest</v>
      </c>
    </row>
    <row r="6699">
      <c r="A6699" s="4" t="str">
        <f>IFERROR(__xludf.DUMMYFUNCTION("""COMPUTED_VALUE"""),"krida-fans")</f>
        <v>krida-fans</v>
      </c>
      <c r="B6699" s="4" t="str">
        <f>IFERROR(__xludf.DUMMYFUNCTION("""COMPUTED_VALUE"""),"krida")</f>
        <v>krida</v>
      </c>
      <c r="C6699" s="4" t="str">
        <f>IFERROR(__xludf.DUMMYFUNCTION("""COMPUTED_VALUE"""),"Krida Fans")</f>
        <v>Krida Fans</v>
      </c>
    </row>
    <row r="6700">
      <c r="A6700" s="4" t="str">
        <f>IFERROR(__xludf.DUMMYFUNCTION("""COMPUTED_VALUE"""),"krill")</f>
        <v>krill</v>
      </c>
      <c r="B6700" s="4" t="str">
        <f>IFERROR(__xludf.DUMMYFUNCTION("""COMPUTED_VALUE"""),"krill")</f>
        <v>krill</v>
      </c>
      <c r="C6700" s="4" t="str">
        <f>IFERROR(__xludf.DUMMYFUNCTION("""COMPUTED_VALUE"""),"Krill")</f>
        <v>Krill</v>
      </c>
    </row>
    <row r="6701">
      <c r="A6701" s="4" t="str">
        <f>IFERROR(__xludf.DUMMYFUNCTION("""COMPUTED_VALUE"""),"kripto")</f>
        <v>kripto</v>
      </c>
      <c r="B6701" s="4" t="str">
        <f>IFERROR(__xludf.DUMMYFUNCTION("""COMPUTED_VALUE"""),"kripto")</f>
        <v>kripto</v>
      </c>
      <c r="C6701" s="4" t="str">
        <f>IFERROR(__xludf.DUMMYFUNCTION("""COMPUTED_VALUE"""),"Kripto")</f>
        <v>Kripto</v>
      </c>
    </row>
    <row r="6702">
      <c r="A6702" s="4" t="str">
        <f>IFERROR(__xludf.DUMMYFUNCTION("""COMPUTED_VALUE"""),"kripto-galaxy-battle")</f>
        <v>kripto-galaxy-battle</v>
      </c>
      <c r="B6702" s="4" t="str">
        <f>IFERROR(__xludf.DUMMYFUNCTION("""COMPUTED_VALUE"""),"kaba")</f>
        <v>kaba</v>
      </c>
      <c r="C6702" s="4" t="str">
        <f>IFERROR(__xludf.DUMMYFUNCTION("""COMPUTED_VALUE"""),"Kripto Galaxy Battle")</f>
        <v>Kripto Galaxy Battle</v>
      </c>
    </row>
    <row r="6703">
      <c r="A6703" s="4" t="str">
        <f>IFERROR(__xludf.DUMMYFUNCTION("""COMPUTED_VALUE"""),"krogan")</f>
        <v>krogan</v>
      </c>
      <c r="B6703" s="4" t="str">
        <f>IFERROR(__xludf.DUMMYFUNCTION("""COMPUTED_VALUE"""),"kro")</f>
        <v>kro</v>
      </c>
      <c r="C6703" s="4" t="str">
        <f>IFERROR(__xludf.DUMMYFUNCTION("""COMPUTED_VALUE"""),"Krogan")</f>
        <v>Krogan</v>
      </c>
    </row>
    <row r="6704">
      <c r="A6704" s="4" t="str">
        <f>IFERROR(__xludf.DUMMYFUNCTION("""COMPUTED_VALUE"""),"kroma")</f>
        <v>kroma</v>
      </c>
      <c r="B6704" s="4" t="str">
        <f>IFERROR(__xludf.DUMMYFUNCTION("""COMPUTED_VALUE"""),"kro")</f>
        <v>kro</v>
      </c>
      <c r="C6704" s="4" t="str">
        <f>IFERROR(__xludf.DUMMYFUNCTION("""COMPUTED_VALUE"""),"Kroma")</f>
        <v>Kroma</v>
      </c>
    </row>
    <row r="6705">
      <c r="A6705" s="4" t="str">
        <f>IFERROR(__xludf.DUMMYFUNCTION("""COMPUTED_VALUE"""),"kromatika")</f>
        <v>kromatika</v>
      </c>
      <c r="B6705" s="4" t="str">
        <f>IFERROR(__xludf.DUMMYFUNCTION("""COMPUTED_VALUE"""),"krom")</f>
        <v>krom</v>
      </c>
      <c r="C6705" s="4" t="str">
        <f>IFERROR(__xludf.DUMMYFUNCTION("""COMPUTED_VALUE"""),"Kromatika")</f>
        <v>Kromatika</v>
      </c>
    </row>
    <row r="6706">
      <c r="A6706" s="4" t="str">
        <f>IFERROR(__xludf.DUMMYFUNCTION("""COMPUTED_VALUE"""),"kronobit")</f>
        <v>kronobit</v>
      </c>
      <c r="B6706" s="4" t="str">
        <f>IFERROR(__xludf.DUMMYFUNCTION("""COMPUTED_VALUE"""),"knb")</f>
        <v>knb</v>
      </c>
      <c r="C6706" s="4" t="str">
        <f>IFERROR(__xludf.DUMMYFUNCTION("""COMPUTED_VALUE"""),"Kronobit Networks Blockchain")</f>
        <v>Kronobit Networks Blockchain</v>
      </c>
    </row>
    <row r="6707">
      <c r="A6707" s="4" t="str">
        <f>IFERROR(__xludf.DUMMYFUNCTION("""COMPUTED_VALUE"""),"krown")</f>
        <v>krown</v>
      </c>
      <c r="B6707" s="4" t="str">
        <f>IFERROR(__xludf.DUMMYFUNCTION("""COMPUTED_VALUE"""),"krw")</f>
        <v>krw</v>
      </c>
      <c r="C6707" s="4" t="str">
        <f>IFERROR(__xludf.DUMMYFUNCTION("""COMPUTED_VALUE"""),"KROWN")</f>
        <v>KROWN</v>
      </c>
    </row>
    <row r="6708">
      <c r="A6708" s="4" t="str">
        <f>IFERROR(__xludf.DUMMYFUNCTION("""COMPUTED_VALUE"""),"kryll")</f>
        <v>kryll</v>
      </c>
      <c r="B6708" s="4" t="str">
        <f>IFERROR(__xludf.DUMMYFUNCTION("""COMPUTED_VALUE"""),"krl")</f>
        <v>krl</v>
      </c>
      <c r="C6708" s="4" t="str">
        <f>IFERROR(__xludf.DUMMYFUNCTION("""COMPUTED_VALUE"""),"KRYLL")</f>
        <v>KRYLL</v>
      </c>
    </row>
    <row r="6709">
      <c r="A6709" s="4" t="str">
        <f>IFERROR(__xludf.DUMMYFUNCTION("""COMPUTED_VALUE"""),"krypto-fraxtal-chicken")</f>
        <v>krypto-fraxtal-chicken</v>
      </c>
      <c r="B6709" s="4" t="str">
        <f>IFERROR(__xludf.DUMMYFUNCTION("""COMPUTED_VALUE"""),"kfc")</f>
        <v>kfc</v>
      </c>
      <c r="C6709" s="4" t="str">
        <f>IFERROR(__xludf.DUMMYFUNCTION("""COMPUTED_VALUE"""),"Krypto Fraxtal Chicken")</f>
        <v>Krypto Fraxtal Chicken</v>
      </c>
    </row>
    <row r="6710">
      <c r="A6710" s="4" t="str">
        <f>IFERROR(__xludf.DUMMYFUNCTION("""COMPUTED_VALUE"""),"kryptokrona")</f>
        <v>kryptokrona</v>
      </c>
      <c r="B6710" s="4" t="str">
        <f>IFERROR(__xludf.DUMMYFUNCTION("""COMPUTED_VALUE"""),"xkr")</f>
        <v>xkr</v>
      </c>
      <c r="C6710" s="4" t="str">
        <f>IFERROR(__xludf.DUMMYFUNCTION("""COMPUTED_VALUE"""),"Kryptokrona")</f>
        <v>Kryptokrona</v>
      </c>
    </row>
    <row r="6711">
      <c r="A6711" s="4" t="str">
        <f>IFERROR(__xludf.DUMMYFUNCTION("""COMPUTED_VALUE"""),"kryptomon")</f>
        <v>kryptomon</v>
      </c>
      <c r="B6711" s="4" t="str">
        <f>IFERROR(__xludf.DUMMYFUNCTION("""COMPUTED_VALUE"""),"kmon")</f>
        <v>kmon</v>
      </c>
      <c r="C6711" s="4" t="str">
        <f>IFERROR(__xludf.DUMMYFUNCTION("""COMPUTED_VALUE"""),"Kryptomon")</f>
        <v>Kryptomon</v>
      </c>
    </row>
    <row r="6712">
      <c r="A6712" s="4" t="str">
        <f>IFERROR(__xludf.DUMMYFUNCTION("""COMPUTED_VALUE"""),"krypton-dao")</f>
        <v>krypton-dao</v>
      </c>
      <c r="B6712" s="4" t="str">
        <f>IFERROR(__xludf.DUMMYFUNCTION("""COMPUTED_VALUE"""),"krd")</f>
        <v>krd</v>
      </c>
      <c r="C6712" s="4" t="str">
        <f>IFERROR(__xludf.DUMMYFUNCTION("""COMPUTED_VALUE"""),"Krypton DAO")</f>
        <v>Krypton DAO</v>
      </c>
    </row>
    <row r="6713">
      <c r="A6713" s="4" t="str">
        <f>IFERROR(__xludf.DUMMYFUNCTION("""COMPUTED_VALUE"""),"kryptonite")</f>
        <v>kryptonite</v>
      </c>
      <c r="B6713" s="4" t="str">
        <f>IFERROR(__xludf.DUMMYFUNCTION("""COMPUTED_VALUE"""),"seilor")</f>
        <v>seilor</v>
      </c>
      <c r="C6713" s="4" t="str">
        <f>IFERROR(__xludf.DUMMYFUNCTION("""COMPUTED_VALUE"""),"Kryptonite")</f>
        <v>Kryptonite</v>
      </c>
    </row>
    <row r="6714">
      <c r="A6714" s="4" t="str">
        <f>IFERROR(__xludf.DUMMYFUNCTION("""COMPUTED_VALUE"""),"kryptonite-staked-sei")</f>
        <v>kryptonite-staked-sei</v>
      </c>
      <c r="B6714" s="4" t="str">
        <f>IFERROR(__xludf.DUMMYFUNCTION("""COMPUTED_VALUE"""),"stsei")</f>
        <v>stsei</v>
      </c>
      <c r="C6714" s="4" t="str">
        <f>IFERROR(__xludf.DUMMYFUNCTION("""COMPUTED_VALUE"""),"Kryptonite Staked SEI")</f>
        <v>Kryptonite Staked SEI</v>
      </c>
    </row>
    <row r="6715">
      <c r="A6715" s="4" t="str">
        <f>IFERROR(__xludf.DUMMYFUNCTION("""COMPUTED_VALUE"""),"krypton-token")</f>
        <v>krypton-token</v>
      </c>
      <c r="B6715" s="4" t="str">
        <f>IFERROR(__xludf.DUMMYFUNCTION("""COMPUTED_VALUE"""),"kgc")</f>
        <v>kgc</v>
      </c>
      <c r="C6715" s="4" t="str">
        <f>IFERROR(__xludf.DUMMYFUNCTION("""COMPUTED_VALUE"""),"Krypton Galaxy Coin")</f>
        <v>Krypton Galaxy Coin</v>
      </c>
    </row>
    <row r="6716">
      <c r="A6716" s="4" t="str">
        <f>IFERROR(__xludf.DUMMYFUNCTION("""COMPUTED_VALUE"""),"kryxivia-game")</f>
        <v>kryxivia-game</v>
      </c>
      <c r="B6716" s="4" t="str">
        <f>IFERROR(__xludf.DUMMYFUNCTION("""COMPUTED_VALUE"""),"kxa")</f>
        <v>kxa</v>
      </c>
      <c r="C6716" s="4" t="str">
        <f>IFERROR(__xludf.DUMMYFUNCTION("""COMPUTED_VALUE"""),"Kryxivia Game")</f>
        <v>Kryxivia Game</v>
      </c>
    </row>
    <row r="6717">
      <c r="A6717" s="4" t="str">
        <f>IFERROR(__xludf.DUMMYFUNCTION("""COMPUTED_VALUE"""),"kryza-exchange")</f>
        <v>kryza-exchange</v>
      </c>
      <c r="B6717" s="4" t="str">
        <f>IFERROR(__xludf.DUMMYFUNCTION("""COMPUTED_VALUE"""),"krx")</f>
        <v>krx</v>
      </c>
      <c r="C6717" s="4" t="str">
        <f>IFERROR(__xludf.DUMMYFUNCTION("""COMPUTED_VALUE"""),"KRYZA Exchange")</f>
        <v>KRYZA Exchange</v>
      </c>
    </row>
    <row r="6718">
      <c r="A6718" s="4" t="str">
        <f>IFERROR(__xludf.DUMMYFUNCTION("""COMPUTED_VALUE"""),"kryza-network")</f>
        <v>kryza-network</v>
      </c>
      <c r="B6718" s="4" t="str">
        <f>IFERROR(__xludf.DUMMYFUNCTION("""COMPUTED_VALUE"""),"krn")</f>
        <v>krn</v>
      </c>
      <c r="C6718" s="4" t="str">
        <f>IFERROR(__xludf.DUMMYFUNCTION("""COMPUTED_VALUE"""),"KRYZA Network")</f>
        <v>KRYZA Network</v>
      </c>
    </row>
    <row r="6719">
      <c r="A6719" s="4" t="str">
        <f>IFERROR(__xludf.DUMMYFUNCTION("""COMPUTED_VALUE"""),"k-stadium")</f>
        <v>k-stadium</v>
      </c>
      <c r="B6719" s="4" t="str">
        <f>IFERROR(__xludf.DUMMYFUNCTION("""COMPUTED_VALUE"""),"ksta")</f>
        <v>ksta</v>
      </c>
      <c r="C6719" s="4" t="str">
        <f>IFERROR(__xludf.DUMMYFUNCTION("""COMPUTED_VALUE"""),"K Stadium")</f>
        <v>K Stadium</v>
      </c>
    </row>
    <row r="6720">
      <c r="A6720" s="4" t="str">
        <f>IFERROR(__xludf.DUMMYFUNCTION("""COMPUTED_VALUE"""),"kstarcoin")</f>
        <v>kstarcoin</v>
      </c>
      <c r="B6720" s="4" t="str">
        <f>IFERROR(__xludf.DUMMYFUNCTION("""COMPUTED_VALUE"""),"ksc")</f>
        <v>ksc</v>
      </c>
      <c r="C6720" s="4" t="str">
        <f>IFERROR(__xludf.DUMMYFUNCTION("""COMPUTED_VALUE"""),"KStarCoin")</f>
        <v>KStarCoin</v>
      </c>
    </row>
    <row r="6721">
      <c r="A6721" s="4" t="str">
        <f>IFERROR(__xludf.DUMMYFUNCTION("""COMPUTED_VALUE"""),"kstarnft")</f>
        <v>kstarnft</v>
      </c>
      <c r="B6721" s="4" t="str">
        <f>IFERROR(__xludf.DUMMYFUNCTION("""COMPUTED_VALUE"""),"knft")</f>
        <v>knft</v>
      </c>
      <c r="C6721" s="4" t="str">
        <f>IFERROR(__xludf.DUMMYFUNCTION("""COMPUTED_VALUE"""),"KStarNFT")</f>
        <v>KStarNFT</v>
      </c>
    </row>
    <row r="6722">
      <c r="A6722" s="4" t="str">
        <f>IFERROR(__xludf.DUMMYFUNCTION("""COMPUTED_VALUE"""),"k-tune")</f>
        <v>k-tune</v>
      </c>
      <c r="B6722" s="4" t="str">
        <f>IFERROR(__xludf.DUMMYFUNCTION("""COMPUTED_VALUE"""),"ktt")</f>
        <v>ktt</v>
      </c>
      <c r="C6722" s="4" t="str">
        <f>IFERROR(__xludf.DUMMYFUNCTION("""COMPUTED_VALUE"""),"K-Tune")</f>
        <v>K-Tune</v>
      </c>
    </row>
    <row r="6723">
      <c r="A6723" s="4" t="str">
        <f>IFERROR(__xludf.DUMMYFUNCTION("""COMPUTED_VALUE"""),"ktx-finance")</f>
        <v>ktx-finance</v>
      </c>
      <c r="B6723" s="4" t="str">
        <f>IFERROR(__xludf.DUMMYFUNCTION("""COMPUTED_VALUE"""),"ktc")</f>
        <v>ktc</v>
      </c>
      <c r="C6723" s="4" t="str">
        <f>IFERROR(__xludf.DUMMYFUNCTION("""COMPUTED_VALUE"""),"KTX.Finance")</f>
        <v>KTX.Finance</v>
      </c>
    </row>
    <row r="6724">
      <c r="A6724" s="4" t="str">
        <f>IFERROR(__xludf.DUMMYFUNCTION("""COMPUTED_VALUE"""),"kubecoin")</f>
        <v>kubecoin</v>
      </c>
      <c r="B6724" s="4" t="str">
        <f>IFERROR(__xludf.DUMMYFUNCTION("""COMPUTED_VALUE"""),"kube")</f>
        <v>kube</v>
      </c>
      <c r="C6724" s="4" t="str">
        <f>IFERROR(__xludf.DUMMYFUNCTION("""COMPUTED_VALUE"""),"KubeCoin")</f>
        <v>KubeCoin</v>
      </c>
    </row>
    <row r="6725">
      <c r="A6725" s="4" t="str">
        <f>IFERROR(__xludf.DUMMYFUNCTION("""COMPUTED_VALUE"""),"kubic")</f>
        <v>kubic</v>
      </c>
      <c r="B6725" s="4" t="str">
        <f>IFERROR(__xludf.DUMMYFUNCTION("""COMPUTED_VALUE"""),"kubic")</f>
        <v>kubic</v>
      </c>
      <c r="C6725" s="4" t="str">
        <f>IFERROR(__xludf.DUMMYFUNCTION("""COMPUTED_VALUE"""),"Kubic")</f>
        <v>Kubic</v>
      </c>
    </row>
    <row r="6726">
      <c r="A6726" s="4" t="str">
        <f>IFERROR(__xludf.DUMMYFUNCTION("""COMPUTED_VALUE"""),"kucoin-bridged-usdc-kucoin-community-chain")</f>
        <v>kucoin-bridged-usdc-kucoin-community-chain</v>
      </c>
      <c r="B6726" s="4" t="str">
        <f>IFERROR(__xludf.DUMMYFUNCTION("""COMPUTED_VALUE"""),"usdc")</f>
        <v>usdc</v>
      </c>
      <c r="C6726" s="4" t="str">
        <f>IFERROR(__xludf.DUMMYFUNCTION("""COMPUTED_VALUE"""),"Kucoin Bridged USDC (KuCoin Community Chain)")</f>
        <v>Kucoin Bridged USDC (KuCoin Community Chain)</v>
      </c>
    </row>
    <row r="6727">
      <c r="A6727" s="4" t="str">
        <f>IFERROR(__xludf.DUMMYFUNCTION("""COMPUTED_VALUE"""),"kucoin-bridged-usdt-kucoin-community-chain")</f>
        <v>kucoin-bridged-usdt-kucoin-community-chain</v>
      </c>
      <c r="B6727" s="4" t="str">
        <f>IFERROR(__xludf.DUMMYFUNCTION("""COMPUTED_VALUE"""),"usdt")</f>
        <v>usdt</v>
      </c>
      <c r="C6727" s="4" t="str">
        <f>IFERROR(__xludf.DUMMYFUNCTION("""COMPUTED_VALUE"""),"Kucoin Bridged USDT (KuCoin Community Chain)")</f>
        <v>Kucoin Bridged USDT (KuCoin Community Chain)</v>
      </c>
    </row>
    <row r="6728">
      <c r="A6728" s="4" t="str">
        <f>IFERROR(__xludf.DUMMYFUNCTION("""COMPUTED_VALUE"""),"kucoin-shares")</f>
        <v>kucoin-shares</v>
      </c>
      <c r="B6728" s="4" t="str">
        <f>IFERROR(__xludf.DUMMYFUNCTION("""COMPUTED_VALUE"""),"kcs")</f>
        <v>kcs</v>
      </c>
      <c r="C6728" s="4" t="str">
        <f>IFERROR(__xludf.DUMMYFUNCTION("""COMPUTED_VALUE"""),"KuCoin")</f>
        <v>KuCoin</v>
      </c>
    </row>
    <row r="6729">
      <c r="A6729" s="4" t="str">
        <f>IFERROR(__xludf.DUMMYFUNCTION("""COMPUTED_VALUE"""),"kudoe")</f>
        <v>kudoe</v>
      </c>
      <c r="B6729" s="4" t="str">
        <f>IFERROR(__xludf.DUMMYFUNCTION("""COMPUTED_VALUE"""),"kdoe")</f>
        <v>kdoe</v>
      </c>
      <c r="C6729" s="4" t="str">
        <f>IFERROR(__xludf.DUMMYFUNCTION("""COMPUTED_VALUE"""),"Kudoe")</f>
        <v>Kudoe</v>
      </c>
    </row>
    <row r="6730">
      <c r="A6730" s="4" t="str">
        <f>IFERROR(__xludf.DUMMYFUNCTION("""COMPUTED_VALUE"""),"kujira")</f>
        <v>kujira</v>
      </c>
      <c r="B6730" s="4" t="str">
        <f>IFERROR(__xludf.DUMMYFUNCTION("""COMPUTED_VALUE"""),"kuji")</f>
        <v>kuji</v>
      </c>
      <c r="C6730" s="4" t="str">
        <f>IFERROR(__xludf.DUMMYFUNCTION("""COMPUTED_VALUE"""),"Kujira")</f>
        <v>Kujira</v>
      </c>
    </row>
    <row r="6731">
      <c r="A6731" s="4" t="str">
        <f>IFERROR(__xludf.DUMMYFUNCTION("""COMPUTED_VALUE"""),"kuku")</f>
        <v>kuku</v>
      </c>
      <c r="B6731" s="4" t="str">
        <f>IFERROR(__xludf.DUMMYFUNCTION("""COMPUTED_VALUE"""),"kuku")</f>
        <v>kuku</v>
      </c>
      <c r="C6731" s="4" t="str">
        <f>IFERROR(__xludf.DUMMYFUNCTION("""COMPUTED_VALUE"""),"KuKu")</f>
        <v>KuKu</v>
      </c>
    </row>
    <row r="6732">
      <c r="A6732" s="4" t="str">
        <f>IFERROR(__xludf.DUMMYFUNCTION("""COMPUTED_VALUE"""),"kuku-eth")</f>
        <v>kuku-eth</v>
      </c>
      <c r="B6732" s="4" t="str">
        <f>IFERROR(__xludf.DUMMYFUNCTION("""COMPUTED_VALUE"""),"kuku")</f>
        <v>kuku</v>
      </c>
      <c r="C6732" s="4" t="str">
        <f>IFERROR(__xludf.DUMMYFUNCTION("""COMPUTED_VALUE"""),"KuKu")</f>
        <v>KuKu</v>
      </c>
    </row>
    <row r="6733">
      <c r="A6733" s="4" t="str">
        <f>IFERROR(__xludf.DUMMYFUNCTION("""COMPUTED_VALUE"""),"kuma")</f>
        <v>kuma</v>
      </c>
      <c r="B6733" s="4" t="str">
        <f>IFERROR(__xludf.DUMMYFUNCTION("""COMPUTED_VALUE"""),"kuma")</f>
        <v>kuma</v>
      </c>
      <c r="C6733" s="4" t="str">
        <f>IFERROR(__xludf.DUMMYFUNCTION("""COMPUTED_VALUE"""),"KUMA")</f>
        <v>KUMA</v>
      </c>
    </row>
    <row r="6734">
      <c r="A6734" s="4" t="str">
        <f>IFERROR(__xludf.DUMMYFUNCTION("""COMPUTED_VALUE"""),"kumadex-token")</f>
        <v>kumadex-token</v>
      </c>
      <c r="B6734" s="4" t="str">
        <f>IFERROR(__xludf.DUMMYFUNCTION("""COMPUTED_VALUE"""),"dkuma")</f>
        <v>dkuma</v>
      </c>
      <c r="C6734" s="4" t="str">
        <f>IFERROR(__xludf.DUMMYFUNCTION("""COMPUTED_VALUE"""),"KumaDex Token")</f>
        <v>KumaDex Token</v>
      </c>
    </row>
    <row r="6735">
      <c r="A6735" s="4" t="str">
        <f>IFERROR(__xludf.DUMMYFUNCTION("""COMPUTED_VALUE"""),"kuma-inu")</f>
        <v>kuma-inu</v>
      </c>
      <c r="B6735" s="4" t="str">
        <f>IFERROR(__xludf.DUMMYFUNCTION("""COMPUTED_VALUE"""),"kuma")</f>
        <v>kuma</v>
      </c>
      <c r="C6735" s="4" t="str">
        <f>IFERROR(__xludf.DUMMYFUNCTION("""COMPUTED_VALUE"""),"Kuma Inu")</f>
        <v>Kuma Inu</v>
      </c>
    </row>
    <row r="6736">
      <c r="A6736" s="4" t="str">
        <f>IFERROR(__xludf.DUMMYFUNCTION("""COMPUTED_VALUE"""),"kumamon-finance")</f>
        <v>kumamon-finance</v>
      </c>
      <c r="B6736" s="4" t="str">
        <f>IFERROR(__xludf.DUMMYFUNCTION("""COMPUTED_VALUE"""),"kumamon")</f>
        <v>kumamon</v>
      </c>
      <c r="C6736" s="4" t="str">
        <f>IFERROR(__xludf.DUMMYFUNCTION("""COMPUTED_VALUE"""),"Kumamon Finance")</f>
        <v>Kumamon Finance</v>
      </c>
    </row>
    <row r="6737">
      <c r="A6737" s="4" t="str">
        <f>IFERROR(__xludf.DUMMYFUNCTION("""COMPUTED_VALUE"""),"kuma-protocol-fr-kuma-interest-bearing-token")</f>
        <v>kuma-protocol-fr-kuma-interest-bearing-token</v>
      </c>
      <c r="B6737" s="4" t="str">
        <f>IFERROR(__xludf.DUMMYFUNCTION("""COMPUTED_VALUE"""),"frk")</f>
        <v>frk</v>
      </c>
      <c r="C6737" s="4" t="str">
        <f>IFERROR(__xludf.DUMMYFUNCTION("""COMPUTED_VALUE"""),"KUMA Protocol FR KUMA Interest Bearing Token")</f>
        <v>KUMA Protocol FR KUMA Interest Bearing Token</v>
      </c>
    </row>
    <row r="6738">
      <c r="A6738" s="4" t="str">
        <f>IFERROR(__xludf.DUMMYFUNCTION("""COMPUTED_VALUE"""),"kuma-protocol-wrapped-frk")</f>
        <v>kuma-protocol-wrapped-frk</v>
      </c>
      <c r="B6738" s="4" t="str">
        <f>IFERROR(__xludf.DUMMYFUNCTION("""COMPUTED_VALUE"""),"wfrk")</f>
        <v>wfrk</v>
      </c>
      <c r="C6738" s="4" t="str">
        <f>IFERROR(__xludf.DUMMYFUNCTION("""COMPUTED_VALUE"""),"KUMA Protocol Wrapped FRK")</f>
        <v>KUMA Protocol Wrapped FRK</v>
      </c>
    </row>
    <row r="6739">
      <c r="A6739" s="4" t="str">
        <f>IFERROR(__xludf.DUMMYFUNCTION("""COMPUTED_VALUE"""),"kuma-protocol-wrapped-usk")</f>
        <v>kuma-protocol-wrapped-usk</v>
      </c>
      <c r="B6739" s="4" t="str">
        <f>IFERROR(__xludf.DUMMYFUNCTION("""COMPUTED_VALUE"""),"wusk")</f>
        <v>wusk</v>
      </c>
      <c r="C6739" s="4" t="str">
        <f>IFERROR(__xludf.DUMMYFUNCTION("""COMPUTED_VALUE"""),"KUMA Protocol Wrapped USK")</f>
        <v>KUMA Protocol Wrapped USK</v>
      </c>
    </row>
    <row r="6740">
      <c r="A6740" s="4" t="str">
        <f>IFERROR(__xludf.DUMMYFUNCTION("""COMPUTED_VALUE"""),"kunaikash")</f>
        <v>kunaikash</v>
      </c>
      <c r="B6740" s="4" t="str">
        <f>IFERROR(__xludf.DUMMYFUNCTION("""COMPUTED_VALUE"""),"kunai")</f>
        <v>kunai</v>
      </c>
      <c r="C6740" s="4" t="str">
        <f>IFERROR(__xludf.DUMMYFUNCTION("""COMPUTED_VALUE"""),"KunaiKash")</f>
        <v>KunaiKash</v>
      </c>
    </row>
    <row r="6741">
      <c r="A6741" s="4" t="str">
        <f>IFERROR(__xludf.DUMMYFUNCTION("""COMPUTED_VALUE"""),"kunci-coin")</f>
        <v>kunci-coin</v>
      </c>
      <c r="B6741" s="4" t="str">
        <f>IFERROR(__xludf.DUMMYFUNCTION("""COMPUTED_VALUE"""),"kunci")</f>
        <v>kunci</v>
      </c>
      <c r="C6741" s="4" t="str">
        <f>IFERROR(__xludf.DUMMYFUNCTION("""COMPUTED_VALUE"""),"Kunci Coin")</f>
        <v>Kunci Coin</v>
      </c>
    </row>
    <row r="6742">
      <c r="A6742" s="4" t="str">
        <f>IFERROR(__xludf.DUMMYFUNCTION("""COMPUTED_VALUE"""),"kuni")</f>
        <v>kuni</v>
      </c>
      <c r="B6742" s="4" t="str">
        <f>IFERROR(__xludf.DUMMYFUNCTION("""COMPUTED_VALUE"""),"kuni")</f>
        <v>kuni</v>
      </c>
      <c r="C6742" s="4" t="str">
        <f>IFERROR(__xludf.DUMMYFUNCTION("""COMPUTED_VALUE"""),"Kuni")</f>
        <v>Kuni</v>
      </c>
    </row>
    <row r="6743">
      <c r="A6743" s="4" t="str">
        <f>IFERROR(__xludf.DUMMYFUNCTION("""COMPUTED_VALUE"""),"kunji-finance")</f>
        <v>kunji-finance</v>
      </c>
      <c r="B6743" s="4" t="str">
        <f>IFERROR(__xludf.DUMMYFUNCTION("""COMPUTED_VALUE"""),"knj")</f>
        <v>knj</v>
      </c>
      <c r="C6743" s="4" t="str">
        <f>IFERROR(__xludf.DUMMYFUNCTION("""COMPUTED_VALUE"""),"Kunji Finance")</f>
        <v>Kunji Finance</v>
      </c>
    </row>
    <row r="6744">
      <c r="A6744" s="4" t="str">
        <f>IFERROR(__xludf.DUMMYFUNCTION("""COMPUTED_VALUE"""),"kunkun-coin")</f>
        <v>kunkun-coin</v>
      </c>
      <c r="B6744" s="4" t="str">
        <f>IFERROR(__xludf.DUMMYFUNCTION("""COMPUTED_VALUE"""),"kunkun")</f>
        <v>kunkun</v>
      </c>
      <c r="C6744" s="4" t="str">
        <f>IFERROR(__xludf.DUMMYFUNCTION("""COMPUTED_VALUE"""),"KUNKUN Coin")</f>
        <v>KUNKUN Coin</v>
      </c>
    </row>
    <row r="6745">
      <c r="A6745" s="4" t="str">
        <f>IFERROR(__xludf.DUMMYFUNCTION("""COMPUTED_VALUE"""),"kurobi")</f>
        <v>kurobi</v>
      </c>
      <c r="B6745" s="4" t="str">
        <f>IFERROR(__xludf.DUMMYFUNCTION("""COMPUTED_VALUE"""),"kuro")</f>
        <v>kuro</v>
      </c>
      <c r="C6745" s="4" t="str">
        <f>IFERROR(__xludf.DUMMYFUNCTION("""COMPUTED_VALUE"""),"Kurobi")</f>
        <v>Kurobi</v>
      </c>
    </row>
    <row r="6746">
      <c r="A6746" s="4" t="str">
        <f>IFERROR(__xludf.DUMMYFUNCTION("""COMPUTED_VALUE"""),"kuroneko")</f>
        <v>kuroneko</v>
      </c>
      <c r="B6746" s="4" t="str">
        <f>IFERROR(__xludf.DUMMYFUNCTION("""COMPUTED_VALUE"""),"jiji")</f>
        <v>jiji</v>
      </c>
      <c r="C6746" s="4" t="str">
        <f>IFERROR(__xludf.DUMMYFUNCTION("""COMPUTED_VALUE"""),"KURONEKO")</f>
        <v>KURONEKO</v>
      </c>
    </row>
    <row r="6747">
      <c r="A6747" s="4" t="str">
        <f>IFERROR(__xludf.DUMMYFUNCTION("""COMPUTED_VALUE"""),"kusama")</f>
        <v>kusama</v>
      </c>
      <c r="B6747" s="4" t="str">
        <f>IFERROR(__xludf.DUMMYFUNCTION("""COMPUTED_VALUE"""),"ksm")</f>
        <v>ksm</v>
      </c>
      <c r="C6747" s="4" t="str">
        <f>IFERROR(__xludf.DUMMYFUNCTION("""COMPUTED_VALUE"""),"Kusama")</f>
        <v>Kusama</v>
      </c>
    </row>
    <row r="6748">
      <c r="A6748" s="4" t="str">
        <f>IFERROR(__xludf.DUMMYFUNCTION("""COMPUTED_VALUE"""),"kusd-t")</f>
        <v>kusd-t</v>
      </c>
      <c r="B6748" s="4" t="str">
        <f>IFERROR(__xludf.DUMMYFUNCTION("""COMPUTED_VALUE"""),"kusd-t")</f>
        <v>kusd-t</v>
      </c>
      <c r="C6748" s="4" t="str">
        <f>IFERROR(__xludf.DUMMYFUNCTION("""COMPUTED_VALUE"""),"KUSD-T")</f>
        <v>KUSD-T</v>
      </c>
    </row>
    <row r="6749">
      <c r="A6749" s="4" t="str">
        <f>IFERROR(__xludf.DUMMYFUNCTION("""COMPUTED_VALUE"""),"kushcoin-sol")</f>
        <v>kushcoin-sol</v>
      </c>
      <c r="B6749" s="4" t="str">
        <f>IFERROR(__xludf.DUMMYFUNCTION("""COMPUTED_VALUE"""),"kush")</f>
        <v>kush</v>
      </c>
      <c r="C6749" s="4" t="str">
        <f>IFERROR(__xludf.DUMMYFUNCTION("""COMPUTED_VALUE"""),"kushcoin.sol")</f>
        <v>kushcoin.sol</v>
      </c>
    </row>
    <row r="6750">
      <c r="A6750" s="4" t="str">
        <f>IFERROR(__xludf.DUMMYFUNCTION("""COMPUTED_VALUE"""),"kusunoki-samurai")</f>
        <v>kusunoki-samurai</v>
      </c>
      <c r="B6750" s="4" t="str">
        <f>IFERROR(__xludf.DUMMYFUNCTION("""COMPUTED_VALUE"""),"kusunoki")</f>
        <v>kusunoki</v>
      </c>
      <c r="C6750" s="4" t="str">
        <f>IFERROR(__xludf.DUMMYFUNCTION("""COMPUTED_VALUE"""),"Kusunoki Samurai")</f>
        <v>Kusunoki Samurai</v>
      </c>
    </row>
    <row r="6751">
      <c r="A6751" s="4" t="str">
        <f>IFERROR(__xludf.DUMMYFUNCTION("""COMPUTED_VALUE"""),"kuswap")</f>
        <v>kuswap</v>
      </c>
      <c r="B6751" s="4" t="str">
        <f>IFERROR(__xludf.DUMMYFUNCTION("""COMPUTED_VALUE"""),"kus")</f>
        <v>kus</v>
      </c>
      <c r="C6751" s="4" t="str">
        <f>IFERROR(__xludf.DUMMYFUNCTION("""COMPUTED_VALUE"""),"KuSwap")</f>
        <v>KuSwap</v>
      </c>
    </row>
    <row r="6752">
      <c r="A6752" s="4" t="str">
        <f>IFERROR(__xludf.DUMMYFUNCTION("""COMPUTED_VALUE"""),"kuza-finance-qe")</f>
        <v>kuza-finance-qe</v>
      </c>
      <c r="B6752" s="4" t="str">
        <f>IFERROR(__xludf.DUMMYFUNCTION("""COMPUTED_VALUE"""),"qe")</f>
        <v>qe</v>
      </c>
      <c r="C6752" s="4" t="str">
        <f>IFERROR(__xludf.DUMMYFUNCTION("""COMPUTED_VALUE"""),"Kuza Finance QE")</f>
        <v>Kuza Finance QE</v>
      </c>
    </row>
    <row r="6753">
      <c r="A6753" s="4" t="str">
        <f>IFERROR(__xludf.DUMMYFUNCTION("""COMPUTED_VALUE"""),"kvants-ai")</f>
        <v>kvants-ai</v>
      </c>
      <c r="B6753" s="4" t="str">
        <f>IFERROR(__xludf.DUMMYFUNCTION("""COMPUTED_VALUE"""),"kvnt")</f>
        <v>kvnt</v>
      </c>
      <c r="C6753" s="4" t="str">
        <f>IFERROR(__xludf.DUMMYFUNCTION("""COMPUTED_VALUE"""),"Kvants AI")</f>
        <v>Kvants AI</v>
      </c>
    </row>
    <row r="6754">
      <c r="A6754" s="4" t="str">
        <f>IFERROR(__xludf.DUMMYFUNCTION("""COMPUTED_VALUE"""),"kwai")</f>
        <v>kwai</v>
      </c>
      <c r="B6754" s="4" t="str">
        <f>IFERROR(__xludf.DUMMYFUNCTION("""COMPUTED_VALUE"""),"kwai")</f>
        <v>kwai</v>
      </c>
      <c r="C6754" s="4" t="str">
        <f>IFERROR(__xludf.DUMMYFUNCTION("""COMPUTED_VALUE"""),"KWAI")</f>
        <v>KWAI</v>
      </c>
    </row>
    <row r="6755">
      <c r="A6755" s="4" t="str">
        <f>IFERROR(__xludf.DUMMYFUNCTION("""COMPUTED_VALUE"""),"kwenta")</f>
        <v>kwenta</v>
      </c>
      <c r="B6755" s="4" t="str">
        <f>IFERROR(__xludf.DUMMYFUNCTION("""COMPUTED_VALUE"""),"kwenta")</f>
        <v>kwenta</v>
      </c>
      <c r="C6755" s="4" t="str">
        <f>IFERROR(__xludf.DUMMYFUNCTION("""COMPUTED_VALUE"""),"Kwenta")</f>
        <v>Kwenta</v>
      </c>
    </row>
    <row r="6756">
      <c r="A6756" s="4" t="str">
        <f>IFERROR(__xludf.DUMMYFUNCTION("""COMPUTED_VALUE"""),"kyanite")</f>
        <v>kyanite</v>
      </c>
      <c r="B6756" s="4" t="str">
        <f>IFERROR(__xludf.DUMMYFUNCTION("""COMPUTED_VALUE"""),"kyan")</f>
        <v>kyan</v>
      </c>
      <c r="C6756" s="4" t="str">
        <f>IFERROR(__xludf.DUMMYFUNCTION("""COMPUTED_VALUE"""),"Kyanite")</f>
        <v>Kyanite</v>
      </c>
    </row>
    <row r="6757">
      <c r="A6757" s="4" t="str">
        <f>IFERROR(__xludf.DUMMYFUNCTION("""COMPUTED_VALUE"""),"kyberdyne")</f>
        <v>kyberdyne</v>
      </c>
      <c r="B6757" s="4" t="str">
        <f>IFERROR(__xludf.DUMMYFUNCTION("""COMPUTED_VALUE"""),"kbd")</f>
        <v>kbd</v>
      </c>
      <c r="C6757" s="4" t="str">
        <f>IFERROR(__xludf.DUMMYFUNCTION("""COMPUTED_VALUE"""),"Kyberdyne")</f>
        <v>Kyberdyne</v>
      </c>
    </row>
    <row r="6758">
      <c r="A6758" s="4" t="str">
        <f>IFERROR(__xludf.DUMMYFUNCTION("""COMPUTED_VALUE"""),"kyber-network")</f>
        <v>kyber-network</v>
      </c>
      <c r="B6758" s="4" t="str">
        <f>IFERROR(__xludf.DUMMYFUNCTION("""COMPUTED_VALUE"""),"kncl")</f>
        <v>kncl</v>
      </c>
      <c r="C6758" s="4" t="str">
        <f>IFERROR(__xludf.DUMMYFUNCTION("""COMPUTED_VALUE"""),"Kyber Network Crystal Legacy")</f>
        <v>Kyber Network Crystal Legacy</v>
      </c>
    </row>
    <row r="6759">
      <c r="A6759" s="4" t="str">
        <f>IFERROR(__xludf.DUMMYFUNCTION("""COMPUTED_VALUE"""),"kyber-network-crystal")</f>
        <v>kyber-network-crystal</v>
      </c>
      <c r="B6759" s="4" t="str">
        <f>IFERROR(__xludf.DUMMYFUNCTION("""COMPUTED_VALUE"""),"knc")</f>
        <v>knc</v>
      </c>
      <c r="C6759" s="4" t="str">
        <f>IFERROR(__xludf.DUMMYFUNCTION("""COMPUTED_VALUE"""),"Kyber Network Crystal")</f>
        <v>Kyber Network Crystal</v>
      </c>
    </row>
    <row r="6760">
      <c r="A6760" s="4" t="str">
        <f>IFERROR(__xludf.DUMMYFUNCTION("""COMPUTED_VALUE"""),"kylacoin")</f>
        <v>kylacoin</v>
      </c>
      <c r="B6760" s="4" t="str">
        <f>IFERROR(__xludf.DUMMYFUNCTION("""COMPUTED_VALUE"""),"kcn")</f>
        <v>kcn</v>
      </c>
      <c r="C6760" s="4" t="str">
        <f>IFERROR(__xludf.DUMMYFUNCTION("""COMPUTED_VALUE"""),"Kylacoin")</f>
        <v>Kylacoin</v>
      </c>
    </row>
    <row r="6761">
      <c r="A6761" s="4" t="str">
        <f>IFERROR(__xludf.DUMMYFUNCTION("""COMPUTED_VALUE"""),"kyoko")</f>
        <v>kyoko</v>
      </c>
      <c r="B6761" s="4" t="str">
        <f>IFERROR(__xludf.DUMMYFUNCTION("""COMPUTED_VALUE"""),"kyoko")</f>
        <v>kyoko</v>
      </c>
      <c r="C6761" s="4" t="str">
        <f>IFERROR(__xludf.DUMMYFUNCTION("""COMPUTED_VALUE"""),"Kyoko")</f>
        <v>Kyoko</v>
      </c>
    </row>
    <row r="6762">
      <c r="A6762" s="4" t="str">
        <f>IFERROR(__xludf.DUMMYFUNCTION("""COMPUTED_VALUE"""),"kyotoswap")</f>
        <v>kyotoswap</v>
      </c>
      <c r="B6762" s="4" t="str">
        <f>IFERROR(__xludf.DUMMYFUNCTION("""COMPUTED_VALUE"""),"kswap")</f>
        <v>kswap</v>
      </c>
      <c r="C6762" s="4" t="str">
        <f>IFERROR(__xludf.DUMMYFUNCTION("""COMPUTED_VALUE"""),"KyotoSwap")</f>
        <v>KyotoSwap</v>
      </c>
    </row>
    <row r="6763">
      <c r="A6763" s="4" t="str">
        <f>IFERROR(__xludf.DUMMYFUNCTION("""COMPUTED_VALUE"""),"kyrrex")</f>
        <v>kyrrex</v>
      </c>
      <c r="B6763" s="4" t="str">
        <f>IFERROR(__xludf.DUMMYFUNCTION("""COMPUTED_VALUE"""),"krrx")</f>
        <v>krrx</v>
      </c>
      <c r="C6763" s="4" t="str">
        <f>IFERROR(__xludf.DUMMYFUNCTION("""COMPUTED_VALUE"""),"Kyrrex")</f>
        <v>Kyrrex</v>
      </c>
    </row>
    <row r="6764">
      <c r="A6764" s="4" t="str">
        <f>IFERROR(__xludf.DUMMYFUNCTION("""COMPUTED_VALUE"""),"kyte-one")</f>
        <v>kyte-one</v>
      </c>
      <c r="B6764" s="4" t="str">
        <f>IFERROR(__xludf.DUMMYFUNCTION("""COMPUTED_VALUE"""),"kte")</f>
        <v>kte</v>
      </c>
      <c r="C6764" s="4" t="str">
        <f>IFERROR(__xludf.DUMMYFUNCTION("""COMPUTED_VALUE"""),"Kyte.One")</f>
        <v>Kyte.One</v>
      </c>
    </row>
    <row r="6765">
      <c r="A6765" s="4" t="str">
        <f>IFERROR(__xludf.DUMMYFUNCTION("""COMPUTED_VALUE"""),"kyve-network")</f>
        <v>kyve-network</v>
      </c>
      <c r="B6765" s="4" t="str">
        <f>IFERROR(__xludf.DUMMYFUNCTION("""COMPUTED_VALUE"""),"kyve")</f>
        <v>kyve</v>
      </c>
      <c r="C6765" s="4" t="str">
        <f>IFERROR(__xludf.DUMMYFUNCTION("""COMPUTED_VALUE"""),"KYVE Network")</f>
        <v>KYVE Network</v>
      </c>
    </row>
    <row r="6766">
      <c r="A6766" s="4" t="str">
        <f>IFERROR(__xludf.DUMMYFUNCTION("""COMPUTED_VALUE"""),"kzcash")</f>
        <v>kzcash</v>
      </c>
      <c r="B6766" s="4" t="str">
        <f>IFERROR(__xludf.DUMMYFUNCTION("""COMPUTED_VALUE"""),"kzc")</f>
        <v>kzc</v>
      </c>
      <c r="C6766" s="4" t="str">
        <f>IFERROR(__xludf.DUMMYFUNCTION("""COMPUTED_VALUE"""),"Kzcash")</f>
        <v>Kzcash</v>
      </c>
    </row>
    <row r="6767">
      <c r="A6767" s="4" t="str">
        <f>IFERROR(__xludf.DUMMYFUNCTION("""COMPUTED_VALUE"""),"l")</f>
        <v>l</v>
      </c>
      <c r="B6767" s="4" t="str">
        <f>IFERROR(__xludf.DUMMYFUNCTION("""COMPUTED_VALUE"""),"l")</f>
        <v>l</v>
      </c>
      <c r="C6767" s="4" t="str">
        <f>IFERROR(__xludf.DUMMYFUNCTION("""COMPUTED_VALUE"""),"L")</f>
        <v>L</v>
      </c>
    </row>
    <row r="6768">
      <c r="A6768" s="4" t="str">
        <f>IFERROR(__xludf.DUMMYFUNCTION("""COMPUTED_VALUE"""),"l2ve-inu")</f>
        <v>l2ve-inu</v>
      </c>
      <c r="B6768" s="4" t="str">
        <f>IFERROR(__xludf.DUMMYFUNCTION("""COMPUTED_VALUE"""),"l2ve")</f>
        <v>l2ve</v>
      </c>
      <c r="C6768" s="4" t="str">
        <f>IFERROR(__xludf.DUMMYFUNCTION("""COMPUTED_VALUE"""),"L2VE INU")</f>
        <v>L2VE INU</v>
      </c>
    </row>
    <row r="6769">
      <c r="A6769" s="4" t="str">
        <f>IFERROR(__xludf.DUMMYFUNCTION("""COMPUTED_VALUE"""),"l3t-h1m-c00k")</f>
        <v>l3t-h1m-c00k</v>
      </c>
      <c r="B6769" s="4" t="str">
        <f>IFERROR(__xludf.DUMMYFUNCTION("""COMPUTED_VALUE"""),"dough")</f>
        <v>dough</v>
      </c>
      <c r="C6769" s="4" t="str">
        <f>IFERROR(__xludf.DUMMYFUNCTION("""COMPUTED_VALUE"""),"L3T H1M C00K")</f>
        <v>L3T H1M C00K</v>
      </c>
    </row>
    <row r="6770">
      <c r="A6770" s="4" t="str">
        <f>IFERROR(__xludf.DUMMYFUNCTION("""COMPUTED_VALUE"""),"l3usd")</f>
        <v>l3usd</v>
      </c>
      <c r="B6770" s="4" t="str">
        <f>IFERROR(__xludf.DUMMYFUNCTION("""COMPUTED_VALUE"""),"l3usd")</f>
        <v>l3usd</v>
      </c>
      <c r="C6770" s="4" t="str">
        <f>IFERROR(__xludf.DUMMYFUNCTION("""COMPUTED_VALUE"""),"L3USD")</f>
        <v>L3USD</v>
      </c>
    </row>
    <row r="6771">
      <c r="A6771" s="4" t="str">
        <f>IFERROR(__xludf.DUMMYFUNCTION("""COMPUTED_VALUE"""),"l7dex")</f>
        <v>l7dex</v>
      </c>
      <c r="B6771" s="4" t="str">
        <f>IFERROR(__xludf.DUMMYFUNCTION("""COMPUTED_VALUE"""),"lsd")</f>
        <v>lsd</v>
      </c>
      <c r="C6771" s="4" t="str">
        <f>IFERROR(__xludf.DUMMYFUNCTION("""COMPUTED_VALUE"""),"L7DEX")</f>
        <v>L7DEX</v>
      </c>
    </row>
    <row r="6772">
      <c r="A6772" s="4" t="str">
        <f>IFERROR(__xludf.DUMMYFUNCTION("""COMPUTED_VALUE"""),"laari-finance")</f>
        <v>laari-finance</v>
      </c>
      <c r="B6772" s="4" t="str">
        <f>IFERROR(__xludf.DUMMYFUNCTION("""COMPUTED_VALUE"""),"laari")</f>
        <v>laari</v>
      </c>
      <c r="C6772" s="4" t="str">
        <f>IFERROR(__xludf.DUMMYFUNCTION("""COMPUTED_VALUE"""),"Laari Finance")</f>
        <v>Laari Finance</v>
      </c>
    </row>
    <row r="6773">
      <c r="A6773" s="4" t="str">
        <f>IFERROR(__xludf.DUMMYFUNCTION("""COMPUTED_VALUE"""),"label-foundation")</f>
        <v>label-foundation</v>
      </c>
      <c r="B6773" s="4" t="str">
        <f>IFERROR(__xludf.DUMMYFUNCTION("""COMPUTED_VALUE"""),"lbl")</f>
        <v>lbl</v>
      </c>
      <c r="C6773" s="4" t="str">
        <f>IFERROR(__xludf.DUMMYFUNCTION("""COMPUTED_VALUE"""),"LABEL Foundation")</f>
        <v>LABEL Foundation</v>
      </c>
    </row>
    <row r="6774">
      <c r="A6774" s="4" t="str">
        <f>IFERROR(__xludf.DUMMYFUNCTION("""COMPUTED_VALUE"""),"labs-group")</f>
        <v>labs-group</v>
      </c>
      <c r="B6774" s="4" t="str">
        <f>IFERROR(__xludf.DUMMYFUNCTION("""COMPUTED_VALUE"""),"labsv2")</f>
        <v>labsv2</v>
      </c>
      <c r="C6774" s="4" t="str">
        <f>IFERROR(__xludf.DUMMYFUNCTION("""COMPUTED_VALUE"""),"LABSV2")</f>
        <v>LABSV2</v>
      </c>
    </row>
    <row r="6775">
      <c r="A6775" s="4" t="str">
        <f>IFERROR(__xludf.DUMMYFUNCTION("""COMPUTED_VALUE"""),"labs-protocol")</f>
        <v>labs-protocol</v>
      </c>
      <c r="B6775" s="4" t="str">
        <f>IFERROR(__xludf.DUMMYFUNCTION("""COMPUTED_VALUE"""),"labs")</f>
        <v>labs</v>
      </c>
      <c r="C6775" s="4" t="str">
        <f>IFERROR(__xludf.DUMMYFUNCTION("""COMPUTED_VALUE"""),"LABS Protocol")</f>
        <v>LABS Protocol</v>
      </c>
    </row>
    <row r="6776">
      <c r="A6776" s="4" t="str">
        <f>IFERROR(__xludf.DUMMYFUNCTION("""COMPUTED_VALUE"""),"la-coin")</f>
        <v>la-coin</v>
      </c>
      <c r="B6776" s="4" t="str">
        <f>IFERROR(__xludf.DUMMYFUNCTION("""COMPUTED_VALUE"""),"lac")</f>
        <v>lac</v>
      </c>
      <c r="C6776" s="4" t="str">
        <f>IFERROR(__xludf.DUMMYFUNCTION("""COMPUTED_VALUE"""),"La Coin")</f>
        <v>La Coin</v>
      </c>
    </row>
    <row r="6777">
      <c r="A6777" s="4" t="str">
        <f>IFERROR(__xludf.DUMMYFUNCTION("""COMPUTED_VALUE"""),"lacostoken")</f>
        <v>lacostoken</v>
      </c>
      <c r="B6777" s="4" t="str">
        <f>IFERROR(__xludf.DUMMYFUNCTION("""COMPUTED_VALUE"""),"lcsn")</f>
        <v>lcsn</v>
      </c>
      <c r="C6777" s="4" t="str">
        <f>IFERROR(__xludf.DUMMYFUNCTION("""COMPUTED_VALUE"""),"Lacostoken")</f>
        <v>Lacostoken</v>
      </c>
    </row>
    <row r="6778">
      <c r="A6778" s="4" t="str">
        <f>IFERROR(__xludf.DUMMYFUNCTION("""COMPUTED_VALUE"""),"laelaps")</f>
        <v>laelaps</v>
      </c>
      <c r="B6778" s="4" t="str">
        <f>IFERROR(__xludf.DUMMYFUNCTION("""COMPUTED_VALUE"""),"laelaps")</f>
        <v>laelaps</v>
      </c>
      <c r="C6778" s="4" t="str">
        <f>IFERROR(__xludf.DUMMYFUNCTION("""COMPUTED_VALUE"""),"Laelaps")</f>
        <v>Laelaps</v>
      </c>
    </row>
    <row r="6779">
      <c r="A6779" s="4" t="str">
        <f>IFERROR(__xludf.DUMMYFUNCTION("""COMPUTED_VALUE"""),"laika")</f>
        <v>laika</v>
      </c>
      <c r="B6779" s="4" t="str">
        <f>IFERROR(__xludf.DUMMYFUNCTION("""COMPUTED_VALUE"""),"laika")</f>
        <v>laika</v>
      </c>
      <c r="C6779" s="4" t="str">
        <f>IFERROR(__xludf.DUMMYFUNCTION("""COMPUTED_VALUE"""),"Laika")</f>
        <v>Laika</v>
      </c>
    </row>
    <row r="6780">
      <c r="A6780" s="4" t="str">
        <f>IFERROR(__xludf.DUMMYFUNCTION("""COMPUTED_VALUE"""),"laikaverse")</f>
        <v>laikaverse</v>
      </c>
      <c r="B6780" s="4" t="str">
        <f>IFERROR(__xludf.DUMMYFUNCTION("""COMPUTED_VALUE"""),"laika")</f>
        <v>laika</v>
      </c>
      <c r="C6780" s="4" t="str">
        <f>IFERROR(__xludf.DUMMYFUNCTION("""COMPUTED_VALUE"""),"LaikaVerse")</f>
        <v>LaikaVerse</v>
      </c>
    </row>
    <row r="6781">
      <c r="A6781" s="4" t="str">
        <f>IFERROR(__xludf.DUMMYFUNCTION("""COMPUTED_VALUE"""),"laine-stake")</f>
        <v>laine-stake</v>
      </c>
      <c r="B6781" s="4" t="str">
        <f>IFERROR(__xludf.DUMMYFUNCTION("""COMPUTED_VALUE"""),"lainesol")</f>
        <v>lainesol</v>
      </c>
      <c r="C6781" s="4" t="str">
        <f>IFERROR(__xludf.DUMMYFUNCTION("""COMPUTED_VALUE"""),"Laine Stake")</f>
        <v>Laine Stake</v>
      </c>
    </row>
    <row r="6782">
      <c r="A6782" s="4" t="str">
        <f>IFERROR(__xludf.DUMMYFUNCTION("""COMPUTED_VALUE"""),"lakeviewmeta")</f>
        <v>lakeviewmeta</v>
      </c>
      <c r="B6782" s="4" t="str">
        <f>IFERROR(__xludf.DUMMYFUNCTION("""COMPUTED_VALUE"""),"lvm")</f>
        <v>lvm</v>
      </c>
      <c r="C6782" s="4" t="str">
        <f>IFERROR(__xludf.DUMMYFUNCTION("""COMPUTED_VALUE"""),"LakeViewMeta")</f>
        <v>LakeViewMeta</v>
      </c>
    </row>
    <row r="6783">
      <c r="A6783" s="4" t="str">
        <f>IFERROR(__xludf.DUMMYFUNCTION("""COMPUTED_VALUE"""),"lamas-finance")</f>
        <v>lamas-finance</v>
      </c>
      <c r="B6783" s="4" t="str">
        <f>IFERROR(__xludf.DUMMYFUNCTION("""COMPUTED_VALUE"""),"lmf")</f>
        <v>lmf</v>
      </c>
      <c r="C6783" s="4" t="str">
        <f>IFERROR(__xludf.DUMMYFUNCTION("""COMPUTED_VALUE"""),"Lamas Finance")</f>
        <v>Lamas Finance</v>
      </c>
    </row>
    <row r="6784">
      <c r="A6784" s="4" t="str">
        <f>IFERROR(__xludf.DUMMYFUNCTION("""COMPUTED_VALUE"""),"lamb-by-opnx")</f>
        <v>lamb-by-opnx</v>
      </c>
      <c r="B6784" s="4" t="str">
        <f>IFERROR(__xludf.DUMMYFUNCTION("""COMPUTED_VALUE"""),"lamb")</f>
        <v>lamb</v>
      </c>
      <c r="C6784" s="4" t="str">
        <f>IFERROR(__xludf.DUMMYFUNCTION("""COMPUTED_VALUE"""),"LAMB by OPNX")</f>
        <v>LAMB by OPNX</v>
      </c>
    </row>
    <row r="6785">
      <c r="A6785" s="4" t="str">
        <f>IFERROR(__xludf.DUMMYFUNCTION("""COMPUTED_VALUE"""),"lambda")</f>
        <v>lambda</v>
      </c>
      <c r="B6785" s="4" t="str">
        <f>IFERROR(__xludf.DUMMYFUNCTION("""COMPUTED_VALUE"""),"lamb")</f>
        <v>lamb</v>
      </c>
      <c r="C6785" s="4" t="str">
        <f>IFERROR(__xludf.DUMMYFUNCTION("""COMPUTED_VALUE"""),"Lambda")</f>
        <v>Lambda</v>
      </c>
    </row>
    <row r="6786">
      <c r="A6786" s="4" t="str">
        <f>IFERROR(__xludf.DUMMYFUNCTION("""COMPUTED_VALUE"""),"lambda-markets")</f>
        <v>lambda-markets</v>
      </c>
      <c r="B6786" s="4" t="str">
        <f>IFERROR(__xludf.DUMMYFUNCTION("""COMPUTED_VALUE"""),"lmda")</f>
        <v>lmda</v>
      </c>
      <c r="C6786" s="4" t="str">
        <f>IFERROR(__xludf.DUMMYFUNCTION("""COMPUTED_VALUE"""),"Lambda Markets")</f>
        <v>Lambda Markets</v>
      </c>
    </row>
    <row r="6787">
      <c r="A6787" s="4" t="str">
        <f>IFERROR(__xludf.DUMMYFUNCTION("""COMPUTED_VALUE"""),"lambo-0fcbf0f7-1a8f-470d-ba09-797d5e95d836")</f>
        <v>lambo-0fcbf0f7-1a8f-470d-ba09-797d5e95d836</v>
      </c>
      <c r="B6787" s="4" t="str">
        <f>IFERROR(__xludf.DUMMYFUNCTION("""COMPUTED_VALUE"""),"lambo")</f>
        <v>lambo</v>
      </c>
      <c r="C6787" s="4" t="str">
        <f>IFERROR(__xludf.DUMMYFUNCTION("""COMPUTED_VALUE"""),"$LAMBO")</f>
        <v>$LAMBO</v>
      </c>
    </row>
    <row r="6788">
      <c r="A6788" s="4" t="str">
        <f>IFERROR(__xludf.DUMMYFUNCTION("""COMPUTED_VALUE"""),"lambo-2")</f>
        <v>lambo-2</v>
      </c>
      <c r="B6788" s="4" t="str">
        <f>IFERROR(__xludf.DUMMYFUNCTION("""COMPUTED_VALUE"""),"lambo")</f>
        <v>lambo</v>
      </c>
      <c r="C6788" s="4" t="str">
        <f>IFERROR(__xludf.DUMMYFUNCTION("""COMPUTED_VALUE"""),"Lambo")</f>
        <v>Lambo</v>
      </c>
    </row>
    <row r="6789">
      <c r="A6789" s="4" t="str">
        <f>IFERROR(__xludf.DUMMYFUNCTION("""COMPUTED_VALUE"""),"lambo-and-moon")</f>
        <v>lambo-and-moon</v>
      </c>
      <c r="B6789" s="4" t="str">
        <f>IFERROR(__xludf.DUMMYFUNCTION("""COMPUTED_VALUE"""),"lm")</f>
        <v>lm</v>
      </c>
      <c r="C6789" s="4" t="str">
        <f>IFERROR(__xludf.DUMMYFUNCTION("""COMPUTED_VALUE"""),"LAMBO AND MOON")</f>
        <v>LAMBO AND MOON</v>
      </c>
    </row>
    <row r="6790">
      <c r="A6790" s="4" t="str">
        <f>IFERROR(__xludf.DUMMYFUNCTION("""COMPUTED_VALUE"""),"lanacoin")</f>
        <v>lanacoin</v>
      </c>
      <c r="B6790" s="4" t="str">
        <f>IFERROR(__xludf.DUMMYFUNCTION("""COMPUTED_VALUE"""),"lana")</f>
        <v>lana</v>
      </c>
      <c r="C6790" s="4" t="str">
        <f>IFERROR(__xludf.DUMMYFUNCTION("""COMPUTED_VALUE"""),"LanaCoin")</f>
        <v>LanaCoin</v>
      </c>
    </row>
    <row r="6791">
      <c r="A6791" s="4" t="str">
        <f>IFERROR(__xludf.DUMMYFUNCTION("""COMPUTED_VALUE"""),"lanceria")</f>
        <v>lanceria</v>
      </c>
      <c r="B6791" s="4" t="str">
        <f>IFERROR(__xludf.DUMMYFUNCTION("""COMPUTED_VALUE"""),"lanc")</f>
        <v>lanc</v>
      </c>
      <c r="C6791" s="4" t="str">
        <f>IFERROR(__xludf.DUMMYFUNCTION("""COMPUTED_VALUE"""),"Lanceria")</f>
        <v>Lanceria</v>
      </c>
    </row>
    <row r="6792">
      <c r="A6792" s="4" t="str">
        <f>IFERROR(__xludf.DUMMYFUNCTION("""COMPUTED_VALUE"""),"landboard")</f>
        <v>landboard</v>
      </c>
      <c r="B6792" s="4" t="str">
        <f>IFERROR(__xludf.DUMMYFUNCTION("""COMPUTED_VALUE"""),"land")</f>
        <v>land</v>
      </c>
      <c r="C6792" s="4" t="str">
        <f>IFERROR(__xludf.DUMMYFUNCTION("""COMPUTED_VALUE"""),"Landboard")</f>
        <v>Landboard</v>
      </c>
    </row>
    <row r="6793">
      <c r="A6793" s="4" t="str">
        <f>IFERROR(__xludf.DUMMYFUNCTION("""COMPUTED_VALUE"""),"land-of-conquest-slg")</f>
        <v>land-of-conquest-slg</v>
      </c>
      <c r="B6793" s="4" t="str">
        <f>IFERROR(__xludf.DUMMYFUNCTION("""COMPUTED_VALUE"""),"slg")</f>
        <v>slg</v>
      </c>
      <c r="C6793" s="4" t="str">
        <f>IFERROR(__xludf.DUMMYFUNCTION("""COMPUTED_VALUE"""),"SLG.GAMES")</f>
        <v>SLG.GAMES</v>
      </c>
    </row>
    <row r="6794">
      <c r="A6794" s="4" t="str">
        <f>IFERROR(__xludf.DUMMYFUNCTION("""COMPUTED_VALUE"""),"land-of-heroes")</f>
        <v>land-of-heroes</v>
      </c>
      <c r="B6794" s="4" t="str">
        <f>IFERROR(__xludf.DUMMYFUNCTION("""COMPUTED_VALUE"""),"loh")</f>
        <v>loh</v>
      </c>
      <c r="C6794" s="4" t="str">
        <f>IFERROR(__xludf.DUMMYFUNCTION("""COMPUTED_VALUE"""),"Land Of Heroes")</f>
        <v>Land Of Heroes</v>
      </c>
    </row>
    <row r="6795">
      <c r="A6795" s="4" t="str">
        <f>IFERROR(__xludf.DUMMYFUNCTION("""COMPUTED_VALUE"""),"landshare")</f>
        <v>landshare</v>
      </c>
      <c r="B6795" s="4" t="str">
        <f>IFERROR(__xludf.DUMMYFUNCTION("""COMPUTED_VALUE"""),"land")</f>
        <v>land</v>
      </c>
      <c r="C6795" s="4" t="str">
        <f>IFERROR(__xludf.DUMMYFUNCTION("""COMPUTED_VALUE"""),"Landshare")</f>
        <v>Landshare</v>
      </c>
    </row>
    <row r="6796">
      <c r="A6796" s="4" t="str">
        <f>IFERROR(__xludf.DUMMYFUNCTION("""COMPUTED_VALUE"""),"landtorn-shard")</f>
        <v>landtorn-shard</v>
      </c>
      <c r="B6796" s="4" t="str">
        <f>IFERROR(__xludf.DUMMYFUNCTION("""COMPUTED_VALUE"""),"shard")</f>
        <v>shard</v>
      </c>
      <c r="C6796" s="4" t="str">
        <f>IFERROR(__xludf.DUMMYFUNCTION("""COMPUTED_VALUE"""),"Landtorn Shard")</f>
        <v>Landtorn Shard</v>
      </c>
    </row>
    <row r="6797">
      <c r="A6797" s="4" t="str">
        <f>IFERROR(__xludf.DUMMYFUNCTION("""COMPUTED_VALUE"""),"landwolf")</f>
        <v>landwolf</v>
      </c>
      <c r="B6797" s="4" t="str">
        <f>IFERROR(__xludf.DUMMYFUNCTION("""COMPUTED_VALUE"""),"wolf")</f>
        <v>wolf</v>
      </c>
      <c r="C6797" s="4" t="str">
        <f>IFERROR(__xludf.DUMMYFUNCTION("""COMPUTED_VALUE"""),"LandWolf")</f>
        <v>LandWolf</v>
      </c>
    </row>
    <row r="6798">
      <c r="A6798" s="4" t="str">
        <f>IFERROR(__xludf.DUMMYFUNCTION("""COMPUTED_VALUE"""),"landwolf-2")</f>
        <v>landwolf-2</v>
      </c>
      <c r="B6798" s="4" t="str">
        <f>IFERROR(__xludf.DUMMYFUNCTION("""COMPUTED_VALUE"""),"wolf")</f>
        <v>wolf</v>
      </c>
      <c r="C6798" s="4" t="str">
        <f>IFERROR(__xludf.DUMMYFUNCTION("""COMPUTED_VALUE"""),"Landwolf")</f>
        <v>Landwolf</v>
      </c>
    </row>
    <row r="6799">
      <c r="A6799" s="4" t="str">
        <f>IFERROR(__xludf.DUMMYFUNCTION("""COMPUTED_VALUE"""),"landwolf-base")</f>
        <v>landwolf-base</v>
      </c>
      <c r="B6799" s="4" t="str">
        <f>IFERROR(__xludf.DUMMYFUNCTION("""COMPUTED_VALUE"""),"wolf")</f>
        <v>wolf</v>
      </c>
      <c r="C6799" s="4" t="str">
        <f>IFERROR(__xludf.DUMMYFUNCTION("""COMPUTED_VALUE"""),"Landwolf")</f>
        <v>Landwolf</v>
      </c>
    </row>
    <row r="6800">
      <c r="A6800" s="4" t="str">
        <f>IFERROR(__xludf.DUMMYFUNCTION("""COMPUTED_VALUE"""),"landwolf-on-avax")</f>
        <v>landwolf-on-avax</v>
      </c>
      <c r="B6800" s="4" t="str">
        <f>IFERROR(__xludf.DUMMYFUNCTION("""COMPUTED_VALUE"""),"wolf")</f>
        <v>wolf</v>
      </c>
      <c r="C6800" s="4" t="str">
        <f>IFERROR(__xludf.DUMMYFUNCTION("""COMPUTED_VALUE"""),"Landwolf on AVAX")</f>
        <v>Landwolf on AVAX</v>
      </c>
    </row>
    <row r="6801">
      <c r="A6801" s="4" t="str">
        <f>IFERROR(__xludf.DUMMYFUNCTION("""COMPUTED_VALUE"""),"landx-governance-token")</f>
        <v>landx-governance-token</v>
      </c>
      <c r="B6801" s="4" t="str">
        <f>IFERROR(__xludf.DUMMYFUNCTION("""COMPUTED_VALUE"""),"lndx")</f>
        <v>lndx</v>
      </c>
      <c r="C6801" s="4" t="str">
        <f>IFERROR(__xludf.DUMMYFUNCTION("""COMPUTED_VALUE"""),"LandX Governance Token")</f>
        <v>LandX Governance Token</v>
      </c>
    </row>
    <row r="6802">
      <c r="A6802" s="4" t="str">
        <f>IFERROR(__xludf.DUMMYFUNCTION("""COMPUTED_VALUE"""),"lanify")</f>
        <v>lanify</v>
      </c>
      <c r="B6802" s="4" t="str">
        <f>IFERROR(__xludf.DUMMYFUNCTION("""COMPUTED_VALUE"""),"lan")</f>
        <v>lan</v>
      </c>
      <c r="C6802" s="4" t="str">
        <f>IFERROR(__xludf.DUMMYFUNCTION("""COMPUTED_VALUE"""),"Lanify")</f>
        <v>Lanify</v>
      </c>
    </row>
    <row r="6803">
      <c r="A6803" s="4" t="str">
        <f>IFERROR(__xludf.DUMMYFUNCTION("""COMPUTED_VALUE"""),"lan-network")</f>
        <v>lan-network</v>
      </c>
      <c r="B6803" s="4" t="str">
        <f>IFERROR(__xludf.DUMMYFUNCTION("""COMPUTED_VALUE"""),"lan")</f>
        <v>lan</v>
      </c>
      <c r="C6803" s="4" t="str">
        <f>IFERROR(__xludf.DUMMYFUNCTION("""COMPUTED_VALUE"""),"LAN Network")</f>
        <v>LAN Network</v>
      </c>
    </row>
    <row r="6804">
      <c r="A6804" s="4" t="str">
        <f>IFERROR(__xludf.DUMMYFUNCTION("""COMPUTED_VALUE"""),"la-peseta")</f>
        <v>la-peseta</v>
      </c>
      <c r="B6804" s="4" t="str">
        <f>IFERROR(__xludf.DUMMYFUNCTION("""COMPUTED_VALUE"""),"pta")</f>
        <v>pta</v>
      </c>
      <c r="C6804" s="4" t="str">
        <f>IFERROR(__xludf.DUMMYFUNCTION("""COMPUTED_VALUE"""),"La Peseta [OLD]")</f>
        <v>La Peseta [OLD]</v>
      </c>
    </row>
    <row r="6805">
      <c r="A6805" s="4" t="str">
        <f>IFERROR(__xludf.DUMMYFUNCTION("""COMPUTED_VALUE"""),"la-peseta-2")</f>
        <v>la-peseta-2</v>
      </c>
      <c r="B6805" s="4" t="str">
        <f>IFERROR(__xludf.DUMMYFUNCTION("""COMPUTED_VALUE"""),"ptas")</f>
        <v>ptas</v>
      </c>
      <c r="C6805" s="4" t="str">
        <f>IFERROR(__xludf.DUMMYFUNCTION("""COMPUTED_VALUE"""),"La Peseta")</f>
        <v>La Peseta</v>
      </c>
    </row>
    <row r="6806">
      <c r="A6806" s="4" t="str">
        <f>IFERROR(__xludf.DUMMYFUNCTION("""COMPUTED_VALUE"""),"laqira-protocol")</f>
        <v>laqira-protocol</v>
      </c>
      <c r="B6806" s="4" t="str">
        <f>IFERROR(__xludf.DUMMYFUNCTION("""COMPUTED_VALUE"""),"lqr")</f>
        <v>lqr</v>
      </c>
      <c r="C6806" s="4" t="str">
        <f>IFERROR(__xludf.DUMMYFUNCTION("""COMPUTED_VALUE"""),"Laqira Protocol")</f>
        <v>Laqira Protocol</v>
      </c>
    </row>
    <row r="6807">
      <c r="A6807" s="4" t="str">
        <f>IFERROR(__xludf.DUMMYFUNCTION("""COMPUTED_VALUE"""),"larace")</f>
        <v>larace</v>
      </c>
      <c r="B6807" s="4" t="str">
        <f>IFERROR(__xludf.DUMMYFUNCTION("""COMPUTED_VALUE"""),"lar")</f>
        <v>lar</v>
      </c>
      <c r="C6807" s="4" t="str">
        <f>IFERROR(__xludf.DUMMYFUNCTION("""COMPUTED_VALUE"""),"LaRace")</f>
        <v>LaRace</v>
      </c>
    </row>
    <row r="6808">
      <c r="A6808" s="4" t="str">
        <f>IFERROR(__xludf.DUMMYFUNCTION("""COMPUTED_VALUE"""),"larissa-blockchain")</f>
        <v>larissa-blockchain</v>
      </c>
      <c r="B6808" s="4" t="str">
        <f>IFERROR(__xludf.DUMMYFUNCTION("""COMPUTED_VALUE"""),"lrs")</f>
        <v>lrs</v>
      </c>
      <c r="C6808" s="4" t="str">
        <f>IFERROR(__xludf.DUMMYFUNCTION("""COMPUTED_VALUE"""),"Larissa Blockchain")</f>
        <v>Larissa Blockchain</v>
      </c>
    </row>
    <row r="6809">
      <c r="A6809" s="4" t="str">
        <f>IFERROR(__xludf.DUMMYFUNCTION("""COMPUTED_VALUE"""),"larix")</f>
        <v>larix</v>
      </c>
      <c r="B6809" s="4" t="str">
        <f>IFERROR(__xludf.DUMMYFUNCTION("""COMPUTED_VALUE"""),"larix")</f>
        <v>larix</v>
      </c>
      <c r="C6809" s="4" t="str">
        <f>IFERROR(__xludf.DUMMYFUNCTION("""COMPUTED_VALUE"""),"Larix")</f>
        <v>Larix</v>
      </c>
    </row>
    <row r="6810">
      <c r="A6810" s="4" t="str">
        <f>IFERROR(__xludf.DUMMYFUNCTION("""COMPUTED_VALUE"""),"larry")</f>
        <v>larry</v>
      </c>
      <c r="B6810" s="4" t="str">
        <f>IFERROR(__xludf.DUMMYFUNCTION("""COMPUTED_VALUE"""),"larry")</f>
        <v>larry</v>
      </c>
      <c r="C6810" s="4" t="str">
        <f>IFERROR(__xludf.DUMMYFUNCTION("""COMPUTED_VALUE"""),"Larry")</f>
        <v>Larry</v>
      </c>
    </row>
    <row r="6811">
      <c r="A6811" s="4" t="str">
        <f>IFERROR(__xludf.DUMMYFUNCTION("""COMPUTED_VALUE"""),"larry-the-llama")</f>
        <v>larry-the-llama</v>
      </c>
      <c r="B6811" s="4" t="str">
        <f>IFERROR(__xludf.DUMMYFUNCTION("""COMPUTED_VALUE"""),"larry")</f>
        <v>larry</v>
      </c>
      <c r="C6811" s="4" t="str">
        <f>IFERROR(__xludf.DUMMYFUNCTION("""COMPUTED_VALUE"""),"Larry the Llama")</f>
        <v>Larry the Llama</v>
      </c>
    </row>
    <row r="6812">
      <c r="A6812" s="4" t="str">
        <f>IFERROR(__xludf.DUMMYFUNCTION("""COMPUTED_VALUE"""),"latoken")</f>
        <v>latoken</v>
      </c>
      <c r="B6812" s="4" t="str">
        <f>IFERROR(__xludf.DUMMYFUNCTION("""COMPUTED_VALUE"""),"la")</f>
        <v>la</v>
      </c>
      <c r="C6812" s="4" t="str">
        <f>IFERROR(__xludf.DUMMYFUNCTION("""COMPUTED_VALUE"""),"LA")</f>
        <v>LA</v>
      </c>
    </row>
    <row r="6813">
      <c r="A6813" s="4" t="str">
        <f>IFERROR(__xludf.DUMMYFUNCTION("""COMPUTED_VALUE"""),"lattice-token")</f>
        <v>lattice-token</v>
      </c>
      <c r="B6813" s="4" t="str">
        <f>IFERROR(__xludf.DUMMYFUNCTION("""COMPUTED_VALUE"""),"ltx")</f>
        <v>ltx</v>
      </c>
      <c r="C6813" s="4" t="str">
        <f>IFERROR(__xludf.DUMMYFUNCTION("""COMPUTED_VALUE"""),"Lattice")</f>
        <v>Lattice</v>
      </c>
    </row>
    <row r="6814">
      <c r="A6814" s="4" t="str">
        <f>IFERROR(__xludf.DUMMYFUNCTION("""COMPUTED_VALUE"""),"laughcoin")</f>
        <v>laughcoin</v>
      </c>
      <c r="B6814" s="4" t="str">
        <f>IFERROR(__xludf.DUMMYFUNCTION("""COMPUTED_VALUE"""),"laughcoin")</f>
        <v>laughcoin</v>
      </c>
      <c r="C6814" s="4" t="str">
        <f>IFERROR(__xludf.DUMMYFUNCTION("""COMPUTED_VALUE"""),"Laughcoin")</f>
        <v>Laughcoin</v>
      </c>
    </row>
    <row r="6815">
      <c r="A6815" s="4" t="str">
        <f>IFERROR(__xludf.DUMMYFUNCTION("""COMPUTED_VALUE"""),"launchblock")</f>
        <v>launchblock</v>
      </c>
      <c r="B6815" s="4" t="str">
        <f>IFERROR(__xludf.DUMMYFUNCTION("""COMPUTED_VALUE"""),"lbp")</f>
        <v>lbp</v>
      </c>
      <c r="C6815" s="4" t="str">
        <f>IFERROR(__xludf.DUMMYFUNCTION("""COMPUTED_VALUE"""),"LaunchBlock")</f>
        <v>LaunchBlock</v>
      </c>
    </row>
    <row r="6816">
      <c r="A6816" s="4" t="str">
        <f>IFERROR(__xludf.DUMMYFUNCTION("""COMPUTED_VALUE"""),"launchpool")</f>
        <v>launchpool</v>
      </c>
      <c r="B6816" s="4" t="str">
        <f>IFERROR(__xludf.DUMMYFUNCTION("""COMPUTED_VALUE"""),"lpool")</f>
        <v>lpool</v>
      </c>
      <c r="C6816" s="4" t="str">
        <f>IFERROR(__xludf.DUMMYFUNCTION("""COMPUTED_VALUE"""),"Launchpool")</f>
        <v>Launchpool</v>
      </c>
    </row>
    <row r="6817">
      <c r="A6817" s="4" t="str">
        <f>IFERROR(__xludf.DUMMYFUNCTION("""COMPUTED_VALUE"""),"laurion-404")</f>
        <v>laurion-404</v>
      </c>
      <c r="B6817" s="4" t="str">
        <f>IFERROR(__xludf.DUMMYFUNCTION("""COMPUTED_VALUE"""),"laurion")</f>
        <v>laurion</v>
      </c>
      <c r="C6817" s="4" t="str">
        <f>IFERROR(__xludf.DUMMYFUNCTION("""COMPUTED_VALUE"""),"Laurion 404")</f>
        <v>Laurion 404</v>
      </c>
    </row>
    <row r="6818">
      <c r="A6818" s="4" t="str">
        <f>IFERROR(__xludf.DUMMYFUNCTION("""COMPUTED_VALUE"""),"lava")</f>
        <v>lava</v>
      </c>
      <c r="B6818" s="4" t="str">
        <f>IFERROR(__xludf.DUMMYFUNCTION("""COMPUTED_VALUE"""),"lava")</f>
        <v>lava</v>
      </c>
      <c r="C6818" s="4" t="str">
        <f>IFERROR(__xludf.DUMMYFUNCTION("""COMPUTED_VALUE"""),"Lava")</f>
        <v>Lava</v>
      </c>
    </row>
    <row r="6819">
      <c r="A6819" s="4" t="str">
        <f>IFERROR(__xludf.DUMMYFUNCTION("""COMPUTED_VALUE"""),"lavandos")</f>
        <v>lavandos</v>
      </c>
      <c r="B6819" s="4" t="str">
        <f>IFERROR(__xludf.DUMMYFUNCTION("""COMPUTED_VALUE"""),"lave")</f>
        <v>lave</v>
      </c>
      <c r="C6819" s="4" t="str">
        <f>IFERROR(__xludf.DUMMYFUNCTION("""COMPUTED_VALUE"""),"Lavandos")</f>
        <v>Lavandos</v>
      </c>
    </row>
    <row r="6820">
      <c r="A6820" s="4" t="str">
        <f>IFERROR(__xludf.DUMMYFUNCTION("""COMPUTED_VALUE"""),"lavaswap")</f>
        <v>lavaswap</v>
      </c>
      <c r="B6820" s="4" t="str">
        <f>IFERROR(__xludf.DUMMYFUNCTION("""COMPUTED_VALUE"""),"lava")</f>
        <v>lava</v>
      </c>
      <c r="C6820" s="4" t="str">
        <f>IFERROR(__xludf.DUMMYFUNCTION("""COMPUTED_VALUE"""),"Lavaswap")</f>
        <v>Lavaswap</v>
      </c>
    </row>
    <row r="6821">
      <c r="A6821" s="4" t="str">
        <f>IFERROR(__xludf.DUMMYFUNCTION("""COMPUTED_VALUE"""),"lavita")</f>
        <v>lavita</v>
      </c>
      <c r="B6821" s="4" t="str">
        <f>IFERROR(__xludf.DUMMYFUNCTION("""COMPUTED_VALUE"""),"lavita")</f>
        <v>lavita</v>
      </c>
      <c r="C6821" s="4" t="str">
        <f>IFERROR(__xludf.DUMMYFUNCTION("""COMPUTED_VALUE"""),"Lavita")</f>
        <v>Lavita</v>
      </c>
    </row>
    <row r="6822">
      <c r="A6822" s="4" t="str">
        <f>IFERROR(__xludf.DUMMYFUNCTION("""COMPUTED_VALUE"""),"law")</f>
        <v>law</v>
      </c>
      <c r="B6822" s="4" t="str">
        <f>IFERROR(__xludf.DUMMYFUNCTION("""COMPUTED_VALUE"""),"law")</f>
        <v>law</v>
      </c>
      <c r="C6822" s="4" t="str">
        <f>IFERROR(__xludf.DUMMYFUNCTION("""COMPUTED_VALUE"""),"LAW")</f>
        <v>LAW</v>
      </c>
    </row>
    <row r="6823">
      <c r="A6823" s="4" t="str">
        <f>IFERROR(__xludf.DUMMYFUNCTION("""COMPUTED_VALUE"""),"law-blocks")</f>
        <v>law-blocks</v>
      </c>
      <c r="B6823" s="4" t="str">
        <f>IFERROR(__xludf.DUMMYFUNCTION("""COMPUTED_VALUE"""),"lbt")</f>
        <v>lbt</v>
      </c>
      <c r="C6823" s="4" t="str">
        <f>IFERROR(__xludf.DUMMYFUNCTION("""COMPUTED_VALUE"""),"Law Blocks")</f>
        <v>Law Blocks</v>
      </c>
    </row>
    <row r="6824">
      <c r="A6824" s="4" t="str">
        <f>IFERROR(__xludf.DUMMYFUNCTION("""COMPUTED_VALUE"""),"layer2dao")</f>
        <v>layer2dao</v>
      </c>
      <c r="B6824" s="4" t="str">
        <f>IFERROR(__xludf.DUMMYFUNCTION("""COMPUTED_VALUE"""),"l2dao")</f>
        <v>l2dao</v>
      </c>
      <c r="C6824" s="4" t="str">
        <f>IFERROR(__xludf.DUMMYFUNCTION("""COMPUTED_VALUE"""),"Layer2DAO")</f>
        <v>Layer2DAO</v>
      </c>
    </row>
    <row r="6825">
      <c r="A6825" s="4" t="str">
        <f>IFERROR(__xludf.DUMMYFUNCTION("""COMPUTED_VALUE"""),"layer4-network")</f>
        <v>layer4-network</v>
      </c>
      <c r="B6825" s="4" t="str">
        <f>IFERROR(__xludf.DUMMYFUNCTION("""COMPUTED_VALUE"""),"layer4")</f>
        <v>layer4</v>
      </c>
      <c r="C6825" s="4" t="str">
        <f>IFERROR(__xludf.DUMMYFUNCTION("""COMPUTED_VALUE"""),"Layer4 Network")</f>
        <v>Layer4 Network</v>
      </c>
    </row>
    <row r="6826">
      <c r="A6826" s="4" t="str">
        <f>IFERROR(__xludf.DUMMYFUNCTION("""COMPUTED_VALUE"""),"layergpt")</f>
        <v>layergpt</v>
      </c>
      <c r="B6826" s="4" t="str">
        <f>IFERROR(__xludf.DUMMYFUNCTION("""COMPUTED_VALUE"""),"lgpt")</f>
        <v>lgpt</v>
      </c>
      <c r="C6826" s="4" t="str">
        <f>IFERROR(__xludf.DUMMYFUNCTION("""COMPUTED_VALUE"""),"LayerGPT")</f>
        <v>LayerGPT</v>
      </c>
    </row>
    <row r="6827">
      <c r="A6827" s="4" t="str">
        <f>IFERROR(__xludf.DUMMYFUNCTION("""COMPUTED_VALUE"""),"layerium")</f>
        <v>layerium</v>
      </c>
      <c r="B6827" s="4" t="str">
        <f>IFERROR(__xludf.DUMMYFUNCTION("""COMPUTED_VALUE"""),"lyum")</f>
        <v>lyum</v>
      </c>
      <c r="C6827" s="4" t="str">
        <f>IFERROR(__xludf.DUMMYFUNCTION("""COMPUTED_VALUE"""),"Layerium")</f>
        <v>Layerium</v>
      </c>
    </row>
    <row r="6828">
      <c r="A6828" s="4" t="str">
        <f>IFERROR(__xludf.DUMMYFUNCTION("""COMPUTED_VALUE"""),"layer-network")</f>
        <v>layer-network</v>
      </c>
      <c r="B6828" s="4" t="str">
        <f>IFERROR(__xludf.DUMMYFUNCTION("""COMPUTED_VALUE"""),"layer")</f>
        <v>layer</v>
      </c>
      <c r="C6828" s="4" t="str">
        <f>IFERROR(__xludf.DUMMYFUNCTION("""COMPUTED_VALUE"""),"Layer Network")</f>
        <v>Layer Network</v>
      </c>
    </row>
    <row r="6829">
      <c r="A6829" s="4" t="str">
        <f>IFERROR(__xludf.DUMMYFUNCTION("""COMPUTED_VALUE"""),"layer-one-x")</f>
        <v>layer-one-x</v>
      </c>
      <c r="B6829" s="4" t="str">
        <f>IFERROR(__xludf.DUMMYFUNCTION("""COMPUTED_VALUE"""),"l1x")</f>
        <v>l1x</v>
      </c>
      <c r="C6829" s="4" t="str">
        <f>IFERROR(__xludf.DUMMYFUNCTION("""COMPUTED_VALUE"""),"Layer One X")</f>
        <v>Layer One X</v>
      </c>
    </row>
    <row r="6830">
      <c r="A6830" s="4" t="str">
        <f>IFERROR(__xludf.DUMMYFUNCTION("""COMPUTED_VALUE"""),"layerzero")</f>
        <v>layerzero</v>
      </c>
      <c r="B6830" s="4" t="str">
        <f>IFERROR(__xludf.DUMMYFUNCTION("""COMPUTED_VALUE"""),"zro")</f>
        <v>zro</v>
      </c>
      <c r="C6830" s="4" t="str">
        <f>IFERROR(__xludf.DUMMYFUNCTION("""COMPUTED_VALUE"""),"LayerZero")</f>
        <v>LayerZero</v>
      </c>
    </row>
    <row r="6831">
      <c r="A6831" s="4" t="str">
        <f>IFERROR(__xludf.DUMMYFUNCTION("""COMPUTED_VALUE"""),"layerzero-bridged-usdc-aptos")</f>
        <v>layerzero-bridged-usdc-aptos</v>
      </c>
      <c r="B6831" s="4" t="str">
        <f>IFERROR(__xludf.DUMMYFUNCTION("""COMPUTED_VALUE"""),"zusdc")</f>
        <v>zusdc</v>
      </c>
      <c r="C6831" s="4" t="str">
        <f>IFERROR(__xludf.DUMMYFUNCTION("""COMPUTED_VALUE"""),"LayerZero Bridged USDC (Aptos)")</f>
        <v>LayerZero Bridged USDC (Aptos)</v>
      </c>
    </row>
    <row r="6832">
      <c r="A6832" s="4" t="str">
        <f>IFERROR(__xludf.DUMMYFUNCTION("""COMPUTED_VALUE"""),"layerzero-usdc")</f>
        <v>layerzero-usdc</v>
      </c>
      <c r="B6832" s="4" t="str">
        <f>IFERROR(__xludf.DUMMYFUNCTION("""COMPUTED_VALUE"""),"lzusdc")</f>
        <v>lzusdc</v>
      </c>
      <c r="C6832" s="4" t="str">
        <f>IFERROR(__xludf.DUMMYFUNCTION("""COMPUTED_VALUE"""),"Bridged USD Coin (LayerZero)")</f>
        <v>Bridged USD Coin (LayerZero)</v>
      </c>
    </row>
    <row r="6833">
      <c r="A6833" s="4" t="str">
        <f>IFERROR(__xludf.DUMMYFUNCTION("""COMPUTED_VALUE"""),"lazio-fan-token")</f>
        <v>lazio-fan-token</v>
      </c>
      <c r="B6833" s="4" t="str">
        <f>IFERROR(__xludf.DUMMYFUNCTION("""COMPUTED_VALUE"""),"lazio")</f>
        <v>lazio</v>
      </c>
      <c r="C6833" s="4" t="str">
        <f>IFERROR(__xludf.DUMMYFUNCTION("""COMPUTED_VALUE"""),"Lazio Fan Token")</f>
        <v>Lazio Fan Token</v>
      </c>
    </row>
    <row r="6834">
      <c r="A6834" s="4" t="str">
        <f>IFERROR(__xludf.DUMMYFUNCTION("""COMPUTED_VALUE"""),"lbk")</f>
        <v>lbk</v>
      </c>
      <c r="B6834" s="4" t="str">
        <f>IFERROR(__xludf.DUMMYFUNCTION("""COMPUTED_VALUE"""),"lbk")</f>
        <v>lbk</v>
      </c>
      <c r="C6834" s="4" t="str">
        <f>IFERROR(__xludf.DUMMYFUNCTION("""COMPUTED_VALUE"""),"LBK")</f>
        <v>LBK</v>
      </c>
    </row>
    <row r="6835">
      <c r="A6835" s="4" t="str">
        <f>IFERROR(__xludf.DUMMYFUNCTION("""COMPUTED_VALUE"""),"lbry-credits")</f>
        <v>lbry-credits</v>
      </c>
      <c r="B6835" s="4" t="str">
        <f>IFERROR(__xludf.DUMMYFUNCTION("""COMPUTED_VALUE"""),"lbc")</f>
        <v>lbc</v>
      </c>
      <c r="C6835" s="4" t="str">
        <f>IFERROR(__xludf.DUMMYFUNCTION("""COMPUTED_VALUE"""),"LBRY Credits")</f>
        <v>LBRY Credits</v>
      </c>
    </row>
    <row r="6836">
      <c r="A6836" s="4" t="str">
        <f>IFERROR(__xludf.DUMMYFUNCTION("""COMPUTED_VALUE"""),"lcx")</f>
        <v>lcx</v>
      </c>
      <c r="B6836" s="4" t="str">
        <f>IFERROR(__xludf.DUMMYFUNCTION("""COMPUTED_VALUE"""),"lcx")</f>
        <v>lcx</v>
      </c>
      <c r="C6836" s="4" t="str">
        <f>IFERROR(__xludf.DUMMYFUNCTION("""COMPUTED_VALUE"""),"LCX")</f>
        <v>LCX</v>
      </c>
    </row>
    <row r="6837">
      <c r="A6837" s="4" t="str">
        <f>IFERROR(__xludf.DUMMYFUNCTION("""COMPUTED_VALUE"""),"leaderdao")</f>
        <v>leaderdao</v>
      </c>
      <c r="B6837" s="4" t="str">
        <f>IFERROR(__xludf.DUMMYFUNCTION("""COMPUTED_VALUE"""),"ldao")</f>
        <v>ldao</v>
      </c>
      <c r="C6837" s="4" t="str">
        <f>IFERROR(__xludf.DUMMYFUNCTION("""COMPUTED_VALUE"""),"LeaderDAO")</f>
        <v>LeaderDAO</v>
      </c>
    </row>
    <row r="6838">
      <c r="A6838" s="4" t="str">
        <f>IFERROR(__xludf.DUMMYFUNCTION("""COMPUTED_VALUE"""),"league-bot")</f>
        <v>league-bot</v>
      </c>
      <c r="B6838" s="4" t="str">
        <f>IFERROR(__xludf.DUMMYFUNCTION("""COMPUTED_VALUE"""),"league")</f>
        <v>league</v>
      </c>
      <c r="C6838" s="4" t="str">
        <f>IFERROR(__xludf.DUMMYFUNCTION("""COMPUTED_VALUE"""),"League Bot")</f>
        <v>League Bot</v>
      </c>
    </row>
    <row r="6839">
      <c r="A6839" s="4" t="str">
        <f>IFERROR(__xludf.DUMMYFUNCTION("""COMPUTED_VALUE"""),"league-of-ancients")</f>
        <v>league-of-ancients</v>
      </c>
      <c r="B6839" s="4" t="str">
        <f>IFERROR(__xludf.DUMMYFUNCTION("""COMPUTED_VALUE"""),"loa")</f>
        <v>loa</v>
      </c>
      <c r="C6839" s="4" t="str">
        <f>IFERROR(__xludf.DUMMYFUNCTION("""COMPUTED_VALUE"""),"League of Ancients")</f>
        <v>League of Ancients</v>
      </c>
    </row>
    <row r="6840">
      <c r="A6840" s="4" t="str">
        <f>IFERROR(__xludf.DUMMYFUNCTION("""COMPUTED_VALUE"""),"league-of-kingdoms")</f>
        <v>league-of-kingdoms</v>
      </c>
      <c r="B6840" s="4" t="str">
        <f>IFERROR(__xludf.DUMMYFUNCTION("""COMPUTED_VALUE"""),"loka")</f>
        <v>loka</v>
      </c>
      <c r="C6840" s="4" t="str">
        <f>IFERROR(__xludf.DUMMYFUNCTION("""COMPUTED_VALUE"""),"League of Kingdoms")</f>
        <v>League of Kingdoms</v>
      </c>
    </row>
    <row r="6841">
      <c r="A6841" s="4" t="str">
        <f>IFERROR(__xludf.DUMMYFUNCTION("""COMPUTED_VALUE"""),"leancoin")</f>
        <v>leancoin</v>
      </c>
      <c r="B6841" s="4" t="str">
        <f>IFERROR(__xludf.DUMMYFUNCTION("""COMPUTED_VALUE"""),"lean")</f>
        <v>lean</v>
      </c>
      <c r="C6841" s="4" t="str">
        <f>IFERROR(__xludf.DUMMYFUNCTION("""COMPUTED_VALUE"""),"Leancoin")</f>
        <v>Leancoin</v>
      </c>
    </row>
    <row r="6842">
      <c r="A6842" s="4" t="str">
        <f>IFERROR(__xludf.DUMMYFUNCTION("""COMPUTED_VALUE"""),"leandro-lopes")</f>
        <v>leandro-lopes</v>
      </c>
      <c r="B6842" s="4" t="str">
        <f>IFERROR(__xludf.DUMMYFUNCTION("""COMPUTED_VALUE"""),"lopes")</f>
        <v>lopes</v>
      </c>
      <c r="C6842" s="4" t="str">
        <f>IFERROR(__xludf.DUMMYFUNCTION("""COMPUTED_VALUE"""),"Leandro Lopes")</f>
        <v>Leandro Lopes</v>
      </c>
    </row>
    <row r="6843">
      <c r="A6843" s="4" t="str">
        <f>IFERROR(__xludf.DUMMYFUNCTION("""COMPUTED_VALUE"""),"leap-token")</f>
        <v>leap-token</v>
      </c>
      <c r="B6843" s="4" t="str">
        <f>IFERROR(__xludf.DUMMYFUNCTION("""COMPUTED_VALUE"""),"leap")</f>
        <v>leap</v>
      </c>
      <c r="C6843" s="4" t="str">
        <f>IFERROR(__xludf.DUMMYFUNCTION("""COMPUTED_VALUE"""),"LEAP Token")</f>
        <v>LEAP Token</v>
      </c>
    </row>
    <row r="6844">
      <c r="A6844" s="4" t="str">
        <f>IFERROR(__xludf.DUMMYFUNCTION("""COMPUTED_VALUE"""),"learning-star")</f>
        <v>learning-star</v>
      </c>
      <c r="B6844" s="4" t="str">
        <f>IFERROR(__xludf.DUMMYFUNCTION("""COMPUTED_VALUE"""),"lstar")</f>
        <v>lstar</v>
      </c>
      <c r="C6844" s="4" t="str">
        <f>IFERROR(__xludf.DUMMYFUNCTION("""COMPUTED_VALUE"""),"Learning Star")</f>
        <v>Learning Star</v>
      </c>
    </row>
    <row r="6845">
      <c r="A6845" s="4" t="str">
        <f>IFERROR(__xludf.DUMMYFUNCTION("""COMPUTED_VALUE"""),"leash")</f>
        <v>leash</v>
      </c>
      <c r="B6845" s="4" t="str">
        <f>IFERROR(__xludf.DUMMYFUNCTION("""COMPUTED_VALUE"""),"leash")</f>
        <v>leash</v>
      </c>
      <c r="C6845" s="4" t="str">
        <f>IFERROR(__xludf.DUMMYFUNCTION("""COMPUTED_VALUE"""),"Doge Killer")</f>
        <v>Doge Killer</v>
      </c>
    </row>
    <row r="6846">
      <c r="A6846" s="4" t="str">
        <f>IFERROR(__xludf.DUMMYFUNCTION("""COMPUTED_VALUE"""),"leaxcoin")</f>
        <v>leaxcoin</v>
      </c>
      <c r="B6846" s="4" t="str">
        <f>IFERROR(__xludf.DUMMYFUNCTION("""COMPUTED_VALUE"""),"leax")</f>
        <v>leax</v>
      </c>
      <c r="C6846" s="4" t="str">
        <f>IFERROR(__xludf.DUMMYFUNCTION("""COMPUTED_VALUE"""),"Leaxcoin")</f>
        <v>Leaxcoin</v>
      </c>
    </row>
    <row r="6847">
      <c r="A6847" s="4" t="str">
        <f>IFERROR(__xludf.DUMMYFUNCTION("""COMPUTED_VALUE"""),"ledgerland")</f>
        <v>ledgerland</v>
      </c>
      <c r="B6847" s="4" t="str">
        <f>IFERROR(__xludf.DUMMYFUNCTION("""COMPUTED_VALUE"""),"lger")</f>
        <v>lger</v>
      </c>
      <c r="C6847" s="4" t="str">
        <f>IFERROR(__xludf.DUMMYFUNCTION("""COMPUTED_VALUE"""),"LedgerLand")</f>
        <v>LedgerLand</v>
      </c>
    </row>
    <row r="6848">
      <c r="A6848" s="4" t="str">
        <f>IFERROR(__xludf.DUMMYFUNCTION("""COMPUTED_VALUE"""),"ledgis")</f>
        <v>ledgis</v>
      </c>
      <c r="B6848" s="4" t="str">
        <f>IFERROR(__xludf.DUMMYFUNCTION("""COMPUTED_VALUE"""),"led")</f>
        <v>led</v>
      </c>
      <c r="C6848" s="4" t="str">
        <f>IFERROR(__xludf.DUMMYFUNCTION("""COMPUTED_VALUE"""),"Ledgis")</f>
        <v>Ledgis</v>
      </c>
    </row>
    <row r="6849">
      <c r="A6849" s="4" t="str">
        <f>IFERROR(__xludf.DUMMYFUNCTION("""COMPUTED_VALUE"""),"ledgity-token")</f>
        <v>ledgity-token</v>
      </c>
      <c r="B6849" s="4" t="str">
        <f>IFERROR(__xludf.DUMMYFUNCTION("""COMPUTED_VALUE"""),"ldy")</f>
        <v>ldy</v>
      </c>
      <c r="C6849" s="4" t="str">
        <f>IFERROR(__xludf.DUMMYFUNCTION("""COMPUTED_VALUE"""),"Ledgity Token")</f>
        <v>Ledgity Token</v>
      </c>
    </row>
    <row r="6850">
      <c r="A6850" s="4" t="str">
        <f>IFERROR(__xludf.DUMMYFUNCTION("""COMPUTED_VALUE"""),"lee")</f>
        <v>lee</v>
      </c>
      <c r="B6850" s="4" t="str">
        <f>IFERROR(__xludf.DUMMYFUNCTION("""COMPUTED_VALUE"""),"lee")</f>
        <v>lee</v>
      </c>
      <c r="C6850" s="4" t="str">
        <f>IFERROR(__xludf.DUMMYFUNCTION("""COMPUTED_VALUE"""),"Lee")</f>
        <v>Lee</v>
      </c>
    </row>
    <row r="6851">
      <c r="A6851" s="4" t="str">
        <f>IFERROR(__xludf.DUMMYFUNCTION("""COMPUTED_VALUE"""),"leeds-united-fan-token")</f>
        <v>leeds-united-fan-token</v>
      </c>
      <c r="B6851" s="4" t="str">
        <f>IFERROR(__xludf.DUMMYFUNCTION("""COMPUTED_VALUE"""),"lufc")</f>
        <v>lufc</v>
      </c>
      <c r="C6851" s="4" t="str">
        <f>IFERROR(__xludf.DUMMYFUNCTION("""COMPUTED_VALUE"""),"Leeds United Fan Token")</f>
        <v>Leeds United Fan Token</v>
      </c>
    </row>
    <row r="6852">
      <c r="A6852" s="4" t="str">
        <f>IFERROR(__xludf.DUMMYFUNCTION("""COMPUTED_VALUE"""),"leeroy-jenkins")</f>
        <v>leeroy-jenkins</v>
      </c>
      <c r="B6852" s="4" t="str">
        <f>IFERROR(__xludf.DUMMYFUNCTION("""COMPUTED_VALUE"""),"leeroy")</f>
        <v>leeroy</v>
      </c>
      <c r="C6852" s="4" t="str">
        <f>IFERROR(__xludf.DUMMYFUNCTION("""COMPUTED_VALUE"""),"LEEROY JENKINS")</f>
        <v>LEEROY JENKINS</v>
      </c>
    </row>
    <row r="6853">
      <c r="A6853" s="4" t="str">
        <f>IFERROR(__xludf.DUMMYFUNCTION("""COMPUTED_VALUE"""),"leetcoin")</f>
        <v>leetcoin</v>
      </c>
      <c r="B6853" s="4" t="str">
        <f>IFERROR(__xludf.DUMMYFUNCTION("""COMPUTED_VALUE"""),"leet")</f>
        <v>leet</v>
      </c>
      <c r="C6853" s="4" t="str">
        <f>IFERROR(__xludf.DUMMYFUNCTION("""COMPUTED_VALUE"""),"LEETCoin")</f>
        <v>LEETCoin</v>
      </c>
    </row>
    <row r="6854">
      <c r="A6854" s="4" t="str">
        <f>IFERROR(__xludf.DUMMYFUNCTION("""COMPUTED_VALUE"""),"leetswap-canto")</f>
        <v>leetswap-canto</v>
      </c>
      <c r="B6854" s="4" t="str">
        <f>IFERROR(__xludf.DUMMYFUNCTION("""COMPUTED_VALUE"""),"leet")</f>
        <v>leet</v>
      </c>
      <c r="C6854" s="4" t="str">
        <f>IFERROR(__xludf.DUMMYFUNCTION("""COMPUTED_VALUE"""),"LeetSwap (Canto)")</f>
        <v>LeetSwap (Canto)</v>
      </c>
    </row>
    <row r="6855">
      <c r="A6855" s="4" t="str">
        <f>IFERROR(__xludf.DUMMYFUNCTION("""COMPUTED_VALUE"""),"legacy-ichi")</f>
        <v>legacy-ichi</v>
      </c>
      <c r="B6855" s="4" t="str">
        <f>IFERROR(__xludf.DUMMYFUNCTION("""COMPUTED_VALUE"""),"ichi")</f>
        <v>ichi</v>
      </c>
      <c r="C6855" s="4" t="str">
        <f>IFERROR(__xludf.DUMMYFUNCTION("""COMPUTED_VALUE"""),"Legacy ICHI")</f>
        <v>Legacy ICHI</v>
      </c>
    </row>
    <row r="6856">
      <c r="A6856" s="4" t="str">
        <f>IFERROR(__xludf.DUMMYFUNCTION("""COMPUTED_VALUE"""),"legendary-meme")</f>
        <v>legendary-meme</v>
      </c>
      <c r="B6856" s="4" t="str">
        <f>IFERROR(__xludf.DUMMYFUNCTION("""COMPUTED_VALUE"""),"lme")</f>
        <v>lme</v>
      </c>
      <c r="C6856" s="4" t="str">
        <f>IFERROR(__xludf.DUMMYFUNCTION("""COMPUTED_VALUE"""),"Legendary MEME")</f>
        <v>Legendary MEME</v>
      </c>
    </row>
    <row r="6857">
      <c r="A6857" s="4" t="str">
        <f>IFERROR(__xludf.DUMMYFUNCTION("""COMPUTED_VALUE"""),"legend-of-annihilation")</f>
        <v>legend-of-annihilation</v>
      </c>
      <c r="B6857" s="4" t="str">
        <f>IFERROR(__xludf.DUMMYFUNCTION("""COMPUTED_VALUE"""),"loa")</f>
        <v>loa</v>
      </c>
      <c r="C6857" s="4" t="str">
        <f>IFERROR(__xludf.DUMMYFUNCTION("""COMPUTED_VALUE"""),"Legend of Annihilation")</f>
        <v>Legend of Annihilation</v>
      </c>
    </row>
    <row r="6858">
      <c r="A6858" s="4" t="str">
        <f>IFERROR(__xludf.DUMMYFUNCTION("""COMPUTED_VALUE"""),"legend-of-fantasy-war")</f>
        <v>legend-of-fantasy-war</v>
      </c>
      <c r="B6858" s="4" t="str">
        <f>IFERROR(__xludf.DUMMYFUNCTION("""COMPUTED_VALUE"""),"lfw")</f>
        <v>lfw</v>
      </c>
      <c r="C6858" s="4" t="str">
        <f>IFERROR(__xludf.DUMMYFUNCTION("""COMPUTED_VALUE"""),"Linked Finance World")</f>
        <v>Linked Finance World</v>
      </c>
    </row>
    <row r="6859">
      <c r="A6859" s="4" t="str">
        <f>IFERROR(__xludf.DUMMYFUNCTION("""COMPUTED_VALUE"""),"legends-of-elysium")</f>
        <v>legends-of-elysium</v>
      </c>
      <c r="B6859" s="4" t="str">
        <f>IFERROR(__xludf.DUMMYFUNCTION("""COMPUTED_VALUE"""),"loe")</f>
        <v>loe</v>
      </c>
      <c r="C6859" s="4" t="str">
        <f>IFERROR(__xludf.DUMMYFUNCTION("""COMPUTED_VALUE"""),"Legends of Elysium")</f>
        <v>Legends of Elysium</v>
      </c>
    </row>
    <row r="6860">
      <c r="A6860" s="4" t="str">
        <f>IFERROR(__xludf.DUMMYFUNCTION("""COMPUTED_VALUE"""),"legends-of-sol")</f>
        <v>legends-of-sol</v>
      </c>
      <c r="B6860" s="4" t="str">
        <f>IFERROR(__xludf.DUMMYFUNCTION("""COMPUTED_VALUE"""),"legend")</f>
        <v>legend</v>
      </c>
      <c r="C6860" s="4" t="str">
        <f>IFERROR(__xludf.DUMMYFUNCTION("""COMPUTED_VALUE"""),"Legends Of SOL")</f>
        <v>Legends Of SOL</v>
      </c>
    </row>
    <row r="6861">
      <c r="A6861" s="4" t="str">
        <f>IFERROR(__xludf.DUMMYFUNCTION("""COMPUTED_VALUE"""),"legends-token")</f>
        <v>legends-token</v>
      </c>
      <c r="B6861" s="4" t="str">
        <f>IFERROR(__xludf.DUMMYFUNCTION("""COMPUTED_VALUE"""),"lg")</f>
        <v>lg</v>
      </c>
      <c r="C6861" s="4" t="str">
        <f>IFERROR(__xludf.DUMMYFUNCTION("""COMPUTED_VALUE"""),"Legends Token")</f>
        <v>Legends Token</v>
      </c>
    </row>
    <row r="6862">
      <c r="A6862" s="4" t="str">
        <f>IFERROR(__xludf.DUMMYFUNCTION("""COMPUTED_VALUE"""),"legia-warsaw-fan-token")</f>
        <v>legia-warsaw-fan-token</v>
      </c>
      <c r="B6862" s="4" t="str">
        <f>IFERROR(__xludf.DUMMYFUNCTION("""COMPUTED_VALUE"""),"leg")</f>
        <v>leg</v>
      </c>
      <c r="C6862" s="4" t="str">
        <f>IFERROR(__xludf.DUMMYFUNCTION("""COMPUTED_VALUE"""),"Legia Warsaw Fan Token")</f>
        <v>Legia Warsaw Fan Token</v>
      </c>
    </row>
    <row r="6863">
      <c r="A6863" s="4" t="str">
        <f>IFERROR(__xludf.DUMMYFUNCTION("""COMPUTED_VALUE"""),"legion-network")</f>
        <v>legion-network</v>
      </c>
      <c r="B6863" s="4" t="str">
        <f>IFERROR(__xludf.DUMMYFUNCTION("""COMPUTED_VALUE"""),"lgx")</f>
        <v>lgx</v>
      </c>
      <c r="C6863" s="4" t="str">
        <f>IFERROR(__xludf.DUMMYFUNCTION("""COMPUTED_VALUE"""),"Legion Network")</f>
        <v>Legion Network</v>
      </c>
    </row>
    <row r="6864">
      <c r="A6864" s="4" t="str">
        <f>IFERROR(__xludf.DUMMYFUNCTION("""COMPUTED_VALUE"""),"legion-ventures")</f>
        <v>legion-ventures</v>
      </c>
      <c r="B6864" s="4" t="str">
        <f>IFERROR(__xludf.DUMMYFUNCTION("""COMPUTED_VALUE"""),"$legion")</f>
        <v>$legion</v>
      </c>
      <c r="C6864" s="4" t="str">
        <f>IFERROR(__xludf.DUMMYFUNCTION("""COMPUTED_VALUE"""),"Legion Ventures")</f>
        <v>Legion Ventures</v>
      </c>
    </row>
    <row r="6865">
      <c r="A6865" s="4" t="str">
        <f>IFERROR(__xludf.DUMMYFUNCTION("""COMPUTED_VALUE"""),"lego-coin-v2")</f>
        <v>lego-coin-v2</v>
      </c>
      <c r="B6865" s="4" t="str">
        <f>IFERROR(__xludf.DUMMYFUNCTION("""COMPUTED_VALUE"""),"lego")</f>
        <v>lego</v>
      </c>
      <c r="C6865" s="4" t="str">
        <f>IFERROR(__xludf.DUMMYFUNCTION("""COMPUTED_VALUE"""),"Lego Coin V2")</f>
        <v>Lego Coin V2</v>
      </c>
    </row>
    <row r="6866">
      <c r="A6866" s="4" t="str">
        <f>IFERROR(__xludf.DUMMYFUNCTION("""COMPUTED_VALUE"""),"lehman-brothers")</f>
        <v>lehman-brothers</v>
      </c>
      <c r="B6866" s="4" t="str">
        <f>IFERROR(__xludf.DUMMYFUNCTION("""COMPUTED_VALUE"""),"leh")</f>
        <v>leh</v>
      </c>
      <c r="C6866" s="4" t="str">
        <f>IFERROR(__xludf.DUMMYFUNCTION("""COMPUTED_VALUE"""),"Lehman Brothers")</f>
        <v>Lehman Brothers</v>
      </c>
    </row>
    <row r="6867">
      <c r="A6867" s="4" t="str">
        <f>IFERROR(__xludf.DUMMYFUNCTION("""COMPUTED_VALUE"""),"leia")</f>
        <v>leia</v>
      </c>
      <c r="B6867" s="4" t="str">
        <f>IFERROR(__xludf.DUMMYFUNCTION("""COMPUTED_VALUE"""),"leia")</f>
        <v>leia</v>
      </c>
      <c r="C6867" s="4" t="str">
        <f>IFERROR(__xludf.DUMMYFUNCTION("""COMPUTED_VALUE"""),"Leia")</f>
        <v>Leia</v>
      </c>
    </row>
    <row r="6868">
      <c r="A6868" s="4" t="str">
        <f>IFERROR(__xludf.DUMMYFUNCTION("""COMPUTED_VALUE"""),"leia-the-cat")</f>
        <v>leia-the-cat</v>
      </c>
      <c r="B6868" s="4" t="str">
        <f>IFERROR(__xludf.DUMMYFUNCTION("""COMPUTED_VALUE"""),"leia")</f>
        <v>leia</v>
      </c>
      <c r="C6868" s="4" t="str">
        <f>IFERROR(__xludf.DUMMYFUNCTION("""COMPUTED_VALUE"""),"Leia the Cat")</f>
        <v>Leia the Cat</v>
      </c>
    </row>
    <row r="6869">
      <c r="A6869" s="4" t="str">
        <f>IFERROR(__xludf.DUMMYFUNCTION("""COMPUTED_VALUE"""),"leicester-tigers-fan-token")</f>
        <v>leicester-tigers-fan-token</v>
      </c>
      <c r="B6869" s="4" t="str">
        <f>IFERROR(__xludf.DUMMYFUNCTION("""COMPUTED_VALUE"""),"tigers")</f>
        <v>tigers</v>
      </c>
      <c r="C6869" s="4" t="str">
        <f>IFERROR(__xludf.DUMMYFUNCTION("""COMPUTED_VALUE"""),"Leicester Tigers Fan Token")</f>
        <v>Leicester Tigers Fan Token</v>
      </c>
    </row>
    <row r="6870">
      <c r="A6870" s="4" t="str">
        <f>IFERROR(__xludf.DUMMYFUNCTION("""COMPUTED_VALUE"""),"leisuremeta")</f>
        <v>leisuremeta</v>
      </c>
      <c r="B6870" s="4" t="str">
        <f>IFERROR(__xludf.DUMMYFUNCTION("""COMPUTED_VALUE"""),"lm")</f>
        <v>lm</v>
      </c>
      <c r="C6870" s="4" t="str">
        <f>IFERROR(__xludf.DUMMYFUNCTION("""COMPUTED_VALUE"""),"LeisureMeta")</f>
        <v>LeisureMeta</v>
      </c>
    </row>
    <row r="6871">
      <c r="A6871" s="4" t="str">
        <f>IFERROR(__xludf.DUMMYFUNCTION("""COMPUTED_VALUE"""),"le-meow")</f>
        <v>le-meow</v>
      </c>
      <c r="B6871" s="4" t="str">
        <f>IFERROR(__xludf.DUMMYFUNCTION("""COMPUTED_VALUE"""),"lemeow")</f>
        <v>lemeow</v>
      </c>
      <c r="C6871" s="4" t="str">
        <f>IFERROR(__xludf.DUMMYFUNCTION("""COMPUTED_VALUE"""),"Le Meow")</f>
        <v>Le Meow</v>
      </c>
    </row>
    <row r="6872">
      <c r="A6872" s="4" t="str">
        <f>IFERROR(__xludf.DUMMYFUNCTION("""COMPUTED_VALUE"""),"lemochain")</f>
        <v>lemochain</v>
      </c>
      <c r="B6872" s="4" t="str">
        <f>IFERROR(__xludf.DUMMYFUNCTION("""COMPUTED_VALUE"""),"lemo")</f>
        <v>lemo</v>
      </c>
      <c r="C6872" s="4" t="str">
        <f>IFERROR(__xludf.DUMMYFUNCTION("""COMPUTED_VALUE"""),"LemoChain")</f>
        <v>LemoChain</v>
      </c>
    </row>
    <row r="6873">
      <c r="A6873" s="4" t="str">
        <f>IFERROR(__xludf.DUMMYFUNCTION("""COMPUTED_VALUE"""),"lemonchain")</f>
        <v>lemonchain</v>
      </c>
      <c r="B6873" s="4" t="str">
        <f>IFERROR(__xludf.DUMMYFUNCTION("""COMPUTED_VALUE"""),"lemc")</f>
        <v>lemc</v>
      </c>
      <c r="C6873" s="4" t="str">
        <f>IFERROR(__xludf.DUMMYFUNCTION("""COMPUTED_VALUE"""),"LemonChain")</f>
        <v>LemonChain</v>
      </c>
    </row>
    <row r="6874">
      <c r="A6874" s="4" t="str">
        <f>IFERROR(__xludf.DUMMYFUNCTION("""COMPUTED_VALUE"""),"lemond")</f>
        <v>lemond</v>
      </c>
      <c r="B6874" s="4" t="str">
        <f>IFERROR(__xludf.DUMMYFUNCTION("""COMPUTED_VALUE"""),"lemd")</f>
        <v>lemd</v>
      </c>
      <c r="C6874" s="4" t="str">
        <f>IFERROR(__xludf.DUMMYFUNCTION("""COMPUTED_VALUE"""),"Lemond")</f>
        <v>Lemond</v>
      </c>
    </row>
    <row r="6875">
      <c r="A6875" s="4" t="str">
        <f>IFERROR(__xludf.DUMMYFUNCTION("""COMPUTED_VALUE"""),"lemon-terminal")</f>
        <v>lemon-terminal</v>
      </c>
      <c r="B6875" s="4" t="str">
        <f>IFERROR(__xludf.DUMMYFUNCTION("""COMPUTED_VALUE"""),"lemon")</f>
        <v>lemon</v>
      </c>
      <c r="C6875" s="4" t="str">
        <f>IFERROR(__xludf.DUMMYFUNCTION("""COMPUTED_VALUE"""),"Lemon Terminal")</f>
        <v>Lemon Terminal</v>
      </c>
    </row>
    <row r="6876">
      <c r="A6876" s="4" t="str">
        <f>IFERROR(__xludf.DUMMYFUNCTION("""COMPUTED_VALUE"""),"lemon-token")</f>
        <v>lemon-token</v>
      </c>
      <c r="B6876" s="4" t="str">
        <f>IFERROR(__xludf.DUMMYFUNCTION("""COMPUTED_VALUE"""),"lemn")</f>
        <v>lemn</v>
      </c>
      <c r="C6876" s="4" t="str">
        <f>IFERROR(__xludf.DUMMYFUNCTION("""COMPUTED_VALUE"""),"Crypto Lemon")</f>
        <v>Crypto Lemon</v>
      </c>
    </row>
    <row r="6877">
      <c r="A6877" s="4" t="str">
        <f>IFERROR(__xludf.DUMMYFUNCTION("""COMPUTED_VALUE"""),"lena")</f>
        <v>lena</v>
      </c>
      <c r="B6877" s="4" t="str">
        <f>IFERROR(__xludf.DUMMYFUNCTION("""COMPUTED_VALUE"""),"lena")</f>
        <v>lena</v>
      </c>
      <c r="C6877" s="4" t="str">
        <f>IFERROR(__xludf.DUMMYFUNCTION("""COMPUTED_VALUE"""),"Lena")</f>
        <v>Lena</v>
      </c>
    </row>
    <row r="6878">
      <c r="A6878" s="4" t="str">
        <f>IFERROR(__xludf.DUMMYFUNCTION("""COMPUTED_VALUE"""),"lendfi-finance")</f>
        <v>lendfi-finance</v>
      </c>
      <c r="B6878" s="4" t="str">
        <f>IFERROR(__xludf.DUMMYFUNCTION("""COMPUTED_VALUE"""),"lendfi")</f>
        <v>lendfi</v>
      </c>
      <c r="C6878" s="4" t="str">
        <f>IFERROR(__xludf.DUMMYFUNCTION("""COMPUTED_VALUE"""),"Lendfi Finance")</f>
        <v>Lendfi Finance</v>
      </c>
    </row>
    <row r="6879">
      <c r="A6879" s="4" t="str">
        <f>IFERROR(__xludf.DUMMYFUNCTION("""COMPUTED_VALUE"""),"lendhub")</f>
        <v>lendhub</v>
      </c>
      <c r="B6879" s="4" t="str">
        <f>IFERROR(__xludf.DUMMYFUNCTION("""COMPUTED_VALUE"""),"lhb")</f>
        <v>lhb</v>
      </c>
      <c r="C6879" s="4" t="str">
        <f>IFERROR(__xludf.DUMMYFUNCTION("""COMPUTED_VALUE"""),"Lendhub")</f>
        <v>Lendhub</v>
      </c>
    </row>
    <row r="6880">
      <c r="A6880" s="4" t="str">
        <f>IFERROR(__xludf.DUMMYFUNCTION("""COMPUTED_VALUE"""),"lendle")</f>
        <v>lendle</v>
      </c>
      <c r="B6880" s="4" t="str">
        <f>IFERROR(__xludf.DUMMYFUNCTION("""COMPUTED_VALUE"""),"lend")</f>
        <v>lend</v>
      </c>
      <c r="C6880" s="4" t="str">
        <f>IFERROR(__xludf.DUMMYFUNCTION("""COMPUTED_VALUE"""),"Lendle")</f>
        <v>Lendle</v>
      </c>
    </row>
    <row r="6881">
      <c r="A6881" s="4" t="str">
        <f>IFERROR(__xludf.DUMMYFUNCTION("""COMPUTED_VALUE"""),"lendora-protocol")</f>
        <v>lendora-protocol</v>
      </c>
      <c r="B6881" s="4" t="str">
        <f>IFERROR(__xludf.DUMMYFUNCTION("""COMPUTED_VALUE"""),"lora")</f>
        <v>lora</v>
      </c>
      <c r="C6881" s="4" t="str">
        <f>IFERROR(__xludf.DUMMYFUNCTION("""COMPUTED_VALUE"""),"Lendora Protocol")</f>
        <v>Lendora Protocol</v>
      </c>
    </row>
    <row r="6882">
      <c r="A6882" s="4" t="str">
        <f>IFERROR(__xludf.DUMMYFUNCTION("""COMPUTED_VALUE"""),"lendrr")</f>
        <v>lendrr</v>
      </c>
      <c r="B6882" s="4" t="str">
        <f>IFERROR(__xludf.DUMMYFUNCTION("""COMPUTED_VALUE"""),"lndrr")</f>
        <v>lndrr</v>
      </c>
      <c r="C6882" s="4" t="str">
        <f>IFERROR(__xludf.DUMMYFUNCTION("""COMPUTED_VALUE"""),"LendrR")</f>
        <v>LendrR</v>
      </c>
    </row>
    <row r="6883">
      <c r="A6883" s="4" t="str">
        <f>IFERROR(__xludf.DUMMYFUNCTION("""COMPUTED_VALUE"""),"lendrusre")</f>
        <v>lendrusre</v>
      </c>
      <c r="B6883" s="4" t="str">
        <f>IFERROR(__xludf.DUMMYFUNCTION("""COMPUTED_VALUE"""),"usre")</f>
        <v>usre</v>
      </c>
      <c r="C6883" s="4" t="str">
        <f>IFERROR(__xludf.DUMMYFUNCTION("""COMPUTED_VALUE"""),"LendrUSRE")</f>
        <v>LendrUSRE</v>
      </c>
    </row>
    <row r="6884">
      <c r="A6884" s="4" t="str">
        <f>IFERROR(__xludf.DUMMYFUNCTION("""COMPUTED_VALUE"""),"lends")</f>
        <v>lends</v>
      </c>
      <c r="B6884" s="4" t="str">
        <f>IFERROR(__xludf.DUMMYFUNCTION("""COMPUTED_VALUE"""),"lends")</f>
        <v>lends</v>
      </c>
      <c r="C6884" s="4" t="str">
        <f>IFERROR(__xludf.DUMMYFUNCTION("""COMPUTED_VALUE"""),"Lends")</f>
        <v>Lends</v>
      </c>
    </row>
    <row r="6885">
      <c r="A6885" s="4" t="str">
        <f>IFERROR(__xludf.DUMMYFUNCTION("""COMPUTED_VALUE"""),"lenny-face")</f>
        <v>lenny-face</v>
      </c>
      <c r="B6885" s="4" t="str">
        <f>IFERROR(__xludf.DUMMYFUNCTION("""COMPUTED_VALUE"""),"( ͡° ͜ʖ ͡°)")</f>
        <v>( ͡° ͜ʖ ͡°)</v>
      </c>
      <c r="C6885" s="4" t="str">
        <f>IFERROR(__xludf.DUMMYFUNCTION("""COMPUTED_VALUE"""),"Lenny Face")</f>
        <v>Lenny Face</v>
      </c>
    </row>
    <row r="6886">
      <c r="A6886" s="4" t="str">
        <f>IFERROR(__xludf.DUMMYFUNCTION("""COMPUTED_VALUE"""),"leoavax")</f>
        <v>leoavax</v>
      </c>
      <c r="B6886" s="4" t="str">
        <f>IFERROR(__xludf.DUMMYFUNCTION("""COMPUTED_VALUE"""),"leo")</f>
        <v>leo</v>
      </c>
      <c r="C6886" s="4" t="str">
        <f>IFERROR(__xludf.DUMMYFUNCTION("""COMPUTED_VALUE"""),"LeoAVAX")</f>
        <v>LeoAVAX</v>
      </c>
    </row>
    <row r="6887">
      <c r="A6887" s="4" t="str">
        <f>IFERROR(__xludf.DUMMYFUNCTION("""COMPUTED_VALUE"""),"leonicorn-swap-leons")</f>
        <v>leonicorn-swap-leons</v>
      </c>
      <c r="B6887" s="4" t="str">
        <f>IFERROR(__xludf.DUMMYFUNCTION("""COMPUTED_VALUE"""),"leons")</f>
        <v>leons</v>
      </c>
      <c r="C6887" s="4" t="str">
        <f>IFERROR(__xludf.DUMMYFUNCTION("""COMPUTED_VALUE"""),"Leonicorn Swap LEONS")</f>
        <v>Leonicorn Swap LEONS</v>
      </c>
    </row>
    <row r="6888">
      <c r="A6888" s="4" t="str">
        <f>IFERROR(__xludf.DUMMYFUNCTION("""COMPUTED_VALUE"""),"leonidasbilic")</f>
        <v>leonidasbilic</v>
      </c>
      <c r="B6888" s="4" t="str">
        <f>IFERROR(__xludf.DUMMYFUNCTION("""COMPUTED_VALUE"""),"lio")</f>
        <v>lio</v>
      </c>
      <c r="C6888" s="4" t="str">
        <f>IFERROR(__xludf.DUMMYFUNCTION("""COMPUTED_VALUE"""),"Leonidasbilic")</f>
        <v>Leonidasbilic</v>
      </c>
    </row>
    <row r="6889">
      <c r="A6889" s="4" t="str">
        <f>IFERROR(__xludf.DUMMYFUNCTION("""COMPUTED_VALUE"""),"leonidas-token")</f>
        <v>leonidas-token</v>
      </c>
      <c r="B6889" s="4" t="str">
        <f>IFERROR(__xludf.DUMMYFUNCTION("""COMPUTED_VALUE"""),"leonidas")</f>
        <v>leonidas</v>
      </c>
      <c r="C6889" s="4" t="str">
        <f>IFERROR(__xludf.DUMMYFUNCTION("""COMPUTED_VALUE"""),"Leonidas Token")</f>
        <v>Leonidas Token</v>
      </c>
    </row>
    <row r="6890">
      <c r="A6890" s="4" t="str">
        <f>IFERROR(__xludf.DUMMYFUNCTION("""COMPUTED_VALUE"""),"leopard")</f>
        <v>leopard</v>
      </c>
      <c r="B6890" s="4" t="str">
        <f>IFERROR(__xludf.DUMMYFUNCTION("""COMPUTED_VALUE"""),"leopard")</f>
        <v>leopard</v>
      </c>
      <c r="C6890" s="4" t="str">
        <f>IFERROR(__xludf.DUMMYFUNCTION("""COMPUTED_VALUE"""),"Leopard")</f>
        <v>Leopard</v>
      </c>
    </row>
    <row r="6891">
      <c r="A6891" s="4" t="str">
        <f>IFERROR(__xludf.DUMMYFUNCTION("""COMPUTED_VALUE"""),"leopold")</f>
        <v>leopold</v>
      </c>
      <c r="B6891" s="4" t="str">
        <f>IFERROR(__xludf.DUMMYFUNCTION("""COMPUTED_VALUE"""),"leo")</f>
        <v>leo</v>
      </c>
      <c r="C6891" s="4" t="str">
        <f>IFERROR(__xludf.DUMMYFUNCTION("""COMPUTED_VALUE"""),"LEO")</f>
        <v>LEO</v>
      </c>
    </row>
    <row r="6892">
      <c r="A6892" s="4" t="str">
        <f>IFERROR(__xludf.DUMMYFUNCTION("""COMPUTED_VALUE"""),"leo-token")</f>
        <v>leo-token</v>
      </c>
      <c r="B6892" s="4" t="str">
        <f>IFERROR(__xludf.DUMMYFUNCTION("""COMPUTED_VALUE"""),"leo")</f>
        <v>leo</v>
      </c>
      <c r="C6892" s="4" t="str">
        <f>IFERROR(__xludf.DUMMYFUNCTION("""COMPUTED_VALUE"""),"LEO Token")</f>
        <v>LEO Token</v>
      </c>
    </row>
    <row r="6893">
      <c r="A6893" s="4" t="str">
        <f>IFERROR(__xludf.DUMMYFUNCTION("""COMPUTED_VALUE"""),"leox")</f>
        <v>leox</v>
      </c>
      <c r="B6893" s="4" t="str">
        <f>IFERROR(__xludf.DUMMYFUNCTION("""COMPUTED_VALUE"""),"leox")</f>
        <v>leox</v>
      </c>
      <c r="C6893" s="4" t="str">
        <f>IFERROR(__xludf.DUMMYFUNCTION("""COMPUTED_VALUE"""),"LEOX")</f>
        <v>LEOX</v>
      </c>
    </row>
    <row r="6894">
      <c r="A6894" s="4" t="str">
        <f>IFERROR(__xludf.DUMMYFUNCTION("""COMPUTED_VALUE"""),"lernitas")</f>
        <v>lernitas</v>
      </c>
      <c r="B6894" s="4" t="str">
        <f>IFERROR(__xludf.DUMMYFUNCTION("""COMPUTED_VALUE"""),"2192")</f>
        <v>2192</v>
      </c>
      <c r="C6894" s="4" t="str">
        <f>IFERROR(__xludf.DUMMYFUNCTION("""COMPUTED_VALUE"""),"LERNITAS")</f>
        <v>LERNITAS</v>
      </c>
    </row>
    <row r="6895">
      <c r="A6895" s="4" t="str">
        <f>IFERROR(__xludf.DUMMYFUNCTION("""COMPUTED_VALUE"""),"leslie")</f>
        <v>leslie</v>
      </c>
      <c r="B6895" s="4" t="str">
        <f>IFERROR(__xludf.DUMMYFUNCTION("""COMPUTED_VALUE"""),"leslie")</f>
        <v>leslie</v>
      </c>
      <c r="C6895" s="4" t="str">
        <f>IFERROR(__xludf.DUMMYFUNCTION("""COMPUTED_VALUE"""),"Leslie")</f>
        <v>Leslie</v>
      </c>
    </row>
    <row r="6896">
      <c r="A6896" s="4" t="str">
        <f>IFERROR(__xludf.DUMMYFUNCTION("""COMPUTED_VALUE"""),"lessfngas")</f>
        <v>lessfngas</v>
      </c>
      <c r="B6896" s="4" t="str">
        <f>IFERROR(__xludf.DUMMYFUNCTION("""COMPUTED_VALUE"""),"lfg")</f>
        <v>lfg</v>
      </c>
      <c r="C6896" s="4" t="str">
        <f>IFERROR(__xludf.DUMMYFUNCTION("""COMPUTED_VALUE"""),"LessFnGas")</f>
        <v>LessFnGas</v>
      </c>
    </row>
    <row r="6897">
      <c r="A6897" s="4" t="str">
        <f>IFERROR(__xludf.DUMMYFUNCTION("""COMPUTED_VALUE"""),"lethean")</f>
        <v>lethean</v>
      </c>
      <c r="B6897" s="4" t="str">
        <f>IFERROR(__xludf.DUMMYFUNCTION("""COMPUTED_VALUE"""),"lthn")</f>
        <v>lthn</v>
      </c>
      <c r="C6897" s="4" t="str">
        <f>IFERROR(__xludf.DUMMYFUNCTION("""COMPUTED_VALUE"""),"Lethean")</f>
        <v>Lethean</v>
      </c>
    </row>
    <row r="6898">
      <c r="A6898" s="4" t="str">
        <f>IFERROR(__xludf.DUMMYFUNCTION("""COMPUTED_VALUE"""),"let-s-get-hai")</f>
        <v>let-s-get-hai</v>
      </c>
      <c r="B6898" s="4" t="str">
        <f>IFERROR(__xludf.DUMMYFUNCTION("""COMPUTED_VALUE"""),"hai")</f>
        <v>hai</v>
      </c>
      <c r="C6898" s="4" t="str">
        <f>IFERROR(__xludf.DUMMYFUNCTION("""COMPUTED_VALUE"""),"Let's Get HAI")</f>
        <v>Let's Get HAI</v>
      </c>
    </row>
    <row r="6899">
      <c r="A6899" s="4" t="str">
        <f>IFERROR(__xludf.DUMMYFUNCTION("""COMPUTED_VALUE"""),"lets-go-brandon")</f>
        <v>lets-go-brandon</v>
      </c>
      <c r="B6899" s="4" t="str">
        <f>IFERROR(__xludf.DUMMYFUNCTION("""COMPUTED_VALUE"""),"letsgo")</f>
        <v>letsgo</v>
      </c>
      <c r="C6899" s="4" t="str">
        <f>IFERROR(__xludf.DUMMYFUNCTION("""COMPUTED_VALUE"""),"Lets Go Brandon")</f>
        <v>Lets Go Brandon</v>
      </c>
    </row>
    <row r="6900">
      <c r="A6900" s="4" t="str">
        <f>IFERROR(__xludf.DUMMYFUNCTION("""COMPUTED_VALUE"""),"levana-protocol")</f>
        <v>levana-protocol</v>
      </c>
      <c r="B6900" s="4" t="str">
        <f>IFERROR(__xludf.DUMMYFUNCTION("""COMPUTED_VALUE"""),"lvn")</f>
        <v>lvn</v>
      </c>
      <c r="C6900" s="4" t="str">
        <f>IFERROR(__xludf.DUMMYFUNCTION("""COMPUTED_VALUE"""),"Levana")</f>
        <v>Levana</v>
      </c>
    </row>
    <row r="6901">
      <c r="A6901" s="4" t="str">
        <f>IFERROR(__xludf.DUMMYFUNCTION("""COMPUTED_VALUE"""),"levante-ud-fan-token")</f>
        <v>levante-ud-fan-token</v>
      </c>
      <c r="B6901" s="4" t="str">
        <f>IFERROR(__xludf.DUMMYFUNCTION("""COMPUTED_VALUE"""),"lev")</f>
        <v>lev</v>
      </c>
      <c r="C6901" s="4" t="str">
        <f>IFERROR(__xludf.DUMMYFUNCTION("""COMPUTED_VALUE"""),"Levante U.D. Fan Token")</f>
        <v>Levante U.D. Fan Token</v>
      </c>
    </row>
    <row r="6902">
      <c r="A6902" s="4" t="str">
        <f>IFERROR(__xludf.DUMMYFUNCTION("""COMPUTED_VALUE"""),"level")</f>
        <v>level</v>
      </c>
      <c r="B6902" s="4" t="str">
        <f>IFERROR(__xludf.DUMMYFUNCTION("""COMPUTED_VALUE"""),"lvl")</f>
        <v>lvl</v>
      </c>
      <c r="C6902" s="4" t="str">
        <f>IFERROR(__xludf.DUMMYFUNCTION("""COMPUTED_VALUE"""),"Level")</f>
        <v>Level</v>
      </c>
    </row>
    <row r="6903">
      <c r="A6903" s="4" t="str">
        <f>IFERROR(__xludf.DUMMYFUNCTION("""COMPUTED_VALUE"""),"levelg")</f>
        <v>levelg</v>
      </c>
      <c r="B6903" s="4" t="str">
        <f>IFERROR(__xludf.DUMMYFUNCTION("""COMPUTED_VALUE"""),"levelg")</f>
        <v>levelg</v>
      </c>
      <c r="C6903" s="4" t="str">
        <f>IFERROR(__xludf.DUMMYFUNCTION("""COMPUTED_VALUE"""),"LEVELG")</f>
        <v>LEVELG</v>
      </c>
    </row>
    <row r="6904">
      <c r="A6904" s="4" t="str">
        <f>IFERROR(__xludf.DUMMYFUNCTION("""COMPUTED_VALUE"""),"level-governance")</f>
        <v>level-governance</v>
      </c>
      <c r="B6904" s="4" t="str">
        <f>IFERROR(__xludf.DUMMYFUNCTION("""COMPUTED_VALUE"""),"lgo")</f>
        <v>lgo</v>
      </c>
      <c r="C6904" s="4" t="str">
        <f>IFERROR(__xludf.DUMMYFUNCTION("""COMPUTED_VALUE"""),"Level Governance")</f>
        <v>Level Governance</v>
      </c>
    </row>
    <row r="6905">
      <c r="A6905" s="4" t="str">
        <f>IFERROR(__xludf.DUMMYFUNCTION("""COMPUTED_VALUE"""),"lever")</f>
        <v>lever</v>
      </c>
      <c r="B6905" s="4" t="str">
        <f>IFERROR(__xludf.DUMMYFUNCTION("""COMPUTED_VALUE"""),"lever")</f>
        <v>lever</v>
      </c>
      <c r="C6905" s="4" t="str">
        <f>IFERROR(__xludf.DUMMYFUNCTION("""COMPUTED_VALUE"""),"LeverFi")</f>
        <v>LeverFi</v>
      </c>
    </row>
    <row r="6906">
      <c r="A6906" s="4" t="str">
        <f>IFERROR(__xludf.DUMMYFUNCTION("""COMPUTED_VALUE"""),"leverageinu")</f>
        <v>leverageinu</v>
      </c>
      <c r="B6906" s="4" t="str">
        <f>IFERROR(__xludf.DUMMYFUNCTION("""COMPUTED_VALUE"""),"levi")</f>
        <v>levi</v>
      </c>
      <c r="C6906" s="4" t="str">
        <f>IFERROR(__xludf.DUMMYFUNCTION("""COMPUTED_VALUE"""),"LeverageInu")</f>
        <v>LeverageInu</v>
      </c>
    </row>
    <row r="6907">
      <c r="A6907" s="4" t="str">
        <f>IFERROR(__xludf.DUMMYFUNCTION("""COMPUTED_VALUE"""),"leverj-gluon")</f>
        <v>leverj-gluon</v>
      </c>
      <c r="B6907" s="4" t="str">
        <f>IFERROR(__xludf.DUMMYFUNCTION("""COMPUTED_VALUE"""),"l2")</f>
        <v>l2</v>
      </c>
      <c r="C6907" s="4" t="str">
        <f>IFERROR(__xludf.DUMMYFUNCTION("""COMPUTED_VALUE"""),"Leverj Gluon")</f>
        <v>Leverj Gluon</v>
      </c>
    </row>
    <row r="6908">
      <c r="A6908" s="4" t="str">
        <f>IFERROR(__xludf.DUMMYFUNCTION("""COMPUTED_VALUE"""),"lever-network")</f>
        <v>lever-network</v>
      </c>
      <c r="B6908" s="4" t="str">
        <f>IFERROR(__xludf.DUMMYFUNCTION("""COMPUTED_VALUE"""),"lev")</f>
        <v>lev</v>
      </c>
      <c r="C6908" s="4" t="str">
        <f>IFERROR(__xludf.DUMMYFUNCTION("""COMPUTED_VALUE"""),"Lever Network")</f>
        <v>Lever Network</v>
      </c>
    </row>
    <row r="6909">
      <c r="A6909" s="4" t="str">
        <f>IFERROR(__xludf.DUMMYFUNCTION("""COMPUTED_VALUE"""),"levolution")</f>
        <v>levolution</v>
      </c>
      <c r="B6909" s="4" t="str">
        <f>IFERROR(__xludf.DUMMYFUNCTION("""COMPUTED_VALUE"""),"levl")</f>
        <v>levl</v>
      </c>
      <c r="C6909" s="4" t="str">
        <f>IFERROR(__xludf.DUMMYFUNCTION("""COMPUTED_VALUE"""),"Levolution")</f>
        <v>Levolution</v>
      </c>
    </row>
    <row r="6910">
      <c r="A6910" s="4" t="str">
        <f>IFERROR(__xludf.DUMMYFUNCTION("""COMPUTED_VALUE"""),"lexa-ai")</f>
        <v>lexa-ai</v>
      </c>
      <c r="B6910" s="4" t="str">
        <f>IFERROR(__xludf.DUMMYFUNCTION("""COMPUTED_VALUE"""),"lexa")</f>
        <v>lexa</v>
      </c>
      <c r="C6910" s="4" t="str">
        <f>IFERROR(__xludf.DUMMYFUNCTION("""COMPUTED_VALUE"""),"LEXA AI")</f>
        <v>LEXA AI</v>
      </c>
    </row>
    <row r="6911">
      <c r="A6911" s="4" t="str">
        <f>IFERROR(__xludf.DUMMYFUNCTION("""COMPUTED_VALUE"""),"lexer-markets")</f>
        <v>lexer-markets</v>
      </c>
      <c r="B6911" s="4" t="str">
        <f>IFERROR(__xludf.DUMMYFUNCTION("""COMPUTED_VALUE"""),"lex")</f>
        <v>lex</v>
      </c>
      <c r="C6911" s="4" t="str">
        <f>IFERROR(__xludf.DUMMYFUNCTION("""COMPUTED_VALUE"""),"LEXER Markets")</f>
        <v>LEXER Markets</v>
      </c>
    </row>
    <row r="6912">
      <c r="A6912" s="4" t="str">
        <f>IFERROR(__xludf.DUMMYFUNCTION("""COMPUTED_VALUE"""),"lfg")</f>
        <v>lfg</v>
      </c>
      <c r="B6912" s="4" t="str">
        <f>IFERROR(__xludf.DUMMYFUNCTION("""COMPUTED_VALUE"""),"@lfg")</f>
        <v>@lfg</v>
      </c>
      <c r="C6912" s="4" t="str">
        <f>IFERROR(__xludf.DUMMYFUNCTION("""COMPUTED_VALUE"""),"LFG")</f>
        <v>LFG</v>
      </c>
    </row>
    <row r="6913">
      <c r="A6913" s="4" t="str">
        <f>IFERROR(__xludf.DUMMYFUNCTION("""COMPUTED_VALUE"""),"lfg-coin")</f>
        <v>lfg-coin</v>
      </c>
      <c r="B6913" s="4" t="str">
        <f>IFERROR(__xludf.DUMMYFUNCTION("""COMPUTED_VALUE"""),"lfg")</f>
        <v>lfg</v>
      </c>
      <c r="C6913" s="4" t="str">
        <f>IFERROR(__xludf.DUMMYFUNCTION("""COMPUTED_VALUE"""),"LFG coin")</f>
        <v>LFG coin</v>
      </c>
    </row>
    <row r="6914">
      <c r="A6914" s="4" t="str">
        <f>IFERROR(__xludf.DUMMYFUNCTION("""COMPUTED_VALUE"""),"lfgswap-finance")</f>
        <v>lfgswap-finance</v>
      </c>
      <c r="B6914" s="4" t="str">
        <f>IFERROR(__xludf.DUMMYFUNCTION("""COMPUTED_VALUE"""),"lfg")</f>
        <v>lfg</v>
      </c>
      <c r="C6914" s="4" t="str">
        <f>IFERROR(__xludf.DUMMYFUNCTION("""COMPUTED_VALUE"""),"LFGSwap Finance")</f>
        <v>LFGSwap Finance</v>
      </c>
    </row>
    <row r="6915">
      <c r="A6915" s="4" t="str">
        <f>IFERROR(__xludf.DUMMYFUNCTION("""COMPUTED_VALUE"""),"lfgswap-finance-core")</f>
        <v>lfgswap-finance-core</v>
      </c>
      <c r="B6915" s="4" t="str">
        <f>IFERROR(__xludf.DUMMYFUNCTION("""COMPUTED_VALUE"""),"lfg")</f>
        <v>lfg</v>
      </c>
      <c r="C6915" s="4" t="str">
        <f>IFERROR(__xludf.DUMMYFUNCTION("""COMPUTED_VALUE"""),"LFGSwap Finance(CORE)")</f>
        <v>LFGSwap Finance(CORE)</v>
      </c>
    </row>
    <row r="6916">
      <c r="A6916" s="4" t="str">
        <f>IFERROR(__xludf.DUMMYFUNCTION("""COMPUTED_VALUE"""),"lfi")</f>
        <v>lfi</v>
      </c>
      <c r="B6916" s="4" t="str">
        <f>IFERROR(__xludf.DUMMYFUNCTION("""COMPUTED_VALUE"""),"lfi")</f>
        <v>lfi</v>
      </c>
      <c r="C6916" s="4" t="str">
        <f>IFERROR(__xludf.DUMMYFUNCTION("""COMPUTED_VALUE"""),"LFi")</f>
        <v>LFi</v>
      </c>
    </row>
    <row r="6917">
      <c r="A6917" s="4" t="str">
        <f>IFERROR(__xludf.DUMMYFUNCTION("""COMPUTED_VALUE"""),"lgcy-network")</f>
        <v>lgcy-network</v>
      </c>
      <c r="B6917" s="4" t="str">
        <f>IFERROR(__xludf.DUMMYFUNCTION("""COMPUTED_VALUE"""),"lgcy")</f>
        <v>lgcy</v>
      </c>
      <c r="C6917" s="4" t="str">
        <f>IFERROR(__xludf.DUMMYFUNCTION("""COMPUTED_VALUE"""),"LGCY Network")</f>
        <v>LGCY Network</v>
      </c>
    </row>
    <row r="6918">
      <c r="A6918" s="4" t="str">
        <f>IFERROR(__xludf.DUMMYFUNCTION("""COMPUTED_VALUE"""),"liberland-lld")</f>
        <v>liberland-lld</v>
      </c>
      <c r="B6918" s="4" t="str">
        <f>IFERROR(__xludf.DUMMYFUNCTION("""COMPUTED_VALUE"""),"lld")</f>
        <v>lld</v>
      </c>
      <c r="C6918" s="4" t="str">
        <f>IFERROR(__xludf.DUMMYFUNCTION("""COMPUTED_VALUE"""),"Liberland LLD")</f>
        <v>Liberland LLD</v>
      </c>
    </row>
    <row r="6919">
      <c r="A6919" s="4" t="str">
        <f>IFERROR(__xludf.DUMMYFUNCTION("""COMPUTED_VALUE"""),"libero-financial")</f>
        <v>libero-financial</v>
      </c>
      <c r="B6919" s="4" t="str">
        <f>IFERROR(__xludf.DUMMYFUNCTION("""COMPUTED_VALUE"""),"libero")</f>
        <v>libero</v>
      </c>
      <c r="C6919" s="4" t="str">
        <f>IFERROR(__xludf.DUMMYFUNCTION("""COMPUTED_VALUE"""),"Libero Financial")</f>
        <v>Libero Financial</v>
      </c>
    </row>
    <row r="6920">
      <c r="A6920" s="4" t="str">
        <f>IFERROR(__xludf.DUMMYFUNCTION("""COMPUTED_VALUE"""),"liberty-square-filth")</f>
        <v>liberty-square-filth</v>
      </c>
      <c r="B6920" s="4" t="str">
        <f>IFERROR(__xludf.DUMMYFUNCTION("""COMPUTED_VALUE"""),"flth")</f>
        <v>flth</v>
      </c>
      <c r="C6920" s="4" t="str">
        <f>IFERROR(__xludf.DUMMYFUNCTION("""COMPUTED_VALUE"""),"Liberty Square Filth")</f>
        <v>Liberty Square Filth</v>
      </c>
    </row>
    <row r="6921">
      <c r="A6921" s="4" t="str">
        <f>IFERROR(__xludf.DUMMYFUNCTION("""COMPUTED_VALUE"""),"libfi")</f>
        <v>libfi</v>
      </c>
      <c r="B6921" s="4" t="str">
        <f>IFERROR(__xludf.DUMMYFUNCTION("""COMPUTED_VALUE"""),"libx")</f>
        <v>libx</v>
      </c>
      <c r="C6921" s="4" t="str">
        <f>IFERROR(__xludf.DUMMYFUNCTION("""COMPUTED_VALUE"""),"Libfi")</f>
        <v>Libfi</v>
      </c>
    </row>
    <row r="6922">
      <c r="A6922" s="4" t="str">
        <f>IFERROR(__xludf.DUMMYFUNCTION("""COMPUTED_VALUE"""),"libra-3")</f>
        <v>libra-3</v>
      </c>
      <c r="B6922" s="4" t="str">
        <f>IFERROR(__xludf.DUMMYFUNCTION("""COMPUTED_VALUE"""),"libra")</f>
        <v>libra</v>
      </c>
      <c r="C6922" s="4" t="str">
        <f>IFERROR(__xludf.DUMMYFUNCTION("""COMPUTED_VALUE"""),"0L Network")</f>
        <v>0L Network</v>
      </c>
    </row>
    <row r="6923">
      <c r="A6923" s="4" t="str">
        <f>IFERROR(__xludf.DUMMYFUNCTION("""COMPUTED_VALUE"""),"libra-credit")</f>
        <v>libra-credit</v>
      </c>
      <c r="B6923" s="4" t="str">
        <f>IFERROR(__xludf.DUMMYFUNCTION("""COMPUTED_VALUE"""),"lba")</f>
        <v>lba</v>
      </c>
      <c r="C6923" s="4" t="str">
        <f>IFERROR(__xludf.DUMMYFUNCTION("""COMPUTED_VALUE"""),"Libra Credit")</f>
        <v>Libra Credit</v>
      </c>
    </row>
    <row r="6924">
      <c r="A6924" s="4" t="str">
        <f>IFERROR(__xludf.DUMMYFUNCTION("""COMPUTED_VALUE"""),"libra-incentix")</f>
        <v>libra-incentix</v>
      </c>
      <c r="B6924" s="4" t="str">
        <f>IFERROR(__xludf.DUMMYFUNCTION("""COMPUTED_VALUE"""),"lixx")</f>
        <v>lixx</v>
      </c>
      <c r="C6924" s="4" t="str">
        <f>IFERROR(__xludf.DUMMYFUNCTION("""COMPUTED_VALUE"""),"Libra Incentix")</f>
        <v>Libra Incentix</v>
      </c>
    </row>
    <row r="6925">
      <c r="A6925" s="4" t="str">
        <f>IFERROR(__xludf.DUMMYFUNCTION("""COMPUTED_VALUE"""),"libra-protocol")</f>
        <v>libra-protocol</v>
      </c>
      <c r="B6925" s="4" t="str">
        <f>IFERROR(__xludf.DUMMYFUNCTION("""COMPUTED_VALUE"""),"lbr")</f>
        <v>lbr</v>
      </c>
      <c r="C6925" s="4" t="str">
        <f>IFERROR(__xludf.DUMMYFUNCTION("""COMPUTED_VALUE"""),"Libra Protocol")</f>
        <v>Libra Protocol</v>
      </c>
    </row>
    <row r="6926">
      <c r="A6926" s="4" t="str">
        <f>IFERROR(__xludf.DUMMYFUNCTION("""COMPUTED_VALUE"""),"libra-protocol-2")</f>
        <v>libra-protocol-2</v>
      </c>
      <c r="B6926" s="4" t="str">
        <f>IFERROR(__xludf.DUMMYFUNCTION("""COMPUTED_VALUE"""),"libra")</f>
        <v>libra</v>
      </c>
      <c r="C6926" s="4" t="str">
        <f>IFERROR(__xludf.DUMMYFUNCTION("""COMPUTED_VALUE"""),"Libra Protocol")</f>
        <v>Libra Protocol</v>
      </c>
    </row>
    <row r="6927">
      <c r="A6927" s="4" t="str">
        <f>IFERROR(__xludf.DUMMYFUNCTION("""COMPUTED_VALUE"""),"libre")</f>
        <v>libre</v>
      </c>
      <c r="B6927" s="4" t="str">
        <f>IFERROR(__xludf.DUMMYFUNCTION("""COMPUTED_VALUE"""),"libre")</f>
        <v>libre</v>
      </c>
      <c r="C6927" s="4" t="str">
        <f>IFERROR(__xludf.DUMMYFUNCTION("""COMPUTED_VALUE"""),"Libre")</f>
        <v>Libre</v>
      </c>
    </row>
    <row r="6928">
      <c r="A6928" s="4" t="str">
        <f>IFERROR(__xludf.DUMMYFUNCTION("""COMPUTED_VALUE"""),"lichang")</f>
        <v>lichang</v>
      </c>
      <c r="B6928" s="4" t="str">
        <f>IFERROR(__xludf.DUMMYFUNCTION("""COMPUTED_VALUE"""),"lc")</f>
        <v>lc</v>
      </c>
      <c r="C6928" s="4" t="str">
        <f>IFERROR(__xludf.DUMMYFUNCTION("""COMPUTED_VALUE"""),"Lichang")</f>
        <v>Lichang</v>
      </c>
    </row>
    <row r="6929">
      <c r="A6929" s="4" t="str">
        <f>IFERROR(__xludf.DUMMYFUNCTION("""COMPUTED_VALUE"""),"lickgoat")</f>
        <v>lickgoat</v>
      </c>
      <c r="B6929" s="4" t="str">
        <f>IFERROR(__xludf.DUMMYFUNCTION("""COMPUTED_VALUE"""),"lick")</f>
        <v>lick</v>
      </c>
      <c r="C6929" s="4" t="str">
        <f>IFERROR(__xludf.DUMMYFUNCTION("""COMPUTED_VALUE"""),"LICKGOAT")</f>
        <v>LICKGOAT</v>
      </c>
    </row>
    <row r="6930">
      <c r="A6930" s="4" t="str">
        <f>IFERROR(__xludf.DUMMYFUNCTION("""COMPUTED_VALUE"""),"lido-dao")</f>
        <v>lido-dao</v>
      </c>
      <c r="B6930" s="4" t="str">
        <f>IFERROR(__xludf.DUMMYFUNCTION("""COMPUTED_VALUE"""),"ldo")</f>
        <v>ldo</v>
      </c>
      <c r="C6930" s="4" t="str">
        <f>IFERROR(__xludf.DUMMYFUNCTION("""COMPUTED_VALUE"""),"Lido DAO")</f>
        <v>Lido DAO</v>
      </c>
    </row>
    <row r="6931">
      <c r="A6931" s="4" t="str">
        <f>IFERROR(__xludf.DUMMYFUNCTION("""COMPUTED_VALUE"""),"lido-dao-wormhole")</f>
        <v>lido-dao-wormhole</v>
      </c>
      <c r="B6931" s="4" t="str">
        <f>IFERROR(__xludf.DUMMYFUNCTION("""COMPUTED_VALUE"""),"ldo")</f>
        <v>ldo</v>
      </c>
      <c r="C6931" s="4" t="str">
        <f>IFERROR(__xludf.DUMMYFUNCTION("""COMPUTED_VALUE"""),"Lido DAO (Wormhole)")</f>
        <v>Lido DAO (Wormhole)</v>
      </c>
    </row>
    <row r="6932">
      <c r="A6932" s="4" t="str">
        <f>IFERROR(__xludf.DUMMYFUNCTION("""COMPUTED_VALUE"""),"lido-on-kusama")</f>
        <v>lido-on-kusama</v>
      </c>
      <c r="B6932" s="4" t="str">
        <f>IFERROR(__xludf.DUMMYFUNCTION("""COMPUTED_VALUE"""),"wstksm")</f>
        <v>wstksm</v>
      </c>
      <c r="C6932" s="4" t="str">
        <f>IFERROR(__xludf.DUMMYFUNCTION("""COMPUTED_VALUE"""),"Lido on Kusama")</f>
        <v>Lido on Kusama</v>
      </c>
    </row>
    <row r="6933">
      <c r="A6933" s="4" t="str">
        <f>IFERROR(__xludf.DUMMYFUNCTION("""COMPUTED_VALUE"""),"lido-staked-matic")</f>
        <v>lido-staked-matic</v>
      </c>
      <c r="B6933" s="4" t="str">
        <f>IFERROR(__xludf.DUMMYFUNCTION("""COMPUTED_VALUE"""),"stmatic")</f>
        <v>stmatic</v>
      </c>
      <c r="C6933" s="4" t="str">
        <f>IFERROR(__xludf.DUMMYFUNCTION("""COMPUTED_VALUE"""),"Lido Staked Matic")</f>
        <v>Lido Staked Matic</v>
      </c>
    </row>
    <row r="6934">
      <c r="A6934" s="4" t="str">
        <f>IFERROR(__xludf.DUMMYFUNCTION("""COMPUTED_VALUE"""),"lido-staked-sol")</f>
        <v>lido-staked-sol</v>
      </c>
      <c r="B6934" s="4" t="str">
        <f>IFERROR(__xludf.DUMMYFUNCTION("""COMPUTED_VALUE"""),"stsol")</f>
        <v>stsol</v>
      </c>
      <c r="C6934" s="4" t="str">
        <f>IFERROR(__xludf.DUMMYFUNCTION("""COMPUTED_VALUE"""),"Lido Staked SOL")</f>
        <v>Lido Staked SOL</v>
      </c>
    </row>
    <row r="6935">
      <c r="A6935" s="4" t="str">
        <f>IFERROR(__xludf.DUMMYFUNCTION("""COMPUTED_VALUE"""),"lidya")</f>
        <v>lidya</v>
      </c>
      <c r="B6935" s="4" t="str">
        <f>IFERROR(__xludf.DUMMYFUNCTION("""COMPUTED_VALUE"""),"lidya")</f>
        <v>lidya</v>
      </c>
      <c r="C6935" s="4" t="str">
        <f>IFERROR(__xludf.DUMMYFUNCTION("""COMPUTED_VALUE"""),"Lidya")</f>
        <v>Lidya</v>
      </c>
    </row>
    <row r="6936">
      <c r="A6936" s="4" t="str">
        <f>IFERROR(__xludf.DUMMYFUNCTION("""COMPUTED_VALUE"""),"lieflat")</f>
        <v>lieflat</v>
      </c>
      <c r="B6936" s="4" t="str">
        <f>IFERROR(__xludf.DUMMYFUNCTION("""COMPUTED_VALUE"""),"lieflat")</f>
        <v>lieflat</v>
      </c>
      <c r="C6936" s="4" t="str">
        <f>IFERROR(__xludf.DUMMYFUNCTION("""COMPUTED_VALUE"""),"LieFlat")</f>
        <v>LieFlat</v>
      </c>
    </row>
    <row r="6937">
      <c r="A6937" s="4" t="str">
        <f>IFERROR(__xludf.DUMMYFUNCTION("""COMPUTED_VALUE"""),"lien")</f>
        <v>lien</v>
      </c>
      <c r="B6937" s="4" t="str">
        <f>IFERROR(__xludf.DUMMYFUNCTION("""COMPUTED_VALUE"""),"lien")</f>
        <v>lien</v>
      </c>
      <c r="C6937" s="4" t="str">
        <f>IFERROR(__xludf.DUMMYFUNCTION("""COMPUTED_VALUE"""),"Lien")</f>
        <v>Lien</v>
      </c>
    </row>
    <row r="6938">
      <c r="A6938" s="4" t="str">
        <f>IFERROR(__xludf.DUMMYFUNCTION("""COMPUTED_VALUE"""),"lif3")</f>
        <v>lif3</v>
      </c>
      <c r="B6938" s="4" t="str">
        <f>IFERROR(__xludf.DUMMYFUNCTION("""COMPUTED_VALUE"""),"lif3")</f>
        <v>lif3</v>
      </c>
      <c r="C6938" s="4" t="str">
        <f>IFERROR(__xludf.DUMMYFUNCTION("""COMPUTED_VALUE"""),"LIF3 (OLD)")</f>
        <v>LIF3 (OLD)</v>
      </c>
    </row>
    <row r="6939">
      <c r="A6939" s="4" t="str">
        <f>IFERROR(__xludf.DUMMYFUNCTION("""COMPUTED_VALUE"""),"lif3-2")</f>
        <v>lif3-2</v>
      </c>
      <c r="B6939" s="4" t="str">
        <f>IFERROR(__xludf.DUMMYFUNCTION("""COMPUTED_VALUE"""),"lif3")</f>
        <v>lif3</v>
      </c>
      <c r="C6939" s="4" t="str">
        <f>IFERROR(__xludf.DUMMYFUNCTION("""COMPUTED_VALUE"""),"Lif3")</f>
        <v>Lif3</v>
      </c>
    </row>
    <row r="6940">
      <c r="A6940" s="4" t="str">
        <f>IFERROR(__xludf.DUMMYFUNCTION("""COMPUTED_VALUE"""),"lif3-lshare")</f>
        <v>lif3-lshare</v>
      </c>
      <c r="B6940" s="4" t="str">
        <f>IFERROR(__xludf.DUMMYFUNCTION("""COMPUTED_VALUE"""),"lshare")</f>
        <v>lshare</v>
      </c>
      <c r="C6940" s="4" t="str">
        <f>IFERROR(__xludf.DUMMYFUNCTION("""COMPUTED_VALUE"""),"LIF3 LSHARE (OLD)")</f>
        <v>LIF3 LSHARE (OLD)</v>
      </c>
    </row>
    <row r="6941">
      <c r="A6941" s="4" t="str">
        <f>IFERROR(__xludf.DUMMYFUNCTION("""COMPUTED_VALUE"""),"lif3-lshare-new")</f>
        <v>lif3-lshare-new</v>
      </c>
      <c r="B6941" s="4" t="str">
        <f>IFERROR(__xludf.DUMMYFUNCTION("""COMPUTED_VALUE"""),"lshare")</f>
        <v>lshare</v>
      </c>
      <c r="C6941" s="4" t="str">
        <f>IFERROR(__xludf.DUMMYFUNCTION("""COMPUTED_VALUE"""),"LIF3 LSHARE")</f>
        <v>LIF3 LSHARE</v>
      </c>
    </row>
    <row r="6942">
      <c r="A6942" s="4" t="str">
        <f>IFERROR(__xludf.DUMMYFUNCTION("""COMPUTED_VALUE"""),"life-coin")</f>
        <v>life-coin</v>
      </c>
      <c r="B6942" s="4" t="str">
        <f>IFERROR(__xludf.DUMMYFUNCTION("""COMPUTED_VALUE"""),"lfc")</f>
        <v>lfc</v>
      </c>
      <c r="C6942" s="4" t="str">
        <f>IFERROR(__xludf.DUMMYFUNCTION("""COMPUTED_VALUE"""),"Supernova Shards Life Coin")</f>
        <v>Supernova Shards Life Coin</v>
      </c>
    </row>
    <row r="6943">
      <c r="A6943" s="4" t="str">
        <f>IFERROR(__xludf.DUMMYFUNCTION("""COMPUTED_VALUE"""),"life-crypto")</f>
        <v>life-crypto</v>
      </c>
      <c r="B6943" s="4" t="str">
        <f>IFERROR(__xludf.DUMMYFUNCTION("""COMPUTED_VALUE"""),"life")</f>
        <v>life</v>
      </c>
      <c r="C6943" s="4" t="str">
        <f>IFERROR(__xludf.DUMMYFUNCTION("""COMPUTED_VALUE"""),"Life Crypto")</f>
        <v>Life Crypto</v>
      </c>
    </row>
    <row r="6944">
      <c r="A6944" s="4" t="str">
        <f>IFERROR(__xludf.DUMMYFUNCTION("""COMPUTED_VALUE"""),"liferestart")</f>
        <v>liferestart</v>
      </c>
      <c r="B6944" s="4" t="str">
        <f>IFERROR(__xludf.DUMMYFUNCTION("""COMPUTED_VALUE"""),"efil")</f>
        <v>efil</v>
      </c>
      <c r="C6944" s="4" t="str">
        <f>IFERROR(__xludf.DUMMYFUNCTION("""COMPUTED_VALUE"""),"LifeRestart (Ordinals)")</f>
        <v>LifeRestart (Ordinals)</v>
      </c>
    </row>
    <row r="6945">
      <c r="A6945" s="4" t="str">
        <f>IFERROR(__xludf.DUMMYFUNCTION("""COMPUTED_VALUE"""),"life-token-v2")</f>
        <v>life-token-v2</v>
      </c>
      <c r="B6945" s="4" t="str">
        <f>IFERROR(__xludf.DUMMYFUNCTION("""COMPUTED_VALUE"""),"ltnv2")</f>
        <v>ltnv2</v>
      </c>
      <c r="C6945" s="4" t="str">
        <f>IFERROR(__xludf.DUMMYFUNCTION("""COMPUTED_VALUE"""),"Life v2")</f>
        <v>Life v2</v>
      </c>
    </row>
    <row r="6946">
      <c r="A6946" s="4" t="str">
        <f>IFERROR(__xludf.DUMMYFUNCTION("""COMPUTED_VALUE"""),"lifinity")</f>
        <v>lifinity</v>
      </c>
      <c r="B6946" s="4" t="str">
        <f>IFERROR(__xludf.DUMMYFUNCTION("""COMPUTED_VALUE"""),"lfnty")</f>
        <v>lfnty</v>
      </c>
      <c r="C6946" s="4" t="str">
        <f>IFERROR(__xludf.DUMMYFUNCTION("""COMPUTED_VALUE"""),"Lifinity")</f>
        <v>Lifinity</v>
      </c>
    </row>
    <row r="6947">
      <c r="A6947" s="4" t="str">
        <f>IFERROR(__xludf.DUMMYFUNCTION("""COMPUTED_VALUE"""),"lifti")</f>
        <v>lifti</v>
      </c>
      <c r="B6947" s="4" t="str">
        <f>IFERROR(__xludf.DUMMYFUNCTION("""COMPUTED_VALUE"""),"lft")</f>
        <v>lft</v>
      </c>
      <c r="C6947" s="4" t="str">
        <f>IFERROR(__xludf.DUMMYFUNCTION("""COMPUTED_VALUE"""),"Lifti")</f>
        <v>Lifti</v>
      </c>
    </row>
    <row r="6948">
      <c r="A6948" s="4" t="str">
        <f>IFERROR(__xludf.DUMMYFUNCTION("""COMPUTED_VALUE"""),"lightcoin")</f>
        <v>lightcoin</v>
      </c>
      <c r="B6948" s="4" t="str">
        <f>IFERROR(__xludf.DUMMYFUNCTION("""COMPUTED_VALUE"""),"lhc")</f>
        <v>lhc</v>
      </c>
      <c r="C6948" s="4" t="str">
        <f>IFERROR(__xludf.DUMMYFUNCTION("""COMPUTED_VALUE"""),"Lightcoin")</f>
        <v>Lightcoin</v>
      </c>
    </row>
    <row r="6949">
      <c r="A6949" s="4" t="str">
        <f>IFERROR(__xludf.DUMMYFUNCTION("""COMPUTED_VALUE"""),"lightcycle")</f>
        <v>lightcycle</v>
      </c>
      <c r="B6949" s="4" t="str">
        <f>IFERROR(__xludf.DUMMYFUNCTION("""COMPUTED_VALUE"""),"lilc")</f>
        <v>lilc</v>
      </c>
      <c r="C6949" s="4" t="str">
        <f>IFERROR(__xludf.DUMMYFUNCTION("""COMPUTED_VALUE"""),"LightCycle")</f>
        <v>LightCycle</v>
      </c>
    </row>
    <row r="6950">
      <c r="A6950" s="4" t="str">
        <f>IFERROR(__xludf.DUMMYFUNCTION("""COMPUTED_VALUE"""),"light-defi")</f>
        <v>light-defi</v>
      </c>
      <c r="B6950" s="4" t="str">
        <f>IFERROR(__xludf.DUMMYFUNCTION("""COMPUTED_VALUE"""),"light")</f>
        <v>light</v>
      </c>
      <c r="C6950" s="4" t="str">
        <f>IFERROR(__xludf.DUMMYFUNCTION("""COMPUTED_VALUE"""),"Light Defi")</f>
        <v>Light Defi</v>
      </c>
    </row>
    <row r="6951">
      <c r="A6951" s="4" t="str">
        <f>IFERROR(__xludf.DUMMYFUNCTION("""COMPUTED_VALUE"""),"lightlink")</f>
        <v>lightlink</v>
      </c>
      <c r="B6951" s="4" t="str">
        <f>IFERROR(__xludf.DUMMYFUNCTION("""COMPUTED_VALUE"""),"ll")</f>
        <v>ll</v>
      </c>
      <c r="C6951" s="4" t="str">
        <f>IFERROR(__xludf.DUMMYFUNCTION("""COMPUTED_VALUE"""),"LightLink")</f>
        <v>LightLink</v>
      </c>
    </row>
    <row r="6952">
      <c r="A6952" s="4" t="str">
        <f>IFERROR(__xludf.DUMMYFUNCTION("""COMPUTED_VALUE"""),"lightning-bitcoin")</f>
        <v>lightning-bitcoin</v>
      </c>
      <c r="B6952" s="4" t="str">
        <f>IFERROR(__xludf.DUMMYFUNCTION("""COMPUTED_VALUE"""),"lbtc")</f>
        <v>lbtc</v>
      </c>
      <c r="C6952" s="4" t="str">
        <f>IFERROR(__xludf.DUMMYFUNCTION("""COMPUTED_VALUE"""),"Lightning Bitcoin")</f>
        <v>Lightning Bitcoin</v>
      </c>
    </row>
    <row r="6953">
      <c r="A6953" s="4" t="str">
        <f>IFERROR(__xludf.DUMMYFUNCTION("""COMPUTED_VALUE"""),"lightning-protocol")</f>
        <v>lightning-protocol</v>
      </c>
      <c r="B6953" s="4" t="str">
        <f>IFERROR(__xludf.DUMMYFUNCTION("""COMPUTED_VALUE"""),"light")</f>
        <v>light</v>
      </c>
      <c r="C6953" s="4" t="str">
        <f>IFERROR(__xludf.DUMMYFUNCTION("""COMPUTED_VALUE"""),"Lightning Protocol")</f>
        <v>Lightning Protocol</v>
      </c>
    </row>
    <row r="6954">
      <c r="A6954" s="4" t="str">
        <f>IFERROR(__xludf.DUMMYFUNCTION("""COMPUTED_VALUE"""),"lightyears")</f>
        <v>lightyears</v>
      </c>
      <c r="B6954" s="4" t="str">
        <f>IFERROR(__xludf.DUMMYFUNCTION("""COMPUTED_VALUE"""),"year")</f>
        <v>year</v>
      </c>
      <c r="C6954" s="4" t="str">
        <f>IFERROR(__xludf.DUMMYFUNCTION("""COMPUTED_VALUE"""),"Lightyears")</f>
        <v>Lightyears</v>
      </c>
    </row>
    <row r="6955">
      <c r="A6955" s="4" t="str">
        <f>IFERROR(__xludf.DUMMYFUNCTION("""COMPUTED_VALUE"""),"ligma-node")</f>
        <v>ligma-node</v>
      </c>
      <c r="B6955" s="4" t="str">
        <f>IFERROR(__xludf.DUMMYFUNCTION("""COMPUTED_VALUE"""),"ligma")</f>
        <v>ligma</v>
      </c>
      <c r="C6955" s="4" t="str">
        <f>IFERROR(__xludf.DUMMYFUNCTION("""COMPUTED_VALUE"""),"Ligma Node")</f>
        <v>Ligma Node</v>
      </c>
    </row>
    <row r="6956">
      <c r="A6956" s="4" t="str">
        <f>IFERROR(__xludf.DUMMYFUNCTION("""COMPUTED_VALUE"""),"ligo-ordinals")</f>
        <v>ligo-ordinals</v>
      </c>
      <c r="B6956" s="4" t="str">
        <f>IFERROR(__xludf.DUMMYFUNCTION("""COMPUTED_VALUE"""),"ligo")</f>
        <v>ligo</v>
      </c>
      <c r="C6956" s="4" t="str">
        <f>IFERROR(__xludf.DUMMYFUNCTION("""COMPUTED_VALUE"""),"Ligo (Ordinals)")</f>
        <v>Ligo (Ordinals)</v>
      </c>
    </row>
    <row r="6957">
      <c r="A6957" s="4" t="str">
        <f>IFERROR(__xludf.DUMMYFUNCTION("""COMPUTED_VALUE"""),"likecoin")</f>
        <v>likecoin</v>
      </c>
      <c r="B6957" s="4" t="str">
        <f>IFERROR(__xludf.DUMMYFUNCTION("""COMPUTED_VALUE"""),"like")</f>
        <v>like</v>
      </c>
      <c r="C6957" s="4" t="str">
        <f>IFERROR(__xludf.DUMMYFUNCTION("""COMPUTED_VALUE"""),"LikeCoin")</f>
        <v>LikeCoin</v>
      </c>
    </row>
    <row r="6958">
      <c r="A6958" s="4" t="str">
        <f>IFERROR(__xludf.DUMMYFUNCTION("""COMPUTED_VALUE"""),"lilai")</f>
        <v>lilai</v>
      </c>
      <c r="B6958" s="4" t="str">
        <f>IFERROR(__xludf.DUMMYFUNCTION("""COMPUTED_VALUE"""),"lilai")</f>
        <v>lilai</v>
      </c>
      <c r="C6958" s="4" t="str">
        <f>IFERROR(__xludf.DUMMYFUNCTION("""COMPUTED_VALUE"""),"LilAI")</f>
        <v>LilAI</v>
      </c>
    </row>
    <row r="6959">
      <c r="A6959" s="4" t="str">
        <f>IFERROR(__xludf.DUMMYFUNCTION("""COMPUTED_VALUE"""),"limestone-network")</f>
        <v>limestone-network</v>
      </c>
      <c r="B6959" s="4" t="str">
        <f>IFERROR(__xludf.DUMMYFUNCTION("""COMPUTED_VALUE"""),"limex")</f>
        <v>limex</v>
      </c>
      <c r="C6959" s="4" t="str">
        <f>IFERROR(__xludf.DUMMYFUNCTION("""COMPUTED_VALUE"""),"Limestone Network")</f>
        <v>Limestone Network</v>
      </c>
    </row>
    <row r="6960">
      <c r="A6960" s="4" t="str">
        <f>IFERROR(__xludf.DUMMYFUNCTION("""COMPUTED_VALUE"""),"limewire-token")</f>
        <v>limewire-token</v>
      </c>
      <c r="B6960" s="4" t="str">
        <f>IFERROR(__xludf.DUMMYFUNCTION("""COMPUTED_VALUE"""),"lmwr")</f>
        <v>lmwr</v>
      </c>
      <c r="C6960" s="4" t="str">
        <f>IFERROR(__xludf.DUMMYFUNCTION("""COMPUTED_VALUE"""),"LimeWire")</f>
        <v>LimeWire</v>
      </c>
    </row>
    <row r="6961">
      <c r="A6961" s="4" t="str">
        <f>IFERROR(__xludf.DUMMYFUNCTION("""COMPUTED_VALUE"""),"limocoin-swap")</f>
        <v>limocoin-swap</v>
      </c>
      <c r="B6961" s="4" t="str">
        <f>IFERROR(__xludf.DUMMYFUNCTION("""COMPUTED_VALUE"""),"lmcswap")</f>
        <v>lmcswap</v>
      </c>
      <c r="C6961" s="4" t="str">
        <f>IFERROR(__xludf.DUMMYFUNCTION("""COMPUTED_VALUE"""),"Limocoin Swap")</f>
        <v>Limocoin Swap</v>
      </c>
    </row>
    <row r="6962">
      <c r="A6962" s="4" t="str">
        <f>IFERROR(__xludf.DUMMYFUNCTION("""COMPUTED_VALUE"""),"limoverse")</f>
        <v>limoverse</v>
      </c>
      <c r="B6962" s="4" t="str">
        <f>IFERROR(__xludf.DUMMYFUNCTION("""COMPUTED_VALUE"""),"limo")</f>
        <v>limo</v>
      </c>
      <c r="C6962" s="4" t="str">
        <f>IFERROR(__xludf.DUMMYFUNCTION("""COMPUTED_VALUE"""),"Limoverse")</f>
        <v>Limoverse</v>
      </c>
    </row>
    <row r="6963">
      <c r="A6963" s="4" t="str">
        <f>IFERROR(__xludf.DUMMYFUNCTION("""COMPUTED_VALUE"""),"lina")</f>
        <v>lina</v>
      </c>
      <c r="B6963" s="4" t="str">
        <f>IFERROR(__xludf.DUMMYFUNCTION("""COMPUTED_VALUE"""),"lina")</f>
        <v>lina</v>
      </c>
      <c r="C6963" s="4" t="str">
        <f>IFERROR(__xludf.DUMMYFUNCTION("""COMPUTED_VALUE"""),"LINA")</f>
        <v>LINA</v>
      </c>
    </row>
    <row r="6964">
      <c r="A6964" s="4" t="str">
        <f>IFERROR(__xludf.DUMMYFUNCTION("""COMPUTED_VALUE"""),"linda-2")</f>
        <v>linda-2</v>
      </c>
      <c r="B6964" s="4" t="str">
        <f>IFERROR(__xludf.DUMMYFUNCTION("""COMPUTED_VALUE"""),"linda")</f>
        <v>linda</v>
      </c>
      <c r="C6964" s="4" t="str">
        <f>IFERROR(__xludf.DUMMYFUNCTION("""COMPUTED_VALUE"""),"Linda")</f>
        <v>Linda</v>
      </c>
    </row>
    <row r="6965">
      <c r="A6965" s="4" t="str">
        <f>IFERROR(__xludf.DUMMYFUNCTION("""COMPUTED_VALUE"""),"lineabank")</f>
        <v>lineabank</v>
      </c>
      <c r="B6965" s="4" t="str">
        <f>IFERROR(__xludf.DUMMYFUNCTION("""COMPUTED_VALUE"""),"lab")</f>
        <v>lab</v>
      </c>
      <c r="C6965" s="4" t="str">
        <f>IFERROR(__xludf.DUMMYFUNCTION("""COMPUTED_VALUE"""),"LineaBank")</f>
        <v>LineaBank</v>
      </c>
    </row>
    <row r="6966">
      <c r="A6966" s="4" t="str">
        <f>IFERROR(__xludf.DUMMYFUNCTION("""COMPUTED_VALUE"""),"linear")</f>
        <v>linear</v>
      </c>
      <c r="B6966" s="4" t="str">
        <f>IFERROR(__xludf.DUMMYFUNCTION("""COMPUTED_VALUE"""),"lina")</f>
        <v>lina</v>
      </c>
      <c r="C6966" s="4" t="str">
        <f>IFERROR(__xludf.DUMMYFUNCTION("""COMPUTED_VALUE"""),"Linear")</f>
        <v>Linear</v>
      </c>
    </row>
    <row r="6967">
      <c r="A6967" s="4" t="str">
        <f>IFERROR(__xludf.DUMMYFUNCTION("""COMPUTED_VALUE"""),"linear-protocol")</f>
        <v>linear-protocol</v>
      </c>
      <c r="B6967" s="4" t="str">
        <f>IFERROR(__xludf.DUMMYFUNCTION("""COMPUTED_VALUE"""),"linear")</f>
        <v>linear</v>
      </c>
      <c r="C6967" s="4" t="str">
        <f>IFERROR(__xludf.DUMMYFUNCTION("""COMPUTED_VALUE"""),"LiNEAR Protocol Staked NEAR")</f>
        <v>LiNEAR Protocol Staked NEAR</v>
      </c>
    </row>
    <row r="6968">
      <c r="A6968" s="4" t="str">
        <f>IFERROR(__xludf.DUMMYFUNCTION("""COMPUTED_VALUE"""),"linear-protocol-lnr")</f>
        <v>linear-protocol-lnr</v>
      </c>
      <c r="B6968" s="4" t="str">
        <f>IFERROR(__xludf.DUMMYFUNCTION("""COMPUTED_VALUE"""),"lnr")</f>
        <v>lnr</v>
      </c>
      <c r="C6968" s="4" t="str">
        <f>IFERROR(__xludf.DUMMYFUNCTION("""COMPUTED_VALUE"""),"LiNEAR Protocol LNR")</f>
        <v>LiNEAR Protocol LNR</v>
      </c>
    </row>
    <row r="6969">
      <c r="A6969" s="4" t="str">
        <f>IFERROR(__xludf.DUMMYFUNCTION("""COMPUTED_VALUE"""),"linea-velocore")</f>
        <v>linea-velocore</v>
      </c>
      <c r="B6969" s="4" t="str">
        <f>IFERROR(__xludf.DUMMYFUNCTION("""COMPUTED_VALUE"""),"lvc")</f>
        <v>lvc</v>
      </c>
      <c r="C6969" s="4" t="str">
        <f>IFERROR(__xludf.DUMMYFUNCTION("""COMPUTED_VALUE"""),"Linea Velocore")</f>
        <v>Linea Velocore</v>
      </c>
    </row>
    <row r="6970">
      <c r="A6970" s="4" t="str">
        <f>IFERROR(__xludf.DUMMYFUNCTION("""COMPUTED_VALUE"""),"linea-voyage-xp")</f>
        <v>linea-voyage-xp</v>
      </c>
      <c r="B6970" s="4" t="str">
        <f>IFERROR(__xludf.DUMMYFUNCTION("""COMPUTED_VALUE"""),"lxp")</f>
        <v>lxp</v>
      </c>
      <c r="C6970" s="4" t="str">
        <f>IFERROR(__xludf.DUMMYFUNCTION("""COMPUTED_VALUE"""),"Linea Voyage XP")</f>
        <v>Linea Voyage XP</v>
      </c>
    </row>
    <row r="6971">
      <c r="A6971" s="4" t="str">
        <f>IFERROR(__xludf.DUMMYFUNCTION("""COMPUTED_VALUE"""),"linework-coin")</f>
        <v>linework-coin</v>
      </c>
      <c r="B6971" s="4" t="str">
        <f>IFERROR(__xludf.DUMMYFUNCTION("""COMPUTED_VALUE"""),"lwc")</f>
        <v>lwc</v>
      </c>
      <c r="C6971" s="4" t="str">
        <f>IFERROR(__xludf.DUMMYFUNCTION("""COMPUTED_VALUE"""),"Linework Coin")</f>
        <v>Linework Coin</v>
      </c>
    </row>
    <row r="6972">
      <c r="A6972" s="4" t="str">
        <f>IFERROR(__xludf.DUMMYFUNCTION("""COMPUTED_VALUE"""),"lingose")</f>
        <v>lingose</v>
      </c>
      <c r="B6972" s="4" t="str">
        <f>IFERROR(__xludf.DUMMYFUNCTION("""COMPUTED_VALUE"""),"ling")</f>
        <v>ling</v>
      </c>
      <c r="C6972" s="4" t="str">
        <f>IFERROR(__xludf.DUMMYFUNCTION("""COMPUTED_VALUE"""),"Lingose")</f>
        <v>Lingose</v>
      </c>
    </row>
    <row r="6973">
      <c r="A6973" s="4" t="str">
        <f>IFERROR(__xludf.DUMMYFUNCTION("""COMPUTED_VALUE"""),"link")</f>
        <v>link</v>
      </c>
      <c r="B6973" s="4" t="str">
        <f>IFERROR(__xludf.DUMMYFUNCTION("""COMPUTED_VALUE"""),"fnsa")</f>
        <v>fnsa</v>
      </c>
      <c r="C6973" s="4" t="str">
        <f>IFERROR(__xludf.DUMMYFUNCTION("""COMPUTED_VALUE"""),"FINSCHIA")</f>
        <v>FINSCHIA</v>
      </c>
    </row>
    <row r="6974">
      <c r="A6974" s="4" t="str">
        <f>IFERROR(__xludf.DUMMYFUNCTION("""COMPUTED_VALUE"""),"linkeye")</f>
        <v>linkeye</v>
      </c>
      <c r="B6974" s="4" t="str">
        <f>IFERROR(__xludf.DUMMYFUNCTION("""COMPUTED_VALUE"""),"let")</f>
        <v>let</v>
      </c>
      <c r="C6974" s="4" t="str">
        <f>IFERROR(__xludf.DUMMYFUNCTION("""COMPUTED_VALUE"""),"Linkeye")</f>
        <v>Linkeye</v>
      </c>
    </row>
    <row r="6975">
      <c r="A6975" s="4" t="str">
        <f>IFERROR(__xludf.DUMMYFUNCTION("""COMPUTED_VALUE"""),"linkfi")</f>
        <v>linkfi</v>
      </c>
      <c r="B6975" s="4" t="str">
        <f>IFERROR(__xludf.DUMMYFUNCTION("""COMPUTED_VALUE"""),"linkfi")</f>
        <v>linkfi</v>
      </c>
      <c r="C6975" s="4" t="str">
        <f>IFERROR(__xludf.DUMMYFUNCTION("""COMPUTED_VALUE"""),"LINKFI")</f>
        <v>LINKFI</v>
      </c>
    </row>
    <row r="6976">
      <c r="A6976" s="4" t="str">
        <f>IFERROR(__xludf.DUMMYFUNCTION("""COMPUTED_VALUE"""),"linkpool")</f>
        <v>linkpool</v>
      </c>
      <c r="B6976" s="4" t="str">
        <f>IFERROR(__xludf.DUMMYFUNCTION("""COMPUTED_VALUE"""),"lpl")</f>
        <v>lpl</v>
      </c>
      <c r="C6976" s="4" t="str">
        <f>IFERROR(__xludf.DUMMYFUNCTION("""COMPUTED_VALUE"""),"LinkPool")</f>
        <v>LinkPool</v>
      </c>
    </row>
    <row r="6977">
      <c r="A6977" s="4" t="str">
        <f>IFERROR(__xludf.DUMMYFUNCTION("""COMPUTED_VALUE"""),"links")</f>
        <v>links</v>
      </c>
      <c r="B6977" s="4" t="str">
        <f>IFERROR(__xludf.DUMMYFUNCTION("""COMPUTED_VALUE"""),"links")</f>
        <v>links</v>
      </c>
      <c r="C6977" s="4" t="str">
        <f>IFERROR(__xludf.DUMMYFUNCTION("""COMPUTED_VALUE"""),"Links")</f>
        <v>Links</v>
      </c>
    </row>
    <row r="6978">
      <c r="A6978" s="4" t="str">
        <f>IFERROR(__xludf.DUMMYFUNCTION("""COMPUTED_VALUE"""),"linktensor")</f>
        <v>linktensor</v>
      </c>
      <c r="B6978" s="4" t="str">
        <f>IFERROR(__xludf.DUMMYFUNCTION("""COMPUTED_VALUE"""),"lts")</f>
        <v>lts</v>
      </c>
      <c r="C6978" s="4" t="str">
        <f>IFERROR(__xludf.DUMMYFUNCTION("""COMPUTED_VALUE"""),"LinkTensor")</f>
        <v>LinkTensor</v>
      </c>
    </row>
    <row r="6979">
      <c r="A6979" s="4" t="str">
        <f>IFERROR(__xludf.DUMMYFUNCTION("""COMPUTED_VALUE"""),"linktoa")</f>
        <v>linktoa</v>
      </c>
      <c r="B6979" s="4" t="str">
        <f>IFERROR(__xludf.DUMMYFUNCTION("""COMPUTED_VALUE"""),"ltao")</f>
        <v>ltao</v>
      </c>
      <c r="C6979" s="4" t="str">
        <f>IFERROR(__xludf.DUMMYFUNCTION("""COMPUTED_VALUE"""),"LinkTao")</f>
        <v>LinkTao</v>
      </c>
    </row>
    <row r="6980">
      <c r="A6980" s="4" t="str">
        <f>IFERROR(__xludf.DUMMYFUNCTION("""COMPUTED_VALUE"""),"link-yvault")</f>
        <v>link-yvault</v>
      </c>
      <c r="B6980" s="4" t="str">
        <f>IFERROR(__xludf.DUMMYFUNCTION("""COMPUTED_VALUE"""),"yvlink")</f>
        <v>yvlink</v>
      </c>
      <c r="C6980" s="4" t="str">
        <f>IFERROR(__xludf.DUMMYFUNCTION("""COMPUTED_VALUE"""),"LINK yVault")</f>
        <v>LINK yVault</v>
      </c>
    </row>
    <row r="6981">
      <c r="A6981" s="4" t="str">
        <f>IFERROR(__xludf.DUMMYFUNCTION("""COMPUTED_VALUE"""),"linq")</f>
        <v>linq</v>
      </c>
      <c r="B6981" s="4" t="str">
        <f>IFERROR(__xludf.DUMMYFUNCTION("""COMPUTED_VALUE"""),"linq")</f>
        <v>linq</v>
      </c>
      <c r="C6981" s="4" t="str">
        <f>IFERROR(__xludf.DUMMYFUNCTION("""COMPUTED_VALUE"""),"Linq")</f>
        <v>Linq</v>
      </c>
    </row>
    <row r="6982">
      <c r="A6982" s="4" t="str">
        <f>IFERROR(__xludf.DUMMYFUNCTION("""COMPUTED_VALUE"""),"linqai")</f>
        <v>linqai</v>
      </c>
      <c r="B6982" s="4" t="str">
        <f>IFERROR(__xludf.DUMMYFUNCTION("""COMPUTED_VALUE"""),"lnq")</f>
        <v>lnq</v>
      </c>
      <c r="C6982" s="4" t="str">
        <f>IFERROR(__xludf.DUMMYFUNCTION("""COMPUTED_VALUE"""),"LinqAI")</f>
        <v>LinqAI</v>
      </c>
    </row>
    <row r="6983">
      <c r="A6983" s="4" t="str">
        <f>IFERROR(__xludf.DUMMYFUNCTION("""COMPUTED_VALUE"""),"lionceo")</f>
        <v>lionceo</v>
      </c>
      <c r="B6983" s="4" t="str">
        <f>IFERROR(__xludf.DUMMYFUNCTION("""COMPUTED_VALUE"""),"lceo")</f>
        <v>lceo</v>
      </c>
      <c r="C6983" s="4" t="str">
        <f>IFERROR(__xludf.DUMMYFUNCTION("""COMPUTED_VALUE"""),"LionCEO")</f>
        <v>LionCEO</v>
      </c>
    </row>
    <row r="6984">
      <c r="A6984" s="4" t="str">
        <f>IFERROR(__xludf.DUMMYFUNCTION("""COMPUTED_VALUE"""),"lion-dao")</f>
        <v>lion-dao</v>
      </c>
      <c r="B6984" s="4" t="str">
        <f>IFERROR(__xludf.DUMMYFUNCTION("""COMPUTED_VALUE"""),"roar")</f>
        <v>roar</v>
      </c>
      <c r="C6984" s="4" t="str">
        <f>IFERROR(__xludf.DUMMYFUNCTION("""COMPUTED_VALUE"""),"Lion DAO")</f>
        <v>Lion DAO</v>
      </c>
    </row>
    <row r="6985">
      <c r="A6985" s="4" t="str">
        <f>IFERROR(__xludf.DUMMYFUNCTION("""COMPUTED_VALUE"""),"liondex")</f>
        <v>liondex</v>
      </c>
      <c r="B6985" s="4" t="str">
        <f>IFERROR(__xludf.DUMMYFUNCTION("""COMPUTED_VALUE"""),"lion")</f>
        <v>lion</v>
      </c>
      <c r="C6985" s="4" t="str">
        <f>IFERROR(__xludf.DUMMYFUNCTION("""COMPUTED_VALUE"""),"LionDEX")</f>
        <v>LionDEX</v>
      </c>
    </row>
    <row r="6986">
      <c r="A6986" s="4" t="str">
        <f>IFERROR(__xludf.DUMMYFUNCTION("""COMPUTED_VALUE"""),"lion-scrub-money-2")</f>
        <v>lion-scrub-money-2</v>
      </c>
      <c r="B6986" s="4" t="str">
        <f>IFERROR(__xludf.DUMMYFUNCTION("""COMPUTED_VALUE"""),"lion")</f>
        <v>lion</v>
      </c>
      <c r="C6986" s="4" t="str">
        <f>IFERROR(__xludf.DUMMYFUNCTION("""COMPUTED_VALUE"""),"Lion Scrub Money")</f>
        <v>Lion Scrub Money</v>
      </c>
    </row>
    <row r="6987">
      <c r="A6987" s="4" t="str">
        <f>IFERROR(__xludf.DUMMYFUNCTION("""COMPUTED_VALUE"""),"lion-token")</f>
        <v>lion-token</v>
      </c>
      <c r="B6987" s="4" t="str">
        <f>IFERROR(__xludf.DUMMYFUNCTION("""COMPUTED_VALUE"""),"lion")</f>
        <v>lion</v>
      </c>
      <c r="C6987" s="4" t="str">
        <f>IFERROR(__xludf.DUMMYFUNCTION("""COMPUTED_VALUE"""),"Lion")</f>
        <v>Lion</v>
      </c>
    </row>
    <row r="6988">
      <c r="A6988" s="4" t="str">
        <f>IFERROR(__xludf.DUMMYFUNCTION("""COMPUTED_VALUE"""),"liq-protocol")</f>
        <v>liq-protocol</v>
      </c>
      <c r="B6988" s="4" t="str">
        <f>IFERROR(__xludf.DUMMYFUNCTION("""COMPUTED_VALUE"""),"liq")</f>
        <v>liq</v>
      </c>
      <c r="C6988" s="4" t="str">
        <f>IFERROR(__xludf.DUMMYFUNCTION("""COMPUTED_VALUE"""),"LIQ Protocol")</f>
        <v>LIQ Protocol</v>
      </c>
    </row>
    <row r="6989">
      <c r="A6989" s="4" t="str">
        <f>IFERROR(__xludf.DUMMYFUNCTION("""COMPUTED_VALUE"""),"liquicats")</f>
        <v>liquicats</v>
      </c>
      <c r="B6989" s="4" t="str">
        <f>IFERROR(__xludf.DUMMYFUNCTION("""COMPUTED_VALUE"""),"meow")</f>
        <v>meow</v>
      </c>
      <c r="C6989" s="4" t="str">
        <f>IFERROR(__xludf.DUMMYFUNCTION("""COMPUTED_VALUE"""),"LiquiCats")</f>
        <v>LiquiCats</v>
      </c>
    </row>
    <row r="6990">
      <c r="A6990" s="4" t="str">
        <f>IFERROR(__xludf.DUMMYFUNCTION("""COMPUTED_VALUE"""),"liquid-astr")</f>
        <v>liquid-astr</v>
      </c>
      <c r="B6990" s="4" t="str">
        <f>IFERROR(__xludf.DUMMYFUNCTION("""COMPUTED_VALUE"""),"nastr")</f>
        <v>nastr</v>
      </c>
      <c r="C6990" s="4" t="str">
        <f>IFERROR(__xludf.DUMMYFUNCTION("""COMPUTED_VALUE"""),"Liquid ASTR")</f>
        <v>Liquid ASTR</v>
      </c>
    </row>
    <row r="6991">
      <c r="A6991" s="4" t="str">
        <f>IFERROR(__xludf.DUMMYFUNCTION("""COMPUTED_VALUE"""),"liquid-atom")</f>
        <v>liquid-atom</v>
      </c>
      <c r="B6991" s="4" t="str">
        <f>IFERROR(__xludf.DUMMYFUNCTION("""COMPUTED_VALUE"""),"latom")</f>
        <v>latom</v>
      </c>
      <c r="C6991" s="4" t="str">
        <f>IFERROR(__xludf.DUMMYFUNCTION("""COMPUTED_VALUE"""),"Liquid ATOM")</f>
        <v>Liquid ATOM</v>
      </c>
    </row>
    <row r="6992">
      <c r="A6992" s="4" t="str">
        <f>IFERROR(__xludf.DUMMYFUNCTION("""COMPUTED_VALUE"""),"liquid-collectibles")</f>
        <v>liquid-collectibles</v>
      </c>
      <c r="B6992" s="4" t="str">
        <f>IFERROR(__xludf.DUMMYFUNCTION("""COMPUTED_VALUE"""),"lico")</f>
        <v>lico</v>
      </c>
      <c r="C6992" s="4" t="str">
        <f>IFERROR(__xludf.DUMMYFUNCTION("""COMPUTED_VALUE"""),"Liquid Collectibles")</f>
        <v>Liquid Collectibles</v>
      </c>
    </row>
    <row r="6993">
      <c r="A6993" s="4" t="str">
        <f>IFERROR(__xludf.DUMMYFUNCTION("""COMPUTED_VALUE"""),"liquid-cro")</f>
        <v>liquid-cro</v>
      </c>
      <c r="B6993" s="4" t="str">
        <f>IFERROR(__xludf.DUMMYFUNCTION("""COMPUTED_VALUE"""),"lcro")</f>
        <v>lcro</v>
      </c>
      <c r="C6993" s="4" t="str">
        <f>IFERROR(__xludf.DUMMYFUNCTION("""COMPUTED_VALUE"""),"Liquid CRO")</f>
        <v>Liquid CRO</v>
      </c>
    </row>
    <row r="6994">
      <c r="A6994" s="4" t="str">
        <f>IFERROR(__xludf.DUMMYFUNCTION("""COMPUTED_VALUE"""),"liquid-crypto")</f>
        <v>liquid-crypto</v>
      </c>
      <c r="B6994" s="4" t="str">
        <f>IFERROR(__xludf.DUMMYFUNCTION("""COMPUTED_VALUE"""),"lqdx")</f>
        <v>lqdx</v>
      </c>
      <c r="C6994" s="4" t="str">
        <f>IFERROR(__xludf.DUMMYFUNCTION("""COMPUTED_VALUE"""),"Liquid Crypto")</f>
        <v>Liquid Crypto</v>
      </c>
    </row>
    <row r="6995">
      <c r="A6995" s="4" t="str">
        <f>IFERROR(__xludf.DUMMYFUNCTION("""COMPUTED_VALUE"""),"liquiddriver")</f>
        <v>liquiddriver</v>
      </c>
      <c r="B6995" s="4" t="str">
        <f>IFERROR(__xludf.DUMMYFUNCTION("""COMPUTED_VALUE"""),"lqdr")</f>
        <v>lqdr</v>
      </c>
      <c r="C6995" s="4" t="str">
        <f>IFERROR(__xludf.DUMMYFUNCTION("""COMPUTED_VALUE"""),"LiquidDriver")</f>
        <v>LiquidDriver</v>
      </c>
    </row>
    <row r="6996">
      <c r="A6996" s="4" t="str">
        <f>IFERROR(__xludf.DUMMYFUNCTION("""COMPUTED_VALUE"""),"liquid-driver-liveretro")</f>
        <v>liquid-driver-liveretro</v>
      </c>
      <c r="B6996" s="4" t="str">
        <f>IFERROR(__xludf.DUMMYFUNCTION("""COMPUTED_VALUE"""),"liveretro")</f>
        <v>liveretro</v>
      </c>
      <c r="C6996" s="4" t="str">
        <f>IFERROR(__xludf.DUMMYFUNCTION("""COMPUTED_VALUE"""),"Liquid Driver liveRETRO")</f>
        <v>Liquid Driver liveRETRO</v>
      </c>
    </row>
    <row r="6997">
      <c r="A6997" s="4" t="str">
        <f>IFERROR(__xludf.DUMMYFUNCTION("""COMPUTED_VALUE"""),"liquid-driver-livethe")</f>
        <v>liquid-driver-livethe</v>
      </c>
      <c r="B6997" s="4" t="str">
        <f>IFERROR(__xludf.DUMMYFUNCTION("""COMPUTED_VALUE"""),"livethe")</f>
        <v>livethe</v>
      </c>
      <c r="C6997" s="4" t="str">
        <f>IFERROR(__xludf.DUMMYFUNCTION("""COMPUTED_VALUE"""),"Liquid Driver liveTHE")</f>
        <v>Liquid Driver liveTHE</v>
      </c>
    </row>
    <row r="6998">
      <c r="A6998" s="4" t="str">
        <f>IFERROR(__xludf.DUMMYFUNCTION("""COMPUTED_VALUE"""),"liquid-finance")</f>
        <v>liquid-finance</v>
      </c>
      <c r="B6998" s="4" t="str">
        <f>IFERROR(__xludf.DUMMYFUNCTION("""COMPUTED_VALUE"""),"liqd")</f>
        <v>liqd</v>
      </c>
      <c r="C6998" s="4" t="str">
        <f>IFERROR(__xludf.DUMMYFUNCTION("""COMPUTED_VALUE"""),"Liquid Finance")</f>
        <v>Liquid Finance</v>
      </c>
    </row>
    <row r="6999">
      <c r="A6999" s="4" t="str">
        <f>IFERROR(__xludf.DUMMYFUNCTION("""COMPUTED_VALUE"""),"liquid-finance-arch")</f>
        <v>liquid-finance-arch</v>
      </c>
      <c r="B6999" s="4" t="str">
        <f>IFERROR(__xludf.DUMMYFUNCTION("""COMPUTED_VALUE"""),"sarch")</f>
        <v>sarch</v>
      </c>
      <c r="C6999" s="4" t="str">
        <f>IFERROR(__xludf.DUMMYFUNCTION("""COMPUTED_VALUE"""),"Liquid Finance ARCH")</f>
        <v>Liquid Finance ARCH</v>
      </c>
    </row>
    <row r="7000">
      <c r="A7000" s="4" t="str">
        <f>IFERROR(__xludf.DUMMYFUNCTION("""COMPUTED_VALUE"""),"liquidifty")</f>
        <v>liquidifty</v>
      </c>
      <c r="B7000" s="4" t="str">
        <f>IFERROR(__xludf.DUMMYFUNCTION("""COMPUTED_VALUE"""),"lqt")</f>
        <v>lqt</v>
      </c>
      <c r="C7000" s="4" t="str">
        <f>IFERROR(__xludf.DUMMYFUNCTION("""COMPUTED_VALUE"""),"Lifty")</f>
        <v>Lifty</v>
      </c>
    </row>
    <row r="7001">
      <c r="A7001" s="4" t="str">
        <f>IFERROR(__xludf.DUMMYFUNCTION("""COMPUTED_VALUE"""),"liquidify-077fd783-dead-4809-b5a9-0d9876f6ea5c")</f>
        <v>liquidify-077fd783-dead-4809-b5a9-0d9876f6ea5c</v>
      </c>
      <c r="B7001" s="4" t="str">
        <f>IFERROR(__xludf.DUMMYFUNCTION("""COMPUTED_VALUE"""),"liquid")</f>
        <v>liquid</v>
      </c>
      <c r="C7001" s="4" t="str">
        <f>IFERROR(__xludf.DUMMYFUNCTION("""COMPUTED_VALUE"""),"Liquidify")</f>
        <v>Liquidify</v>
      </c>
    </row>
    <row r="7002">
      <c r="A7002" s="4" t="str">
        <f>IFERROR(__xludf.DUMMYFUNCTION("""COMPUTED_VALUE"""),"liquidityrush")</f>
        <v>liquidityrush</v>
      </c>
      <c r="B7002" s="4" t="str">
        <f>IFERROR(__xludf.DUMMYFUNCTION("""COMPUTED_VALUE"""),"liqr")</f>
        <v>liqr</v>
      </c>
      <c r="C7002" s="4" t="str">
        <f>IFERROR(__xludf.DUMMYFUNCTION("""COMPUTED_VALUE"""),"LiquidityRush")</f>
        <v>LiquidityRush</v>
      </c>
    </row>
    <row r="7003">
      <c r="A7003" s="4" t="str">
        <f>IFERROR(__xludf.DUMMYFUNCTION("""COMPUTED_VALUE"""),"liquid-ksm")</f>
        <v>liquid-ksm</v>
      </c>
      <c r="B7003" s="4" t="str">
        <f>IFERROR(__xludf.DUMMYFUNCTION("""COMPUTED_VALUE"""),"lksm")</f>
        <v>lksm</v>
      </c>
      <c r="C7003" s="4" t="str">
        <f>IFERROR(__xludf.DUMMYFUNCTION("""COMPUTED_VALUE"""),"Liquid KSM")</f>
        <v>Liquid KSM</v>
      </c>
    </row>
    <row r="7004">
      <c r="A7004" s="4" t="str">
        <f>IFERROR(__xludf.DUMMYFUNCTION("""COMPUTED_VALUE"""),"liquidlayer")</f>
        <v>liquidlayer</v>
      </c>
      <c r="B7004" s="4" t="str">
        <f>IFERROR(__xludf.DUMMYFUNCTION("""COMPUTED_VALUE"""),"lila")</f>
        <v>lila</v>
      </c>
      <c r="C7004" s="4" t="str">
        <f>IFERROR(__xludf.DUMMYFUNCTION("""COMPUTED_VALUE"""),"LiquidLayer")</f>
        <v>LiquidLayer</v>
      </c>
    </row>
    <row r="7005">
      <c r="A7005" s="4" t="str">
        <f>IFERROR(__xludf.DUMMYFUNCTION("""COMPUTED_VALUE"""),"liquid-loans")</f>
        <v>liquid-loans</v>
      </c>
      <c r="B7005" s="4" t="str">
        <f>IFERROR(__xludf.DUMMYFUNCTION("""COMPUTED_VALUE"""),"loan")</f>
        <v>loan</v>
      </c>
      <c r="C7005" s="4" t="str">
        <f>IFERROR(__xludf.DUMMYFUNCTION("""COMPUTED_VALUE"""),"Liquid Loans")</f>
        <v>Liquid Loans</v>
      </c>
    </row>
    <row r="7006">
      <c r="A7006" s="4" t="str">
        <f>IFERROR(__xludf.DUMMYFUNCTION("""COMPUTED_VALUE"""),"liquid-loans-usdl")</f>
        <v>liquid-loans-usdl</v>
      </c>
      <c r="B7006" s="4" t="str">
        <f>IFERROR(__xludf.DUMMYFUNCTION("""COMPUTED_VALUE"""),"usdl")</f>
        <v>usdl</v>
      </c>
      <c r="C7006" s="4" t="str">
        <f>IFERROR(__xludf.DUMMYFUNCTION("""COMPUTED_VALUE"""),"Liquid Loans USDL")</f>
        <v>Liquid Loans USDL</v>
      </c>
    </row>
    <row r="7007">
      <c r="A7007" s="4" t="str">
        <f>IFERROR(__xludf.DUMMYFUNCTION("""COMPUTED_VALUE"""),"liquid-mercury")</f>
        <v>liquid-mercury</v>
      </c>
      <c r="B7007" s="4" t="str">
        <f>IFERROR(__xludf.DUMMYFUNCTION("""COMPUTED_VALUE"""),"merc")</f>
        <v>merc</v>
      </c>
      <c r="C7007" s="4" t="str">
        <f>IFERROR(__xludf.DUMMYFUNCTION("""COMPUTED_VALUE"""),"Liquid Mercury")</f>
        <v>Liquid Mercury</v>
      </c>
    </row>
    <row r="7008">
      <c r="A7008" s="4" t="str">
        <f>IFERROR(__xludf.DUMMYFUNCTION("""COMPUTED_VALUE"""),"liquid-protocol")</f>
        <v>liquid-protocol</v>
      </c>
      <c r="B7008" s="4" t="str">
        <f>IFERROR(__xludf.DUMMYFUNCTION("""COMPUTED_VALUE"""),"lp")</f>
        <v>lp</v>
      </c>
      <c r="C7008" s="4" t="str">
        <f>IFERROR(__xludf.DUMMYFUNCTION("""COMPUTED_VALUE"""),"Liquid Protocol")</f>
        <v>Liquid Protocol</v>
      </c>
    </row>
    <row r="7009">
      <c r="A7009" s="4" t="str">
        <f>IFERROR(__xludf.DUMMYFUNCTION("""COMPUTED_VALUE"""),"liquid-savings-dai")</f>
        <v>liquid-savings-dai</v>
      </c>
      <c r="B7009" s="4" t="str">
        <f>IFERROR(__xludf.DUMMYFUNCTION("""COMPUTED_VALUE"""),"lsdai")</f>
        <v>lsdai</v>
      </c>
      <c r="C7009" s="4" t="str">
        <f>IFERROR(__xludf.DUMMYFUNCTION("""COMPUTED_VALUE"""),"Liquid Savings DAI")</f>
        <v>Liquid Savings DAI</v>
      </c>
    </row>
    <row r="7010">
      <c r="A7010" s="4" t="str">
        <f>IFERROR(__xludf.DUMMYFUNCTION("""COMPUTED_VALUE"""),"liquid-solana-derivative")</f>
        <v>liquid-solana-derivative</v>
      </c>
      <c r="B7010" s="4" t="str">
        <f>IFERROR(__xludf.DUMMYFUNCTION("""COMPUTED_VALUE"""),"lsd")</f>
        <v>lsd</v>
      </c>
      <c r="C7010" s="4" t="str">
        <f>IFERROR(__xludf.DUMMYFUNCTION("""COMPUTED_VALUE"""),"Liquid Solana Derivative")</f>
        <v>Liquid Solana Derivative</v>
      </c>
    </row>
    <row r="7011">
      <c r="A7011" s="4" t="str">
        <f>IFERROR(__xludf.DUMMYFUNCTION("""COMPUTED_VALUE"""),"liquid-staked-canto")</f>
        <v>liquid-staked-canto</v>
      </c>
      <c r="B7011" s="4" t="str">
        <f>IFERROR(__xludf.DUMMYFUNCTION("""COMPUTED_VALUE"""),"scanto")</f>
        <v>scanto</v>
      </c>
      <c r="C7011" s="4" t="str">
        <f>IFERROR(__xludf.DUMMYFUNCTION("""COMPUTED_VALUE"""),"Liquid Staked Canto")</f>
        <v>Liquid Staked Canto</v>
      </c>
    </row>
    <row r="7012">
      <c r="A7012" s="4" t="str">
        <f>IFERROR(__xludf.DUMMYFUNCTION("""COMPUTED_VALUE"""),"liquid-staked-ethereum")</f>
        <v>liquid-staked-ethereum</v>
      </c>
      <c r="B7012" s="4" t="str">
        <f>IFERROR(__xludf.DUMMYFUNCTION("""COMPUTED_VALUE"""),"lseth")</f>
        <v>lseth</v>
      </c>
      <c r="C7012" s="4" t="str">
        <f>IFERROR(__xludf.DUMMYFUNCTION("""COMPUTED_VALUE"""),"Liquid Staked ETH")</f>
        <v>Liquid Staked ETH</v>
      </c>
    </row>
    <row r="7013">
      <c r="A7013" s="4" t="str">
        <f>IFERROR(__xludf.DUMMYFUNCTION("""COMPUTED_VALUE"""),"liquid-staked-flow")</f>
        <v>liquid-staked-flow</v>
      </c>
      <c r="B7013" s="4" t="str">
        <f>IFERROR(__xludf.DUMMYFUNCTION("""COMPUTED_VALUE"""),"stflow")</f>
        <v>stflow</v>
      </c>
      <c r="C7013" s="4" t="str">
        <f>IFERROR(__xludf.DUMMYFUNCTION("""COMPUTED_VALUE"""),"Increment Staked FLOW")</f>
        <v>Increment Staked FLOW</v>
      </c>
    </row>
    <row r="7014">
      <c r="A7014" s="4" t="str">
        <f>IFERROR(__xludf.DUMMYFUNCTION("""COMPUTED_VALUE"""),"liquid-staking-crescent")</f>
        <v>liquid-staking-crescent</v>
      </c>
      <c r="B7014" s="4" t="str">
        <f>IFERROR(__xludf.DUMMYFUNCTION("""COMPUTED_VALUE"""),"bcre")</f>
        <v>bcre</v>
      </c>
      <c r="C7014" s="4" t="str">
        <f>IFERROR(__xludf.DUMMYFUNCTION("""COMPUTED_VALUE"""),"Liquid Staking Crescent")</f>
        <v>Liquid Staking Crescent</v>
      </c>
    </row>
    <row r="7015">
      <c r="A7015" s="4" t="str">
        <f>IFERROR(__xludf.DUMMYFUNCTION("""COMPUTED_VALUE"""),"liquid-staking-derivative")</f>
        <v>liquid-staking-derivative</v>
      </c>
      <c r="B7015" s="4" t="str">
        <f>IFERROR(__xludf.DUMMYFUNCTION("""COMPUTED_VALUE"""),"lsd")</f>
        <v>lsd</v>
      </c>
      <c r="C7015" s="4" t="str">
        <f>IFERROR(__xludf.DUMMYFUNCTION("""COMPUTED_VALUE"""),"Liquid Staking Derivative")</f>
        <v>Liquid Staking Derivative</v>
      </c>
    </row>
    <row r="7016">
      <c r="A7016" s="4" t="str">
        <f>IFERROR(__xludf.DUMMYFUNCTION("""COMPUTED_VALUE"""),"liquid-staking-dot")</f>
        <v>liquid-staking-dot</v>
      </c>
      <c r="B7016" s="4" t="str">
        <f>IFERROR(__xludf.DUMMYFUNCTION("""COMPUTED_VALUE"""),"ldot")</f>
        <v>ldot</v>
      </c>
      <c r="C7016" s="4" t="str">
        <f>IFERROR(__xludf.DUMMYFUNCTION("""COMPUTED_VALUE"""),"Liquid Staking Dot")</f>
        <v>Liquid Staking Dot</v>
      </c>
    </row>
    <row r="7017">
      <c r="A7017" s="4" t="str">
        <f>IFERROR(__xludf.DUMMYFUNCTION("""COMPUTED_VALUE"""),"liquid-staking-index")</f>
        <v>liquid-staking-index</v>
      </c>
      <c r="B7017" s="4" t="str">
        <f>IFERROR(__xludf.DUMMYFUNCTION("""COMPUTED_VALUE"""),"lsi")</f>
        <v>lsi</v>
      </c>
      <c r="C7017" s="4" t="str">
        <f>IFERROR(__xludf.DUMMYFUNCTION("""COMPUTED_VALUE"""),"Liquid Staking Index")</f>
        <v>Liquid Staking Index</v>
      </c>
    </row>
    <row r="7018">
      <c r="A7018" s="4" t="str">
        <f>IFERROR(__xludf.DUMMYFUNCTION("""COMPUTED_VALUE"""),"liquid-staking-token")</f>
        <v>liquid-staking-token</v>
      </c>
      <c r="B7018" s="4" t="str">
        <f>IFERROR(__xludf.DUMMYFUNCTION("""COMPUTED_VALUE"""),"lst")</f>
        <v>lst</v>
      </c>
      <c r="C7018" s="4" t="str">
        <f>IFERROR(__xludf.DUMMYFUNCTION("""COMPUTED_VALUE"""),"Liquid Staking Token")</f>
        <v>Liquid Staking Token</v>
      </c>
    </row>
    <row r="7019">
      <c r="A7019" s="4" t="str">
        <f>IFERROR(__xludf.DUMMYFUNCTION("""COMPUTED_VALUE"""),"liquidus")</f>
        <v>liquidus</v>
      </c>
      <c r="B7019" s="4" t="str">
        <f>IFERROR(__xludf.DUMMYFUNCTION("""COMPUTED_VALUE"""),"liq")</f>
        <v>liq</v>
      </c>
      <c r="C7019" s="4" t="str">
        <f>IFERROR(__xludf.DUMMYFUNCTION("""COMPUTED_VALUE"""),"Liquidus (Old)")</f>
        <v>Liquidus (Old)</v>
      </c>
    </row>
    <row r="7020">
      <c r="A7020" s="4" t="str">
        <f>IFERROR(__xludf.DUMMYFUNCTION("""COMPUTED_VALUE"""),"liquidus-2")</f>
        <v>liquidus-2</v>
      </c>
      <c r="B7020" s="4" t="str">
        <f>IFERROR(__xludf.DUMMYFUNCTION("""COMPUTED_VALUE"""),"liq")</f>
        <v>liq</v>
      </c>
      <c r="C7020" s="4" t="str">
        <f>IFERROR(__xludf.DUMMYFUNCTION("""COMPUTED_VALUE"""),"Liquidus")</f>
        <v>Liquidus</v>
      </c>
    </row>
    <row r="7021">
      <c r="A7021" s="4" t="str">
        <f>IFERROR(__xludf.DUMMYFUNCTION("""COMPUTED_VALUE"""),"liquify-network")</f>
        <v>liquify-network</v>
      </c>
      <c r="B7021" s="4" t="str">
        <f>IFERROR(__xludf.DUMMYFUNCTION("""COMPUTED_VALUE"""),"liquify")</f>
        <v>liquify</v>
      </c>
      <c r="C7021" s="4" t="str">
        <f>IFERROR(__xludf.DUMMYFUNCTION("""COMPUTED_VALUE"""),"Liquify Network")</f>
        <v>Liquify Network</v>
      </c>
    </row>
    <row r="7022">
      <c r="A7022" s="4" t="str">
        <f>IFERROR(__xludf.DUMMYFUNCTION("""COMPUTED_VALUE"""),"liquis")</f>
        <v>liquis</v>
      </c>
      <c r="B7022" s="4" t="str">
        <f>IFERROR(__xludf.DUMMYFUNCTION("""COMPUTED_VALUE"""),"liq")</f>
        <v>liq</v>
      </c>
      <c r="C7022" s="4" t="str">
        <f>IFERROR(__xludf.DUMMYFUNCTION("""COMPUTED_VALUE"""),"Liquis")</f>
        <v>Liquis</v>
      </c>
    </row>
    <row r="7023">
      <c r="A7023" s="4" t="str">
        <f>IFERROR(__xludf.DUMMYFUNCTION("""COMPUTED_VALUE"""),"liquity")</f>
        <v>liquity</v>
      </c>
      <c r="B7023" s="4" t="str">
        <f>IFERROR(__xludf.DUMMYFUNCTION("""COMPUTED_VALUE"""),"lqty")</f>
        <v>lqty</v>
      </c>
      <c r="C7023" s="4" t="str">
        <f>IFERROR(__xludf.DUMMYFUNCTION("""COMPUTED_VALUE"""),"Liquity")</f>
        <v>Liquity</v>
      </c>
    </row>
    <row r="7024">
      <c r="A7024" s="4" t="str">
        <f>IFERROR(__xludf.DUMMYFUNCTION("""COMPUTED_VALUE"""),"liquity-usd")</f>
        <v>liquity-usd</v>
      </c>
      <c r="B7024" s="4" t="str">
        <f>IFERROR(__xludf.DUMMYFUNCTION("""COMPUTED_VALUE"""),"lusd")</f>
        <v>lusd</v>
      </c>
      <c r="C7024" s="4" t="str">
        <f>IFERROR(__xludf.DUMMYFUNCTION("""COMPUTED_VALUE"""),"Liquity USD")</f>
        <v>Liquity USD</v>
      </c>
    </row>
    <row r="7025">
      <c r="A7025" s="4" t="str">
        <f>IFERROR(__xludf.DUMMYFUNCTION("""COMPUTED_VALUE"""),"liqwid-finance")</f>
        <v>liqwid-finance</v>
      </c>
      <c r="B7025" s="4" t="str">
        <f>IFERROR(__xludf.DUMMYFUNCTION("""COMPUTED_VALUE"""),"lq")</f>
        <v>lq</v>
      </c>
      <c r="C7025" s="4" t="str">
        <f>IFERROR(__xludf.DUMMYFUNCTION("""COMPUTED_VALUE"""),"Liqwid Finance")</f>
        <v>Liqwid Finance</v>
      </c>
    </row>
    <row r="7026">
      <c r="A7026" s="4" t="str">
        <f>IFERROR(__xludf.DUMMYFUNCTION("""COMPUTED_VALUE"""),"liqwrap")</f>
        <v>liqwrap</v>
      </c>
      <c r="B7026" s="4" t="str">
        <f>IFERROR(__xludf.DUMMYFUNCTION("""COMPUTED_VALUE"""),"lqw")</f>
        <v>lqw</v>
      </c>
      <c r="C7026" s="4" t="str">
        <f>IFERROR(__xludf.DUMMYFUNCTION("""COMPUTED_VALUE"""),"LiqWrap")</f>
        <v>LiqWrap</v>
      </c>
    </row>
    <row r="7027">
      <c r="A7027" s="4" t="str">
        <f>IFERROR(__xludf.DUMMYFUNCTION("""COMPUTED_VALUE"""),"lirat")</f>
        <v>lirat</v>
      </c>
      <c r="B7027" s="4" t="str">
        <f>IFERROR(__xludf.DUMMYFUNCTION("""COMPUTED_VALUE"""),"tryt")</f>
        <v>tryt</v>
      </c>
      <c r="C7027" s="4" t="str">
        <f>IFERROR(__xludf.DUMMYFUNCTION("""COMPUTED_VALUE"""),"LiraT")</f>
        <v>LiraT</v>
      </c>
    </row>
    <row r="7028">
      <c r="A7028" s="4" t="str">
        <f>IFERROR(__xludf.DUMMYFUNCTION("""COMPUTED_VALUE"""),"lisk")</f>
        <v>lisk</v>
      </c>
      <c r="B7028" s="4" t="str">
        <f>IFERROR(__xludf.DUMMYFUNCTION("""COMPUTED_VALUE"""),"lsk")</f>
        <v>lsk</v>
      </c>
      <c r="C7028" s="4" t="str">
        <f>IFERROR(__xludf.DUMMYFUNCTION("""COMPUTED_VALUE"""),"Lisk")</f>
        <v>Lisk</v>
      </c>
    </row>
    <row r="7029">
      <c r="A7029" s="4" t="str">
        <f>IFERROR(__xludf.DUMMYFUNCTION("""COMPUTED_VALUE"""),"lit")</f>
        <v>lit</v>
      </c>
      <c r="B7029" s="4" t="str">
        <f>IFERROR(__xludf.DUMMYFUNCTION("""COMPUTED_VALUE"""),"lit")</f>
        <v>lit</v>
      </c>
      <c r="C7029" s="4" t="str">
        <f>IFERROR(__xludf.DUMMYFUNCTION("""COMPUTED_VALUE"""),"LIT")</f>
        <v>LIT</v>
      </c>
    </row>
    <row r="7030">
      <c r="A7030" s="4" t="str">
        <f>IFERROR(__xludf.DUMMYFUNCTION("""COMPUTED_VALUE"""),"lite")</f>
        <v>lite</v>
      </c>
      <c r="B7030" s="4" t="str">
        <f>IFERROR(__xludf.DUMMYFUNCTION("""COMPUTED_VALUE"""),"lite")</f>
        <v>lite</v>
      </c>
      <c r="C7030" s="4" t="str">
        <f>IFERROR(__xludf.DUMMYFUNCTION("""COMPUTED_VALUE"""),"LITE")</f>
        <v>LITE</v>
      </c>
    </row>
    <row r="7031">
      <c r="A7031" s="4" t="str">
        <f>IFERROR(__xludf.DUMMYFUNCTION("""COMPUTED_VALUE"""),"litecash")</f>
        <v>litecash</v>
      </c>
      <c r="B7031" s="4" t="str">
        <f>IFERROR(__xludf.DUMMYFUNCTION("""COMPUTED_VALUE"""),"cash")</f>
        <v>cash</v>
      </c>
      <c r="C7031" s="4" t="str">
        <f>IFERROR(__xludf.DUMMYFUNCTION("""COMPUTED_VALUE"""),"Litecash")</f>
        <v>Litecash</v>
      </c>
    </row>
    <row r="7032">
      <c r="A7032" s="4" t="str">
        <f>IFERROR(__xludf.DUMMYFUNCTION("""COMPUTED_VALUE"""),"litecoin")</f>
        <v>litecoin</v>
      </c>
      <c r="B7032" s="4" t="str">
        <f>IFERROR(__xludf.DUMMYFUNCTION("""COMPUTED_VALUE"""),"ltc")</f>
        <v>ltc</v>
      </c>
      <c r="C7032" s="4" t="str">
        <f>IFERROR(__xludf.DUMMYFUNCTION("""COMPUTED_VALUE"""),"Litecoin")</f>
        <v>Litecoin</v>
      </c>
    </row>
    <row r="7033">
      <c r="A7033" s="4" t="str">
        <f>IFERROR(__xludf.DUMMYFUNCTION("""COMPUTED_VALUE"""),"litecoin-cash")</f>
        <v>litecoin-cash</v>
      </c>
      <c r="B7033" s="4" t="str">
        <f>IFERROR(__xludf.DUMMYFUNCTION("""COMPUTED_VALUE"""),"lcc")</f>
        <v>lcc</v>
      </c>
      <c r="C7033" s="4" t="str">
        <f>IFERROR(__xludf.DUMMYFUNCTION("""COMPUTED_VALUE"""),"Litecoin Cash")</f>
        <v>Litecoin Cash</v>
      </c>
    </row>
    <row r="7034">
      <c r="A7034" s="4" t="str">
        <f>IFERROR(__xludf.DUMMYFUNCTION("""COMPUTED_VALUE"""),"litecoin-plus")</f>
        <v>litecoin-plus</v>
      </c>
      <c r="B7034" s="4" t="str">
        <f>IFERROR(__xludf.DUMMYFUNCTION("""COMPUTED_VALUE"""),"spb")</f>
        <v>spb</v>
      </c>
      <c r="C7034" s="4" t="str">
        <f>IFERROR(__xludf.DUMMYFUNCTION("""COMPUTED_VALUE"""),"SpiderByte")</f>
        <v>SpiderByte</v>
      </c>
    </row>
    <row r="7035">
      <c r="A7035" s="4" t="str">
        <f>IFERROR(__xludf.DUMMYFUNCTION("""COMPUTED_VALUE"""),"litecoinz")</f>
        <v>litecoinz</v>
      </c>
      <c r="B7035" s="4" t="str">
        <f>IFERROR(__xludf.DUMMYFUNCTION("""COMPUTED_VALUE"""),"ltz")</f>
        <v>ltz</v>
      </c>
      <c r="C7035" s="4" t="str">
        <f>IFERROR(__xludf.DUMMYFUNCTION("""COMPUTED_VALUE"""),"LitecoinZ")</f>
        <v>LitecoinZ</v>
      </c>
    </row>
    <row r="7036">
      <c r="A7036" s="4" t="str">
        <f>IFERROR(__xludf.DUMMYFUNCTION("""COMPUTED_VALUE"""),"litedoge")</f>
        <v>litedoge</v>
      </c>
      <c r="B7036" s="4" t="str">
        <f>IFERROR(__xludf.DUMMYFUNCTION("""COMPUTED_VALUE"""),"ldoge")</f>
        <v>ldoge</v>
      </c>
      <c r="C7036" s="4" t="str">
        <f>IFERROR(__xludf.DUMMYFUNCTION("""COMPUTED_VALUE"""),"LiteDoge")</f>
        <v>LiteDoge</v>
      </c>
    </row>
    <row r="7037">
      <c r="A7037" s="4" t="str">
        <f>IFERROR(__xludf.DUMMYFUNCTION("""COMPUTED_VALUE"""),"litentry")</f>
        <v>litentry</v>
      </c>
      <c r="B7037" s="4" t="str">
        <f>IFERROR(__xludf.DUMMYFUNCTION("""COMPUTED_VALUE"""),"lit")</f>
        <v>lit</v>
      </c>
      <c r="C7037" s="4" t="str">
        <f>IFERROR(__xludf.DUMMYFUNCTION("""COMPUTED_VALUE"""),"Litentry")</f>
        <v>Litentry</v>
      </c>
    </row>
    <row r="7038">
      <c r="A7038" s="4" t="str">
        <f>IFERROR(__xludf.DUMMYFUNCTION("""COMPUTED_VALUE"""),"litherium")</f>
        <v>litherium</v>
      </c>
      <c r="B7038" s="4" t="str">
        <f>IFERROR(__xludf.DUMMYFUNCTION("""COMPUTED_VALUE"""),"lith")</f>
        <v>lith</v>
      </c>
      <c r="C7038" s="4" t="str">
        <f>IFERROR(__xludf.DUMMYFUNCTION("""COMPUTED_VALUE"""),"Litherium")</f>
        <v>Litherium</v>
      </c>
    </row>
    <row r="7039">
      <c r="A7039" s="4" t="str">
        <f>IFERROR(__xludf.DUMMYFUNCTION("""COMPUTED_VALUE"""),"lithium-finance")</f>
        <v>lithium-finance</v>
      </c>
      <c r="B7039" s="4" t="str">
        <f>IFERROR(__xludf.DUMMYFUNCTION("""COMPUTED_VALUE"""),"lith")</f>
        <v>lith</v>
      </c>
      <c r="C7039" s="4" t="str">
        <f>IFERROR(__xludf.DUMMYFUNCTION("""COMPUTED_VALUE"""),"Lithium Finance")</f>
        <v>Lithium Finance</v>
      </c>
    </row>
    <row r="7040">
      <c r="A7040" s="4" t="str">
        <f>IFERROR(__xludf.DUMMYFUNCTION("""COMPUTED_VALUE"""),"lithium-ventures")</f>
        <v>lithium-ventures</v>
      </c>
      <c r="B7040" s="4" t="str">
        <f>IFERROR(__xludf.DUMMYFUNCTION("""COMPUTED_VALUE"""),"ions")</f>
        <v>ions</v>
      </c>
      <c r="C7040" s="4" t="str">
        <f>IFERROR(__xludf.DUMMYFUNCTION("""COMPUTED_VALUE"""),"Lithium Ventures")</f>
        <v>Lithium Ventures</v>
      </c>
    </row>
    <row r="7041">
      <c r="A7041" s="4" t="str">
        <f>IFERROR(__xludf.DUMMYFUNCTION("""COMPUTED_VALUE"""),"lithosphere")</f>
        <v>lithosphere</v>
      </c>
      <c r="B7041" s="4" t="str">
        <f>IFERROR(__xludf.DUMMYFUNCTION("""COMPUTED_VALUE"""),"litho")</f>
        <v>litho</v>
      </c>
      <c r="C7041" s="4" t="str">
        <f>IFERROR(__xludf.DUMMYFUNCTION("""COMPUTED_VALUE"""),"Lithosphere")</f>
        <v>Lithosphere</v>
      </c>
    </row>
    <row r="7042">
      <c r="A7042" s="4" t="str">
        <f>IFERROR(__xludf.DUMMYFUNCTION("""COMPUTED_VALUE"""),"litlab-games")</f>
        <v>litlab-games</v>
      </c>
      <c r="B7042" s="4" t="str">
        <f>IFERROR(__xludf.DUMMYFUNCTION("""COMPUTED_VALUE"""),"litt")</f>
        <v>litt</v>
      </c>
      <c r="C7042" s="4" t="str">
        <f>IFERROR(__xludf.DUMMYFUNCTION("""COMPUTED_VALUE"""),"LitLab Games")</f>
        <v>LitLab Games</v>
      </c>
    </row>
    <row r="7043">
      <c r="A7043" s="4" t="str">
        <f>IFERROR(__xludf.DUMMYFUNCTION("""COMPUTED_VALUE"""),"little-angry-bunny-v2")</f>
        <v>little-angry-bunny-v2</v>
      </c>
      <c r="B7043" s="4" t="str">
        <f>IFERROR(__xludf.DUMMYFUNCTION("""COMPUTED_VALUE"""),"lab-v2")</f>
        <v>lab-v2</v>
      </c>
      <c r="C7043" s="4" t="str">
        <f>IFERROR(__xludf.DUMMYFUNCTION("""COMPUTED_VALUE"""),"Little Angry Bunny v2")</f>
        <v>Little Angry Bunny v2</v>
      </c>
    </row>
    <row r="7044">
      <c r="A7044" s="4" t="str">
        <f>IFERROR(__xludf.DUMMYFUNCTION("""COMPUTED_VALUE"""),"little-bunny-rocket")</f>
        <v>little-bunny-rocket</v>
      </c>
      <c r="B7044" s="4" t="str">
        <f>IFERROR(__xludf.DUMMYFUNCTION("""COMPUTED_VALUE"""),"lbr")</f>
        <v>lbr</v>
      </c>
      <c r="C7044" s="4" t="str">
        <f>IFERROR(__xludf.DUMMYFUNCTION("""COMPUTED_VALUE"""),"Little Bunny Rocket")</f>
        <v>Little Bunny Rocket</v>
      </c>
    </row>
    <row r="7045">
      <c r="A7045" s="4" t="str">
        <f>IFERROR(__xludf.DUMMYFUNCTION("""COMPUTED_VALUE"""),"little-dragon")</f>
        <v>little-dragon</v>
      </c>
      <c r="B7045" s="4" t="str">
        <f>IFERROR(__xludf.DUMMYFUNCTION("""COMPUTED_VALUE"""),"1on8")</f>
        <v>1on8</v>
      </c>
      <c r="C7045" s="4" t="str">
        <f>IFERROR(__xludf.DUMMYFUNCTION("""COMPUTED_VALUE"""),"Little Dragon")</f>
        <v>Little Dragon</v>
      </c>
    </row>
    <row r="7046">
      <c r="A7046" s="4" t="str">
        <f>IFERROR(__xludf.DUMMYFUNCTION("""COMPUTED_VALUE"""),"littleinu")</f>
        <v>littleinu</v>
      </c>
      <c r="B7046" s="4" t="str">
        <f>IFERROR(__xludf.DUMMYFUNCTION("""COMPUTED_VALUE"""),"linu")</f>
        <v>linu</v>
      </c>
      <c r="C7046" s="4" t="str">
        <f>IFERROR(__xludf.DUMMYFUNCTION("""COMPUTED_VALUE"""),"LittleInu")</f>
        <v>LittleInu</v>
      </c>
    </row>
    <row r="7047">
      <c r="A7047" s="4" t="str">
        <f>IFERROR(__xludf.DUMMYFUNCTION("""COMPUTED_VALUE"""),"little-rabbit-v2")</f>
        <v>little-rabbit-v2</v>
      </c>
      <c r="B7047" s="4" t="str">
        <f>IFERROR(__xludf.DUMMYFUNCTION("""COMPUTED_VALUE"""),"ltrbt")</f>
        <v>ltrbt</v>
      </c>
      <c r="C7047" s="4" t="str">
        <f>IFERROR(__xludf.DUMMYFUNCTION("""COMPUTED_VALUE"""),"Little Rabbit V2")</f>
        <v>Little Rabbit V2</v>
      </c>
    </row>
    <row r="7048">
      <c r="A7048" s="4" t="str">
        <f>IFERROR(__xludf.DUMMYFUNCTION("""COMPUTED_VALUE"""),"little-ugly-duck")</f>
        <v>little-ugly-duck</v>
      </c>
      <c r="B7048" s="4" t="str">
        <f>IFERROR(__xludf.DUMMYFUNCTION("""COMPUTED_VALUE"""),"lud")</f>
        <v>lud</v>
      </c>
      <c r="C7048" s="4" t="str">
        <f>IFERROR(__xludf.DUMMYFUNCTION("""COMPUTED_VALUE"""),"Little Ugly Duck")</f>
        <v>Little Ugly Duck</v>
      </c>
    </row>
    <row r="7049">
      <c r="A7049" s="4" t="str">
        <f>IFERROR(__xludf.DUMMYFUNCTION("""COMPUTED_VALUE"""),"livegreen-coin")</f>
        <v>livegreen-coin</v>
      </c>
      <c r="B7049" s="4" t="str">
        <f>IFERROR(__xludf.DUMMYFUNCTION("""COMPUTED_VALUE"""),"lgc")</f>
        <v>lgc</v>
      </c>
      <c r="C7049" s="4" t="str">
        <f>IFERROR(__xludf.DUMMYFUNCTION("""COMPUTED_VALUE"""),"LiveGreen Coin")</f>
        <v>LiveGreen Coin</v>
      </c>
    </row>
    <row r="7050">
      <c r="A7050" s="4" t="str">
        <f>IFERROR(__xludf.DUMMYFUNCTION("""COMPUTED_VALUE"""),"livepeer")</f>
        <v>livepeer</v>
      </c>
      <c r="B7050" s="4" t="str">
        <f>IFERROR(__xludf.DUMMYFUNCTION("""COMPUTED_VALUE"""),"lpt")</f>
        <v>lpt</v>
      </c>
      <c r="C7050" s="4" t="str">
        <f>IFERROR(__xludf.DUMMYFUNCTION("""COMPUTED_VALUE"""),"Livepeer")</f>
        <v>Livepeer</v>
      </c>
    </row>
    <row r="7051">
      <c r="A7051" s="4" t="str">
        <f>IFERROR(__xludf.DUMMYFUNCTION("""COMPUTED_VALUE"""),"livex-network")</f>
        <v>livex-network</v>
      </c>
      <c r="B7051" s="4" t="str">
        <f>IFERROR(__xludf.DUMMYFUNCTION("""COMPUTED_VALUE"""),"live")</f>
        <v>live</v>
      </c>
      <c r="C7051" s="4" t="str">
        <f>IFERROR(__xludf.DUMMYFUNCTION("""COMPUTED_VALUE"""),"Livex Network")</f>
        <v>Livex Network</v>
      </c>
    </row>
    <row r="7052">
      <c r="A7052" s="4" t="str">
        <f>IFERROR(__xludf.DUMMYFUNCTION("""COMPUTED_VALUE"""),"liza-2")</f>
        <v>liza-2</v>
      </c>
      <c r="B7052" s="4" t="str">
        <f>IFERROR(__xludf.DUMMYFUNCTION("""COMPUTED_VALUE"""),"liza")</f>
        <v>liza</v>
      </c>
      <c r="C7052" s="4" t="str">
        <f>IFERROR(__xludf.DUMMYFUNCTION("""COMPUTED_VALUE"""),"LIZA")</f>
        <v>LIZA</v>
      </c>
    </row>
    <row r="7053">
      <c r="A7053" s="4" t="str">
        <f>IFERROR(__xludf.DUMMYFUNCTION("""COMPUTED_VALUE"""),"lizard")</f>
        <v>lizard</v>
      </c>
      <c r="B7053" s="4" t="str">
        <f>IFERROR(__xludf.DUMMYFUNCTION("""COMPUTED_VALUE"""),"lizard")</f>
        <v>lizard</v>
      </c>
      <c r="C7053" s="4" t="str">
        <f>IFERROR(__xludf.DUMMYFUNCTION("""COMPUTED_VALUE"""),"Lizard")</f>
        <v>Lizard</v>
      </c>
    </row>
    <row r="7054">
      <c r="A7054" s="4" t="str">
        <f>IFERROR(__xludf.DUMMYFUNCTION("""COMPUTED_VALUE"""),"lizardtoken-finance")</f>
        <v>lizardtoken-finance</v>
      </c>
      <c r="B7054" s="4" t="str">
        <f>IFERROR(__xludf.DUMMYFUNCTION("""COMPUTED_VALUE"""),"liz")</f>
        <v>liz</v>
      </c>
      <c r="C7054" s="4" t="str">
        <f>IFERROR(__xludf.DUMMYFUNCTION("""COMPUTED_VALUE"""),"LizardToken.Finance")</f>
        <v>LizardToken.Finance</v>
      </c>
    </row>
    <row r="7055">
      <c r="A7055" s="4" t="str">
        <f>IFERROR(__xludf.DUMMYFUNCTION("""COMPUTED_VALUE"""),"lmeow")</f>
        <v>lmeow</v>
      </c>
      <c r="B7055" s="4" t="str">
        <f>IFERROR(__xludf.DUMMYFUNCTION("""COMPUTED_VALUE"""),"lmeow")</f>
        <v>lmeow</v>
      </c>
      <c r="C7055" s="4" t="str">
        <f>IFERROR(__xludf.DUMMYFUNCTION("""COMPUTED_VALUE"""),"lmeow")</f>
        <v>lmeow</v>
      </c>
    </row>
    <row r="7056">
      <c r="A7056" s="4" t="str">
        <f>IFERROR(__xludf.DUMMYFUNCTION("""COMPUTED_VALUE"""),"lmeow-2")</f>
        <v>lmeow-2</v>
      </c>
      <c r="B7056" s="4" t="str">
        <f>IFERROR(__xludf.DUMMYFUNCTION("""COMPUTED_VALUE"""),"lmeow")</f>
        <v>lmeow</v>
      </c>
      <c r="C7056" s="4" t="str">
        <f>IFERROR(__xludf.DUMMYFUNCTION("""COMPUTED_VALUE"""),"lmeow")</f>
        <v>lmeow</v>
      </c>
    </row>
    <row r="7057">
      <c r="A7057" s="4" t="str">
        <f>IFERROR(__xludf.DUMMYFUNCTION("""COMPUTED_VALUE"""),"lndry")</f>
        <v>lndry</v>
      </c>
      <c r="B7057" s="4" t="str">
        <f>IFERROR(__xludf.DUMMYFUNCTION("""COMPUTED_VALUE"""),"lndry")</f>
        <v>lndry</v>
      </c>
      <c r="C7057" s="4" t="str">
        <f>IFERROR(__xludf.DUMMYFUNCTION("""COMPUTED_VALUE"""),"LNDRY")</f>
        <v>LNDRY</v>
      </c>
    </row>
    <row r="7058">
      <c r="A7058" s="4" t="str">
        <f>IFERROR(__xludf.DUMMYFUNCTION("""COMPUTED_VALUE"""),"loaf-cat")</f>
        <v>loaf-cat</v>
      </c>
      <c r="B7058" s="4" t="str">
        <f>IFERROR(__xludf.DUMMYFUNCTION("""COMPUTED_VALUE"""),"loaf")</f>
        <v>loaf</v>
      </c>
      <c r="C7058" s="4" t="str">
        <f>IFERROR(__xludf.DUMMYFUNCTION("""COMPUTED_VALUE"""),"LOAF CAT")</f>
        <v>LOAF CAT</v>
      </c>
    </row>
    <row r="7059">
      <c r="A7059" s="4" t="str">
        <f>IFERROR(__xludf.DUMMYFUNCTION("""COMPUTED_VALUE"""),"lobo")</f>
        <v>lobo</v>
      </c>
      <c r="B7059" s="4" t="str">
        <f>IFERROR(__xludf.DUMMYFUNCTION("""COMPUTED_VALUE"""),"lobo")</f>
        <v>lobo</v>
      </c>
      <c r="C7059" s="4" t="str">
        <f>IFERROR(__xludf.DUMMYFUNCTION("""COMPUTED_VALUE"""),"LOBO")</f>
        <v>LOBO</v>
      </c>
    </row>
    <row r="7060">
      <c r="A7060" s="4" t="str">
        <f>IFERROR(__xludf.DUMMYFUNCTION("""COMPUTED_VALUE"""),"lobster")</f>
        <v>lobster</v>
      </c>
      <c r="B7060" s="4" t="str">
        <f>IFERROR(__xludf.DUMMYFUNCTION("""COMPUTED_VALUE"""),"$lobster")</f>
        <v>$lobster</v>
      </c>
      <c r="C7060" s="4" t="str">
        <f>IFERROR(__xludf.DUMMYFUNCTION("""COMPUTED_VALUE"""),"LOBSTER")</f>
        <v>LOBSTER</v>
      </c>
    </row>
    <row r="7061">
      <c r="A7061" s="4" t="str">
        <f>IFERROR(__xludf.DUMMYFUNCTION("""COMPUTED_VALUE"""),"localai")</f>
        <v>localai</v>
      </c>
      <c r="B7061" s="4" t="str">
        <f>IFERROR(__xludf.DUMMYFUNCTION("""COMPUTED_VALUE"""),"locai")</f>
        <v>locai</v>
      </c>
      <c r="C7061" s="4" t="str">
        <f>IFERROR(__xludf.DUMMYFUNCTION("""COMPUTED_VALUE"""),"LocalAI")</f>
        <v>LocalAI</v>
      </c>
    </row>
    <row r="7062">
      <c r="A7062" s="4" t="str">
        <f>IFERROR(__xludf.DUMMYFUNCTION("""COMPUTED_VALUE"""),"localcoinswap")</f>
        <v>localcoinswap</v>
      </c>
      <c r="B7062" s="4" t="str">
        <f>IFERROR(__xludf.DUMMYFUNCTION("""COMPUTED_VALUE"""),"lcs")</f>
        <v>lcs</v>
      </c>
      <c r="C7062" s="4" t="str">
        <f>IFERROR(__xludf.DUMMYFUNCTION("""COMPUTED_VALUE"""),"LocalCoinSwap")</f>
        <v>LocalCoinSwap</v>
      </c>
    </row>
    <row r="7063">
      <c r="A7063" s="4" t="str">
        <f>IFERROR(__xludf.DUMMYFUNCTION("""COMPUTED_VALUE"""),"local-money")</f>
        <v>local-money</v>
      </c>
      <c r="B7063" s="4" t="str">
        <f>IFERROR(__xludf.DUMMYFUNCTION("""COMPUTED_VALUE"""),"local")</f>
        <v>local</v>
      </c>
      <c r="C7063" s="4" t="str">
        <f>IFERROR(__xludf.DUMMYFUNCTION("""COMPUTED_VALUE"""),"Local Money")</f>
        <v>Local Money</v>
      </c>
    </row>
    <row r="7064">
      <c r="A7064" s="4" t="str">
        <f>IFERROR(__xludf.DUMMYFUNCTION("""COMPUTED_VALUE"""),"localtrade")</f>
        <v>localtrade</v>
      </c>
      <c r="B7064" s="4" t="str">
        <f>IFERROR(__xludf.DUMMYFUNCTION("""COMPUTED_VALUE"""),"ltt")</f>
        <v>ltt</v>
      </c>
      <c r="C7064" s="4" t="str">
        <f>IFERROR(__xludf.DUMMYFUNCTION("""COMPUTED_VALUE"""),"LocalTrade")</f>
        <v>LocalTrade</v>
      </c>
    </row>
    <row r="7065">
      <c r="A7065" s="4" t="str">
        <f>IFERROR(__xludf.DUMMYFUNCTION("""COMPUTED_VALUE"""),"locgame")</f>
        <v>locgame</v>
      </c>
      <c r="B7065" s="4" t="str">
        <f>IFERROR(__xludf.DUMMYFUNCTION("""COMPUTED_VALUE"""),"$locg")</f>
        <v>$locg</v>
      </c>
      <c r="C7065" s="4" t="str">
        <f>IFERROR(__xludf.DUMMYFUNCTION("""COMPUTED_VALUE"""),"LOCG")</f>
        <v>LOCG</v>
      </c>
    </row>
    <row r="7066">
      <c r="A7066" s="4" t="str">
        <f>IFERROR(__xludf.DUMMYFUNCTION("""COMPUTED_VALUE"""),"lockchain")</f>
        <v>lockchain</v>
      </c>
      <c r="B7066" s="4" t="str">
        <f>IFERROR(__xludf.DUMMYFUNCTION("""COMPUTED_VALUE"""),"loc")</f>
        <v>loc</v>
      </c>
      <c r="C7066" s="4" t="str">
        <f>IFERROR(__xludf.DUMMYFUNCTION("""COMPUTED_VALUE"""),"LockTrip")</f>
        <v>LockTrip</v>
      </c>
    </row>
    <row r="7067">
      <c r="A7067" s="4" t="str">
        <f>IFERROR(__xludf.DUMMYFUNCTION("""COMPUTED_VALUE"""),"lockheed-martin-inu")</f>
        <v>lockheed-martin-inu</v>
      </c>
      <c r="B7067" s="4" t="str">
        <f>IFERROR(__xludf.DUMMYFUNCTION("""COMPUTED_VALUE"""),"lmi")</f>
        <v>lmi</v>
      </c>
      <c r="C7067" s="4" t="str">
        <f>IFERROR(__xludf.DUMMYFUNCTION("""COMPUTED_VALUE"""),"Lockheed Martin Inu")</f>
        <v>Lockheed Martin Inu</v>
      </c>
    </row>
    <row r="7068">
      <c r="A7068" s="4" t="str">
        <f>IFERROR(__xludf.DUMMYFUNCTION("""COMPUTED_VALUE"""),"lockness")</f>
        <v>lockness</v>
      </c>
      <c r="B7068" s="4" t="str">
        <f>IFERROR(__xludf.DUMMYFUNCTION("""COMPUTED_VALUE"""),"lkn")</f>
        <v>lkn</v>
      </c>
      <c r="C7068" s="4" t="str">
        <f>IFERROR(__xludf.DUMMYFUNCTION("""COMPUTED_VALUE"""),"Lockness")</f>
        <v>Lockness</v>
      </c>
    </row>
    <row r="7069">
      <c r="A7069" s="4" t="str">
        <f>IFERROR(__xludf.DUMMYFUNCTION("""COMPUTED_VALUE"""),"lockon-passive-index")</f>
        <v>lockon-passive-index</v>
      </c>
      <c r="B7069" s="4" t="str">
        <f>IFERROR(__xludf.DUMMYFUNCTION("""COMPUTED_VALUE"""),"lpi")</f>
        <v>lpi</v>
      </c>
      <c r="C7069" s="4" t="str">
        <f>IFERROR(__xludf.DUMMYFUNCTION("""COMPUTED_VALUE"""),"LOCKON Passive Index")</f>
        <v>LOCKON Passive Index</v>
      </c>
    </row>
    <row r="7070">
      <c r="A7070" s="4" t="str">
        <f>IFERROR(__xludf.DUMMYFUNCTION("""COMPUTED_VALUE"""),"locus-chain")</f>
        <v>locus-chain</v>
      </c>
      <c r="B7070" s="4" t="str">
        <f>IFERROR(__xludf.DUMMYFUNCTION("""COMPUTED_VALUE"""),"locus")</f>
        <v>locus</v>
      </c>
      <c r="C7070" s="4" t="str">
        <f>IFERROR(__xludf.DUMMYFUNCTION("""COMPUTED_VALUE"""),"Locus Chain")</f>
        <v>Locus Chain</v>
      </c>
    </row>
    <row r="7071">
      <c r="A7071" s="4" t="str">
        <f>IFERROR(__xludf.DUMMYFUNCTION("""COMPUTED_VALUE"""),"locus-finance")</f>
        <v>locus-finance</v>
      </c>
      <c r="B7071" s="4" t="str">
        <f>IFERROR(__xludf.DUMMYFUNCTION("""COMPUTED_VALUE"""),"locus")</f>
        <v>locus</v>
      </c>
      <c r="C7071" s="4" t="str">
        <f>IFERROR(__xludf.DUMMYFUNCTION("""COMPUTED_VALUE"""),"Locus Finance")</f>
        <v>Locus Finance</v>
      </c>
    </row>
    <row r="7072">
      <c r="A7072" s="4" t="str">
        <f>IFERROR(__xludf.DUMMYFUNCTION("""COMPUTED_VALUE"""),"lodestar")</f>
        <v>lodestar</v>
      </c>
      <c r="B7072" s="4" t="str">
        <f>IFERROR(__xludf.DUMMYFUNCTION("""COMPUTED_VALUE"""),"lode")</f>
        <v>lode</v>
      </c>
      <c r="C7072" s="4" t="str">
        <f>IFERROR(__xludf.DUMMYFUNCTION("""COMPUTED_VALUE"""),"Lodestar")</f>
        <v>Lodestar</v>
      </c>
    </row>
    <row r="7073">
      <c r="A7073" s="4" t="str">
        <f>IFERROR(__xludf.DUMMYFUNCTION("""COMPUTED_VALUE"""),"lode-token")</f>
        <v>lode-token</v>
      </c>
      <c r="B7073" s="4" t="str">
        <f>IFERROR(__xludf.DUMMYFUNCTION("""COMPUTED_VALUE"""),"lode")</f>
        <v>lode</v>
      </c>
      <c r="C7073" s="4" t="str">
        <f>IFERROR(__xludf.DUMMYFUNCTION("""COMPUTED_VALUE"""),"LODE Token")</f>
        <v>LODE Token</v>
      </c>
    </row>
    <row r="7074">
      <c r="A7074" s="4" t="str">
        <f>IFERROR(__xludf.DUMMYFUNCTION("""COMPUTED_VALUE"""),"lofi")</f>
        <v>lofi</v>
      </c>
      <c r="B7074" s="4" t="str">
        <f>IFERROR(__xludf.DUMMYFUNCTION("""COMPUTED_VALUE"""),"lofi")</f>
        <v>lofi</v>
      </c>
      <c r="C7074" s="4" t="str">
        <f>IFERROR(__xludf.DUMMYFUNCTION("""COMPUTED_VALUE"""),"LOFI")</f>
        <v>LOFI</v>
      </c>
    </row>
    <row r="7075">
      <c r="A7075" s="4" t="str">
        <f>IFERROR(__xludf.DUMMYFUNCTION("""COMPUTED_VALUE"""),"logarithm-games")</f>
        <v>logarithm-games</v>
      </c>
      <c r="B7075" s="4" t="str">
        <f>IFERROR(__xludf.DUMMYFUNCTION("""COMPUTED_VALUE"""),"logg")</f>
        <v>logg</v>
      </c>
      <c r="C7075" s="4" t="str">
        <f>IFERROR(__xludf.DUMMYFUNCTION("""COMPUTED_VALUE"""),"Logarithm games")</f>
        <v>Logarithm games</v>
      </c>
    </row>
    <row r="7076">
      <c r="A7076" s="4" t="str">
        <f>IFERROR(__xludf.DUMMYFUNCTION("""COMPUTED_VALUE"""),"logic")</f>
        <v>logic</v>
      </c>
      <c r="B7076" s="4" t="str">
        <f>IFERROR(__xludf.DUMMYFUNCTION("""COMPUTED_VALUE"""),"logic")</f>
        <v>logic</v>
      </c>
      <c r="C7076" s="4" t="str">
        <f>IFERROR(__xludf.DUMMYFUNCTION("""COMPUTED_VALUE"""),"LOGIC")</f>
        <v>LOGIC</v>
      </c>
    </row>
    <row r="7077">
      <c r="A7077" s="4" t="str">
        <f>IFERROR(__xludf.DUMMYFUNCTION("""COMPUTED_VALUE"""),"loki-network")</f>
        <v>loki-network</v>
      </c>
      <c r="B7077" s="4" t="str">
        <f>IFERROR(__xludf.DUMMYFUNCTION("""COMPUTED_VALUE"""),"oxen")</f>
        <v>oxen</v>
      </c>
      <c r="C7077" s="4" t="str">
        <f>IFERROR(__xludf.DUMMYFUNCTION("""COMPUTED_VALUE"""),"Oxen")</f>
        <v>Oxen</v>
      </c>
    </row>
    <row r="7078">
      <c r="A7078" s="4" t="str">
        <f>IFERROR(__xludf.DUMMYFUNCTION("""COMPUTED_VALUE"""),"lokr")</f>
        <v>lokr</v>
      </c>
      <c r="B7078" s="4" t="str">
        <f>IFERROR(__xludf.DUMMYFUNCTION("""COMPUTED_VALUE"""),"lkr")</f>
        <v>lkr</v>
      </c>
      <c r="C7078" s="4" t="str">
        <f>IFERROR(__xludf.DUMMYFUNCTION("""COMPUTED_VALUE"""),"Lokr")</f>
        <v>Lokr</v>
      </c>
    </row>
    <row r="7079">
      <c r="A7079" s="4" t="str">
        <f>IFERROR(__xludf.DUMMYFUNCTION("""COMPUTED_VALUE"""),"lol-2")</f>
        <v>lol-2</v>
      </c>
      <c r="B7079" s="4" t="str">
        <f>IFERROR(__xludf.DUMMYFUNCTION("""COMPUTED_VALUE"""),"lol")</f>
        <v>lol</v>
      </c>
      <c r="C7079" s="4" t="str">
        <f>IFERROR(__xludf.DUMMYFUNCTION("""COMPUTED_VALUE"""),"LOL")</f>
        <v>LOL</v>
      </c>
    </row>
    <row r="7080">
      <c r="A7080" s="4" t="str">
        <f>IFERROR(__xludf.DUMMYFUNCTION("""COMPUTED_VALUE"""),"lola")</f>
        <v>lola</v>
      </c>
      <c r="B7080" s="4" t="str">
        <f>IFERROR(__xludf.DUMMYFUNCTION("""COMPUTED_VALUE"""),"lola")</f>
        <v>lola</v>
      </c>
      <c r="C7080" s="4" t="str">
        <f>IFERROR(__xludf.DUMMYFUNCTION("""COMPUTED_VALUE"""),"LOLA")</f>
        <v>LOLA</v>
      </c>
    </row>
    <row r="7081">
      <c r="A7081" s="4" t="str">
        <f>IFERROR(__xludf.DUMMYFUNCTION("""COMPUTED_VALUE"""),"lola-2")</f>
        <v>lola-2</v>
      </c>
      <c r="B7081" s="4" t="str">
        <f>IFERROR(__xludf.DUMMYFUNCTION("""COMPUTED_VALUE"""),"lola")</f>
        <v>lola</v>
      </c>
      <c r="C7081" s="4" t="str">
        <f>IFERROR(__xludf.DUMMYFUNCTION("""COMPUTED_VALUE"""),"Lola")</f>
        <v>Lola</v>
      </c>
    </row>
    <row r="7082">
      <c r="A7082" s="4" t="str">
        <f>IFERROR(__xludf.DUMMYFUNCTION("""COMPUTED_VALUE"""),"lolik-staked-ftn")</f>
        <v>lolik-staked-ftn</v>
      </c>
      <c r="B7082" s="4" t="str">
        <f>IFERROR(__xludf.DUMMYFUNCTION("""COMPUTED_VALUE"""),"stftn")</f>
        <v>stftn</v>
      </c>
      <c r="C7082" s="4" t="str">
        <f>IFERROR(__xludf.DUMMYFUNCTION("""COMPUTED_VALUE"""),"Lolik Staked FTN")</f>
        <v>Lolik Staked FTN</v>
      </c>
    </row>
    <row r="7083">
      <c r="A7083" s="4" t="str">
        <f>IFERROR(__xludf.DUMMYFUNCTION("""COMPUTED_VALUE"""),"lonelyfans")</f>
        <v>lonelyfans</v>
      </c>
      <c r="B7083" s="4" t="str">
        <f>IFERROR(__xludf.DUMMYFUNCTION("""COMPUTED_VALUE"""),"lof")</f>
        <v>lof</v>
      </c>
      <c r="C7083" s="4" t="str">
        <f>IFERROR(__xludf.DUMMYFUNCTION("""COMPUTED_VALUE"""),"LonelyFans")</f>
        <v>LonelyFans</v>
      </c>
    </row>
    <row r="7084">
      <c r="A7084" s="4" t="str">
        <f>IFERROR(__xludf.DUMMYFUNCTION("""COMPUTED_VALUE"""),"long")</f>
        <v>long</v>
      </c>
      <c r="B7084" s="4" t="str">
        <f>IFERROR(__xludf.DUMMYFUNCTION("""COMPUTED_VALUE"""),"long")</f>
        <v>long</v>
      </c>
      <c r="C7084" s="4" t="str">
        <f>IFERROR(__xludf.DUMMYFUNCTION("""COMPUTED_VALUE"""),"LOONG")</f>
        <v>LOONG</v>
      </c>
    </row>
    <row r="7085">
      <c r="A7085" s="4" t="str">
        <f>IFERROR(__xludf.DUMMYFUNCTION("""COMPUTED_VALUE"""),"long-2")</f>
        <v>long-2</v>
      </c>
      <c r="B7085" s="4" t="str">
        <f>IFERROR(__xludf.DUMMYFUNCTION("""COMPUTED_VALUE"""),"long")</f>
        <v>long</v>
      </c>
      <c r="C7085" s="4" t="str">
        <f>IFERROR(__xludf.DUMMYFUNCTION("""COMPUTED_VALUE"""),"Long 龙")</f>
        <v>Long 龙</v>
      </c>
    </row>
    <row r="7086">
      <c r="A7086" s="4" t="str">
        <f>IFERROR(__xludf.DUMMYFUNCTION("""COMPUTED_VALUE"""),"long-3")</f>
        <v>long-3</v>
      </c>
      <c r="B7086" s="4" t="str">
        <f>IFERROR(__xludf.DUMMYFUNCTION("""COMPUTED_VALUE"""),"long")</f>
        <v>long</v>
      </c>
      <c r="C7086" s="4" t="str">
        <f>IFERROR(__xludf.DUMMYFUNCTION("""COMPUTED_VALUE"""),"Long the Great Green Dragon")</f>
        <v>Long the Great Green Dragon</v>
      </c>
    </row>
    <row r="7087">
      <c r="A7087" s="4" t="str">
        <f>IFERROR(__xludf.DUMMYFUNCTION("""COMPUTED_VALUE"""),"long-bitcoin")</f>
        <v>long-bitcoin</v>
      </c>
      <c r="B7087" s="4" t="str">
        <f>IFERROR(__xludf.DUMMYFUNCTION("""COMPUTED_VALUE"""),"long")</f>
        <v>long</v>
      </c>
      <c r="C7087" s="4" t="str">
        <f>IFERROR(__xludf.DUMMYFUNCTION("""COMPUTED_VALUE"""),"Long Bitcoin")</f>
        <v>Long Bitcoin</v>
      </c>
    </row>
    <row r="7088">
      <c r="A7088" s="4" t="str">
        <f>IFERROR(__xludf.DUMMYFUNCTION("""COMPUTED_VALUE"""),"long-boi")</f>
        <v>long-boi</v>
      </c>
      <c r="B7088" s="4" t="str">
        <f>IFERROR(__xludf.DUMMYFUNCTION("""COMPUTED_VALUE"""),"long")</f>
        <v>long</v>
      </c>
      <c r="C7088" s="4" t="str">
        <f>IFERROR(__xludf.DUMMYFUNCTION("""COMPUTED_VALUE"""),"long boi")</f>
        <v>long boi</v>
      </c>
    </row>
    <row r="7089">
      <c r="A7089" s="4" t="str">
        <f>IFERROR(__xludf.DUMMYFUNCTION("""COMPUTED_VALUE"""),"longchenchen")</f>
        <v>longchenchen</v>
      </c>
      <c r="B7089" s="4" t="str">
        <f>IFERROR(__xludf.DUMMYFUNCTION("""COMPUTED_VALUE"""),"long")</f>
        <v>long</v>
      </c>
      <c r="C7089" s="4" t="str">
        <f>IFERROR(__xludf.DUMMYFUNCTION("""COMPUTED_VALUE"""),"Longchenchen")</f>
        <v>Longchenchen</v>
      </c>
    </row>
    <row r="7090">
      <c r="A7090" s="4" t="str">
        <f>IFERROR(__xludf.DUMMYFUNCTION("""COMPUTED_VALUE"""),"long-eth")</f>
        <v>long-eth</v>
      </c>
      <c r="B7090" s="4" t="str">
        <f>IFERROR(__xludf.DUMMYFUNCTION("""COMPUTED_VALUE"""),"long")</f>
        <v>long</v>
      </c>
      <c r="C7090" s="4" t="str">
        <f>IFERROR(__xludf.DUMMYFUNCTION("""COMPUTED_VALUE"""),"LONG (ETH)")</f>
        <v>LONG (ETH)</v>
      </c>
    </row>
    <row r="7091">
      <c r="A7091" s="4" t="str">
        <f>IFERROR(__xludf.DUMMYFUNCTION("""COMPUTED_VALUE"""),"longfu")</f>
        <v>longfu</v>
      </c>
      <c r="B7091" s="4" t="str">
        <f>IFERROR(__xludf.DUMMYFUNCTION("""COMPUTED_VALUE"""),"longfu")</f>
        <v>longfu</v>
      </c>
      <c r="C7091" s="4" t="str">
        <f>IFERROR(__xludf.DUMMYFUNCTION("""COMPUTED_VALUE"""),"longfu")</f>
        <v>longfu</v>
      </c>
    </row>
    <row r="7092">
      <c r="A7092" s="4" t="str">
        <f>IFERROR(__xludf.DUMMYFUNCTION("""COMPUTED_VALUE"""),"long-johnson")</f>
        <v>long-johnson</v>
      </c>
      <c r="B7092" s="4" t="str">
        <f>IFERROR(__xludf.DUMMYFUNCTION("""COMPUTED_VALUE"""),"olong")</f>
        <v>olong</v>
      </c>
      <c r="C7092" s="4" t="str">
        <f>IFERROR(__xludf.DUMMYFUNCTION("""COMPUTED_VALUE"""),"Long Johnson")</f>
        <v>Long Johnson</v>
      </c>
    </row>
    <row r="7093">
      <c r="A7093" s="4" t="str">
        <f>IFERROR(__xludf.DUMMYFUNCTION("""COMPUTED_VALUE"""),"long-mao")</f>
        <v>long-mao</v>
      </c>
      <c r="B7093" s="4" t="str">
        <f>IFERROR(__xludf.DUMMYFUNCTION("""COMPUTED_VALUE"""),"lmao")</f>
        <v>lmao</v>
      </c>
      <c r="C7093" s="4" t="str">
        <f>IFERROR(__xludf.DUMMYFUNCTION("""COMPUTED_VALUE"""),"Long Mao")</f>
        <v>Long Mao</v>
      </c>
    </row>
    <row r="7094">
      <c r="A7094" s="4" t="str">
        <f>IFERROR(__xludf.DUMMYFUNCTION("""COMPUTED_VALUE"""),"long-nose-dog")</f>
        <v>long-nose-dog</v>
      </c>
      <c r="B7094" s="4" t="str">
        <f>IFERROR(__xludf.DUMMYFUNCTION("""COMPUTED_VALUE"""),"long")</f>
        <v>long</v>
      </c>
      <c r="C7094" s="4" t="str">
        <f>IFERROR(__xludf.DUMMYFUNCTION("""COMPUTED_VALUE"""),"Long Nose Dog")</f>
        <v>Long Nose Dog</v>
      </c>
    </row>
    <row r="7095">
      <c r="A7095" s="4" t="str">
        <f>IFERROR(__xludf.DUMMYFUNCTION("""COMPUTED_VALUE"""),"long-totem")</f>
        <v>long-totem</v>
      </c>
      <c r="B7095" s="4" t="str">
        <f>IFERROR(__xludf.DUMMYFUNCTION("""COMPUTED_VALUE"""),"long")</f>
        <v>long</v>
      </c>
      <c r="C7095" s="4" t="str">
        <f>IFERROR(__xludf.DUMMYFUNCTION("""COMPUTED_VALUE"""),"LONG TOTEM")</f>
        <v>LONG TOTEM</v>
      </c>
    </row>
    <row r="7096">
      <c r="A7096" s="4" t="str">
        <f>IFERROR(__xludf.DUMMYFUNCTION("""COMPUTED_VALUE"""),"lonk-on-near")</f>
        <v>lonk-on-near</v>
      </c>
      <c r="B7096" s="4" t="str">
        <f>IFERROR(__xludf.DUMMYFUNCTION("""COMPUTED_VALUE"""),"lonk")</f>
        <v>lonk</v>
      </c>
      <c r="C7096" s="4" t="str">
        <f>IFERROR(__xludf.DUMMYFUNCTION("""COMPUTED_VALUE"""),"Lonk")</f>
        <v>Lonk</v>
      </c>
    </row>
    <row r="7097">
      <c r="A7097" s="4" t="str">
        <f>IFERROR(__xludf.DUMMYFUNCTION("""COMPUTED_VALUE"""),"lookscoin")</f>
        <v>lookscoin</v>
      </c>
      <c r="B7097" s="4" t="str">
        <f>IFERROR(__xludf.DUMMYFUNCTION("""COMPUTED_VALUE"""),"look")</f>
        <v>look</v>
      </c>
      <c r="C7097" s="4" t="str">
        <f>IFERROR(__xludf.DUMMYFUNCTION("""COMPUTED_VALUE"""),"LooksCoin")</f>
        <v>LooksCoin</v>
      </c>
    </row>
    <row r="7098">
      <c r="A7098" s="4" t="str">
        <f>IFERROR(__xludf.DUMMYFUNCTION("""COMPUTED_VALUE"""),"looksrare")</f>
        <v>looksrare</v>
      </c>
      <c r="B7098" s="4" t="str">
        <f>IFERROR(__xludf.DUMMYFUNCTION("""COMPUTED_VALUE"""),"looks")</f>
        <v>looks</v>
      </c>
      <c r="C7098" s="4" t="str">
        <f>IFERROR(__xludf.DUMMYFUNCTION("""COMPUTED_VALUE"""),"LooksRare")</f>
        <v>LooksRare</v>
      </c>
    </row>
    <row r="7099">
      <c r="A7099" s="4" t="str">
        <f>IFERROR(__xludf.DUMMYFUNCTION("""COMPUTED_VALUE"""),"loom")</f>
        <v>loom</v>
      </c>
      <c r="B7099" s="4" t="str">
        <f>IFERROR(__xludf.DUMMYFUNCTION("""COMPUTED_VALUE"""),"loom")</f>
        <v>loom</v>
      </c>
      <c r="C7099" s="4" t="str">
        <f>IFERROR(__xludf.DUMMYFUNCTION("""COMPUTED_VALUE"""),"Loom")</f>
        <v>Loom</v>
      </c>
    </row>
    <row r="7100">
      <c r="A7100" s="4" t="str">
        <f>IFERROR(__xludf.DUMMYFUNCTION("""COMPUTED_VALUE"""),"loom-network")</f>
        <v>loom-network</v>
      </c>
      <c r="B7100" s="4" t="str">
        <f>IFERROR(__xludf.DUMMYFUNCTION("""COMPUTED_VALUE"""),"loomold")</f>
        <v>loomold</v>
      </c>
      <c r="C7100" s="4" t="str">
        <f>IFERROR(__xludf.DUMMYFUNCTION("""COMPUTED_VALUE"""),"Loom Network (OLD)")</f>
        <v>Loom Network (OLD)</v>
      </c>
    </row>
    <row r="7101">
      <c r="A7101" s="4" t="str">
        <f>IFERROR(__xludf.DUMMYFUNCTION("""COMPUTED_VALUE"""),"loom-network-new")</f>
        <v>loom-network-new</v>
      </c>
      <c r="B7101" s="4" t="str">
        <f>IFERROR(__xludf.DUMMYFUNCTION("""COMPUTED_VALUE"""),"loom")</f>
        <v>loom</v>
      </c>
      <c r="C7101" s="4" t="str">
        <f>IFERROR(__xludf.DUMMYFUNCTION("""COMPUTED_VALUE"""),"Loom Network (NEW)")</f>
        <v>Loom Network (NEW)</v>
      </c>
    </row>
    <row r="7102">
      <c r="A7102" s="4" t="str">
        <f>IFERROR(__xludf.DUMMYFUNCTION("""COMPUTED_VALUE"""),"loong")</f>
        <v>loong</v>
      </c>
      <c r="B7102" s="4" t="str">
        <f>IFERROR(__xludf.DUMMYFUNCTION("""COMPUTED_VALUE"""),"loong")</f>
        <v>loong</v>
      </c>
      <c r="C7102" s="4" t="str">
        <f>IFERROR(__xludf.DUMMYFUNCTION("""COMPUTED_VALUE"""),"Loong")</f>
        <v>Loong</v>
      </c>
    </row>
    <row r="7103">
      <c r="A7103" s="4" t="str">
        <f>IFERROR(__xludf.DUMMYFUNCTION("""COMPUTED_VALUE"""),"loong-2")</f>
        <v>loong-2</v>
      </c>
      <c r="B7103" s="4" t="str">
        <f>IFERROR(__xludf.DUMMYFUNCTION("""COMPUTED_VALUE"""),"loong")</f>
        <v>loong</v>
      </c>
      <c r="C7103" s="4" t="str">
        <f>IFERROR(__xludf.DUMMYFUNCTION("""COMPUTED_VALUE"""),"Loong")</f>
        <v>Loong</v>
      </c>
    </row>
    <row r="7104">
      <c r="A7104" s="4" t="str">
        <f>IFERROR(__xludf.DUMMYFUNCTION("""COMPUTED_VALUE"""),"loong-2024")</f>
        <v>loong-2024</v>
      </c>
      <c r="B7104" s="4" t="str">
        <f>IFERROR(__xludf.DUMMYFUNCTION("""COMPUTED_VALUE"""),"loong")</f>
        <v>loong</v>
      </c>
      <c r="C7104" s="4" t="str">
        <f>IFERROR(__xludf.DUMMYFUNCTION("""COMPUTED_VALUE"""),"LOONG 2024")</f>
        <v>LOONG 2024</v>
      </c>
    </row>
    <row r="7105">
      <c r="A7105" s="4" t="str">
        <f>IFERROR(__xludf.DUMMYFUNCTION("""COMPUTED_VALUE"""),"loong-chenchen")</f>
        <v>loong-chenchen</v>
      </c>
      <c r="B7105" s="4" t="str">
        <f>IFERROR(__xludf.DUMMYFUNCTION("""COMPUTED_VALUE"""),"loong")</f>
        <v>loong</v>
      </c>
      <c r="C7105" s="4" t="str">
        <f>IFERROR(__xludf.DUMMYFUNCTION("""COMPUTED_VALUE"""),"Loong Chenchen")</f>
        <v>Loong Chenchen</v>
      </c>
    </row>
    <row r="7106">
      <c r="A7106" s="4" t="str">
        <f>IFERROR(__xludf.DUMMYFUNCTION("""COMPUTED_VALUE"""),"loon-network")</f>
        <v>loon-network</v>
      </c>
      <c r="B7106" s="4" t="str">
        <f>IFERROR(__xludf.DUMMYFUNCTION("""COMPUTED_VALUE"""),"loon")</f>
        <v>loon</v>
      </c>
      <c r="C7106" s="4" t="str">
        <f>IFERROR(__xludf.DUMMYFUNCTION("""COMPUTED_VALUE"""),"Loon Network")</f>
        <v>Loon Network</v>
      </c>
    </row>
    <row r="7107">
      <c r="A7107" s="4" t="str">
        <f>IFERROR(__xludf.DUMMYFUNCTION("""COMPUTED_VALUE"""),"loop")</f>
        <v>loop</v>
      </c>
      <c r="B7107" s="4" t="str">
        <f>IFERROR(__xludf.DUMMYFUNCTION("""COMPUTED_VALUE"""),"loop")</f>
        <v>loop</v>
      </c>
      <c r="C7107" s="4" t="str">
        <f>IFERROR(__xludf.DUMMYFUNCTION("""COMPUTED_VALUE"""),"LOOP")</f>
        <v>LOOP</v>
      </c>
    </row>
    <row r="7108">
      <c r="A7108" s="4" t="str">
        <f>IFERROR(__xludf.DUMMYFUNCTION("""COMPUTED_VALUE"""),"loopnetwork")</f>
        <v>loopnetwork</v>
      </c>
      <c r="B7108" s="4" t="str">
        <f>IFERROR(__xludf.DUMMYFUNCTION("""COMPUTED_VALUE"""),"loop")</f>
        <v>loop</v>
      </c>
      <c r="C7108" s="4" t="str">
        <f>IFERROR(__xludf.DUMMYFUNCTION("""COMPUTED_VALUE"""),"LoopNetwork")</f>
        <v>LoopNetwork</v>
      </c>
    </row>
    <row r="7109">
      <c r="A7109" s="4" t="str">
        <f>IFERROR(__xludf.DUMMYFUNCTION("""COMPUTED_VALUE"""),"loop-of-infinity")</f>
        <v>loop-of-infinity</v>
      </c>
      <c r="B7109" s="4" t="str">
        <f>IFERROR(__xludf.DUMMYFUNCTION("""COMPUTED_VALUE"""),"loi")</f>
        <v>loi</v>
      </c>
      <c r="C7109" s="4" t="str">
        <f>IFERROR(__xludf.DUMMYFUNCTION("""COMPUTED_VALUE"""),"Loop Of Infinity")</f>
        <v>Loop Of Infinity</v>
      </c>
    </row>
    <row r="7110">
      <c r="A7110" s="4" t="str">
        <f>IFERROR(__xludf.DUMMYFUNCTION("""COMPUTED_VALUE"""),"loopring")</f>
        <v>loopring</v>
      </c>
      <c r="B7110" s="4" t="str">
        <f>IFERROR(__xludf.DUMMYFUNCTION("""COMPUTED_VALUE"""),"lrc")</f>
        <v>lrc</v>
      </c>
      <c r="C7110" s="4" t="str">
        <f>IFERROR(__xludf.DUMMYFUNCTION("""COMPUTED_VALUE"""),"Loopring")</f>
        <v>Loopring</v>
      </c>
    </row>
    <row r="7111">
      <c r="A7111" s="4" t="str">
        <f>IFERROR(__xludf.DUMMYFUNCTION("""COMPUTED_VALUE"""),"loopy")</f>
        <v>loopy</v>
      </c>
      <c r="B7111" s="4" t="str">
        <f>IFERROR(__xludf.DUMMYFUNCTION("""COMPUTED_VALUE"""),"loopy")</f>
        <v>loopy</v>
      </c>
      <c r="C7111" s="4" t="str">
        <f>IFERROR(__xludf.DUMMYFUNCTION("""COMPUTED_VALUE"""),"Loopy")</f>
        <v>Loopy</v>
      </c>
    </row>
    <row r="7112">
      <c r="A7112" s="4" t="str">
        <f>IFERROR(__xludf.DUMMYFUNCTION("""COMPUTED_VALUE"""),"loot")</f>
        <v>loot</v>
      </c>
      <c r="B7112" s="4" t="str">
        <f>IFERROR(__xludf.DUMMYFUNCTION("""COMPUTED_VALUE"""),"loot")</f>
        <v>loot</v>
      </c>
      <c r="C7112" s="4" t="str">
        <f>IFERROR(__xludf.DUMMYFUNCTION("""COMPUTED_VALUE"""),"Lootex")</f>
        <v>Lootex</v>
      </c>
    </row>
    <row r="7113">
      <c r="A7113" s="4" t="str">
        <f>IFERROR(__xludf.DUMMYFUNCTION("""COMPUTED_VALUE"""),"lootbot")</f>
        <v>lootbot</v>
      </c>
      <c r="B7113" s="4" t="str">
        <f>IFERROR(__xludf.DUMMYFUNCTION("""COMPUTED_VALUE"""),"loot")</f>
        <v>loot</v>
      </c>
      <c r="C7113" s="4" t="str">
        <f>IFERROR(__xludf.DUMMYFUNCTION("""COMPUTED_VALUE"""),"LootBot")</f>
        <v>LootBot</v>
      </c>
    </row>
    <row r="7114">
      <c r="A7114" s="4" t="str">
        <f>IFERROR(__xludf.DUMMYFUNCTION("""COMPUTED_VALUE"""),"looted-network")</f>
        <v>looted-network</v>
      </c>
      <c r="B7114" s="4" t="str">
        <f>IFERROR(__xludf.DUMMYFUNCTION("""COMPUTED_VALUE"""),"loot")</f>
        <v>loot</v>
      </c>
      <c r="C7114" s="4" t="str">
        <f>IFERROR(__xludf.DUMMYFUNCTION("""COMPUTED_VALUE"""),"Looted Network")</f>
        <v>Looted Network</v>
      </c>
    </row>
    <row r="7115">
      <c r="A7115" s="4" t="str">
        <f>IFERROR(__xludf.DUMMYFUNCTION("""COMPUTED_VALUE"""),"looter")</f>
        <v>looter</v>
      </c>
      <c r="B7115" s="4" t="str">
        <f>IFERROR(__xludf.DUMMYFUNCTION("""COMPUTED_VALUE"""),"looter")</f>
        <v>looter</v>
      </c>
      <c r="C7115" s="4" t="str">
        <f>IFERROR(__xludf.DUMMYFUNCTION("""COMPUTED_VALUE"""),"Looter")</f>
        <v>Looter</v>
      </c>
    </row>
    <row r="7116">
      <c r="A7116" s="4" t="str">
        <f>IFERROR(__xludf.DUMMYFUNCTION("""COMPUTED_VALUE"""),"lopo")</f>
        <v>lopo</v>
      </c>
      <c r="B7116" s="4" t="str">
        <f>IFERROR(__xludf.DUMMYFUNCTION("""COMPUTED_VALUE"""),"lopo")</f>
        <v>lopo</v>
      </c>
      <c r="C7116" s="4" t="str">
        <f>IFERROR(__xludf.DUMMYFUNCTION("""COMPUTED_VALUE"""),"LOPO")</f>
        <v>LOPO</v>
      </c>
    </row>
    <row r="7117">
      <c r="A7117" s="4" t="str">
        <f>IFERROR(__xludf.DUMMYFUNCTION("""COMPUTED_VALUE"""),"lord-of-dragons")</f>
        <v>lord-of-dragons</v>
      </c>
      <c r="B7117" s="4" t="str">
        <f>IFERROR(__xludf.DUMMYFUNCTION("""COMPUTED_VALUE"""),"logt")</f>
        <v>logt</v>
      </c>
      <c r="C7117" s="4" t="str">
        <f>IFERROR(__xludf.DUMMYFUNCTION("""COMPUTED_VALUE"""),"Lord of Dragons")</f>
        <v>Lord of Dragons</v>
      </c>
    </row>
    <row r="7118">
      <c r="A7118" s="4" t="str">
        <f>IFERROR(__xludf.DUMMYFUNCTION("""COMPUTED_VALUE"""),"lords")</f>
        <v>lords</v>
      </c>
      <c r="B7118" s="4" t="str">
        <f>IFERROR(__xludf.DUMMYFUNCTION("""COMPUTED_VALUE"""),"lords")</f>
        <v>lords</v>
      </c>
      <c r="C7118" s="4" t="str">
        <f>IFERROR(__xludf.DUMMYFUNCTION("""COMPUTED_VALUE"""),"LORDS")</f>
        <v>LORDS</v>
      </c>
    </row>
    <row r="7119">
      <c r="A7119" s="4" t="str">
        <f>IFERROR(__xludf.DUMMYFUNCTION("""COMPUTED_VALUE"""),"lormhole")</f>
        <v>lormhole</v>
      </c>
      <c r="B7119" s="4" t="str">
        <f>IFERROR(__xludf.DUMMYFUNCTION("""COMPUTED_VALUE"""),"l")</f>
        <v>l</v>
      </c>
      <c r="C7119" s="4" t="str">
        <f>IFERROR(__xludf.DUMMYFUNCTION("""COMPUTED_VALUE"""),"Lormhole")</f>
        <v>Lormhole</v>
      </c>
    </row>
    <row r="7120">
      <c r="A7120" s="4" t="str">
        <f>IFERROR(__xludf.DUMMYFUNCTION("""COMPUTED_VALUE"""),"loserchick-egg")</f>
        <v>loserchick-egg</v>
      </c>
      <c r="B7120" s="4" t="str">
        <f>IFERROR(__xludf.DUMMYFUNCTION("""COMPUTED_VALUE"""),"egg")</f>
        <v>egg</v>
      </c>
      <c r="C7120" s="4" t="str">
        <f>IFERROR(__xludf.DUMMYFUNCTION("""COMPUTED_VALUE"""),"LoserChick EGG")</f>
        <v>LoserChick EGG</v>
      </c>
    </row>
    <row r="7121">
      <c r="A7121" s="4" t="str">
        <f>IFERROR(__xludf.DUMMYFUNCTION("""COMPUTED_VALUE"""),"loser-coin")</f>
        <v>loser-coin</v>
      </c>
      <c r="B7121" s="4" t="str">
        <f>IFERROR(__xludf.DUMMYFUNCTION("""COMPUTED_VALUE"""),"lowb")</f>
        <v>lowb</v>
      </c>
      <c r="C7121" s="4" t="str">
        <f>IFERROR(__xludf.DUMMYFUNCTION("""COMPUTED_VALUE"""),"Loser Coin")</f>
        <v>Loser Coin</v>
      </c>
    </row>
    <row r="7122">
      <c r="A7122" s="4" t="str">
        <f>IFERROR(__xludf.DUMMYFUNCTION("""COMPUTED_VALUE"""),"lossless")</f>
        <v>lossless</v>
      </c>
      <c r="B7122" s="4" t="str">
        <f>IFERROR(__xludf.DUMMYFUNCTION("""COMPUTED_VALUE"""),"lss")</f>
        <v>lss</v>
      </c>
      <c r="C7122" s="4" t="str">
        <f>IFERROR(__xludf.DUMMYFUNCTION("""COMPUTED_VALUE"""),"Lossless")</f>
        <v>Lossless</v>
      </c>
    </row>
    <row r="7123">
      <c r="A7123" s="4" t="str">
        <f>IFERROR(__xludf.DUMMYFUNCTION("""COMPUTED_VALUE"""),"lost")</f>
        <v>lost</v>
      </c>
      <c r="B7123" s="4" t="str">
        <f>IFERROR(__xludf.DUMMYFUNCTION("""COMPUTED_VALUE"""),"lost")</f>
        <v>lost</v>
      </c>
      <c r="C7123" s="4" t="str">
        <f>IFERROR(__xludf.DUMMYFUNCTION("""COMPUTED_VALUE"""),"Lost")</f>
        <v>Lost</v>
      </c>
    </row>
    <row r="7124">
      <c r="A7124" s="4" t="str">
        <f>IFERROR(__xludf.DUMMYFUNCTION("""COMPUTED_VALUE"""),"lost-world")</f>
        <v>lost-world</v>
      </c>
      <c r="B7124" s="4" t="str">
        <f>IFERROR(__xludf.DUMMYFUNCTION("""COMPUTED_VALUE"""),"lost")</f>
        <v>lost</v>
      </c>
      <c r="C7124" s="4" t="str">
        <f>IFERROR(__xludf.DUMMYFUNCTION("""COMPUTED_VALUE"""),"Lost World")</f>
        <v>Lost World</v>
      </c>
    </row>
    <row r="7125">
      <c r="A7125" s="4" t="str">
        <f>IFERROR(__xludf.DUMMYFUNCTION("""COMPUTED_VALUE"""),"lotty")</f>
        <v>lotty</v>
      </c>
      <c r="B7125" s="4" t="str">
        <f>IFERROR(__xludf.DUMMYFUNCTION("""COMPUTED_VALUE"""),"lotty")</f>
        <v>lotty</v>
      </c>
      <c r="C7125" s="4" t="str">
        <f>IFERROR(__xludf.DUMMYFUNCTION("""COMPUTED_VALUE"""),"Lotty")</f>
        <v>Lotty</v>
      </c>
    </row>
    <row r="7126">
      <c r="A7126" s="4" t="str">
        <f>IFERROR(__xludf.DUMMYFUNCTION("""COMPUTED_VALUE"""),"loungem")</f>
        <v>loungem</v>
      </c>
      <c r="B7126" s="4" t="str">
        <f>IFERROR(__xludf.DUMMYFUNCTION("""COMPUTED_VALUE"""),"lzm")</f>
        <v>lzm</v>
      </c>
      <c r="C7126" s="4" t="str">
        <f>IFERROR(__xludf.DUMMYFUNCTION("""COMPUTED_VALUE"""),"LoungeM")</f>
        <v>LoungeM</v>
      </c>
    </row>
    <row r="7127">
      <c r="A7127" s="4" t="str">
        <f>IFERROR(__xludf.DUMMYFUNCTION("""COMPUTED_VALUE"""),"love-earn-enjoy")</f>
        <v>love-earn-enjoy</v>
      </c>
      <c r="B7127" s="4" t="str">
        <f>IFERROR(__xludf.DUMMYFUNCTION("""COMPUTED_VALUE"""),"lee")</f>
        <v>lee</v>
      </c>
      <c r="C7127" s="4" t="str">
        <f>IFERROR(__xludf.DUMMYFUNCTION("""COMPUTED_VALUE"""),"Love Earn Enjoy")</f>
        <v>Love Earn Enjoy</v>
      </c>
    </row>
    <row r="7128">
      <c r="A7128" s="4" t="str">
        <f>IFERROR(__xludf.DUMMYFUNCTION("""COMPUTED_VALUE"""),"love-hate-inu")</f>
        <v>love-hate-inu</v>
      </c>
      <c r="B7128" s="4" t="str">
        <f>IFERROR(__xludf.DUMMYFUNCTION("""COMPUTED_VALUE"""),"lhinu")</f>
        <v>lhinu</v>
      </c>
      <c r="C7128" s="4" t="str">
        <f>IFERROR(__xludf.DUMMYFUNCTION("""COMPUTED_VALUE"""),"Love Hate Inu")</f>
        <v>Love Hate Inu</v>
      </c>
    </row>
    <row r="7129">
      <c r="A7129" s="4" t="str">
        <f>IFERROR(__xludf.DUMMYFUNCTION("""COMPUTED_VALUE"""),"love-io")</f>
        <v>love-io</v>
      </c>
      <c r="B7129" s="4" t="str">
        <f>IFERROR(__xludf.DUMMYFUNCTION("""COMPUTED_VALUE"""),"love")</f>
        <v>love</v>
      </c>
      <c r="C7129" s="5" t="str">
        <f>IFERROR(__xludf.DUMMYFUNCTION("""COMPUTED_VALUE"""),"Love.io")</f>
        <v>Love.io</v>
      </c>
    </row>
    <row r="7130">
      <c r="A7130" s="4" t="str">
        <f>IFERROR(__xludf.DUMMYFUNCTION("""COMPUTED_VALUE"""),"lovely-inu-finance")</f>
        <v>lovely-inu-finance</v>
      </c>
      <c r="B7130" s="4" t="str">
        <f>IFERROR(__xludf.DUMMYFUNCTION("""COMPUTED_VALUE"""),"lovely")</f>
        <v>lovely</v>
      </c>
      <c r="C7130" s="4" t="str">
        <f>IFERROR(__xludf.DUMMYFUNCTION("""COMPUTED_VALUE"""),"Lovely Inu finance")</f>
        <v>Lovely Inu finance</v>
      </c>
    </row>
    <row r="7131">
      <c r="A7131" s="4" t="str">
        <f>IFERROR(__xludf.DUMMYFUNCTION("""COMPUTED_VALUE"""),"love-token-2")</f>
        <v>love-token-2</v>
      </c>
      <c r="B7131" s="4" t="str">
        <f>IFERROR(__xludf.DUMMYFUNCTION("""COMPUTED_VALUE"""),"love")</f>
        <v>love</v>
      </c>
      <c r="C7131" s="4" t="str">
        <f>IFERROR(__xludf.DUMMYFUNCTION("""COMPUTED_VALUE"""),"Love Token")</f>
        <v>Love Token</v>
      </c>
    </row>
    <row r="7132">
      <c r="A7132" s="4" t="str">
        <f>IFERROR(__xludf.DUMMYFUNCTION("""COMPUTED_VALUE"""),"lowq")</f>
        <v>lowq</v>
      </c>
      <c r="B7132" s="4" t="str">
        <f>IFERROR(__xludf.DUMMYFUNCTION("""COMPUTED_VALUE"""),"lowq")</f>
        <v>lowq</v>
      </c>
      <c r="C7132" s="4" t="str">
        <f>IFERROR(__xludf.DUMMYFUNCTION("""COMPUTED_VALUE"""),"LowQ")</f>
        <v>LowQ</v>
      </c>
    </row>
    <row r="7133">
      <c r="A7133" s="4" t="str">
        <f>IFERROR(__xludf.DUMMYFUNCTION("""COMPUTED_VALUE"""),"lox-network")</f>
        <v>lox-network</v>
      </c>
      <c r="B7133" s="4" t="str">
        <f>IFERROR(__xludf.DUMMYFUNCTION("""COMPUTED_VALUE"""),"lox")</f>
        <v>lox</v>
      </c>
      <c r="C7133" s="4" t="str">
        <f>IFERROR(__xludf.DUMMYFUNCTION("""COMPUTED_VALUE"""),"Lox Network")</f>
        <v>Lox Network</v>
      </c>
    </row>
    <row r="7134">
      <c r="A7134" s="4" t="str">
        <f>IFERROR(__xludf.DUMMYFUNCTION("""COMPUTED_VALUE"""),"lp-3pool-curve")</f>
        <v>lp-3pool-curve</v>
      </c>
      <c r="B7134" s="4" t="str">
        <f>IFERROR(__xludf.DUMMYFUNCTION("""COMPUTED_VALUE"""),"3crv")</f>
        <v>3crv</v>
      </c>
      <c r="C7134" s="4" t="str">
        <f>IFERROR(__xludf.DUMMYFUNCTION("""COMPUTED_VALUE"""),"LP 3pool Curve")</f>
        <v>LP 3pool Curve</v>
      </c>
    </row>
    <row r="7135">
      <c r="A7135" s="4" t="str">
        <f>IFERROR(__xludf.DUMMYFUNCTION("""COMPUTED_VALUE"""),"lp-renbtc-curve")</f>
        <v>lp-renbtc-curve</v>
      </c>
      <c r="B7135" s="4" t="str">
        <f>IFERROR(__xludf.DUMMYFUNCTION("""COMPUTED_VALUE"""),"renbtccurve")</f>
        <v>renbtccurve</v>
      </c>
      <c r="C7135" s="4" t="str">
        <f>IFERROR(__xludf.DUMMYFUNCTION("""COMPUTED_VALUE"""),"LP renBTC Curve")</f>
        <v>LP renBTC Curve</v>
      </c>
    </row>
    <row r="7136">
      <c r="A7136" s="4" t="str">
        <f>IFERROR(__xludf.DUMMYFUNCTION("""COMPUTED_VALUE"""),"lp-scurve")</f>
        <v>lp-scurve</v>
      </c>
      <c r="B7136" s="4" t="str">
        <f>IFERROR(__xludf.DUMMYFUNCTION("""COMPUTED_VALUE"""),"scurve")</f>
        <v>scurve</v>
      </c>
      <c r="C7136" s="4" t="str">
        <f>IFERROR(__xludf.DUMMYFUNCTION("""COMPUTED_VALUE"""),"LP-sCurve")</f>
        <v>LP-sCurve</v>
      </c>
    </row>
    <row r="7137">
      <c r="A7137" s="4" t="str">
        <f>IFERROR(__xludf.DUMMYFUNCTION("""COMPUTED_VALUE"""),"lp-yearn-crv-vault")</f>
        <v>lp-yearn-crv-vault</v>
      </c>
      <c r="B7137" s="4" t="str">
        <f>IFERROR(__xludf.DUMMYFUNCTION("""COMPUTED_VALUE"""),"lp-ycrv")</f>
        <v>lp-ycrv</v>
      </c>
      <c r="C7137" s="4" t="str">
        <f>IFERROR(__xludf.DUMMYFUNCTION("""COMPUTED_VALUE"""),"LP Yearn CRV Vault")</f>
        <v>LP Yearn CRV Vault</v>
      </c>
    </row>
    <row r="7138">
      <c r="A7138" s="4" t="str">
        <f>IFERROR(__xludf.DUMMYFUNCTION("""COMPUTED_VALUE"""),"lsdoge")</f>
        <v>lsdoge</v>
      </c>
      <c r="B7138" s="4" t="str">
        <f>IFERROR(__xludf.DUMMYFUNCTION("""COMPUTED_VALUE"""),"lsdoge")</f>
        <v>lsdoge</v>
      </c>
      <c r="C7138" s="4" t="str">
        <f>IFERROR(__xludf.DUMMYFUNCTION("""COMPUTED_VALUE"""),"LSDoge")</f>
        <v>LSDoge</v>
      </c>
    </row>
    <row r="7139">
      <c r="A7139" s="4" t="str">
        <f>IFERROR(__xludf.DUMMYFUNCTION("""COMPUTED_VALUE"""),"lsdx-finance")</f>
        <v>lsdx-finance</v>
      </c>
      <c r="B7139" s="4" t="str">
        <f>IFERROR(__xludf.DUMMYFUNCTION("""COMPUTED_VALUE"""),"lsd")</f>
        <v>lsd</v>
      </c>
      <c r="C7139" s="4" t="str">
        <f>IFERROR(__xludf.DUMMYFUNCTION("""COMPUTED_VALUE"""),"LSDx Finance")</f>
        <v>LSDx Finance</v>
      </c>
    </row>
    <row r="7140">
      <c r="A7140" s="4" t="str">
        <f>IFERROR(__xludf.DUMMYFUNCTION("""COMPUTED_VALUE"""),"lsdx-pool")</f>
        <v>lsdx-pool</v>
      </c>
      <c r="B7140" s="4" t="str">
        <f>IFERROR(__xludf.DUMMYFUNCTION("""COMPUTED_VALUE"""),"ethx")</f>
        <v>ethx</v>
      </c>
      <c r="C7140" s="4" t="str">
        <f>IFERROR(__xludf.DUMMYFUNCTION("""COMPUTED_VALUE"""),"LSDx Pool")</f>
        <v>LSDx Pool</v>
      </c>
    </row>
    <row r="7141">
      <c r="A7141" s="4" t="str">
        <f>IFERROR(__xludf.DUMMYFUNCTION("""COMPUTED_VALUE"""),"lto-network")</f>
        <v>lto-network</v>
      </c>
      <c r="B7141" s="4" t="str">
        <f>IFERROR(__xludf.DUMMYFUNCTION("""COMPUTED_VALUE"""),"lto")</f>
        <v>lto</v>
      </c>
      <c r="C7141" s="4" t="str">
        <f>IFERROR(__xludf.DUMMYFUNCTION("""COMPUTED_VALUE"""),"LTO Network")</f>
        <v>LTO Network</v>
      </c>
    </row>
    <row r="7142">
      <c r="A7142" s="4" t="str">
        <f>IFERROR(__xludf.DUMMYFUNCTION("""COMPUTED_VALUE"""),"lua-token")</f>
        <v>lua-token</v>
      </c>
      <c r="B7142" s="4" t="str">
        <f>IFERROR(__xludf.DUMMYFUNCTION("""COMPUTED_VALUE"""),"lua")</f>
        <v>lua</v>
      </c>
      <c r="C7142" s="4" t="str">
        <f>IFERROR(__xludf.DUMMYFUNCTION("""COMPUTED_VALUE"""),"LuaSwap")</f>
        <v>LuaSwap</v>
      </c>
    </row>
    <row r="7143">
      <c r="A7143" s="4" t="str">
        <f>IFERROR(__xludf.DUMMYFUNCTION("""COMPUTED_VALUE"""),"lube")</f>
        <v>lube</v>
      </c>
      <c r="B7143" s="4" t="str">
        <f>IFERROR(__xludf.DUMMYFUNCTION("""COMPUTED_VALUE"""),"lube")</f>
        <v>lube</v>
      </c>
      <c r="C7143" s="4" t="str">
        <f>IFERROR(__xludf.DUMMYFUNCTION("""COMPUTED_VALUE"""),"LUBE")</f>
        <v>LUBE</v>
      </c>
    </row>
    <row r="7144">
      <c r="A7144" s="4" t="str">
        <f>IFERROR(__xludf.DUMMYFUNCTION("""COMPUTED_VALUE"""),"luca")</f>
        <v>luca</v>
      </c>
      <c r="B7144" s="4" t="str">
        <f>IFERROR(__xludf.DUMMYFUNCTION("""COMPUTED_VALUE"""),"luca")</f>
        <v>luca</v>
      </c>
      <c r="C7144" s="4" t="str">
        <f>IFERROR(__xludf.DUMMYFUNCTION("""COMPUTED_VALUE"""),"LUCA")</f>
        <v>LUCA</v>
      </c>
    </row>
    <row r="7145">
      <c r="A7145" s="4" t="str">
        <f>IFERROR(__xludf.DUMMYFUNCTION("""COMPUTED_VALUE"""),"lucha")</f>
        <v>lucha</v>
      </c>
      <c r="B7145" s="4" t="str">
        <f>IFERROR(__xludf.DUMMYFUNCTION("""COMPUTED_VALUE"""),"lucha")</f>
        <v>lucha</v>
      </c>
      <c r="C7145" s="4" t="str">
        <f>IFERROR(__xludf.DUMMYFUNCTION("""COMPUTED_VALUE"""),"Lucha")</f>
        <v>Lucha</v>
      </c>
    </row>
    <row r="7146">
      <c r="A7146" s="4" t="str">
        <f>IFERROR(__xludf.DUMMYFUNCTION("""COMPUTED_VALUE"""),"lucidao")</f>
        <v>lucidao</v>
      </c>
      <c r="B7146" s="4" t="str">
        <f>IFERROR(__xludf.DUMMYFUNCTION("""COMPUTED_VALUE"""),"lcd")</f>
        <v>lcd</v>
      </c>
      <c r="C7146" s="4" t="str">
        <f>IFERROR(__xludf.DUMMYFUNCTION("""COMPUTED_VALUE"""),"Lucidao")</f>
        <v>Lucidao</v>
      </c>
    </row>
    <row r="7147">
      <c r="A7147" s="4" t="str">
        <f>IFERROR(__xludf.DUMMYFUNCTION("""COMPUTED_VALUE"""),"lucky7")</f>
        <v>lucky7</v>
      </c>
      <c r="B7147" s="4" t="str">
        <f>IFERROR(__xludf.DUMMYFUNCTION("""COMPUTED_VALUE"""),"7")</f>
        <v>7</v>
      </c>
      <c r="C7147" s="4" t="str">
        <f>IFERROR(__xludf.DUMMYFUNCTION("""COMPUTED_VALUE"""),"Lucky7")</f>
        <v>Lucky7</v>
      </c>
    </row>
    <row r="7148">
      <c r="A7148" s="4" t="str">
        <f>IFERROR(__xludf.DUMMYFUNCTION("""COMPUTED_VALUE"""),"lucky8")</f>
        <v>lucky8</v>
      </c>
      <c r="B7148" s="4" t="str">
        <f>IFERROR(__xludf.DUMMYFUNCTION("""COMPUTED_VALUE"""),"888")</f>
        <v>888</v>
      </c>
      <c r="C7148" s="4" t="str">
        <f>IFERROR(__xludf.DUMMYFUNCTION("""COMPUTED_VALUE"""),"Lucky8")</f>
        <v>Lucky8</v>
      </c>
    </row>
    <row r="7149">
      <c r="A7149" s="4" t="str">
        <f>IFERROR(__xludf.DUMMYFUNCTION("""COMPUTED_VALUE"""),"luckybird")</f>
        <v>luckybird</v>
      </c>
      <c r="B7149" s="4" t="str">
        <f>IFERROR(__xludf.DUMMYFUNCTION("""COMPUTED_VALUE"""),"bird")</f>
        <v>bird</v>
      </c>
      <c r="C7149" s="4" t="str">
        <f>IFERROR(__xludf.DUMMYFUNCTION("""COMPUTED_VALUE"""),"LuckyBird")</f>
        <v>LuckyBird</v>
      </c>
    </row>
    <row r="7150">
      <c r="A7150" s="4" t="str">
        <f>IFERROR(__xludf.DUMMYFUNCTION("""COMPUTED_VALUE"""),"lucky-block")</f>
        <v>lucky-block</v>
      </c>
      <c r="B7150" s="4" t="str">
        <f>IFERROR(__xludf.DUMMYFUNCTION("""COMPUTED_VALUE"""),"lblock")</f>
        <v>lblock</v>
      </c>
      <c r="C7150" s="4" t="str">
        <f>IFERROR(__xludf.DUMMYFUNCTION("""COMPUTED_VALUE"""),"Lucky Block")</f>
        <v>Lucky Block</v>
      </c>
    </row>
    <row r="7151">
      <c r="A7151" s="4" t="str">
        <f>IFERROR(__xludf.DUMMYFUNCTION("""COMPUTED_VALUE"""),"lucky-coin")</f>
        <v>lucky-coin</v>
      </c>
      <c r="B7151" s="4" t="str">
        <f>IFERROR(__xludf.DUMMYFUNCTION("""COMPUTED_VALUE"""),"lucky")</f>
        <v>lucky</v>
      </c>
      <c r="C7151" s="4" t="str">
        <f>IFERROR(__xludf.DUMMYFUNCTION("""COMPUTED_VALUE"""),"Lucky Coin")</f>
        <v>Lucky Coin</v>
      </c>
    </row>
    <row r="7152">
      <c r="A7152" s="4" t="str">
        <f>IFERROR(__xludf.DUMMYFUNCTION("""COMPUTED_VALUE"""),"luckycoin-2")</f>
        <v>luckycoin-2</v>
      </c>
      <c r="B7152" s="4" t="str">
        <f>IFERROR(__xludf.DUMMYFUNCTION("""COMPUTED_VALUE"""),"lkc")</f>
        <v>lkc</v>
      </c>
      <c r="C7152" s="4" t="str">
        <f>IFERROR(__xludf.DUMMYFUNCTION("""COMPUTED_VALUE"""),"LuckyCoin")</f>
        <v>LuckyCoin</v>
      </c>
    </row>
    <row r="7153">
      <c r="A7153" s="4" t="str">
        <f>IFERROR(__xludf.DUMMYFUNCTION("""COMPUTED_VALUE"""),"luckyinu")</f>
        <v>luckyinu</v>
      </c>
      <c r="B7153" s="4" t="str">
        <f>IFERROR(__xludf.DUMMYFUNCTION("""COMPUTED_VALUE"""),"lucky")</f>
        <v>lucky</v>
      </c>
      <c r="C7153" s="4" t="str">
        <f>IFERROR(__xludf.DUMMYFUNCTION("""COMPUTED_VALUE"""),"Luckyinu")</f>
        <v>Luckyinu</v>
      </c>
    </row>
    <row r="7154">
      <c r="A7154" s="4" t="str">
        <f>IFERROR(__xludf.DUMMYFUNCTION("""COMPUTED_VALUE"""),"lucky-roo")</f>
        <v>lucky-roo</v>
      </c>
      <c r="B7154" s="4" t="str">
        <f>IFERROR(__xludf.DUMMYFUNCTION("""COMPUTED_VALUE"""),"roo")</f>
        <v>roo</v>
      </c>
      <c r="C7154" s="4" t="str">
        <f>IFERROR(__xludf.DUMMYFUNCTION("""COMPUTED_VALUE"""),"Lucky Roo")</f>
        <v>Lucky Roo</v>
      </c>
    </row>
    <row r="7155">
      <c r="A7155" s="4" t="str">
        <f>IFERROR(__xludf.DUMMYFUNCTION("""COMPUTED_VALUE"""),"luckysleprecoin")</f>
        <v>luckysleprecoin</v>
      </c>
      <c r="B7155" s="4" t="str">
        <f>IFERROR(__xludf.DUMMYFUNCTION("""COMPUTED_VALUE"""),"luckyslp")</f>
        <v>luckyslp</v>
      </c>
      <c r="C7155" s="4" t="str">
        <f>IFERROR(__xludf.DUMMYFUNCTION("""COMPUTED_VALUE"""),"LuckysLeprecoin")</f>
        <v>LuckysLeprecoin</v>
      </c>
    </row>
    <row r="7156">
      <c r="A7156" s="4" t="str">
        <f>IFERROR(__xludf.DUMMYFUNCTION("""COMPUTED_VALUE"""),"luckytoad")</f>
        <v>luckytoad</v>
      </c>
      <c r="B7156" s="4" t="str">
        <f>IFERROR(__xludf.DUMMYFUNCTION("""COMPUTED_VALUE"""),"toad")</f>
        <v>toad</v>
      </c>
      <c r="C7156" s="4" t="str">
        <f>IFERROR(__xludf.DUMMYFUNCTION("""COMPUTED_VALUE"""),"LuckyToad")</f>
        <v>LuckyToad</v>
      </c>
    </row>
    <row r="7157">
      <c r="A7157" s="4" t="str">
        <f>IFERROR(__xludf.DUMMYFUNCTION("""COMPUTED_VALUE"""),"lucretius")</f>
        <v>lucretius</v>
      </c>
      <c r="B7157" s="4" t="str">
        <f>IFERROR(__xludf.DUMMYFUNCTION("""COMPUTED_VALUE"""),"luc")</f>
        <v>luc</v>
      </c>
      <c r="C7157" s="4" t="str">
        <f>IFERROR(__xludf.DUMMYFUNCTION("""COMPUTED_VALUE"""),"Lucretius")</f>
        <v>Lucretius</v>
      </c>
    </row>
    <row r="7158">
      <c r="A7158" s="4" t="str">
        <f>IFERROR(__xludf.DUMMYFUNCTION("""COMPUTED_VALUE"""),"lucro")</f>
        <v>lucro</v>
      </c>
      <c r="B7158" s="4" t="str">
        <f>IFERROR(__xludf.DUMMYFUNCTION("""COMPUTED_VALUE"""),"lcr")</f>
        <v>lcr</v>
      </c>
      <c r="C7158" s="4" t="str">
        <f>IFERROR(__xludf.DUMMYFUNCTION("""COMPUTED_VALUE"""),"Lucro")</f>
        <v>Lucro</v>
      </c>
    </row>
    <row r="7159">
      <c r="A7159" s="4" t="str">
        <f>IFERROR(__xludf.DUMMYFUNCTION("""COMPUTED_VALUE"""),"lucrosus-capital")</f>
        <v>lucrosus-capital</v>
      </c>
      <c r="B7159" s="4" t="str">
        <f>IFERROR(__xludf.DUMMYFUNCTION("""COMPUTED_VALUE"""),"$luca")</f>
        <v>$luca</v>
      </c>
      <c r="C7159" s="4" t="str">
        <f>IFERROR(__xludf.DUMMYFUNCTION("""COMPUTED_VALUE"""),"Lucrosus Capital")</f>
        <v>Lucrosus Capital</v>
      </c>
    </row>
    <row r="7160">
      <c r="A7160" s="4" t="str">
        <f>IFERROR(__xludf.DUMMYFUNCTION("""COMPUTED_VALUE"""),"ludos")</f>
        <v>ludos</v>
      </c>
      <c r="B7160" s="4" t="str">
        <f>IFERROR(__xludf.DUMMYFUNCTION("""COMPUTED_VALUE"""),"lud")</f>
        <v>lud</v>
      </c>
      <c r="C7160" s="4" t="str">
        <f>IFERROR(__xludf.DUMMYFUNCTION("""COMPUTED_VALUE"""),"Ludos Protocol")</f>
        <v>Ludos Protocol</v>
      </c>
    </row>
    <row r="7161">
      <c r="A7161" s="4" t="str">
        <f>IFERROR(__xludf.DUMMYFUNCTION("""COMPUTED_VALUE"""),"luffy-inu")</f>
        <v>luffy-inu</v>
      </c>
      <c r="B7161" s="4" t="str">
        <f>IFERROR(__xludf.DUMMYFUNCTION("""COMPUTED_VALUE"""),"luffy")</f>
        <v>luffy</v>
      </c>
      <c r="C7161" s="4" t="str">
        <f>IFERROR(__xludf.DUMMYFUNCTION("""COMPUTED_VALUE"""),"Luffy")</f>
        <v>Luffy</v>
      </c>
    </row>
    <row r="7162">
      <c r="A7162" s="4" t="str">
        <f>IFERROR(__xludf.DUMMYFUNCTION("""COMPUTED_VALUE"""),"luigiswap")</f>
        <v>luigiswap</v>
      </c>
      <c r="B7162" s="4" t="str">
        <f>IFERROR(__xludf.DUMMYFUNCTION("""COMPUTED_VALUE"""),"luigi")</f>
        <v>luigi</v>
      </c>
      <c r="C7162" s="4" t="str">
        <f>IFERROR(__xludf.DUMMYFUNCTION("""COMPUTED_VALUE"""),"LuigiSwap")</f>
        <v>LuigiSwap</v>
      </c>
    </row>
    <row r="7163">
      <c r="A7163" s="4" t="str">
        <f>IFERROR(__xludf.DUMMYFUNCTION("""COMPUTED_VALUE"""),"lukso-token")</f>
        <v>lukso-token</v>
      </c>
      <c r="B7163" s="4" t="str">
        <f>IFERROR(__xludf.DUMMYFUNCTION("""COMPUTED_VALUE"""),"lyxe")</f>
        <v>lyxe</v>
      </c>
      <c r="C7163" s="4" t="str">
        <f>IFERROR(__xludf.DUMMYFUNCTION("""COMPUTED_VALUE"""),"LUKSO [OLD]")</f>
        <v>LUKSO [OLD]</v>
      </c>
    </row>
    <row r="7164">
      <c r="A7164" s="4" t="str">
        <f>IFERROR(__xludf.DUMMYFUNCTION("""COMPUTED_VALUE"""),"lukso-token-2")</f>
        <v>lukso-token-2</v>
      </c>
      <c r="B7164" s="4" t="str">
        <f>IFERROR(__xludf.DUMMYFUNCTION("""COMPUTED_VALUE"""),"lyx")</f>
        <v>lyx</v>
      </c>
      <c r="C7164" s="4" t="str">
        <f>IFERROR(__xludf.DUMMYFUNCTION("""COMPUTED_VALUE"""),"LUKSO")</f>
        <v>LUKSO</v>
      </c>
    </row>
    <row r="7165">
      <c r="A7165" s="4" t="str">
        <f>IFERROR(__xludf.DUMMYFUNCTION("""COMPUTED_VALUE"""),"lumenswap")</f>
        <v>lumenswap</v>
      </c>
      <c r="B7165" s="4" t="str">
        <f>IFERROR(__xludf.DUMMYFUNCTION("""COMPUTED_VALUE"""),"lsp")</f>
        <v>lsp</v>
      </c>
      <c r="C7165" s="4" t="str">
        <f>IFERROR(__xludf.DUMMYFUNCTION("""COMPUTED_VALUE"""),"Lumenswap")</f>
        <v>Lumenswap</v>
      </c>
    </row>
    <row r="7166">
      <c r="A7166" s="4" t="str">
        <f>IFERROR(__xludf.DUMMYFUNCTION("""COMPUTED_VALUE"""),"lumerin")</f>
        <v>lumerin</v>
      </c>
      <c r="B7166" s="4" t="str">
        <f>IFERROR(__xludf.DUMMYFUNCTION("""COMPUTED_VALUE"""),"lmr")</f>
        <v>lmr</v>
      </c>
      <c r="C7166" s="4" t="str">
        <f>IFERROR(__xludf.DUMMYFUNCTION("""COMPUTED_VALUE"""),"Lumerin")</f>
        <v>Lumerin</v>
      </c>
    </row>
    <row r="7167">
      <c r="A7167" s="4" t="str">
        <f>IFERROR(__xludf.DUMMYFUNCTION("""COMPUTED_VALUE"""),"lumi")</f>
        <v>lumi</v>
      </c>
      <c r="B7167" s="4" t="str">
        <f>IFERROR(__xludf.DUMMYFUNCTION("""COMPUTED_VALUE"""),"lumi")</f>
        <v>lumi</v>
      </c>
      <c r="C7167" s="4" t="str">
        <f>IFERROR(__xludf.DUMMYFUNCTION("""COMPUTED_VALUE"""),"LUMI")</f>
        <v>LUMI</v>
      </c>
    </row>
    <row r="7168">
      <c r="A7168" s="4" t="str">
        <f>IFERROR(__xludf.DUMMYFUNCTION("""COMPUTED_VALUE"""),"lumi-credits")</f>
        <v>lumi-credits</v>
      </c>
      <c r="B7168" s="4" t="str">
        <f>IFERROR(__xludf.DUMMYFUNCTION("""COMPUTED_VALUE"""),"lumi")</f>
        <v>lumi</v>
      </c>
      <c r="C7168" s="4" t="str">
        <f>IFERROR(__xludf.DUMMYFUNCTION("""COMPUTED_VALUE"""),"LUMI Credits")</f>
        <v>LUMI Credits</v>
      </c>
    </row>
    <row r="7169">
      <c r="A7169" s="4" t="str">
        <f>IFERROR(__xludf.DUMMYFUNCTION("""COMPUTED_VALUE"""),"lumi-finance")</f>
        <v>lumi-finance</v>
      </c>
      <c r="B7169" s="4" t="str">
        <f>IFERROR(__xludf.DUMMYFUNCTION("""COMPUTED_VALUE"""),"lua")</f>
        <v>lua</v>
      </c>
      <c r="C7169" s="4" t="str">
        <f>IFERROR(__xludf.DUMMYFUNCTION("""COMPUTED_VALUE"""),"Lumi Finance")</f>
        <v>Lumi Finance</v>
      </c>
    </row>
    <row r="7170">
      <c r="A7170" s="4" t="str">
        <f>IFERROR(__xludf.DUMMYFUNCTION("""COMPUTED_VALUE"""),"lumi-finance-governance-token")</f>
        <v>lumi-finance-governance-token</v>
      </c>
      <c r="B7170" s="4" t="str">
        <f>IFERROR(__xludf.DUMMYFUNCTION("""COMPUTED_VALUE"""),"luag")</f>
        <v>luag</v>
      </c>
      <c r="C7170" s="4" t="str">
        <f>IFERROR(__xludf.DUMMYFUNCTION("""COMPUTED_VALUE"""),"Lumi Finance Governance Token")</f>
        <v>Lumi Finance Governance Token</v>
      </c>
    </row>
    <row r="7171">
      <c r="A7171" s="4" t="str">
        <f>IFERROR(__xludf.DUMMYFUNCTION("""COMPUTED_VALUE"""),"lumi-finance-lua-option")</f>
        <v>lumi-finance-lua-option</v>
      </c>
      <c r="B7171" s="4" t="str">
        <f>IFERROR(__xludf.DUMMYFUNCTION("""COMPUTED_VALUE"""),"luaop")</f>
        <v>luaop</v>
      </c>
      <c r="C7171" s="4" t="str">
        <f>IFERROR(__xludf.DUMMYFUNCTION("""COMPUTED_VALUE"""),"Lumi Finance LUA Option")</f>
        <v>Lumi Finance LUA Option</v>
      </c>
    </row>
    <row r="7172">
      <c r="A7172" s="4" t="str">
        <f>IFERROR(__xludf.DUMMYFUNCTION("""COMPUTED_VALUE"""),"lumi-finance-luausd")</f>
        <v>lumi-finance-luausd</v>
      </c>
      <c r="B7172" s="4" t="str">
        <f>IFERROR(__xludf.DUMMYFUNCTION("""COMPUTED_VALUE"""),"luausd")</f>
        <v>luausd</v>
      </c>
      <c r="C7172" s="4" t="str">
        <f>IFERROR(__xludf.DUMMYFUNCTION("""COMPUTED_VALUE"""),"Lumi Finance LUAUSD")</f>
        <v>Lumi Finance LUAUSD</v>
      </c>
    </row>
    <row r="7173">
      <c r="A7173" s="4" t="str">
        <f>IFERROR(__xludf.DUMMYFUNCTION("""COMPUTED_VALUE"""),"lumiiitoken")</f>
        <v>lumiiitoken</v>
      </c>
      <c r="B7173" s="4" t="str">
        <f>IFERROR(__xludf.DUMMYFUNCTION("""COMPUTED_VALUE"""),"lumiii")</f>
        <v>lumiii</v>
      </c>
      <c r="C7173" s="4" t="str">
        <f>IFERROR(__xludf.DUMMYFUNCTION("""COMPUTED_VALUE"""),"Lumiii")</f>
        <v>Lumiii</v>
      </c>
    </row>
    <row r="7174">
      <c r="A7174" s="4" t="str">
        <f>IFERROR(__xludf.DUMMYFUNCTION("""COMPUTED_VALUE"""),"lumin")</f>
        <v>lumin</v>
      </c>
      <c r="B7174" s="4" t="str">
        <f>IFERROR(__xludf.DUMMYFUNCTION("""COMPUTED_VALUE"""),"lumin")</f>
        <v>lumin</v>
      </c>
      <c r="C7174" s="4" t="str">
        <f>IFERROR(__xludf.DUMMYFUNCTION("""COMPUTED_VALUE"""),"Lumin")</f>
        <v>Lumin</v>
      </c>
    </row>
    <row r="7175">
      <c r="A7175" s="4" t="str">
        <f>IFERROR(__xludf.DUMMYFUNCTION("""COMPUTED_VALUE"""),"lumishare")</f>
        <v>lumishare</v>
      </c>
      <c r="B7175" s="4" t="str">
        <f>IFERROR(__xludf.DUMMYFUNCTION("""COMPUTED_VALUE"""),"lumi")</f>
        <v>lumi</v>
      </c>
      <c r="C7175" s="4" t="str">
        <f>IFERROR(__xludf.DUMMYFUNCTION("""COMPUTED_VALUE"""),"Lumishare")</f>
        <v>Lumishare</v>
      </c>
    </row>
    <row r="7176">
      <c r="A7176" s="4" t="str">
        <f>IFERROR(__xludf.DUMMYFUNCTION("""COMPUTED_VALUE"""),"lumiterra-totem-404")</f>
        <v>lumiterra-totem-404</v>
      </c>
      <c r="B7176" s="4" t="str">
        <f>IFERROR(__xludf.DUMMYFUNCTION("""COMPUTED_VALUE"""),"ltm04")</f>
        <v>ltm04</v>
      </c>
      <c r="C7176" s="4" t="str">
        <f>IFERROR(__xludf.DUMMYFUNCTION("""COMPUTED_VALUE"""),"LumiTerra Totem 404")</f>
        <v>LumiTerra Totem 404</v>
      </c>
    </row>
    <row r="7177">
      <c r="A7177" s="4" t="str">
        <f>IFERROR(__xludf.DUMMYFUNCTION("""COMPUTED_VALUE"""),"lum-network")</f>
        <v>lum-network</v>
      </c>
      <c r="B7177" s="4" t="str">
        <f>IFERROR(__xludf.DUMMYFUNCTION("""COMPUTED_VALUE"""),"lum")</f>
        <v>lum</v>
      </c>
      <c r="C7177" s="4" t="str">
        <f>IFERROR(__xludf.DUMMYFUNCTION("""COMPUTED_VALUE"""),"Lum Network")</f>
        <v>Lum Network</v>
      </c>
    </row>
    <row r="7178">
      <c r="A7178" s="4" t="str">
        <f>IFERROR(__xludf.DUMMYFUNCTION("""COMPUTED_VALUE"""),"luna28")</f>
        <v>luna28</v>
      </c>
      <c r="B7178" s="4" t="str">
        <f>IFERROR(__xludf.DUMMYFUNCTION("""COMPUTED_VALUE"""),"$luna")</f>
        <v>$luna</v>
      </c>
      <c r="C7178" s="4" t="str">
        <f>IFERROR(__xludf.DUMMYFUNCTION("""COMPUTED_VALUE"""),"Luna28")</f>
        <v>Luna28</v>
      </c>
    </row>
    <row r="7179">
      <c r="A7179" s="4" t="str">
        <f>IFERROR(__xludf.DUMMYFUNCTION("""COMPUTED_VALUE"""),"lunachow")</f>
        <v>lunachow</v>
      </c>
      <c r="B7179" s="4" t="str">
        <f>IFERROR(__xludf.DUMMYFUNCTION("""COMPUTED_VALUE"""),"luchow")</f>
        <v>luchow</v>
      </c>
      <c r="C7179" s="4" t="str">
        <f>IFERROR(__xludf.DUMMYFUNCTION("""COMPUTED_VALUE"""),"LunaChow")</f>
        <v>LunaChow</v>
      </c>
    </row>
    <row r="7180">
      <c r="A7180" s="4" t="str">
        <f>IFERROR(__xludf.DUMMYFUNCTION("""COMPUTED_VALUE"""),"lunadoge")</f>
        <v>lunadoge</v>
      </c>
      <c r="B7180" s="4" t="str">
        <f>IFERROR(__xludf.DUMMYFUNCTION("""COMPUTED_VALUE"""),"loge")</f>
        <v>loge</v>
      </c>
      <c r="C7180" s="4" t="str">
        <f>IFERROR(__xludf.DUMMYFUNCTION("""COMPUTED_VALUE"""),"LunaDoge")</f>
        <v>LunaDoge</v>
      </c>
    </row>
    <row r="7181">
      <c r="A7181" s="4" t="str">
        <f>IFERROR(__xludf.DUMMYFUNCTION("""COMPUTED_VALUE"""),"lunafi")</f>
        <v>lunafi</v>
      </c>
      <c r="B7181" s="4" t="str">
        <f>IFERROR(__xludf.DUMMYFUNCTION("""COMPUTED_VALUE"""),"lfi")</f>
        <v>lfi</v>
      </c>
      <c r="C7181" s="4" t="str">
        <f>IFERROR(__xludf.DUMMYFUNCTION("""COMPUTED_VALUE"""),"Lunafi")</f>
        <v>Lunafi</v>
      </c>
    </row>
    <row r="7182">
      <c r="A7182" s="4" t="str">
        <f>IFERROR(__xludf.DUMMYFUNCTION("""COMPUTED_VALUE"""),"lunagens")</f>
        <v>lunagens</v>
      </c>
      <c r="B7182" s="4" t="str">
        <f>IFERROR(__xludf.DUMMYFUNCTION("""COMPUTED_VALUE"""),"lung")</f>
        <v>lung</v>
      </c>
      <c r="C7182" s="4" t="str">
        <f>IFERROR(__xludf.DUMMYFUNCTION("""COMPUTED_VALUE"""),"LunaGens")</f>
        <v>LunaGens</v>
      </c>
    </row>
    <row r="7183">
      <c r="A7183" s="4" t="str">
        <f>IFERROR(__xludf.DUMMYFUNCTION("""COMPUTED_VALUE"""),"luna-inu")</f>
        <v>luna-inu</v>
      </c>
      <c r="B7183" s="4" t="str">
        <f>IFERROR(__xludf.DUMMYFUNCTION("""COMPUTED_VALUE"""),"linu")</f>
        <v>linu</v>
      </c>
      <c r="C7183" s="4" t="str">
        <f>IFERROR(__xludf.DUMMYFUNCTION("""COMPUTED_VALUE"""),"Luna Inu")</f>
        <v>Luna Inu</v>
      </c>
    </row>
    <row r="7184">
      <c r="A7184" s="4" t="str">
        <f>IFERROR(__xludf.DUMMYFUNCTION("""COMPUTED_VALUE"""),"lunaone")</f>
        <v>lunaone</v>
      </c>
      <c r="B7184" s="4" t="str">
        <f>IFERROR(__xludf.DUMMYFUNCTION("""COMPUTED_VALUE"""),"xln")</f>
        <v>xln</v>
      </c>
      <c r="C7184" s="4" t="str">
        <f>IFERROR(__xludf.DUMMYFUNCTION("""COMPUTED_VALUE"""),"LunaOne")</f>
        <v>LunaOne</v>
      </c>
    </row>
    <row r="7185">
      <c r="A7185" s="4" t="str">
        <f>IFERROR(__xludf.DUMMYFUNCTION("""COMPUTED_VALUE"""),"lunar")</f>
        <v>lunar</v>
      </c>
      <c r="B7185" s="4" t="str">
        <f>IFERROR(__xludf.DUMMYFUNCTION("""COMPUTED_VALUE"""),"lnr")</f>
        <v>lnr</v>
      </c>
      <c r="C7185" s="4" t="str">
        <f>IFERROR(__xludf.DUMMYFUNCTION("""COMPUTED_VALUE"""),"Lunar [OLD]")</f>
        <v>Lunar [OLD]</v>
      </c>
    </row>
    <row r="7186">
      <c r="A7186" s="4" t="str">
        <f>IFERROR(__xludf.DUMMYFUNCTION("""COMPUTED_VALUE"""),"lunar-2")</f>
        <v>lunar-2</v>
      </c>
      <c r="B7186" s="4" t="str">
        <f>IFERROR(__xludf.DUMMYFUNCTION("""COMPUTED_VALUE"""),"lnr")</f>
        <v>lnr</v>
      </c>
      <c r="C7186" s="4" t="str">
        <f>IFERROR(__xludf.DUMMYFUNCTION("""COMPUTED_VALUE"""),"Lunar")</f>
        <v>Lunar</v>
      </c>
    </row>
    <row r="7187">
      <c r="A7187" s="4" t="str">
        <f>IFERROR(__xludf.DUMMYFUNCTION("""COMPUTED_VALUE"""),"lunar-3")</f>
        <v>lunar-3</v>
      </c>
      <c r="B7187" s="4" t="str">
        <f>IFERROR(__xludf.DUMMYFUNCTION("""COMPUTED_VALUE"""),"lunar")</f>
        <v>lunar</v>
      </c>
      <c r="C7187" s="4" t="str">
        <f>IFERROR(__xludf.DUMMYFUNCTION("""COMPUTED_VALUE"""),"Lunar")</f>
        <v>Lunar</v>
      </c>
    </row>
    <row r="7188">
      <c r="A7188" s="4" t="str">
        <f>IFERROR(__xludf.DUMMYFUNCTION("""COMPUTED_VALUE"""),"lunarium")</f>
        <v>lunarium</v>
      </c>
      <c r="B7188" s="4" t="str">
        <f>IFERROR(__xludf.DUMMYFUNCTION("""COMPUTED_VALUE"""),"xln")</f>
        <v>xln</v>
      </c>
      <c r="C7188" s="4" t="str">
        <f>IFERROR(__xludf.DUMMYFUNCTION("""COMPUTED_VALUE"""),"Lunarium")</f>
        <v>Lunarium</v>
      </c>
    </row>
    <row r="7189">
      <c r="A7189" s="4" t="str">
        <f>IFERROR(__xludf.DUMMYFUNCTION("""COMPUTED_VALUE"""),"lunarstorm")</f>
        <v>lunarstorm</v>
      </c>
      <c r="B7189" s="4" t="str">
        <f>IFERROR(__xludf.DUMMYFUNCTION("""COMPUTED_VALUE"""),"lust")</f>
        <v>lust</v>
      </c>
      <c r="C7189" s="4" t="str">
        <f>IFERROR(__xludf.DUMMYFUNCTION("""COMPUTED_VALUE"""),"LunarStorm")</f>
        <v>LunarStorm</v>
      </c>
    </row>
    <row r="7190">
      <c r="A7190" s="4" t="str">
        <f>IFERROR(__xludf.DUMMYFUNCTION("""COMPUTED_VALUE"""),"luna-rush")</f>
        <v>luna-rush</v>
      </c>
      <c r="B7190" s="4" t="str">
        <f>IFERROR(__xludf.DUMMYFUNCTION("""COMPUTED_VALUE"""),"lus")</f>
        <v>lus</v>
      </c>
      <c r="C7190" s="4" t="str">
        <f>IFERROR(__xludf.DUMMYFUNCTION("""COMPUTED_VALUE"""),"Luna Rush")</f>
        <v>Luna Rush</v>
      </c>
    </row>
    <row r="7191">
      <c r="A7191" s="4" t="str">
        <f>IFERROR(__xludf.DUMMYFUNCTION("""COMPUTED_VALUE"""),"lunatics")</f>
        <v>lunatics</v>
      </c>
      <c r="B7191" s="4" t="str">
        <f>IFERROR(__xludf.DUMMYFUNCTION("""COMPUTED_VALUE"""),"lunat")</f>
        <v>lunat</v>
      </c>
      <c r="C7191" s="4" t="str">
        <f>IFERROR(__xludf.DUMMYFUNCTION("""COMPUTED_VALUE"""),"Lunatics")</f>
        <v>Lunatics</v>
      </c>
    </row>
    <row r="7192">
      <c r="A7192" s="4" t="str">
        <f>IFERROR(__xludf.DUMMYFUNCTION("""COMPUTED_VALUE"""),"lunatics-eth")</f>
        <v>lunatics-eth</v>
      </c>
      <c r="B7192" s="4" t="str">
        <f>IFERROR(__xludf.DUMMYFUNCTION("""COMPUTED_VALUE"""),"lunat")</f>
        <v>lunat</v>
      </c>
      <c r="C7192" s="4" t="str">
        <f>IFERROR(__xludf.DUMMYFUNCTION("""COMPUTED_VALUE"""),"Lunatics [ETH]")</f>
        <v>Lunatics [ETH]</v>
      </c>
    </row>
    <row r="7193">
      <c r="A7193" s="4" t="str">
        <f>IFERROR(__xludf.DUMMYFUNCTION("""COMPUTED_VALUE"""),"luna-wormhole")</f>
        <v>luna-wormhole</v>
      </c>
      <c r="B7193" s="4" t="str">
        <f>IFERROR(__xludf.DUMMYFUNCTION("""COMPUTED_VALUE"""),"lunc")</f>
        <v>lunc</v>
      </c>
      <c r="C7193" s="4" t="str">
        <f>IFERROR(__xludf.DUMMYFUNCTION("""COMPUTED_VALUE"""),"Terra Classic (Wormhole)")</f>
        <v>Terra Classic (Wormhole)</v>
      </c>
    </row>
    <row r="7194">
      <c r="A7194" s="4" t="str">
        <f>IFERROR(__xludf.DUMMYFUNCTION("""COMPUTED_VALUE"""),"lunax")</f>
        <v>lunax</v>
      </c>
      <c r="B7194" s="4" t="str">
        <f>IFERROR(__xludf.DUMMYFUNCTION("""COMPUTED_VALUE"""),"lunax")</f>
        <v>lunax</v>
      </c>
      <c r="C7194" s="4" t="str">
        <f>IFERROR(__xludf.DUMMYFUNCTION("""COMPUTED_VALUE"""),"Stader LunaX")</f>
        <v>Stader LunaX</v>
      </c>
    </row>
    <row r="7195">
      <c r="A7195" s="4" t="str">
        <f>IFERROR(__xludf.DUMMYFUNCTION("""COMPUTED_VALUE"""),"luncarmy")</f>
        <v>luncarmy</v>
      </c>
      <c r="B7195" s="4" t="str">
        <f>IFERROR(__xludf.DUMMYFUNCTION("""COMPUTED_VALUE"""),"luncarmy")</f>
        <v>luncarmy</v>
      </c>
      <c r="C7195" s="4" t="str">
        <f>IFERROR(__xludf.DUMMYFUNCTION("""COMPUTED_VALUE"""),"LUNCARMY")</f>
        <v>LUNCARMY</v>
      </c>
    </row>
    <row r="7196">
      <c r="A7196" s="4" t="str">
        <f>IFERROR(__xludf.DUMMYFUNCTION("""COMPUTED_VALUE"""),"lunchdao")</f>
        <v>lunchdao</v>
      </c>
      <c r="B7196" s="4" t="str">
        <f>IFERROR(__xludf.DUMMYFUNCTION("""COMPUTED_VALUE"""),"lunch")</f>
        <v>lunch</v>
      </c>
      <c r="C7196" s="4" t="str">
        <f>IFERROR(__xludf.DUMMYFUNCTION("""COMPUTED_VALUE"""),"LunchDAO")</f>
        <v>LunchDAO</v>
      </c>
    </row>
    <row r="7197">
      <c r="A7197" s="4" t="str">
        <f>IFERROR(__xludf.DUMMYFUNCTION("""COMPUTED_VALUE"""),"lunch-money")</f>
        <v>lunch-money</v>
      </c>
      <c r="B7197" s="4" t="str">
        <f>IFERROR(__xludf.DUMMYFUNCTION("""COMPUTED_VALUE"""),"lmy")</f>
        <v>lmy</v>
      </c>
      <c r="C7197" s="4" t="str">
        <f>IFERROR(__xludf.DUMMYFUNCTION("""COMPUTED_VALUE"""),"Lunch Money")</f>
        <v>Lunch Money</v>
      </c>
    </row>
    <row r="7198">
      <c r="A7198" s="4" t="str">
        <f>IFERROR(__xludf.DUMMYFUNCTION("""COMPUTED_VALUE"""),"lunr-token")</f>
        <v>lunr-token</v>
      </c>
      <c r="B7198" s="4" t="str">
        <f>IFERROR(__xludf.DUMMYFUNCTION("""COMPUTED_VALUE"""),"lunr")</f>
        <v>lunr</v>
      </c>
      <c r="C7198" s="4" t="str">
        <f>IFERROR(__xludf.DUMMYFUNCTION("""COMPUTED_VALUE"""),"LunarCrush")</f>
        <v>LunarCrush</v>
      </c>
    </row>
    <row r="7199">
      <c r="A7199" s="4" t="str">
        <f>IFERROR(__xludf.DUMMYFUNCTION("""COMPUTED_VALUE"""),"lunyr")</f>
        <v>lunyr</v>
      </c>
      <c r="B7199" s="4" t="str">
        <f>IFERROR(__xludf.DUMMYFUNCTION("""COMPUTED_VALUE"""),"lun")</f>
        <v>lun</v>
      </c>
      <c r="C7199" s="4" t="str">
        <f>IFERROR(__xludf.DUMMYFUNCTION("""COMPUTED_VALUE"""),"Lunyr")</f>
        <v>Lunyr</v>
      </c>
    </row>
    <row r="7200">
      <c r="A7200" s="4" t="str">
        <f>IFERROR(__xludf.DUMMYFUNCTION("""COMPUTED_VALUE"""),"lusd")</f>
        <v>lusd</v>
      </c>
      <c r="B7200" s="4" t="str">
        <f>IFERROR(__xludf.DUMMYFUNCTION("""COMPUTED_VALUE"""),"lusd")</f>
        <v>lusd</v>
      </c>
      <c r="C7200" s="4" t="str">
        <f>IFERROR(__xludf.DUMMYFUNCTION("""COMPUTED_VALUE"""),"LUSD [OLD]")</f>
        <v>LUSD [OLD]</v>
      </c>
    </row>
    <row r="7201">
      <c r="A7201" s="4" t="str">
        <f>IFERROR(__xludf.DUMMYFUNCTION("""COMPUTED_VALUE"""),"lusd-2")</f>
        <v>lusd-2</v>
      </c>
      <c r="B7201" s="4" t="str">
        <f>IFERROR(__xludf.DUMMYFUNCTION("""COMPUTED_VALUE"""),"lusd")</f>
        <v>lusd</v>
      </c>
      <c r="C7201" s="4" t="str">
        <f>IFERROR(__xludf.DUMMYFUNCTION("""COMPUTED_VALUE"""),"LUSD")</f>
        <v>LUSD</v>
      </c>
    </row>
    <row r="7202">
      <c r="A7202" s="4" t="str">
        <f>IFERROR(__xludf.DUMMYFUNCTION("""COMPUTED_VALUE"""),"lusd-yvault")</f>
        <v>lusd-yvault</v>
      </c>
      <c r="B7202" s="4" t="str">
        <f>IFERROR(__xludf.DUMMYFUNCTION("""COMPUTED_VALUE"""),"yvlusd")</f>
        <v>yvlusd</v>
      </c>
      <c r="C7202" s="4" t="str">
        <f>IFERROR(__xludf.DUMMYFUNCTION("""COMPUTED_VALUE"""),"LUSD yVault")</f>
        <v>LUSD yVault</v>
      </c>
    </row>
    <row r="7203">
      <c r="A7203" s="4" t="str">
        <f>IFERROR(__xludf.DUMMYFUNCTION("""COMPUTED_VALUE"""),"lush-ai")</f>
        <v>lush-ai</v>
      </c>
      <c r="B7203" s="4" t="str">
        <f>IFERROR(__xludf.DUMMYFUNCTION("""COMPUTED_VALUE"""),"lush")</f>
        <v>lush</v>
      </c>
      <c r="C7203" s="4" t="str">
        <f>IFERROR(__xludf.DUMMYFUNCTION("""COMPUTED_VALUE"""),"Lush AI")</f>
        <v>Lush AI</v>
      </c>
    </row>
    <row r="7204">
      <c r="A7204" s="4" t="str">
        <f>IFERROR(__xludf.DUMMYFUNCTION("""COMPUTED_VALUE"""),"lux-bio-exchange-coin")</f>
        <v>lux-bio-exchange-coin</v>
      </c>
      <c r="B7204" s="4" t="str">
        <f>IFERROR(__xludf.DUMMYFUNCTION("""COMPUTED_VALUE"""),"lbxc")</f>
        <v>lbxc</v>
      </c>
      <c r="C7204" s="4" t="str">
        <f>IFERROR(__xludf.DUMMYFUNCTION("""COMPUTED_VALUE"""),"LUX BIO EXCHANGE COIN")</f>
        <v>LUX BIO EXCHANGE COIN</v>
      </c>
    </row>
    <row r="7205">
      <c r="A7205" s="4" t="str">
        <f>IFERROR(__xludf.DUMMYFUNCTION("""COMPUTED_VALUE"""),"luxcoin")</f>
        <v>luxcoin</v>
      </c>
      <c r="B7205" s="4" t="str">
        <f>IFERROR(__xludf.DUMMYFUNCTION("""COMPUTED_VALUE"""),"lux")</f>
        <v>lux</v>
      </c>
      <c r="C7205" s="4" t="str">
        <f>IFERROR(__xludf.DUMMYFUNCTION("""COMPUTED_VALUE"""),"LUXCoin")</f>
        <v>LUXCoin</v>
      </c>
    </row>
    <row r="7206">
      <c r="A7206" s="4" t="str">
        <f>IFERROR(__xludf.DUMMYFUNCTION("""COMPUTED_VALUE"""),"luxurious-pro-network-token")</f>
        <v>luxurious-pro-network-token</v>
      </c>
      <c r="B7206" s="4" t="str">
        <f>IFERROR(__xludf.DUMMYFUNCTION("""COMPUTED_VALUE"""),"lpnt")</f>
        <v>lpnt</v>
      </c>
      <c r="C7206" s="4" t="str">
        <f>IFERROR(__xludf.DUMMYFUNCTION("""COMPUTED_VALUE"""),"Luxurious Pro Network")</f>
        <v>Luxurious Pro Network</v>
      </c>
    </row>
    <row r="7207">
      <c r="A7207" s="4" t="str">
        <f>IFERROR(__xludf.DUMMYFUNCTION("""COMPUTED_VALUE"""),"luxy")</f>
        <v>luxy</v>
      </c>
      <c r="B7207" s="4" t="str">
        <f>IFERROR(__xludf.DUMMYFUNCTION("""COMPUTED_VALUE"""),"luxy")</f>
        <v>luxy</v>
      </c>
      <c r="C7207" s="4" t="str">
        <f>IFERROR(__xludf.DUMMYFUNCTION("""COMPUTED_VALUE"""),"Luxy")</f>
        <v>Luxy</v>
      </c>
    </row>
    <row r="7208">
      <c r="A7208" s="4" t="str">
        <f>IFERROR(__xludf.DUMMYFUNCTION("""COMPUTED_VALUE"""),"lvusd")</f>
        <v>lvusd</v>
      </c>
      <c r="B7208" s="4" t="str">
        <f>IFERROR(__xludf.DUMMYFUNCTION("""COMPUTED_VALUE"""),"lvusd")</f>
        <v>lvusd</v>
      </c>
      <c r="C7208" s="4" t="str">
        <f>IFERROR(__xludf.DUMMYFUNCTION("""COMPUTED_VALUE"""),"lvUSD")</f>
        <v>lvUSD</v>
      </c>
    </row>
    <row r="7209">
      <c r="A7209" s="4" t="str">
        <f>IFERROR(__xludf.DUMMYFUNCTION("""COMPUTED_VALUE"""),"lxly-bridged-dai-astar-zkevm")</f>
        <v>lxly-bridged-dai-astar-zkevm</v>
      </c>
      <c r="B7209" s="4" t="str">
        <f>IFERROR(__xludf.DUMMYFUNCTION("""COMPUTED_VALUE"""),"dai")</f>
        <v>dai</v>
      </c>
      <c r="C7209" s="4" t="str">
        <f>IFERROR(__xludf.DUMMYFUNCTION("""COMPUTED_VALUE"""),"LxLy Bridged DAI (Astar zkEVM)")</f>
        <v>LxLy Bridged DAI (Astar zkEVM)</v>
      </c>
    </row>
    <row r="7210">
      <c r="A7210" s="4" t="str">
        <f>IFERROR(__xludf.DUMMYFUNCTION("""COMPUTED_VALUE"""),"lxly-bridged-usdc-astar-zkevm")</f>
        <v>lxly-bridged-usdc-astar-zkevm</v>
      </c>
      <c r="B7210" s="4" t="str">
        <f>IFERROR(__xludf.DUMMYFUNCTION("""COMPUTED_VALUE"""),"usdc")</f>
        <v>usdc</v>
      </c>
      <c r="C7210" s="4" t="str">
        <f>IFERROR(__xludf.DUMMYFUNCTION("""COMPUTED_VALUE"""),"LxLy Bridged USDC (Astar zkEVM)")</f>
        <v>LxLy Bridged USDC (Astar zkEVM)</v>
      </c>
    </row>
    <row r="7211">
      <c r="A7211" s="4" t="str">
        <f>IFERROR(__xludf.DUMMYFUNCTION("""COMPUTED_VALUE"""),"lxly-bridged-usdt-astar-zkevm")</f>
        <v>lxly-bridged-usdt-astar-zkevm</v>
      </c>
      <c r="B7211" s="4" t="str">
        <f>IFERROR(__xludf.DUMMYFUNCTION("""COMPUTED_VALUE"""),"usdt")</f>
        <v>usdt</v>
      </c>
      <c r="C7211" s="4" t="str">
        <f>IFERROR(__xludf.DUMMYFUNCTION("""COMPUTED_VALUE"""),"LxLy Bridged USDT (Astar zkEVM)")</f>
        <v>LxLy Bridged USDT (Astar zkEVM)</v>
      </c>
    </row>
    <row r="7212">
      <c r="A7212" s="4" t="str">
        <f>IFERROR(__xludf.DUMMYFUNCTION("""COMPUTED_VALUE"""),"lybra-finance")</f>
        <v>lybra-finance</v>
      </c>
      <c r="B7212" s="4" t="str">
        <f>IFERROR(__xludf.DUMMYFUNCTION("""COMPUTED_VALUE"""),"lbr")</f>
        <v>lbr</v>
      </c>
      <c r="C7212" s="4" t="str">
        <f>IFERROR(__xludf.DUMMYFUNCTION("""COMPUTED_VALUE"""),"Lybra")</f>
        <v>Lybra</v>
      </c>
    </row>
    <row r="7213">
      <c r="A7213" s="4" t="str">
        <f>IFERROR(__xludf.DUMMYFUNCTION("""COMPUTED_VALUE"""),"lydia-finance")</f>
        <v>lydia-finance</v>
      </c>
      <c r="B7213" s="4" t="str">
        <f>IFERROR(__xludf.DUMMYFUNCTION("""COMPUTED_VALUE"""),"lyd")</f>
        <v>lyd</v>
      </c>
      <c r="C7213" s="4" t="str">
        <f>IFERROR(__xludf.DUMMYFUNCTION("""COMPUTED_VALUE"""),"Lydia Finance")</f>
        <v>Lydia Finance</v>
      </c>
    </row>
    <row r="7214">
      <c r="A7214" s="4" t="str">
        <f>IFERROR(__xludf.DUMMYFUNCTION("""COMPUTED_VALUE"""),"lyfe-2")</f>
        <v>lyfe-2</v>
      </c>
      <c r="B7214" s="4" t="str">
        <f>IFERROR(__xludf.DUMMYFUNCTION("""COMPUTED_VALUE"""),"lyfe")</f>
        <v>lyfe</v>
      </c>
      <c r="C7214" s="4" t="str">
        <f>IFERROR(__xludf.DUMMYFUNCTION("""COMPUTED_VALUE"""),"Lyfe")</f>
        <v>Lyfe</v>
      </c>
    </row>
    <row r="7215">
      <c r="A7215" s="4" t="str">
        <f>IFERROR(__xludf.DUMMYFUNCTION("""COMPUTED_VALUE"""),"lyfebloc")</f>
        <v>lyfebloc</v>
      </c>
      <c r="B7215" s="4" t="str">
        <f>IFERROR(__xludf.DUMMYFUNCTION("""COMPUTED_VALUE"""),"lbt")</f>
        <v>lbt</v>
      </c>
      <c r="C7215" s="4" t="str">
        <f>IFERROR(__xludf.DUMMYFUNCTION("""COMPUTED_VALUE"""),"Lyfebloc")</f>
        <v>Lyfebloc</v>
      </c>
    </row>
    <row r="7216">
      <c r="A7216" s="4" t="str">
        <f>IFERROR(__xludf.DUMMYFUNCTION("""COMPUTED_VALUE"""),"lyfe-gold")</f>
        <v>lyfe-gold</v>
      </c>
      <c r="B7216" s="4" t="str">
        <f>IFERROR(__xludf.DUMMYFUNCTION("""COMPUTED_VALUE"""),"lgold")</f>
        <v>lgold</v>
      </c>
      <c r="C7216" s="4" t="str">
        <f>IFERROR(__xludf.DUMMYFUNCTION("""COMPUTED_VALUE"""),"Lyfe Gold")</f>
        <v>Lyfe Gold</v>
      </c>
    </row>
    <row r="7217">
      <c r="A7217" s="4" t="str">
        <f>IFERROR(__xludf.DUMMYFUNCTION("""COMPUTED_VALUE"""),"lyfe-silver")</f>
        <v>lyfe-silver</v>
      </c>
      <c r="B7217" s="4" t="str">
        <f>IFERROR(__xludf.DUMMYFUNCTION("""COMPUTED_VALUE"""),"lsilver")</f>
        <v>lsilver</v>
      </c>
      <c r="C7217" s="4" t="str">
        <f>IFERROR(__xludf.DUMMYFUNCTION("""COMPUTED_VALUE"""),"Lyfe Silver")</f>
        <v>Lyfe Silver</v>
      </c>
    </row>
    <row r="7218">
      <c r="A7218" s="4" t="str">
        <f>IFERROR(__xludf.DUMMYFUNCTION("""COMPUTED_VALUE"""),"lympo")</f>
        <v>lympo</v>
      </c>
      <c r="B7218" s="4" t="str">
        <f>IFERROR(__xludf.DUMMYFUNCTION("""COMPUTED_VALUE"""),"lym")</f>
        <v>lym</v>
      </c>
      <c r="C7218" s="4" t="str">
        <f>IFERROR(__xludf.DUMMYFUNCTION("""COMPUTED_VALUE"""),"Lympo")</f>
        <v>Lympo</v>
      </c>
    </row>
    <row r="7219">
      <c r="A7219" s="4" t="str">
        <f>IFERROR(__xludf.DUMMYFUNCTION("""COMPUTED_VALUE"""),"lympo-market-token")</f>
        <v>lympo-market-token</v>
      </c>
      <c r="B7219" s="4" t="str">
        <f>IFERROR(__xludf.DUMMYFUNCTION("""COMPUTED_VALUE"""),"lmt")</f>
        <v>lmt</v>
      </c>
      <c r="C7219" s="4" t="str">
        <f>IFERROR(__xludf.DUMMYFUNCTION("""COMPUTED_VALUE"""),"Lympo Market")</f>
        <v>Lympo Market</v>
      </c>
    </row>
    <row r="7220">
      <c r="A7220" s="4" t="str">
        <f>IFERROR(__xludf.DUMMYFUNCTION("""COMPUTED_VALUE"""),"lyncoin")</f>
        <v>lyncoin</v>
      </c>
      <c r="B7220" s="4" t="str">
        <f>IFERROR(__xludf.DUMMYFUNCTION("""COMPUTED_VALUE"""),"lcn")</f>
        <v>lcn</v>
      </c>
      <c r="C7220" s="4" t="str">
        <f>IFERROR(__xludf.DUMMYFUNCTION("""COMPUTED_VALUE"""),"Lyncoin")</f>
        <v>Lyncoin</v>
      </c>
    </row>
    <row r="7221">
      <c r="A7221" s="4" t="str">
        <f>IFERROR(__xludf.DUMMYFUNCTION("""COMPUTED_VALUE"""),"lynex")</f>
        <v>lynex</v>
      </c>
      <c r="B7221" s="4" t="str">
        <f>IFERROR(__xludf.DUMMYFUNCTION("""COMPUTED_VALUE"""),"lynx")</f>
        <v>lynx</v>
      </c>
      <c r="C7221" s="4" t="str">
        <f>IFERROR(__xludf.DUMMYFUNCTION("""COMPUTED_VALUE"""),"Lynex")</f>
        <v>Lynex</v>
      </c>
    </row>
    <row r="7222">
      <c r="A7222" s="4" t="str">
        <f>IFERROR(__xludf.DUMMYFUNCTION("""COMPUTED_VALUE"""),"lynkey")</f>
        <v>lynkey</v>
      </c>
      <c r="B7222" s="4" t="str">
        <f>IFERROR(__xludf.DUMMYFUNCTION("""COMPUTED_VALUE"""),"lynk")</f>
        <v>lynk</v>
      </c>
      <c r="C7222" s="4" t="str">
        <f>IFERROR(__xludf.DUMMYFUNCTION("""COMPUTED_VALUE"""),"LynKey")</f>
        <v>LynKey</v>
      </c>
    </row>
    <row r="7223">
      <c r="A7223" s="4" t="str">
        <f>IFERROR(__xludf.DUMMYFUNCTION("""COMPUTED_VALUE"""),"lynx")</f>
        <v>lynx</v>
      </c>
      <c r="B7223" s="4" t="str">
        <f>IFERROR(__xludf.DUMMYFUNCTION("""COMPUTED_VALUE"""),"lynx")</f>
        <v>lynx</v>
      </c>
      <c r="C7223" s="4" t="str">
        <f>IFERROR(__xludf.DUMMYFUNCTION("""COMPUTED_VALUE"""),"Lynx")</f>
        <v>Lynx</v>
      </c>
    </row>
    <row r="7224">
      <c r="A7224" s="4" t="str">
        <f>IFERROR(__xludf.DUMMYFUNCTION("""COMPUTED_VALUE"""),"lynx-2")</f>
        <v>lynx-2</v>
      </c>
      <c r="B7224" s="4" t="str">
        <f>IFERROR(__xludf.DUMMYFUNCTION("""COMPUTED_VALUE"""),"lynx")</f>
        <v>lynx</v>
      </c>
      <c r="C7224" s="4" t="str">
        <f>IFERROR(__xludf.DUMMYFUNCTION("""COMPUTED_VALUE"""),"LYNX")</f>
        <v>LYNX</v>
      </c>
    </row>
    <row r="7225">
      <c r="A7225" s="4" t="str">
        <f>IFERROR(__xludf.DUMMYFUNCTION("""COMPUTED_VALUE"""),"lyptus-token")</f>
        <v>lyptus-token</v>
      </c>
      <c r="B7225" s="4" t="str">
        <f>IFERROR(__xludf.DUMMYFUNCTION("""COMPUTED_VALUE"""),"lyptus")</f>
        <v>lyptus</v>
      </c>
      <c r="C7225" s="4" t="str">
        <f>IFERROR(__xludf.DUMMYFUNCTION("""COMPUTED_VALUE"""),"Lyptus")</f>
        <v>Lyptus</v>
      </c>
    </row>
    <row r="7226">
      <c r="A7226" s="4" t="str">
        <f>IFERROR(__xludf.DUMMYFUNCTION("""COMPUTED_VALUE"""),"lyra-2")</f>
        <v>lyra-2</v>
      </c>
      <c r="B7226" s="4" t="str">
        <f>IFERROR(__xludf.DUMMYFUNCTION("""COMPUTED_VALUE"""),"lyra")</f>
        <v>lyra</v>
      </c>
      <c r="C7226" s="4" t="str">
        <f>IFERROR(__xludf.DUMMYFUNCTION("""COMPUTED_VALUE"""),"Lyra")</f>
        <v>Lyra</v>
      </c>
    </row>
    <row r="7227">
      <c r="A7227" s="4" t="str">
        <f>IFERROR(__xludf.DUMMYFUNCTION("""COMPUTED_VALUE"""),"lyra-finance")</f>
        <v>lyra-finance</v>
      </c>
      <c r="B7227" s="4" t="str">
        <f>IFERROR(__xludf.DUMMYFUNCTION("""COMPUTED_VALUE"""),"lyra")</f>
        <v>lyra</v>
      </c>
      <c r="C7227" s="4" t="str">
        <f>IFERROR(__xludf.DUMMYFUNCTION("""COMPUTED_VALUE"""),"Lyra Finance")</f>
        <v>Lyra Finance</v>
      </c>
    </row>
    <row r="7228">
      <c r="A7228" s="4" t="str">
        <f>IFERROR(__xludf.DUMMYFUNCTION("""COMPUTED_VALUE"""),"lyte-finance")</f>
        <v>lyte-finance</v>
      </c>
      <c r="B7228" s="4" t="str">
        <f>IFERROR(__xludf.DUMMYFUNCTION("""COMPUTED_VALUE"""),"lyte")</f>
        <v>lyte</v>
      </c>
      <c r="C7228" s="4" t="str">
        <f>IFERROR(__xludf.DUMMYFUNCTION("""COMPUTED_VALUE"""),"Lyte Finance")</f>
        <v>Lyte Finance</v>
      </c>
    </row>
    <row r="7229">
      <c r="A7229" s="4" t="str">
        <f>IFERROR(__xludf.DUMMYFUNCTION("""COMPUTED_VALUE"""),"lyve-finance")</f>
        <v>lyve-finance</v>
      </c>
      <c r="B7229" s="4" t="str">
        <f>IFERROR(__xludf.DUMMYFUNCTION("""COMPUTED_VALUE"""),"lyve")</f>
        <v>lyve</v>
      </c>
      <c r="C7229" s="4" t="str">
        <f>IFERROR(__xludf.DUMMYFUNCTION("""COMPUTED_VALUE"""),"Lyve Finance")</f>
        <v>Lyve Finance</v>
      </c>
    </row>
    <row r="7230">
      <c r="A7230" s="4" t="str">
        <f>IFERROR(__xludf.DUMMYFUNCTION("""COMPUTED_VALUE"""),"lyzi")</f>
        <v>lyzi</v>
      </c>
      <c r="B7230" s="4" t="str">
        <f>IFERROR(__xludf.DUMMYFUNCTION("""COMPUTED_VALUE"""),"lyzi")</f>
        <v>lyzi</v>
      </c>
      <c r="C7230" s="4" t="str">
        <f>IFERROR(__xludf.DUMMYFUNCTION("""COMPUTED_VALUE"""),"Lyzi")</f>
        <v>Lyzi</v>
      </c>
    </row>
    <row r="7231">
      <c r="A7231" s="4" t="str">
        <f>IFERROR(__xludf.DUMMYFUNCTION("""COMPUTED_VALUE"""),"m2")</f>
        <v>m2</v>
      </c>
      <c r="B7231" s="4" t="str">
        <f>IFERROR(__xludf.DUMMYFUNCTION("""COMPUTED_VALUE"""),"m2")</f>
        <v>m2</v>
      </c>
      <c r="C7231" s="4" t="str">
        <f>IFERROR(__xludf.DUMMYFUNCTION("""COMPUTED_VALUE"""),"M2")</f>
        <v>M2</v>
      </c>
    </row>
    <row r="7232">
      <c r="A7232" s="4" t="str">
        <f>IFERROR(__xludf.DUMMYFUNCTION("""COMPUTED_VALUE"""),"m2-global-wealth-limited-mmx")</f>
        <v>m2-global-wealth-limited-mmx</v>
      </c>
      <c r="B7232" s="4" t="str">
        <f>IFERROR(__xludf.DUMMYFUNCTION("""COMPUTED_VALUE"""),"mmx")</f>
        <v>mmx</v>
      </c>
      <c r="C7232" s="4" t="str">
        <f>IFERROR(__xludf.DUMMYFUNCTION("""COMPUTED_VALUE"""),"MMX")</f>
        <v>MMX</v>
      </c>
    </row>
    <row r="7233">
      <c r="A7233" s="4" t="str">
        <f>IFERROR(__xludf.DUMMYFUNCTION("""COMPUTED_VALUE"""),"maal-chain")</f>
        <v>maal-chain</v>
      </c>
      <c r="B7233" s="4" t="str">
        <f>IFERROR(__xludf.DUMMYFUNCTION("""COMPUTED_VALUE"""),"maal")</f>
        <v>maal</v>
      </c>
      <c r="C7233" s="4" t="str">
        <f>IFERROR(__xludf.DUMMYFUNCTION("""COMPUTED_VALUE"""),"Maal Chain")</f>
        <v>Maal Chain</v>
      </c>
    </row>
    <row r="7234">
      <c r="A7234" s="4" t="str">
        <f>IFERROR(__xludf.DUMMYFUNCTION("""COMPUTED_VALUE"""),"macaronswap")</f>
        <v>macaronswap</v>
      </c>
      <c r="B7234" s="4" t="str">
        <f>IFERROR(__xludf.DUMMYFUNCTION("""COMPUTED_VALUE"""),"mcrn")</f>
        <v>mcrn</v>
      </c>
      <c r="C7234" s="4" t="str">
        <f>IFERROR(__xludf.DUMMYFUNCTION("""COMPUTED_VALUE"""),"MacaronSwap")</f>
        <v>MacaronSwap</v>
      </c>
    </row>
    <row r="7235">
      <c r="A7235" s="4" t="str">
        <f>IFERROR(__xludf.DUMMYFUNCTION("""COMPUTED_VALUE"""),"mackerel")</f>
        <v>mackerel</v>
      </c>
      <c r="B7235" s="4" t="str">
        <f>IFERROR(__xludf.DUMMYFUNCTION("""COMPUTED_VALUE"""),"macks")</f>
        <v>macks</v>
      </c>
      <c r="C7235" s="4" t="str">
        <f>IFERROR(__xludf.DUMMYFUNCTION("""COMPUTED_VALUE"""),"Mackerel")</f>
        <v>Mackerel</v>
      </c>
    </row>
    <row r="7236">
      <c r="A7236" s="4" t="str">
        <f>IFERROR(__xludf.DUMMYFUNCTION("""COMPUTED_VALUE"""),"mackerel-2")</f>
        <v>mackerel-2</v>
      </c>
      <c r="B7236" s="4" t="str">
        <f>IFERROR(__xludf.DUMMYFUNCTION("""COMPUTED_VALUE"""),"macke")</f>
        <v>macke</v>
      </c>
      <c r="C7236" s="4" t="str">
        <f>IFERROR(__xludf.DUMMYFUNCTION("""COMPUTED_VALUE"""),"Mackerel")</f>
        <v>Mackerel</v>
      </c>
    </row>
    <row r="7237">
      <c r="A7237" s="4" t="str">
        <f>IFERROR(__xludf.DUMMYFUNCTION("""COMPUTED_VALUE"""),"mad")</f>
        <v>mad</v>
      </c>
      <c r="B7237" s="4" t="str">
        <f>IFERROR(__xludf.DUMMYFUNCTION("""COMPUTED_VALUE"""),"mad")</f>
        <v>mad</v>
      </c>
      <c r="C7237" s="4" t="str">
        <f>IFERROR(__xludf.DUMMYFUNCTION("""COMPUTED_VALUE"""),"MAD")</f>
        <v>MAD</v>
      </c>
    </row>
    <row r="7238">
      <c r="A7238" s="4" t="str">
        <f>IFERROR(__xludf.DUMMYFUNCTION("""COMPUTED_VALUE"""),"madai")</f>
        <v>madai</v>
      </c>
      <c r="B7238" s="4" t="str">
        <f>IFERROR(__xludf.DUMMYFUNCTION("""COMPUTED_VALUE"""),"madai")</f>
        <v>madai</v>
      </c>
      <c r="C7238" s="4" t="str">
        <f>IFERROR(__xludf.DUMMYFUNCTION("""COMPUTED_VALUE"""),"Morpho-Aave Dai Stablecoin")</f>
        <v>Morpho-Aave Dai Stablecoin</v>
      </c>
    </row>
    <row r="7239">
      <c r="A7239" s="4" t="str">
        <f>IFERROR(__xludf.DUMMYFUNCTION("""COMPUTED_VALUE"""),"mad-bears-club-2")</f>
        <v>mad-bears-club-2</v>
      </c>
      <c r="B7239" s="4" t="str">
        <f>IFERROR(__xludf.DUMMYFUNCTION("""COMPUTED_VALUE"""),"mbc")</f>
        <v>mbc</v>
      </c>
      <c r="C7239" s="4" t="str">
        <f>IFERROR(__xludf.DUMMYFUNCTION("""COMPUTED_VALUE"""),"Mad Bears Club")</f>
        <v>Mad Bears Club</v>
      </c>
    </row>
    <row r="7240">
      <c r="A7240" s="4" t="str">
        <f>IFERROR(__xludf.DUMMYFUNCTION("""COMPUTED_VALUE"""),"mad-bucks")</f>
        <v>mad-bucks</v>
      </c>
      <c r="B7240" s="4" t="str">
        <f>IFERROR(__xludf.DUMMYFUNCTION("""COMPUTED_VALUE"""),"mad")</f>
        <v>mad</v>
      </c>
      <c r="C7240" s="4" t="str">
        <f>IFERROR(__xludf.DUMMYFUNCTION("""COMPUTED_VALUE"""),"MAD Bucks")</f>
        <v>MAD Bucks</v>
      </c>
    </row>
    <row r="7241">
      <c r="A7241" s="4" t="str">
        <f>IFERROR(__xludf.DUMMYFUNCTION("""COMPUTED_VALUE"""),"madlad")</f>
        <v>madlad</v>
      </c>
      <c r="B7241" s="4" t="str">
        <f>IFERROR(__xludf.DUMMYFUNCTION("""COMPUTED_VALUE"""),"mad")</f>
        <v>mad</v>
      </c>
      <c r="C7241" s="4" t="str">
        <f>IFERROR(__xludf.DUMMYFUNCTION("""COMPUTED_VALUE"""),"MADLAD")</f>
        <v>MADLAD</v>
      </c>
    </row>
    <row r="7242">
      <c r="A7242" s="4" t="str">
        <f>IFERROR(__xludf.DUMMYFUNCTION("""COMPUTED_VALUE"""),"mad-meerkat-etf")</f>
        <v>mad-meerkat-etf</v>
      </c>
      <c r="B7242" s="4" t="str">
        <f>IFERROR(__xludf.DUMMYFUNCTION("""COMPUTED_VALUE"""),"metf")</f>
        <v>metf</v>
      </c>
      <c r="C7242" s="4" t="str">
        <f>IFERROR(__xludf.DUMMYFUNCTION("""COMPUTED_VALUE"""),"Mad Meerkat ETF")</f>
        <v>Mad Meerkat ETF</v>
      </c>
    </row>
    <row r="7243">
      <c r="A7243" s="4" t="str">
        <f>IFERROR(__xludf.DUMMYFUNCTION("""COMPUTED_VALUE"""),"mad-meerkat-optimizer")</f>
        <v>mad-meerkat-optimizer</v>
      </c>
      <c r="B7243" s="4" t="str">
        <f>IFERROR(__xludf.DUMMYFUNCTION("""COMPUTED_VALUE"""),"mmo")</f>
        <v>mmo</v>
      </c>
      <c r="C7243" s="4" t="str">
        <f>IFERROR(__xludf.DUMMYFUNCTION("""COMPUTED_VALUE"""),"Mad Meerkat Optimizer")</f>
        <v>Mad Meerkat Optimizer</v>
      </c>
    </row>
    <row r="7244">
      <c r="A7244" s="4" t="str">
        <f>IFERROR(__xludf.DUMMYFUNCTION("""COMPUTED_VALUE"""),"mad-usd")</f>
        <v>mad-usd</v>
      </c>
      <c r="B7244" s="4" t="str">
        <f>IFERROR(__xludf.DUMMYFUNCTION("""COMPUTED_VALUE"""),"musd")</f>
        <v>musd</v>
      </c>
      <c r="C7244" s="4" t="str">
        <f>IFERROR(__xludf.DUMMYFUNCTION("""COMPUTED_VALUE"""),"Mad USD")</f>
        <v>Mad USD</v>
      </c>
    </row>
    <row r="7245">
      <c r="A7245" s="4" t="str">
        <f>IFERROR(__xludf.DUMMYFUNCTION("""COMPUTED_VALUE"""),"mad-viking-games-token")</f>
        <v>mad-viking-games-token</v>
      </c>
      <c r="B7245" s="4" t="str">
        <f>IFERROR(__xludf.DUMMYFUNCTION("""COMPUTED_VALUE"""),"mvg")</f>
        <v>mvg</v>
      </c>
      <c r="C7245" s="4" t="str">
        <f>IFERROR(__xludf.DUMMYFUNCTION("""COMPUTED_VALUE"""),"Mad Viking Games Token")</f>
        <v>Mad Viking Games Token</v>
      </c>
    </row>
    <row r="7246">
      <c r="A7246" s="4" t="str">
        <f>IFERROR(__xludf.DUMMYFUNCTION("""COMPUTED_VALUE"""),"madworld")</f>
        <v>madworld</v>
      </c>
      <c r="B7246" s="4" t="str">
        <f>IFERROR(__xludf.DUMMYFUNCTION("""COMPUTED_VALUE"""),"umad")</f>
        <v>umad</v>
      </c>
      <c r="C7246" s="4" t="str">
        <f>IFERROR(__xludf.DUMMYFUNCTION("""COMPUTED_VALUE"""),"MADworld")</f>
        <v>MADworld</v>
      </c>
    </row>
    <row r="7247">
      <c r="A7247" s="4" t="str">
        <f>IFERROR(__xludf.DUMMYFUNCTION("""COMPUTED_VALUE"""),"maga")</f>
        <v>maga</v>
      </c>
      <c r="B7247" s="4" t="str">
        <f>IFERROR(__xludf.DUMMYFUNCTION("""COMPUTED_VALUE"""),"trump")</f>
        <v>trump</v>
      </c>
      <c r="C7247" s="4" t="str">
        <f>IFERROR(__xludf.DUMMYFUNCTION("""COMPUTED_VALUE"""),"MAGA")</f>
        <v>MAGA</v>
      </c>
    </row>
    <row r="7248">
      <c r="A7248" s="4" t="str">
        <f>IFERROR(__xludf.DUMMYFUNCTION("""COMPUTED_VALUE"""),"maga-2")</f>
        <v>maga-2</v>
      </c>
      <c r="B7248" s="4" t="str">
        <f>IFERROR(__xludf.DUMMYFUNCTION("""COMPUTED_VALUE"""),"trump")</f>
        <v>trump</v>
      </c>
      <c r="C7248" s="4" t="str">
        <f>IFERROR(__xludf.DUMMYFUNCTION("""COMPUTED_VALUE"""),"MAGA")</f>
        <v>MAGA</v>
      </c>
    </row>
    <row r="7249">
      <c r="A7249" s="4" t="str">
        <f>IFERROR(__xludf.DUMMYFUNCTION("""COMPUTED_VALUE"""),"maga-coin")</f>
        <v>maga-coin</v>
      </c>
      <c r="B7249" s="4" t="str">
        <f>IFERROR(__xludf.DUMMYFUNCTION("""COMPUTED_VALUE"""),"maga")</f>
        <v>maga</v>
      </c>
      <c r="C7249" s="4" t="str">
        <f>IFERROR(__xludf.DUMMYFUNCTION("""COMPUTED_VALUE"""),"MAGA Coin BSC")</f>
        <v>MAGA Coin BSC</v>
      </c>
    </row>
    <row r="7250">
      <c r="A7250" s="4" t="str">
        <f>IFERROR(__xludf.DUMMYFUNCTION("""COMPUTED_VALUE"""),"maga-coin-eth")</f>
        <v>maga-coin-eth</v>
      </c>
      <c r="B7250" s="4" t="str">
        <f>IFERROR(__xludf.DUMMYFUNCTION("""COMPUTED_VALUE"""),"maga")</f>
        <v>maga</v>
      </c>
      <c r="C7250" s="4" t="str">
        <f>IFERROR(__xludf.DUMMYFUNCTION("""COMPUTED_VALUE"""),"MAGA Coin ETH")</f>
        <v>MAGA Coin ETH</v>
      </c>
    </row>
    <row r="7251">
      <c r="A7251" s="4" t="str">
        <f>IFERROR(__xludf.DUMMYFUNCTION("""COMPUTED_VALUE"""),"magaiba")</f>
        <v>magaiba</v>
      </c>
      <c r="B7251" s="4" t="str">
        <f>IFERROR(__xludf.DUMMYFUNCTION("""COMPUTED_VALUE"""),"magaiba")</f>
        <v>magaiba</v>
      </c>
      <c r="C7251" s="4" t="str">
        <f>IFERROR(__xludf.DUMMYFUNCTION("""COMPUTED_VALUE"""),"MAGAIBA")</f>
        <v>MAGAIBA</v>
      </c>
    </row>
    <row r="7252">
      <c r="A7252" s="4" t="str">
        <f>IFERROR(__xludf.DUMMYFUNCTION("""COMPUTED_VALUE"""),"magic")</f>
        <v>magic</v>
      </c>
      <c r="B7252" s="4" t="str">
        <f>IFERROR(__xludf.DUMMYFUNCTION("""COMPUTED_VALUE"""),"magic")</f>
        <v>magic</v>
      </c>
      <c r="C7252" s="4" t="str">
        <f>IFERROR(__xludf.DUMMYFUNCTION("""COMPUTED_VALUE"""),"Magic")</f>
        <v>Magic</v>
      </c>
    </row>
    <row r="7253">
      <c r="A7253" s="4" t="str">
        <f>IFERROR(__xludf.DUMMYFUNCTION("""COMPUTED_VALUE"""),"magical-blocks")</f>
        <v>magical-blocks</v>
      </c>
      <c r="B7253" s="4" t="str">
        <f>IFERROR(__xludf.DUMMYFUNCTION("""COMPUTED_VALUE"""),"mblk")</f>
        <v>mblk</v>
      </c>
      <c r="C7253" s="4" t="str">
        <f>IFERROR(__xludf.DUMMYFUNCTION("""COMPUTED_VALUE"""),"Magical Blocks")</f>
        <v>Magical Blocks</v>
      </c>
    </row>
    <row r="7254">
      <c r="A7254" s="4" t="str">
        <f>IFERROR(__xludf.DUMMYFUNCTION("""COMPUTED_VALUE"""),"magicaltux")</f>
        <v>magicaltux</v>
      </c>
      <c r="B7254" s="4" t="str">
        <f>IFERROR(__xludf.DUMMYFUNCTION("""COMPUTED_VALUE"""),"tux")</f>
        <v>tux</v>
      </c>
      <c r="C7254" s="4" t="str">
        <f>IFERROR(__xludf.DUMMYFUNCTION("""COMPUTED_VALUE"""),"Magicaltux")</f>
        <v>Magicaltux</v>
      </c>
    </row>
    <row r="7255">
      <c r="A7255" s="4" t="str">
        <f>IFERROR(__xludf.DUMMYFUNCTION("""COMPUTED_VALUE"""),"magic-beasties")</f>
        <v>magic-beasties</v>
      </c>
      <c r="B7255" s="4" t="str">
        <f>IFERROR(__xludf.DUMMYFUNCTION("""COMPUTED_VALUE"""),"bsts")</f>
        <v>bsts</v>
      </c>
      <c r="C7255" s="4" t="str">
        <f>IFERROR(__xludf.DUMMYFUNCTION("""COMPUTED_VALUE"""),"Magic Beasties")</f>
        <v>Magic Beasties</v>
      </c>
    </row>
    <row r="7256">
      <c r="A7256" s="4" t="str">
        <f>IFERROR(__xludf.DUMMYFUNCTION("""COMPUTED_VALUE"""),"magic-bot")</f>
        <v>magic-bot</v>
      </c>
      <c r="B7256" s="4" t="str">
        <f>IFERROR(__xludf.DUMMYFUNCTION("""COMPUTED_VALUE"""),"magic")</f>
        <v>magic</v>
      </c>
      <c r="C7256" s="4" t="str">
        <f>IFERROR(__xludf.DUMMYFUNCTION("""COMPUTED_VALUE"""),"Magic-BOT")</f>
        <v>Magic-BOT</v>
      </c>
    </row>
    <row r="7257">
      <c r="A7257" s="4" t="str">
        <f>IFERROR(__xludf.DUMMYFUNCTION("""COMPUTED_VALUE"""),"magic-carpet-ride")</f>
        <v>magic-carpet-ride</v>
      </c>
      <c r="B7257" s="4" t="str">
        <f>IFERROR(__xludf.DUMMYFUNCTION("""COMPUTED_VALUE"""),"magic")</f>
        <v>magic</v>
      </c>
      <c r="C7257" s="4" t="str">
        <f>IFERROR(__xludf.DUMMYFUNCTION("""COMPUTED_VALUE"""),"Magic Carpet Ride")</f>
        <v>Magic Carpet Ride</v>
      </c>
    </row>
    <row r="7258">
      <c r="A7258" s="4" t="str">
        <f>IFERROR(__xludf.DUMMYFUNCTION("""COMPUTED_VALUE"""),"magiccraft")</f>
        <v>magiccraft</v>
      </c>
      <c r="B7258" s="4" t="str">
        <f>IFERROR(__xludf.DUMMYFUNCTION("""COMPUTED_VALUE"""),"mcrt")</f>
        <v>mcrt</v>
      </c>
      <c r="C7258" s="4" t="str">
        <f>IFERROR(__xludf.DUMMYFUNCTION("""COMPUTED_VALUE"""),"MagicCraft")</f>
        <v>MagicCraft</v>
      </c>
    </row>
    <row r="7259">
      <c r="A7259" s="4" t="str">
        <f>IFERROR(__xludf.DUMMYFUNCTION("""COMPUTED_VALUE"""),"magic-crystal")</f>
        <v>magic-crystal</v>
      </c>
      <c r="B7259" s="4" t="str">
        <f>IFERROR(__xludf.DUMMYFUNCTION("""COMPUTED_VALUE"""),"mc")</f>
        <v>mc</v>
      </c>
      <c r="C7259" s="4" t="str">
        <f>IFERROR(__xludf.DUMMYFUNCTION("""COMPUTED_VALUE"""),"Magic Crystal")</f>
        <v>Magic Crystal</v>
      </c>
    </row>
    <row r="7260">
      <c r="A7260" s="4" t="str">
        <f>IFERROR(__xludf.DUMMYFUNCTION("""COMPUTED_VALUE"""),"magic-cube")</f>
        <v>magic-cube</v>
      </c>
      <c r="B7260" s="4" t="str">
        <f>IFERROR(__xludf.DUMMYFUNCTION("""COMPUTED_VALUE"""),"mcc")</f>
        <v>mcc</v>
      </c>
      <c r="C7260" s="4" t="str">
        <f>IFERROR(__xludf.DUMMYFUNCTION("""COMPUTED_VALUE"""),"Magic Cube Coin")</f>
        <v>Magic Cube Coin</v>
      </c>
    </row>
    <row r="7261">
      <c r="A7261" s="4" t="str">
        <f>IFERROR(__xludf.DUMMYFUNCTION("""COMPUTED_VALUE"""),"magicglp")</f>
        <v>magicglp</v>
      </c>
      <c r="B7261" s="4" t="str">
        <f>IFERROR(__xludf.DUMMYFUNCTION("""COMPUTED_VALUE"""),"magicglp")</f>
        <v>magicglp</v>
      </c>
      <c r="C7261" s="4" t="str">
        <f>IFERROR(__xludf.DUMMYFUNCTION("""COMPUTED_VALUE"""),"MagicGLP")</f>
        <v>MagicGLP</v>
      </c>
    </row>
    <row r="7262">
      <c r="A7262" s="4" t="str">
        <f>IFERROR(__xludf.DUMMYFUNCTION("""COMPUTED_VALUE"""),"magic-gpt-game")</f>
        <v>magic-gpt-game</v>
      </c>
      <c r="B7262" s="4" t="str">
        <f>IFERROR(__xludf.DUMMYFUNCTION("""COMPUTED_VALUE"""),"mgpt")</f>
        <v>mgpt</v>
      </c>
      <c r="C7262" s="4" t="str">
        <f>IFERROR(__xludf.DUMMYFUNCTION("""COMPUTED_VALUE"""),"Magic GPT Game")</f>
        <v>Magic GPT Game</v>
      </c>
    </row>
    <row r="7263">
      <c r="A7263" s="4" t="str">
        <f>IFERROR(__xludf.DUMMYFUNCTION("""COMPUTED_VALUE"""),"magic-internet-cash")</f>
        <v>magic-internet-cash</v>
      </c>
      <c r="B7263" s="4" t="str">
        <f>IFERROR(__xludf.DUMMYFUNCTION("""COMPUTED_VALUE"""),"mic")</f>
        <v>mic</v>
      </c>
      <c r="C7263" s="4" t="str">
        <f>IFERROR(__xludf.DUMMYFUNCTION("""COMPUTED_VALUE"""),"Magic Internet Cash")</f>
        <v>Magic Internet Cash</v>
      </c>
    </row>
    <row r="7264">
      <c r="A7264" s="4" t="str">
        <f>IFERROR(__xludf.DUMMYFUNCTION("""COMPUTED_VALUE"""),"magic-internet-money")</f>
        <v>magic-internet-money</v>
      </c>
      <c r="B7264" s="4" t="str">
        <f>IFERROR(__xludf.DUMMYFUNCTION("""COMPUTED_VALUE"""),"mim")</f>
        <v>mim</v>
      </c>
      <c r="C7264" s="4" t="str">
        <f>IFERROR(__xludf.DUMMYFUNCTION("""COMPUTED_VALUE"""),"Magic Internet Money")</f>
        <v>Magic Internet Money</v>
      </c>
    </row>
    <row r="7265">
      <c r="A7265" s="4" t="str">
        <f>IFERROR(__xludf.DUMMYFUNCTION("""COMPUTED_VALUE"""),"magic-internet-money-meme")</f>
        <v>magic-internet-money-meme</v>
      </c>
      <c r="B7265" s="4" t="str">
        <f>IFERROR(__xludf.DUMMYFUNCTION("""COMPUTED_VALUE"""),"mim")</f>
        <v>mim</v>
      </c>
      <c r="C7265" s="4" t="str">
        <f>IFERROR(__xludf.DUMMYFUNCTION("""COMPUTED_VALUE"""),"Magic Internet Money (Meme)")</f>
        <v>Magic Internet Money (Meme)</v>
      </c>
    </row>
    <row r="7266">
      <c r="A7266" s="4" t="str">
        <f>IFERROR(__xludf.DUMMYFUNCTION("""COMPUTED_VALUE"""),"magic-lum")</f>
        <v>magic-lum</v>
      </c>
      <c r="B7266" s="4" t="str">
        <f>IFERROR(__xludf.DUMMYFUNCTION("""COMPUTED_VALUE"""),"mlum")</f>
        <v>mlum</v>
      </c>
      <c r="C7266" s="4" t="str">
        <f>IFERROR(__xludf.DUMMYFUNCTION("""COMPUTED_VALUE"""),"Magic LUM")</f>
        <v>Magic LUM</v>
      </c>
    </row>
    <row r="7267">
      <c r="A7267" s="4" t="str">
        <f>IFERROR(__xludf.DUMMYFUNCTION("""COMPUTED_VALUE"""),"magic-power")</f>
        <v>magic-power</v>
      </c>
      <c r="B7267" s="4" t="str">
        <f>IFERROR(__xludf.DUMMYFUNCTION("""COMPUTED_VALUE"""),"mgp")</f>
        <v>mgp</v>
      </c>
      <c r="C7267" s="4" t="str">
        <f>IFERROR(__xludf.DUMMYFUNCTION("""COMPUTED_VALUE"""),"Magic Power")</f>
        <v>Magic Power</v>
      </c>
    </row>
    <row r="7268">
      <c r="A7268" s="4" t="str">
        <f>IFERROR(__xludf.DUMMYFUNCTION("""COMPUTED_VALUE"""),"magic-shoes")</f>
        <v>magic-shoes</v>
      </c>
      <c r="B7268" s="4" t="str">
        <f>IFERROR(__xludf.DUMMYFUNCTION("""COMPUTED_VALUE"""),"mct")</f>
        <v>mct</v>
      </c>
      <c r="C7268" s="4" t="str">
        <f>IFERROR(__xludf.DUMMYFUNCTION("""COMPUTED_VALUE"""),"MAGIC SHOES")</f>
        <v>MAGIC SHOES</v>
      </c>
    </row>
    <row r="7269">
      <c r="A7269" s="4" t="str">
        <f>IFERROR(__xludf.DUMMYFUNCTION("""COMPUTED_VALUE"""),"magic-square")</f>
        <v>magic-square</v>
      </c>
      <c r="B7269" s="4" t="str">
        <f>IFERROR(__xludf.DUMMYFUNCTION("""COMPUTED_VALUE"""),"sqr")</f>
        <v>sqr</v>
      </c>
      <c r="C7269" s="4" t="str">
        <f>IFERROR(__xludf.DUMMYFUNCTION("""COMPUTED_VALUE"""),"Magic Square")</f>
        <v>Magic Square</v>
      </c>
    </row>
    <row r="7270">
      <c r="A7270" s="4" t="str">
        <f>IFERROR(__xludf.DUMMYFUNCTION("""COMPUTED_VALUE"""),"magic-token")</f>
        <v>magic-token</v>
      </c>
      <c r="B7270" s="4" t="str">
        <f>IFERROR(__xludf.DUMMYFUNCTION("""COMPUTED_VALUE"""),"magic")</f>
        <v>magic</v>
      </c>
      <c r="C7270" s="4" t="str">
        <f>IFERROR(__xludf.DUMMYFUNCTION("""COMPUTED_VALUE"""),"MagicLand")</f>
        <v>MagicLand</v>
      </c>
    </row>
    <row r="7271">
      <c r="A7271" s="4" t="str">
        <f>IFERROR(__xludf.DUMMYFUNCTION("""COMPUTED_VALUE"""),"magic-yearn-share")</f>
        <v>magic-yearn-share</v>
      </c>
      <c r="B7271" s="4" t="str">
        <f>IFERROR(__xludf.DUMMYFUNCTION("""COMPUTED_VALUE"""),"mys")</f>
        <v>mys</v>
      </c>
      <c r="C7271" s="4" t="str">
        <f>IFERROR(__xludf.DUMMYFUNCTION("""COMPUTED_VALUE"""),"Magic Yearn Share")</f>
        <v>Magic Yearn Share</v>
      </c>
    </row>
    <row r="7272">
      <c r="A7272" s="4" t="str">
        <f>IFERROR(__xludf.DUMMYFUNCTION("""COMPUTED_VALUE"""),"magik")</f>
        <v>magik</v>
      </c>
      <c r="B7272" s="4" t="str">
        <f>IFERROR(__xludf.DUMMYFUNCTION("""COMPUTED_VALUE"""),"magik")</f>
        <v>magik</v>
      </c>
      <c r="C7272" s="4" t="str">
        <f>IFERROR(__xludf.DUMMYFUNCTION("""COMPUTED_VALUE"""),"Magik")</f>
        <v>Magik</v>
      </c>
    </row>
    <row r="7273">
      <c r="A7273" s="4" t="str">
        <f>IFERROR(__xludf.DUMMYFUNCTION("""COMPUTED_VALUE"""),"magikal-ai")</f>
        <v>magikal-ai</v>
      </c>
      <c r="B7273" s="4" t="str">
        <f>IFERROR(__xludf.DUMMYFUNCTION("""COMPUTED_VALUE"""),"mgkl")</f>
        <v>mgkl</v>
      </c>
      <c r="C7273" s="5" t="str">
        <f>IFERROR(__xludf.DUMMYFUNCTION("""COMPUTED_VALUE"""),"MAGIKAL.ai")</f>
        <v>MAGIKAL.ai</v>
      </c>
    </row>
    <row r="7274">
      <c r="A7274" s="4" t="str">
        <f>IFERROR(__xludf.DUMMYFUNCTION("""COMPUTED_VALUE"""),"magnate-finance")</f>
        <v>magnate-finance</v>
      </c>
      <c r="B7274" s="4" t="str">
        <f>IFERROR(__xludf.DUMMYFUNCTION("""COMPUTED_VALUE"""),"mag")</f>
        <v>mag</v>
      </c>
      <c r="C7274" s="4" t="str">
        <f>IFERROR(__xludf.DUMMYFUNCTION("""COMPUTED_VALUE"""),"Magnate Finance")</f>
        <v>Magnate Finance</v>
      </c>
    </row>
    <row r="7275">
      <c r="A7275" s="4" t="str">
        <f>IFERROR(__xludf.DUMMYFUNCTION("""COMPUTED_VALUE"""),"magnesium")</f>
        <v>magnesium</v>
      </c>
      <c r="B7275" s="4" t="str">
        <f>IFERROR(__xludf.DUMMYFUNCTION("""COMPUTED_VALUE"""),"mag")</f>
        <v>mag</v>
      </c>
      <c r="C7275" s="4" t="str">
        <f>IFERROR(__xludf.DUMMYFUNCTION("""COMPUTED_VALUE"""),"Magnesium")</f>
        <v>Magnesium</v>
      </c>
    </row>
    <row r="7276">
      <c r="A7276" s="4" t="str">
        <f>IFERROR(__xludf.DUMMYFUNCTION("""COMPUTED_VALUE"""),"magnetgold")</f>
        <v>magnetgold</v>
      </c>
      <c r="B7276" s="4" t="str">
        <f>IFERROR(__xludf.DUMMYFUNCTION("""COMPUTED_VALUE"""),"mtg")</f>
        <v>mtg</v>
      </c>
      <c r="C7276" s="4" t="str">
        <f>IFERROR(__xludf.DUMMYFUNCTION("""COMPUTED_VALUE"""),"MagnetGold")</f>
        <v>MagnetGold</v>
      </c>
    </row>
    <row r="7277">
      <c r="A7277" s="4" t="str">
        <f>IFERROR(__xludf.DUMMYFUNCTION("""COMPUTED_VALUE"""),"magnetic")</f>
        <v>magnetic</v>
      </c>
      <c r="B7277" s="4" t="str">
        <f>IFERROR(__xludf.DUMMYFUNCTION("""COMPUTED_VALUE"""),"mag")</f>
        <v>mag</v>
      </c>
      <c r="C7277" s="4" t="str">
        <f>IFERROR(__xludf.DUMMYFUNCTION("""COMPUTED_VALUE"""),"Magnetic")</f>
        <v>Magnetic</v>
      </c>
    </row>
    <row r="7278">
      <c r="A7278" s="4" t="str">
        <f>IFERROR(__xludf.DUMMYFUNCTION("""COMPUTED_VALUE"""),"magnum-2")</f>
        <v>magnum-2</v>
      </c>
      <c r="B7278" s="4" t="str">
        <f>IFERROR(__xludf.DUMMYFUNCTION("""COMPUTED_VALUE"""),"mag")</f>
        <v>mag</v>
      </c>
      <c r="C7278" s="4" t="str">
        <f>IFERROR(__xludf.DUMMYFUNCTION("""COMPUTED_VALUE"""),"Magnum")</f>
        <v>Magnum</v>
      </c>
    </row>
    <row r="7279">
      <c r="A7279" s="4" t="str">
        <f>IFERROR(__xludf.DUMMYFUNCTION("""COMPUTED_VALUE"""),"magnus")</f>
        <v>magnus</v>
      </c>
      <c r="B7279" s="4" t="str">
        <f>IFERROR(__xludf.DUMMYFUNCTION("""COMPUTED_VALUE"""),"mag")</f>
        <v>mag</v>
      </c>
      <c r="C7279" s="4" t="str">
        <f>IFERROR(__xludf.DUMMYFUNCTION("""COMPUTED_VALUE"""),"Magnus")</f>
        <v>Magnus</v>
      </c>
    </row>
    <row r="7280">
      <c r="A7280" s="4" t="str">
        <f>IFERROR(__xludf.DUMMYFUNCTION("""COMPUTED_VALUE"""),"magpie")</f>
        <v>magpie</v>
      </c>
      <c r="B7280" s="4" t="str">
        <f>IFERROR(__xludf.DUMMYFUNCTION("""COMPUTED_VALUE"""),"mgp")</f>
        <v>mgp</v>
      </c>
      <c r="C7280" s="4" t="str">
        <f>IFERROR(__xludf.DUMMYFUNCTION("""COMPUTED_VALUE"""),"Magpie")</f>
        <v>Magpie</v>
      </c>
    </row>
    <row r="7281">
      <c r="A7281" s="4" t="str">
        <f>IFERROR(__xludf.DUMMYFUNCTION("""COMPUTED_VALUE"""),"magpie-wom")</f>
        <v>magpie-wom</v>
      </c>
      <c r="B7281" s="4" t="str">
        <f>IFERROR(__xludf.DUMMYFUNCTION("""COMPUTED_VALUE"""),"mwom")</f>
        <v>mwom</v>
      </c>
      <c r="C7281" s="4" t="str">
        <f>IFERROR(__xludf.DUMMYFUNCTION("""COMPUTED_VALUE"""),"Magpie WOM")</f>
        <v>Magpie WOM</v>
      </c>
    </row>
    <row r="7282">
      <c r="A7282" s="4" t="str">
        <f>IFERROR(__xludf.DUMMYFUNCTION("""COMPUTED_VALUE"""),"mahadao")</f>
        <v>mahadao</v>
      </c>
      <c r="B7282" s="4" t="str">
        <f>IFERROR(__xludf.DUMMYFUNCTION("""COMPUTED_VALUE"""),"maha")</f>
        <v>maha</v>
      </c>
      <c r="C7282" s="4" t="str">
        <f>IFERROR(__xludf.DUMMYFUNCTION("""COMPUTED_VALUE"""),"MahaDAO")</f>
        <v>MahaDAO</v>
      </c>
    </row>
    <row r="7283">
      <c r="A7283" s="4" t="str">
        <f>IFERROR(__xludf.DUMMYFUNCTION("""COMPUTED_VALUE"""),"maia")</f>
        <v>maia</v>
      </c>
      <c r="B7283" s="4" t="str">
        <f>IFERROR(__xludf.DUMMYFUNCTION("""COMPUTED_VALUE"""),"maia")</f>
        <v>maia</v>
      </c>
      <c r="C7283" s="4" t="str">
        <f>IFERROR(__xludf.DUMMYFUNCTION("""COMPUTED_VALUE"""),"Maia")</f>
        <v>Maia</v>
      </c>
    </row>
    <row r="7284">
      <c r="A7284" s="4" t="str">
        <f>IFERROR(__xludf.DUMMYFUNCTION("""COMPUTED_VALUE"""),"mai-arbitrum")</f>
        <v>mai-arbitrum</v>
      </c>
      <c r="B7284" s="4" t="str">
        <f>IFERROR(__xludf.DUMMYFUNCTION("""COMPUTED_VALUE"""),"mimatic")</f>
        <v>mimatic</v>
      </c>
      <c r="C7284" s="4" t="str">
        <f>IFERROR(__xludf.DUMMYFUNCTION("""COMPUTED_VALUE"""),"MAI (Arbitrum)")</f>
        <v>MAI (Arbitrum)</v>
      </c>
    </row>
    <row r="7285">
      <c r="A7285" s="4" t="str">
        <f>IFERROR(__xludf.DUMMYFUNCTION("""COMPUTED_VALUE"""),"maiar-dex")</f>
        <v>maiar-dex</v>
      </c>
      <c r="B7285" s="4" t="str">
        <f>IFERROR(__xludf.DUMMYFUNCTION("""COMPUTED_VALUE"""),"mex")</f>
        <v>mex</v>
      </c>
      <c r="C7285" s="4" t="str">
        <f>IFERROR(__xludf.DUMMYFUNCTION("""COMPUTED_VALUE"""),"xExchange")</f>
        <v>xExchange</v>
      </c>
    </row>
    <row r="7286">
      <c r="A7286" s="4" t="str">
        <f>IFERROR(__xludf.DUMMYFUNCTION("""COMPUTED_VALUE"""),"mai-avalanche")</f>
        <v>mai-avalanche</v>
      </c>
      <c r="B7286" s="4" t="str">
        <f>IFERROR(__xludf.DUMMYFUNCTION("""COMPUTED_VALUE"""),"mimatic")</f>
        <v>mimatic</v>
      </c>
      <c r="C7286" s="4" t="str">
        <f>IFERROR(__xludf.DUMMYFUNCTION("""COMPUTED_VALUE"""),"MAI (Avalanche)")</f>
        <v>MAI (Avalanche)</v>
      </c>
    </row>
    <row r="7287">
      <c r="A7287" s="4" t="str">
        <f>IFERROR(__xludf.DUMMYFUNCTION("""COMPUTED_VALUE"""),"mai-base")</f>
        <v>mai-base</v>
      </c>
      <c r="B7287" s="4" t="str">
        <f>IFERROR(__xludf.DUMMYFUNCTION("""COMPUTED_VALUE"""),"mimatic")</f>
        <v>mimatic</v>
      </c>
      <c r="C7287" s="4" t="str">
        <f>IFERROR(__xludf.DUMMYFUNCTION("""COMPUTED_VALUE"""),"MAI (Base)")</f>
        <v>MAI (Base)</v>
      </c>
    </row>
    <row r="7288">
      <c r="A7288" s="4" t="str">
        <f>IFERROR(__xludf.DUMMYFUNCTION("""COMPUTED_VALUE"""),"mai-bsc")</f>
        <v>mai-bsc</v>
      </c>
      <c r="B7288" s="4" t="str">
        <f>IFERROR(__xludf.DUMMYFUNCTION("""COMPUTED_VALUE"""),"mimatic")</f>
        <v>mimatic</v>
      </c>
      <c r="C7288" s="4" t="str">
        <f>IFERROR(__xludf.DUMMYFUNCTION("""COMPUTED_VALUE"""),"MAI (BSC)")</f>
        <v>MAI (BSC)</v>
      </c>
    </row>
    <row r="7289">
      <c r="A7289" s="4" t="str">
        <f>IFERROR(__xludf.DUMMYFUNCTION("""COMPUTED_VALUE"""),"maidaan")</f>
        <v>maidaan</v>
      </c>
      <c r="B7289" s="4" t="str">
        <f>IFERROR(__xludf.DUMMYFUNCTION("""COMPUTED_VALUE"""),"mdn")</f>
        <v>mdn</v>
      </c>
      <c r="C7289" s="4" t="str">
        <f>IFERROR(__xludf.DUMMYFUNCTION("""COMPUTED_VALUE"""),"Maidaan")</f>
        <v>Maidaan</v>
      </c>
    </row>
    <row r="7290">
      <c r="A7290" s="4" t="str">
        <f>IFERROR(__xludf.DUMMYFUNCTION("""COMPUTED_VALUE"""),"maidsafecoin")</f>
        <v>maidsafecoin</v>
      </c>
      <c r="B7290" s="4" t="str">
        <f>IFERROR(__xludf.DUMMYFUNCTION("""COMPUTED_VALUE"""),"emaid")</f>
        <v>emaid</v>
      </c>
      <c r="C7290" s="4" t="str">
        <f>IFERROR(__xludf.DUMMYFUNCTION("""COMPUTED_VALUE"""),"MaidSafeCoin")</f>
        <v>MaidSafeCoin</v>
      </c>
    </row>
    <row r="7291">
      <c r="A7291" s="4" t="str">
        <f>IFERROR(__xludf.DUMMYFUNCTION("""COMPUTED_VALUE"""),"maidsafecoin-token")</f>
        <v>maidsafecoin-token</v>
      </c>
      <c r="B7291" s="4" t="str">
        <f>IFERROR(__xludf.DUMMYFUNCTION("""COMPUTED_VALUE"""),"maid")</f>
        <v>maid</v>
      </c>
      <c r="C7291" s="4" t="str">
        <f>IFERROR(__xludf.DUMMYFUNCTION("""COMPUTED_VALUE"""),"Maidsafecoin Token")</f>
        <v>Maidsafecoin Token</v>
      </c>
    </row>
    <row r="7292">
      <c r="A7292" s="4" t="str">
        <f>IFERROR(__xludf.DUMMYFUNCTION("""COMPUTED_VALUE"""),"maid-sweepers")</f>
        <v>maid-sweepers</v>
      </c>
      <c r="B7292" s="4" t="str">
        <f>IFERROR(__xludf.DUMMYFUNCTION("""COMPUTED_VALUE"""),"swprs")</f>
        <v>swprs</v>
      </c>
      <c r="C7292" s="4" t="str">
        <f>IFERROR(__xludf.DUMMYFUNCTION("""COMPUTED_VALUE"""),"Maid Sweepers")</f>
        <v>Maid Sweepers</v>
      </c>
    </row>
    <row r="7293">
      <c r="A7293" s="4" t="str">
        <f>IFERROR(__xludf.DUMMYFUNCTION("""COMPUTED_VALUE"""),"mai-ethereum")</f>
        <v>mai-ethereum</v>
      </c>
      <c r="B7293" s="4" t="str">
        <f>IFERROR(__xludf.DUMMYFUNCTION("""COMPUTED_VALUE"""),"mimatic")</f>
        <v>mimatic</v>
      </c>
      <c r="C7293" s="4" t="str">
        <f>IFERROR(__xludf.DUMMYFUNCTION("""COMPUTED_VALUE"""),"MAI (Ethereum)")</f>
        <v>MAI (Ethereum)</v>
      </c>
    </row>
    <row r="7294">
      <c r="A7294" s="4" t="str">
        <f>IFERROR(__xludf.DUMMYFUNCTION("""COMPUTED_VALUE"""),"mai-fantom")</f>
        <v>mai-fantom</v>
      </c>
      <c r="B7294" s="4" t="str">
        <f>IFERROR(__xludf.DUMMYFUNCTION("""COMPUTED_VALUE"""),"mimatic")</f>
        <v>mimatic</v>
      </c>
      <c r="C7294" s="4" t="str">
        <f>IFERROR(__xludf.DUMMYFUNCTION("""COMPUTED_VALUE"""),"MAI (Fantom)")</f>
        <v>MAI (Fantom)</v>
      </c>
    </row>
    <row r="7295">
      <c r="A7295" s="4" t="str">
        <f>IFERROR(__xludf.DUMMYFUNCTION("""COMPUTED_VALUE"""),"mai-kava")</f>
        <v>mai-kava</v>
      </c>
      <c r="B7295" s="4" t="str">
        <f>IFERROR(__xludf.DUMMYFUNCTION("""COMPUTED_VALUE"""),"mimatic")</f>
        <v>mimatic</v>
      </c>
      <c r="C7295" s="4" t="str">
        <f>IFERROR(__xludf.DUMMYFUNCTION("""COMPUTED_VALUE"""),"MAI (Kava)")</f>
        <v>MAI (Kava)</v>
      </c>
    </row>
    <row r="7296">
      <c r="A7296" s="4" t="str">
        <f>IFERROR(__xludf.DUMMYFUNCTION("""COMPUTED_VALUE"""),"mai-linea")</f>
        <v>mai-linea</v>
      </c>
      <c r="B7296" s="4" t="str">
        <f>IFERROR(__xludf.DUMMYFUNCTION("""COMPUTED_VALUE"""),"mimatic")</f>
        <v>mimatic</v>
      </c>
      <c r="C7296" s="4" t="str">
        <f>IFERROR(__xludf.DUMMYFUNCTION("""COMPUTED_VALUE"""),"MAI (Linea)")</f>
        <v>MAI (Linea)</v>
      </c>
    </row>
    <row r="7297">
      <c r="A7297" s="4" t="str">
        <f>IFERROR(__xludf.DUMMYFUNCTION("""COMPUTED_VALUE"""),"main")</f>
        <v>main</v>
      </c>
      <c r="B7297" s="4" t="str">
        <f>IFERROR(__xludf.DUMMYFUNCTION("""COMPUTED_VALUE"""),"main")</f>
        <v>main</v>
      </c>
      <c r="C7297" s="4" t="str">
        <f>IFERROR(__xludf.DUMMYFUNCTION("""COMPUTED_VALUE"""),"Main")</f>
        <v>Main</v>
      </c>
    </row>
    <row r="7298">
      <c r="A7298" s="4" t="str">
        <f>IFERROR(__xludf.DUMMYFUNCTION("""COMPUTED_VALUE"""),"mainframe")</f>
        <v>mainframe</v>
      </c>
      <c r="B7298" s="4" t="str">
        <f>IFERROR(__xludf.DUMMYFUNCTION("""COMPUTED_VALUE"""),"mft")</f>
        <v>mft</v>
      </c>
      <c r="C7298" s="4" t="str">
        <f>IFERROR(__xludf.DUMMYFUNCTION("""COMPUTED_VALUE"""),"Mainframe")</f>
        <v>Mainframe</v>
      </c>
    </row>
    <row r="7299">
      <c r="A7299" s="4" t="str">
        <f>IFERROR(__xludf.DUMMYFUNCTION("""COMPUTED_VALUE"""),"mainnetz")</f>
        <v>mainnetz</v>
      </c>
      <c r="B7299" s="4" t="str">
        <f>IFERROR(__xludf.DUMMYFUNCTION("""COMPUTED_VALUE"""),"netz")</f>
        <v>netz</v>
      </c>
      <c r="C7299" s="4" t="str">
        <f>IFERROR(__xludf.DUMMYFUNCTION("""COMPUTED_VALUE"""),"MainnetZ")</f>
        <v>MainnetZ</v>
      </c>
    </row>
    <row r="7300">
      <c r="A7300" s="4" t="str">
        <f>IFERROR(__xludf.DUMMYFUNCTION("""COMPUTED_VALUE"""),"mainstream-for-the-underground")</f>
        <v>mainstream-for-the-underground</v>
      </c>
      <c r="B7300" s="4" t="str">
        <f>IFERROR(__xludf.DUMMYFUNCTION("""COMPUTED_VALUE"""),"mftu")</f>
        <v>mftu</v>
      </c>
      <c r="C7300" s="4" t="str">
        <f>IFERROR(__xludf.DUMMYFUNCTION("""COMPUTED_VALUE"""),"Mainstream For The Underground")</f>
        <v>Mainstream For The Underground</v>
      </c>
    </row>
    <row r="7301">
      <c r="A7301" s="4" t="str">
        <f>IFERROR(__xludf.DUMMYFUNCTION("""COMPUTED_VALUE"""),"mai-optimism")</f>
        <v>mai-optimism</v>
      </c>
      <c r="B7301" s="4" t="str">
        <f>IFERROR(__xludf.DUMMYFUNCTION("""COMPUTED_VALUE"""),"mimatic")</f>
        <v>mimatic</v>
      </c>
      <c r="C7301" s="4" t="str">
        <f>IFERROR(__xludf.DUMMYFUNCTION("""COMPUTED_VALUE"""),"MAI (Optimism)")</f>
        <v>MAI (Optimism)</v>
      </c>
    </row>
    <row r="7302">
      <c r="A7302" s="4" t="str">
        <f>IFERROR(__xludf.DUMMYFUNCTION("""COMPUTED_VALUE"""),"mai-polygon-zkevm")</f>
        <v>mai-polygon-zkevm</v>
      </c>
      <c r="B7302" s="4" t="str">
        <f>IFERROR(__xludf.DUMMYFUNCTION("""COMPUTED_VALUE"""),"mimatic")</f>
        <v>mimatic</v>
      </c>
      <c r="C7302" s="4" t="str">
        <f>IFERROR(__xludf.DUMMYFUNCTION("""COMPUTED_VALUE"""),"MAI (Polygon zkEVM)")</f>
        <v>MAI (Polygon zkEVM)</v>
      </c>
    </row>
    <row r="7303">
      <c r="A7303" s="4" t="str">
        <f>IFERROR(__xludf.DUMMYFUNCTION("""COMPUTED_VALUE"""),"majin")</f>
        <v>majin</v>
      </c>
      <c r="B7303" s="4" t="str">
        <f>IFERROR(__xludf.DUMMYFUNCTION("""COMPUTED_VALUE"""),"majin")</f>
        <v>majin</v>
      </c>
      <c r="C7303" s="4" t="str">
        <f>IFERROR(__xludf.DUMMYFUNCTION("""COMPUTED_VALUE"""),"Majin")</f>
        <v>Majin</v>
      </c>
    </row>
    <row r="7304">
      <c r="A7304" s="4" t="str">
        <f>IFERROR(__xludf.DUMMYFUNCTION("""COMPUTED_VALUE"""),"majo")</f>
        <v>majo</v>
      </c>
      <c r="B7304" s="4" t="str">
        <f>IFERROR(__xludf.DUMMYFUNCTION("""COMPUTED_VALUE"""),"majo")</f>
        <v>majo</v>
      </c>
      <c r="C7304" s="4" t="str">
        <f>IFERROR(__xludf.DUMMYFUNCTION("""COMPUTED_VALUE"""),"Majo")</f>
        <v>Majo</v>
      </c>
    </row>
    <row r="7305">
      <c r="A7305" s="4" t="str">
        <f>IFERROR(__xludf.DUMMYFUNCTION("""COMPUTED_VALUE"""),"majority-blockchain")</f>
        <v>majority-blockchain</v>
      </c>
      <c r="B7305" s="4" t="str">
        <f>IFERROR(__xludf.DUMMYFUNCTION("""COMPUTED_VALUE"""),"tmc")</f>
        <v>tmc</v>
      </c>
      <c r="C7305" s="4" t="str">
        <f>IFERROR(__xludf.DUMMYFUNCTION("""COMPUTED_VALUE"""),"Majority Blockchain")</f>
        <v>Majority Blockchain</v>
      </c>
    </row>
    <row r="7306">
      <c r="A7306" s="4" t="str">
        <f>IFERROR(__xludf.DUMMYFUNCTION("""COMPUTED_VALUE"""),"makalink")</f>
        <v>makalink</v>
      </c>
      <c r="B7306" s="4" t="str">
        <f>IFERROR(__xludf.DUMMYFUNCTION("""COMPUTED_VALUE"""),"maka")</f>
        <v>maka</v>
      </c>
      <c r="C7306" s="4" t="str">
        <f>IFERROR(__xludf.DUMMYFUNCTION("""COMPUTED_VALUE"""),"Makalink")</f>
        <v>Makalink</v>
      </c>
    </row>
    <row r="7307">
      <c r="A7307" s="4" t="str">
        <f>IFERROR(__xludf.DUMMYFUNCTION("""COMPUTED_VALUE"""),"make-ethereum-great-again")</f>
        <v>make-ethereum-great-again</v>
      </c>
      <c r="B7307" s="4" t="str">
        <f>IFERROR(__xludf.DUMMYFUNCTION("""COMPUTED_VALUE"""),"$mega")</f>
        <v>$mega</v>
      </c>
      <c r="C7307" s="4" t="str">
        <f>IFERROR(__xludf.DUMMYFUNCTION("""COMPUTED_VALUE"""),"Make Ethereum Great Again")</f>
        <v>Make Ethereum Great Again</v>
      </c>
    </row>
    <row r="7308">
      <c r="A7308" s="4" t="str">
        <f>IFERROR(__xludf.DUMMYFUNCTION("""COMPUTED_VALUE"""),"maker")</f>
        <v>maker</v>
      </c>
      <c r="B7308" s="4" t="str">
        <f>IFERROR(__xludf.DUMMYFUNCTION("""COMPUTED_VALUE"""),"mkr")</f>
        <v>mkr</v>
      </c>
      <c r="C7308" s="4" t="str">
        <f>IFERROR(__xludf.DUMMYFUNCTION("""COMPUTED_VALUE"""),"Maker")</f>
        <v>Maker</v>
      </c>
    </row>
    <row r="7309">
      <c r="A7309" s="4" t="str">
        <f>IFERROR(__xludf.DUMMYFUNCTION("""COMPUTED_VALUE"""),"maker-flip")</f>
        <v>maker-flip</v>
      </c>
      <c r="B7309" s="4" t="str">
        <f>IFERROR(__xludf.DUMMYFUNCTION("""COMPUTED_VALUE"""),"mkf")</f>
        <v>mkf</v>
      </c>
      <c r="C7309" s="4" t="str">
        <f>IFERROR(__xludf.DUMMYFUNCTION("""COMPUTED_VALUE"""),"Maker Flip")</f>
        <v>Maker Flip</v>
      </c>
    </row>
    <row r="7310">
      <c r="A7310" s="4" t="str">
        <f>IFERROR(__xludf.DUMMYFUNCTION("""COMPUTED_VALUE"""),"makerx")</f>
        <v>makerx</v>
      </c>
      <c r="B7310" s="4" t="str">
        <f>IFERROR(__xludf.DUMMYFUNCTION("""COMPUTED_VALUE"""),"mkx")</f>
        <v>mkx</v>
      </c>
      <c r="C7310" s="4" t="str">
        <f>IFERROR(__xludf.DUMMYFUNCTION("""COMPUTED_VALUE"""),"MakerX")</f>
        <v>MakerX</v>
      </c>
    </row>
    <row r="7311">
      <c r="A7311" s="4" t="str">
        <f>IFERROR(__xludf.DUMMYFUNCTION("""COMPUTED_VALUE"""),"make-solana-great-again")</f>
        <v>make-solana-great-again</v>
      </c>
      <c r="B7311" s="4" t="str">
        <f>IFERROR(__xludf.DUMMYFUNCTION("""COMPUTED_VALUE"""),"$trump")</f>
        <v>$trump</v>
      </c>
      <c r="C7311" s="4" t="str">
        <f>IFERROR(__xludf.DUMMYFUNCTION("""COMPUTED_VALUE"""),"Make Solana Great Again")</f>
        <v>Make Solana Great Again</v>
      </c>
    </row>
    <row r="7312">
      <c r="A7312" s="4" t="str">
        <f>IFERROR(__xludf.DUMMYFUNCTION("""COMPUTED_VALUE"""),"makiswap")</f>
        <v>makiswap</v>
      </c>
      <c r="B7312" s="4" t="str">
        <f>IFERROR(__xludf.DUMMYFUNCTION("""COMPUTED_VALUE"""),"maki")</f>
        <v>maki</v>
      </c>
      <c r="C7312" s="4" t="str">
        <f>IFERROR(__xludf.DUMMYFUNCTION("""COMPUTED_VALUE"""),"MakiSwap")</f>
        <v>MakiSwap</v>
      </c>
    </row>
    <row r="7313">
      <c r="A7313" s="4" t="str">
        <f>IFERROR(__xludf.DUMMYFUNCTION("""COMPUTED_VALUE"""),"malgo-finance")</f>
        <v>malgo-finance</v>
      </c>
      <c r="B7313" s="4" t="str">
        <f>IFERROR(__xludf.DUMMYFUNCTION("""COMPUTED_VALUE"""),"mgxg")</f>
        <v>mgxg</v>
      </c>
      <c r="C7313" s="4" t="str">
        <f>IFERROR(__xludf.DUMMYFUNCTION("""COMPUTED_VALUE"""),"Malgo Finance")</f>
        <v>Malgo Finance</v>
      </c>
    </row>
    <row r="7314">
      <c r="A7314" s="4" t="str">
        <f>IFERROR(__xludf.DUMMYFUNCTION("""COMPUTED_VALUE"""),"malinka")</f>
        <v>malinka</v>
      </c>
      <c r="B7314" s="4" t="str">
        <f>IFERROR(__xludf.DUMMYFUNCTION("""COMPUTED_VALUE"""),"mlnk")</f>
        <v>mlnk</v>
      </c>
      <c r="C7314" s="4" t="str">
        <f>IFERROR(__xludf.DUMMYFUNCTION("""COMPUTED_VALUE"""),"Malinka")</f>
        <v>Malinka</v>
      </c>
    </row>
    <row r="7315">
      <c r="A7315" s="4" t="str">
        <f>IFERROR(__xludf.DUMMYFUNCTION("""COMPUTED_VALUE"""),"mammoth-2")</f>
        <v>mammoth-2</v>
      </c>
      <c r="B7315" s="4" t="str">
        <f>IFERROR(__xludf.DUMMYFUNCTION("""COMPUTED_VALUE"""),"wooly")</f>
        <v>wooly</v>
      </c>
      <c r="C7315" s="4" t="str">
        <f>IFERROR(__xludf.DUMMYFUNCTION("""COMPUTED_VALUE"""),"Mammoth")</f>
        <v>Mammoth</v>
      </c>
    </row>
    <row r="7316">
      <c r="A7316" s="4" t="str">
        <f>IFERROR(__xludf.DUMMYFUNCTION("""COMPUTED_VALUE"""),"mammothai")</f>
        <v>mammothai</v>
      </c>
      <c r="B7316" s="4" t="str">
        <f>IFERROR(__xludf.DUMMYFUNCTION("""COMPUTED_VALUE"""),"mamai")</f>
        <v>mamai</v>
      </c>
      <c r="C7316" s="4" t="str">
        <f>IFERROR(__xludf.DUMMYFUNCTION("""COMPUTED_VALUE"""),"MammothAI")</f>
        <v>MammothAI</v>
      </c>
    </row>
    <row r="7317">
      <c r="A7317" s="4" t="str">
        <f>IFERROR(__xludf.DUMMYFUNCTION("""COMPUTED_VALUE"""),"manacoin")</f>
        <v>manacoin</v>
      </c>
      <c r="B7317" s="4" t="str">
        <f>IFERROR(__xludf.DUMMYFUNCTION("""COMPUTED_VALUE"""),"mnc")</f>
        <v>mnc</v>
      </c>
      <c r="C7317" s="4" t="str">
        <f>IFERROR(__xludf.DUMMYFUNCTION("""COMPUTED_VALUE"""),"ManaCoin")</f>
        <v>ManaCoin</v>
      </c>
    </row>
    <row r="7318">
      <c r="A7318" s="4" t="str">
        <f>IFERROR(__xludf.DUMMYFUNCTION("""COMPUTED_VALUE"""),"manchester-city-fan-token")</f>
        <v>manchester-city-fan-token</v>
      </c>
      <c r="B7318" s="4" t="str">
        <f>IFERROR(__xludf.DUMMYFUNCTION("""COMPUTED_VALUE"""),"city")</f>
        <v>city</v>
      </c>
      <c r="C7318" s="4" t="str">
        <f>IFERROR(__xludf.DUMMYFUNCTION("""COMPUTED_VALUE"""),"Manchester City Fan Token")</f>
        <v>Manchester City Fan Token</v>
      </c>
    </row>
    <row r="7319">
      <c r="A7319" s="4" t="str">
        <f>IFERROR(__xludf.DUMMYFUNCTION("""COMPUTED_VALUE"""),"mancium")</f>
        <v>mancium</v>
      </c>
      <c r="B7319" s="4" t="str">
        <f>IFERROR(__xludf.DUMMYFUNCTION("""COMPUTED_VALUE"""),"manc")</f>
        <v>manc</v>
      </c>
      <c r="C7319" s="4" t="str">
        <f>IFERROR(__xludf.DUMMYFUNCTION("""COMPUTED_VALUE"""),"Mancium")</f>
        <v>Mancium</v>
      </c>
    </row>
    <row r="7320">
      <c r="A7320" s="4" t="str">
        <f>IFERROR(__xludf.DUMMYFUNCTION("""COMPUTED_VALUE"""),"mandala-exchange-token")</f>
        <v>mandala-exchange-token</v>
      </c>
      <c r="B7320" s="4" t="str">
        <f>IFERROR(__xludf.DUMMYFUNCTION("""COMPUTED_VALUE"""),"mdx")</f>
        <v>mdx</v>
      </c>
      <c r="C7320" s="4" t="str">
        <f>IFERROR(__xludf.DUMMYFUNCTION("""COMPUTED_VALUE"""),"Mandala Exchange")</f>
        <v>Mandala Exchange</v>
      </c>
    </row>
    <row r="7321">
      <c r="A7321" s="4" t="str">
        <f>IFERROR(__xludf.DUMMYFUNCTION("""COMPUTED_VALUE"""),"mandox-2")</f>
        <v>mandox-2</v>
      </c>
      <c r="B7321" s="4" t="str">
        <f>IFERROR(__xludf.DUMMYFUNCTION("""COMPUTED_VALUE"""),"mandox")</f>
        <v>mandox</v>
      </c>
      <c r="C7321" s="4" t="str">
        <f>IFERROR(__xludf.DUMMYFUNCTION("""COMPUTED_VALUE"""),"MandoX")</f>
        <v>MandoX</v>
      </c>
    </row>
    <row r="7322">
      <c r="A7322" s="4" t="str">
        <f>IFERROR(__xludf.DUMMYFUNCTION("""COMPUTED_VALUE"""),"mane")</f>
        <v>mane</v>
      </c>
      <c r="B7322" s="4" t="str">
        <f>IFERROR(__xludf.DUMMYFUNCTION("""COMPUTED_VALUE"""),"mane")</f>
        <v>mane</v>
      </c>
      <c r="C7322" s="4" t="str">
        <f>IFERROR(__xludf.DUMMYFUNCTION("""COMPUTED_VALUE"""),"MANE")</f>
        <v>MANE</v>
      </c>
    </row>
    <row r="7323">
      <c r="A7323" s="4" t="str">
        <f>IFERROR(__xludf.DUMMYFUNCTION("""COMPUTED_VALUE"""),"maneki-neko")</f>
        <v>maneki-neko</v>
      </c>
      <c r="B7323" s="4" t="str">
        <f>IFERROR(__xludf.DUMMYFUNCTION("""COMPUTED_VALUE"""),"neki")</f>
        <v>neki</v>
      </c>
      <c r="C7323" s="4" t="str">
        <f>IFERROR(__xludf.DUMMYFUNCTION("""COMPUTED_VALUE"""),"Maneki-neko")</f>
        <v>Maneki-neko</v>
      </c>
    </row>
    <row r="7324">
      <c r="A7324" s="4" t="str">
        <f>IFERROR(__xludf.DUMMYFUNCTION("""COMPUTED_VALUE"""),"mangata-x")</f>
        <v>mangata-x</v>
      </c>
      <c r="B7324" s="4" t="str">
        <f>IFERROR(__xludf.DUMMYFUNCTION("""COMPUTED_VALUE"""),"mgx")</f>
        <v>mgx</v>
      </c>
      <c r="C7324" s="4" t="str">
        <f>IFERROR(__xludf.DUMMYFUNCTION("""COMPUTED_VALUE"""),"Mangata X")</f>
        <v>Mangata X</v>
      </c>
    </row>
    <row r="7325">
      <c r="A7325" s="4" t="str">
        <f>IFERROR(__xludf.DUMMYFUNCTION("""COMPUTED_VALUE"""),"manga-token")</f>
        <v>manga-token</v>
      </c>
      <c r="B7325" s="4" t="str">
        <f>IFERROR(__xludf.DUMMYFUNCTION("""COMPUTED_VALUE"""),"$manga")</f>
        <v>$manga</v>
      </c>
      <c r="C7325" s="4" t="str">
        <f>IFERROR(__xludf.DUMMYFUNCTION("""COMPUTED_VALUE"""),"Manga")</f>
        <v>Manga</v>
      </c>
    </row>
    <row r="7326">
      <c r="A7326" s="4" t="str">
        <f>IFERROR(__xludf.DUMMYFUNCTION("""COMPUTED_VALUE"""),"mangoman-intelligent")</f>
        <v>mangoman-intelligent</v>
      </c>
      <c r="B7326" s="4" t="str">
        <f>IFERROR(__xludf.DUMMYFUNCTION("""COMPUTED_VALUE"""),"mmit")</f>
        <v>mmit</v>
      </c>
      <c r="C7326" s="4" t="str">
        <f>IFERROR(__xludf.DUMMYFUNCTION("""COMPUTED_VALUE"""),"MangoMan Intelligent")</f>
        <v>MangoMan Intelligent</v>
      </c>
    </row>
    <row r="7327">
      <c r="A7327" s="4" t="str">
        <f>IFERROR(__xludf.DUMMYFUNCTION("""COMPUTED_VALUE"""),"mango-markets")</f>
        <v>mango-markets</v>
      </c>
      <c r="B7327" s="4" t="str">
        <f>IFERROR(__xludf.DUMMYFUNCTION("""COMPUTED_VALUE"""),"mngo")</f>
        <v>mngo</v>
      </c>
      <c r="C7327" s="4" t="str">
        <f>IFERROR(__xludf.DUMMYFUNCTION("""COMPUTED_VALUE"""),"Mango")</f>
        <v>Mango</v>
      </c>
    </row>
    <row r="7328">
      <c r="A7328" s="4" t="str">
        <f>IFERROR(__xludf.DUMMYFUNCTION("""COMPUTED_VALUE"""),"manifold-finance")</f>
        <v>manifold-finance</v>
      </c>
      <c r="B7328" s="4" t="str">
        <f>IFERROR(__xludf.DUMMYFUNCTION("""COMPUTED_VALUE"""),"fold")</f>
        <v>fold</v>
      </c>
      <c r="C7328" s="4" t="str">
        <f>IFERROR(__xludf.DUMMYFUNCTION("""COMPUTED_VALUE"""),"Manifold Finance")</f>
        <v>Manifold Finance</v>
      </c>
    </row>
    <row r="7329">
      <c r="A7329" s="4" t="str">
        <f>IFERROR(__xludf.DUMMYFUNCTION("""COMPUTED_VALUE"""),"man-man-man")</f>
        <v>man-man-man</v>
      </c>
      <c r="B7329" s="4" t="str">
        <f>IFERROR(__xludf.DUMMYFUNCTION("""COMPUTED_VALUE"""),"man")</f>
        <v>man</v>
      </c>
      <c r="C7329" s="4" t="str">
        <f>IFERROR(__xludf.DUMMYFUNCTION("""COMPUTED_VALUE"""),"MAN MAN MAN")</f>
        <v>MAN MAN MAN</v>
      </c>
    </row>
    <row r="7330">
      <c r="A7330" s="4" t="str">
        <f>IFERROR(__xludf.DUMMYFUNCTION("""COMPUTED_VALUE"""),"mantadao")</f>
        <v>mantadao</v>
      </c>
      <c r="B7330" s="4" t="str">
        <f>IFERROR(__xludf.DUMMYFUNCTION("""COMPUTED_VALUE"""),"mnta")</f>
        <v>mnta</v>
      </c>
      <c r="C7330" s="4" t="str">
        <f>IFERROR(__xludf.DUMMYFUNCTION("""COMPUTED_VALUE"""),"MantaDAO")</f>
        <v>MantaDAO</v>
      </c>
    </row>
    <row r="7331">
      <c r="A7331" s="4" t="str">
        <f>IFERROR(__xludf.DUMMYFUNCTION("""COMPUTED_VALUE"""),"manta-network")</f>
        <v>manta-network</v>
      </c>
      <c r="B7331" s="4" t="str">
        <f>IFERROR(__xludf.DUMMYFUNCTION("""COMPUTED_VALUE"""),"manta")</f>
        <v>manta</v>
      </c>
      <c r="C7331" s="4" t="str">
        <f>IFERROR(__xludf.DUMMYFUNCTION("""COMPUTED_VALUE"""),"Manta Network")</f>
        <v>Manta Network</v>
      </c>
    </row>
    <row r="7332">
      <c r="A7332" s="4" t="str">
        <f>IFERROR(__xludf.DUMMYFUNCTION("""COMPUTED_VALUE"""),"mante")</f>
        <v>mante</v>
      </c>
      <c r="B7332" s="4" t="str">
        <f>IFERROR(__xludf.DUMMYFUNCTION("""COMPUTED_VALUE"""),"mante")</f>
        <v>mante</v>
      </c>
      <c r="C7332" s="4" t="str">
        <f>IFERROR(__xludf.DUMMYFUNCTION("""COMPUTED_VALUE"""),"Mante")</f>
        <v>Mante</v>
      </c>
    </row>
    <row r="7333">
      <c r="A7333" s="4" t="str">
        <f>IFERROR(__xludf.DUMMYFUNCTION("""COMPUTED_VALUE"""),"mantis-network")</f>
        <v>mantis-network</v>
      </c>
      <c r="B7333" s="4" t="str">
        <f>IFERROR(__xludf.DUMMYFUNCTION("""COMPUTED_VALUE"""),"mntis")</f>
        <v>mntis</v>
      </c>
      <c r="C7333" s="4" t="str">
        <f>IFERROR(__xludf.DUMMYFUNCTION("""COMPUTED_VALUE"""),"Mantis Network")</f>
        <v>Mantis Network</v>
      </c>
    </row>
    <row r="7334">
      <c r="A7334" s="4" t="str">
        <f>IFERROR(__xludf.DUMMYFUNCTION("""COMPUTED_VALUE"""),"mantle")</f>
        <v>mantle</v>
      </c>
      <c r="B7334" s="4" t="str">
        <f>IFERROR(__xludf.DUMMYFUNCTION("""COMPUTED_VALUE"""),"mnt")</f>
        <v>mnt</v>
      </c>
      <c r="C7334" s="4" t="str">
        <f>IFERROR(__xludf.DUMMYFUNCTION("""COMPUTED_VALUE"""),"Mantle")</f>
        <v>Mantle</v>
      </c>
    </row>
    <row r="7335">
      <c r="A7335" s="4" t="str">
        <f>IFERROR(__xludf.DUMMYFUNCTION("""COMPUTED_VALUE"""),"mantle-bridged-usdc-mantle")</f>
        <v>mantle-bridged-usdc-mantle</v>
      </c>
      <c r="B7335" s="4" t="str">
        <f>IFERROR(__xludf.DUMMYFUNCTION("""COMPUTED_VALUE"""),"usdc")</f>
        <v>usdc</v>
      </c>
      <c r="C7335" s="4" t="str">
        <f>IFERROR(__xludf.DUMMYFUNCTION("""COMPUTED_VALUE"""),"Mantle Bridged USDC (Mantle)")</f>
        <v>Mantle Bridged USDC (Mantle)</v>
      </c>
    </row>
    <row r="7336">
      <c r="A7336" s="4" t="str">
        <f>IFERROR(__xludf.DUMMYFUNCTION("""COMPUTED_VALUE"""),"mantle-bridged-usdt-mantle")</f>
        <v>mantle-bridged-usdt-mantle</v>
      </c>
      <c r="B7336" s="4" t="str">
        <f>IFERROR(__xludf.DUMMYFUNCTION("""COMPUTED_VALUE"""),"usdt")</f>
        <v>usdt</v>
      </c>
      <c r="C7336" s="4" t="str">
        <f>IFERROR(__xludf.DUMMYFUNCTION("""COMPUTED_VALUE"""),"Mantle Bridged USDT (Mantle)")</f>
        <v>Mantle Bridged USDT (Mantle)</v>
      </c>
    </row>
    <row r="7337">
      <c r="A7337" s="4" t="str">
        <f>IFERROR(__xludf.DUMMYFUNCTION("""COMPUTED_VALUE"""),"mantle-inu")</f>
        <v>mantle-inu</v>
      </c>
      <c r="B7337" s="4" t="str">
        <f>IFERROR(__xludf.DUMMYFUNCTION("""COMPUTED_VALUE"""),"minu")</f>
        <v>minu</v>
      </c>
      <c r="C7337" s="4" t="str">
        <f>IFERROR(__xludf.DUMMYFUNCTION("""COMPUTED_VALUE"""),"Mantle Inu")</f>
        <v>Mantle Inu</v>
      </c>
    </row>
    <row r="7338">
      <c r="A7338" s="4" t="str">
        <f>IFERROR(__xludf.DUMMYFUNCTION("""COMPUTED_VALUE"""),"mantle-staked-ether")</f>
        <v>mantle-staked-ether</v>
      </c>
      <c r="B7338" s="4" t="str">
        <f>IFERROR(__xludf.DUMMYFUNCTION("""COMPUTED_VALUE"""),"meth")</f>
        <v>meth</v>
      </c>
      <c r="C7338" s="4" t="str">
        <f>IFERROR(__xludf.DUMMYFUNCTION("""COMPUTED_VALUE"""),"Mantle Staked Ether")</f>
        <v>Mantle Staked Ether</v>
      </c>
    </row>
    <row r="7339">
      <c r="A7339" s="4" t="str">
        <f>IFERROR(__xludf.DUMMYFUNCTION("""COMPUTED_VALUE"""),"mantle-usd")</f>
        <v>mantle-usd</v>
      </c>
      <c r="B7339" s="4" t="str">
        <f>IFERROR(__xludf.DUMMYFUNCTION("""COMPUTED_VALUE"""),"musd")</f>
        <v>musd</v>
      </c>
      <c r="C7339" s="4" t="str">
        <f>IFERROR(__xludf.DUMMYFUNCTION("""COMPUTED_VALUE"""),"Mantle USD")</f>
        <v>Mantle USD</v>
      </c>
    </row>
    <row r="7340">
      <c r="A7340" s="4" t="str">
        <f>IFERROR(__xludf.DUMMYFUNCTION("""COMPUTED_VALUE"""),"mantra-dao")</f>
        <v>mantra-dao</v>
      </c>
      <c r="B7340" s="4" t="str">
        <f>IFERROR(__xludf.DUMMYFUNCTION("""COMPUTED_VALUE"""),"om")</f>
        <v>om</v>
      </c>
      <c r="C7340" s="4" t="str">
        <f>IFERROR(__xludf.DUMMYFUNCTION("""COMPUTED_VALUE"""),"MANTRA")</f>
        <v>MANTRA</v>
      </c>
    </row>
    <row r="7341">
      <c r="A7341" s="4" t="str">
        <f>IFERROR(__xludf.DUMMYFUNCTION("""COMPUTED_VALUE"""),"manufactory-2")</f>
        <v>manufactory-2</v>
      </c>
      <c r="B7341" s="4" t="str">
        <f>IFERROR(__xludf.DUMMYFUNCTION("""COMPUTED_VALUE"""),"mnft")</f>
        <v>mnft</v>
      </c>
      <c r="C7341" s="4" t="str">
        <f>IFERROR(__xludf.DUMMYFUNCTION("""COMPUTED_VALUE"""),"ManuFactory")</f>
        <v>ManuFactory</v>
      </c>
    </row>
    <row r="7342">
      <c r="A7342" s="4" t="str">
        <f>IFERROR(__xludf.DUMMYFUNCTION("""COMPUTED_VALUE"""),"maorabbit")</f>
        <v>maorabbit</v>
      </c>
      <c r="B7342" s="4" t="str">
        <f>IFERROR(__xludf.DUMMYFUNCTION("""COMPUTED_VALUE"""),"maorabbit")</f>
        <v>maorabbit</v>
      </c>
      <c r="C7342" s="4" t="str">
        <f>IFERROR(__xludf.DUMMYFUNCTION("""COMPUTED_VALUE"""),"MaoRabbit")</f>
        <v>MaoRabbit</v>
      </c>
    </row>
    <row r="7343">
      <c r="A7343" s="4" t="str">
        <f>IFERROR(__xludf.DUMMYFUNCTION("""COMPUTED_VALUE"""),"maple")</f>
        <v>maple</v>
      </c>
      <c r="B7343" s="4" t="str">
        <f>IFERROR(__xludf.DUMMYFUNCTION("""COMPUTED_VALUE"""),"mpl")</f>
        <v>mpl</v>
      </c>
      <c r="C7343" s="4" t="str">
        <f>IFERROR(__xludf.DUMMYFUNCTION("""COMPUTED_VALUE"""),"Maple")</f>
        <v>Maple</v>
      </c>
    </row>
    <row r="7344">
      <c r="A7344" s="4" t="str">
        <f>IFERROR(__xludf.DUMMYFUNCTION("""COMPUTED_VALUE"""),"map-node")</f>
        <v>map-node</v>
      </c>
      <c r="B7344" s="4" t="str">
        <f>IFERROR(__xludf.DUMMYFUNCTION("""COMPUTED_VALUE"""),"mni")</f>
        <v>mni</v>
      </c>
      <c r="C7344" s="4" t="str">
        <f>IFERROR(__xludf.DUMMYFUNCTION("""COMPUTED_VALUE"""),"Map Node")</f>
        <v>Map Node</v>
      </c>
    </row>
    <row r="7345">
      <c r="A7345" s="4" t="str">
        <f>IFERROR(__xludf.DUMMYFUNCTION("""COMPUTED_VALUE"""),"maps")</f>
        <v>maps</v>
      </c>
      <c r="B7345" s="4" t="str">
        <f>IFERROR(__xludf.DUMMYFUNCTION("""COMPUTED_VALUE"""),"maps")</f>
        <v>maps</v>
      </c>
      <c r="C7345" s="4" t="str">
        <f>IFERROR(__xludf.DUMMYFUNCTION("""COMPUTED_VALUE"""),"MAPS")</f>
        <v>MAPS</v>
      </c>
    </row>
    <row r="7346">
      <c r="A7346" s="4" t="str">
        <f>IFERROR(__xludf.DUMMYFUNCTION("""COMPUTED_VALUE"""),"mar3-ai")</f>
        <v>mar3-ai</v>
      </c>
      <c r="B7346" s="4" t="str">
        <f>IFERROR(__xludf.DUMMYFUNCTION("""COMPUTED_VALUE"""),"mar3")</f>
        <v>mar3</v>
      </c>
      <c r="C7346" s="4" t="str">
        <f>IFERROR(__xludf.DUMMYFUNCTION("""COMPUTED_VALUE"""),"MAR3 AI")</f>
        <v>MAR3 AI</v>
      </c>
    </row>
    <row r="7347">
      <c r="A7347" s="4" t="str">
        <f>IFERROR(__xludf.DUMMYFUNCTION("""COMPUTED_VALUE"""),"maranbet")</f>
        <v>maranbet</v>
      </c>
      <c r="B7347" s="4" t="str">
        <f>IFERROR(__xludf.DUMMYFUNCTION("""COMPUTED_VALUE"""),"maran")</f>
        <v>maran</v>
      </c>
      <c r="C7347" s="4" t="str">
        <f>IFERROR(__xludf.DUMMYFUNCTION("""COMPUTED_VALUE"""),"MaranBet")</f>
        <v>MaranBet</v>
      </c>
    </row>
    <row r="7348">
      <c r="A7348" s="4" t="str">
        <f>IFERROR(__xludf.DUMMYFUNCTION("""COMPUTED_VALUE"""),"marbledao-artex")</f>
        <v>marbledao-artex</v>
      </c>
      <c r="B7348" s="4" t="str">
        <f>IFERROR(__xludf.DUMMYFUNCTION("""COMPUTED_VALUE"""),"artex")</f>
        <v>artex</v>
      </c>
      <c r="C7348" s="4" t="str">
        <f>IFERROR(__xludf.DUMMYFUNCTION("""COMPUTED_VALUE"""),"MarbleDAO ARTEX")</f>
        <v>MarbleDAO ARTEX</v>
      </c>
    </row>
    <row r="7349">
      <c r="A7349" s="4" t="str">
        <f>IFERROR(__xludf.DUMMYFUNCTION("""COMPUTED_VALUE"""),"marblex")</f>
        <v>marblex</v>
      </c>
      <c r="B7349" s="4" t="str">
        <f>IFERROR(__xludf.DUMMYFUNCTION("""COMPUTED_VALUE"""),"mbx")</f>
        <v>mbx</v>
      </c>
      <c r="C7349" s="4" t="str">
        <f>IFERROR(__xludf.DUMMYFUNCTION("""COMPUTED_VALUE"""),"Marblex")</f>
        <v>Marblex</v>
      </c>
    </row>
    <row r="7350">
      <c r="A7350" s="4" t="str">
        <f>IFERROR(__xludf.DUMMYFUNCTION("""COMPUTED_VALUE"""),"marcopolo")</f>
        <v>marcopolo</v>
      </c>
      <c r="B7350" s="4" t="str">
        <f>IFERROR(__xludf.DUMMYFUNCTION("""COMPUTED_VALUE"""),"map")</f>
        <v>map</v>
      </c>
      <c r="C7350" s="4" t="str">
        <f>IFERROR(__xludf.DUMMYFUNCTION("""COMPUTED_VALUE"""),"MAP Protocol")</f>
        <v>MAP Protocol</v>
      </c>
    </row>
    <row r="7351">
      <c r="A7351" s="4" t="str">
        <f>IFERROR(__xludf.DUMMYFUNCTION("""COMPUTED_VALUE"""),"mare-finance")</f>
        <v>mare-finance</v>
      </c>
      <c r="B7351" s="4" t="str">
        <f>IFERROR(__xludf.DUMMYFUNCTION("""COMPUTED_VALUE"""),"mare")</f>
        <v>mare</v>
      </c>
      <c r="C7351" s="4" t="str">
        <f>IFERROR(__xludf.DUMMYFUNCTION("""COMPUTED_VALUE"""),"Mare Finance")</f>
        <v>Mare Finance</v>
      </c>
    </row>
    <row r="7352">
      <c r="A7352" s="4" t="str">
        <f>IFERROR(__xludf.DUMMYFUNCTION("""COMPUTED_VALUE"""),"margaritis")</f>
        <v>margaritis</v>
      </c>
      <c r="B7352" s="4" t="str">
        <f>IFERROR(__xludf.DUMMYFUNCTION("""COMPUTED_VALUE"""),"marga")</f>
        <v>marga</v>
      </c>
      <c r="C7352" s="4" t="str">
        <f>IFERROR(__xludf.DUMMYFUNCTION("""COMPUTED_VALUE"""),"Margaritis")</f>
        <v>Margaritis</v>
      </c>
    </row>
    <row r="7353">
      <c r="A7353" s="4" t="str">
        <f>IFERROR(__xludf.DUMMYFUNCTION("""COMPUTED_VALUE"""),"marginswap")</f>
        <v>marginswap</v>
      </c>
      <c r="B7353" s="4" t="str">
        <f>IFERROR(__xludf.DUMMYFUNCTION("""COMPUTED_VALUE"""),"mfi")</f>
        <v>mfi</v>
      </c>
      <c r="C7353" s="4" t="str">
        <f>IFERROR(__xludf.DUMMYFUNCTION("""COMPUTED_VALUE"""),"Marginswap")</f>
        <v>Marginswap</v>
      </c>
    </row>
    <row r="7354">
      <c r="A7354" s="4" t="str">
        <f>IFERROR(__xludf.DUMMYFUNCTION("""COMPUTED_VALUE"""),"marhabadefi")</f>
        <v>marhabadefi</v>
      </c>
      <c r="B7354" s="4" t="str">
        <f>IFERROR(__xludf.DUMMYFUNCTION("""COMPUTED_VALUE"""),"mrhb")</f>
        <v>mrhb</v>
      </c>
      <c r="C7354" s="4" t="str">
        <f>IFERROR(__xludf.DUMMYFUNCTION("""COMPUTED_VALUE"""),"MarhabaDeFi")</f>
        <v>MarhabaDeFi</v>
      </c>
    </row>
    <row r="7355">
      <c r="A7355" s="4" t="str">
        <f>IFERROR(__xludf.DUMMYFUNCTION("""COMPUTED_VALUE"""),"maria")</f>
        <v>maria</v>
      </c>
      <c r="B7355" s="4" t="str">
        <f>IFERROR(__xludf.DUMMYFUNCTION("""COMPUTED_VALUE"""),"maria")</f>
        <v>maria</v>
      </c>
      <c r="C7355" s="4" t="str">
        <f>IFERROR(__xludf.DUMMYFUNCTION("""COMPUTED_VALUE"""),"Maria")</f>
        <v>Maria</v>
      </c>
    </row>
    <row r="7356">
      <c r="A7356" s="4" t="str">
        <f>IFERROR(__xludf.DUMMYFUNCTION("""COMPUTED_VALUE"""),"maricoin")</f>
        <v>maricoin</v>
      </c>
      <c r="B7356" s="4" t="str">
        <f>IFERROR(__xludf.DUMMYFUNCTION("""COMPUTED_VALUE"""),"mcoin")</f>
        <v>mcoin</v>
      </c>
      <c r="C7356" s="4" t="str">
        <f>IFERROR(__xludf.DUMMYFUNCTION("""COMPUTED_VALUE"""),"MariCoin")</f>
        <v>MariCoin</v>
      </c>
    </row>
    <row r="7357">
      <c r="A7357" s="4" t="str">
        <f>IFERROR(__xludf.DUMMYFUNCTION("""COMPUTED_VALUE"""),"marinade")</f>
        <v>marinade</v>
      </c>
      <c r="B7357" s="4" t="str">
        <f>IFERROR(__xludf.DUMMYFUNCTION("""COMPUTED_VALUE"""),"mnde")</f>
        <v>mnde</v>
      </c>
      <c r="C7357" s="4" t="str">
        <f>IFERROR(__xludf.DUMMYFUNCTION("""COMPUTED_VALUE"""),"Marinade")</f>
        <v>Marinade</v>
      </c>
    </row>
    <row r="7358">
      <c r="A7358" s="4" t="str">
        <f>IFERROR(__xludf.DUMMYFUNCTION("""COMPUTED_VALUE"""),"market-making-pro")</f>
        <v>market-making-pro</v>
      </c>
      <c r="B7358" s="4" t="str">
        <f>IFERROR(__xludf.DUMMYFUNCTION("""COMPUTED_VALUE"""),"mmpro")</f>
        <v>mmpro</v>
      </c>
      <c r="C7358" s="4" t="str">
        <f>IFERROR(__xludf.DUMMYFUNCTION("""COMPUTED_VALUE"""),"Market Making Pro")</f>
        <v>Market Making Pro</v>
      </c>
    </row>
    <row r="7359">
      <c r="A7359" s="4" t="str">
        <f>IFERROR(__xludf.DUMMYFUNCTION("""COMPUTED_VALUE"""),"marketpeak")</f>
        <v>marketpeak</v>
      </c>
      <c r="B7359" s="4" t="str">
        <f>IFERROR(__xludf.DUMMYFUNCTION("""COMPUTED_VALUE"""),"peak")</f>
        <v>peak</v>
      </c>
      <c r="C7359" s="4" t="str">
        <f>IFERROR(__xludf.DUMMYFUNCTION("""COMPUTED_VALUE"""),"PEAKDEFI")</f>
        <v>PEAKDEFI</v>
      </c>
    </row>
    <row r="7360">
      <c r="A7360" s="4" t="str">
        <f>IFERROR(__xludf.DUMMYFUNCTION("""COMPUTED_VALUE"""),"marketraker")</f>
        <v>marketraker</v>
      </c>
      <c r="B7360" s="4" t="str">
        <f>IFERROR(__xludf.DUMMYFUNCTION("""COMPUTED_VALUE"""),"raker")</f>
        <v>raker</v>
      </c>
      <c r="C7360" s="4" t="str">
        <f>IFERROR(__xludf.DUMMYFUNCTION("""COMPUTED_VALUE"""),"MarketRaker AI")</f>
        <v>MarketRaker AI</v>
      </c>
    </row>
    <row r="7361">
      <c r="A7361" s="4" t="str">
        <f>IFERROR(__xludf.DUMMYFUNCTION("""COMPUTED_VALUE"""),"marketviz")</f>
        <v>marketviz</v>
      </c>
      <c r="B7361" s="4" t="str">
        <f>IFERROR(__xludf.DUMMYFUNCTION("""COMPUTED_VALUE"""),"viz")</f>
        <v>viz</v>
      </c>
      <c r="C7361" s="4" t="str">
        <f>IFERROR(__xludf.DUMMYFUNCTION("""COMPUTED_VALUE"""),"MARKETVIZ")</f>
        <v>MARKETVIZ</v>
      </c>
    </row>
    <row r="7362">
      <c r="A7362" s="4" t="str">
        <f>IFERROR(__xludf.DUMMYFUNCTION("""COMPUTED_VALUE"""),"mark-friend-tech")</f>
        <v>mark-friend-tech</v>
      </c>
      <c r="B7362" s="4" t="str">
        <f>IFERROR(__xludf.DUMMYFUNCTION("""COMPUTED_VALUE"""),"mark")</f>
        <v>mark</v>
      </c>
      <c r="C7362" s="4" t="str">
        <f>IFERROR(__xludf.DUMMYFUNCTION("""COMPUTED_VALUE"""),"Mark Jeffrey (Friend.tech)")</f>
        <v>Mark Jeffrey (Friend.tech)</v>
      </c>
    </row>
    <row r="7363">
      <c r="A7363" s="4" t="str">
        <f>IFERROR(__xludf.DUMMYFUNCTION("""COMPUTED_VALUE"""),"marksman")</f>
        <v>marksman</v>
      </c>
      <c r="B7363" s="4" t="str">
        <f>IFERROR(__xludf.DUMMYFUNCTION("""COMPUTED_VALUE"""),"marks")</f>
        <v>marks</v>
      </c>
      <c r="C7363" s="4" t="str">
        <f>IFERROR(__xludf.DUMMYFUNCTION("""COMPUTED_VALUE"""),"Marksman")</f>
        <v>Marksman</v>
      </c>
    </row>
    <row r="7364">
      <c r="A7364" s="4" t="str">
        <f>IFERROR(__xludf.DUMMYFUNCTION("""COMPUTED_VALUE"""),"marlin")</f>
        <v>marlin</v>
      </c>
      <c r="B7364" s="4" t="str">
        <f>IFERROR(__xludf.DUMMYFUNCTION("""COMPUTED_VALUE"""),"pond")</f>
        <v>pond</v>
      </c>
      <c r="C7364" s="4" t="str">
        <f>IFERROR(__xludf.DUMMYFUNCTION("""COMPUTED_VALUE"""),"Marlin")</f>
        <v>Marlin</v>
      </c>
    </row>
    <row r="7365">
      <c r="A7365" s="4" t="str">
        <f>IFERROR(__xludf.DUMMYFUNCTION("""COMPUTED_VALUE"""),"marmalade-token")</f>
        <v>marmalade-token</v>
      </c>
      <c r="B7365" s="4" t="str">
        <f>IFERROR(__xludf.DUMMYFUNCTION("""COMPUTED_VALUE"""),"mard")</f>
        <v>mard</v>
      </c>
      <c r="C7365" s="4" t="str">
        <f>IFERROR(__xludf.DUMMYFUNCTION("""COMPUTED_VALUE"""),"Marmalade Token")</f>
        <v>Marmalade Token</v>
      </c>
    </row>
    <row r="7366">
      <c r="A7366" s="4" t="str">
        <f>IFERROR(__xludf.DUMMYFUNCTION("""COMPUTED_VALUE"""),"marmara-credit-loops")</f>
        <v>marmara-credit-loops</v>
      </c>
      <c r="B7366" s="4" t="str">
        <f>IFERROR(__xludf.DUMMYFUNCTION("""COMPUTED_VALUE"""),"mcl")</f>
        <v>mcl</v>
      </c>
      <c r="C7366" s="4" t="str">
        <f>IFERROR(__xludf.DUMMYFUNCTION("""COMPUTED_VALUE"""),"Marmara Credit Loops")</f>
        <v>Marmara Credit Loops</v>
      </c>
    </row>
    <row r="7367">
      <c r="A7367" s="4" t="str">
        <f>IFERROR(__xludf.DUMMYFUNCTION("""COMPUTED_VALUE"""),"marnotaur")</f>
        <v>marnotaur</v>
      </c>
      <c r="B7367" s="4" t="str">
        <f>IFERROR(__xludf.DUMMYFUNCTION("""COMPUTED_VALUE"""),"taur")</f>
        <v>taur</v>
      </c>
      <c r="C7367" s="4" t="str">
        <f>IFERROR(__xludf.DUMMYFUNCTION("""COMPUTED_VALUE"""),"Marnotaur")</f>
        <v>Marnotaur</v>
      </c>
    </row>
    <row r="7368">
      <c r="A7368" s="4" t="str">
        <f>IFERROR(__xludf.DUMMYFUNCTION("""COMPUTED_VALUE"""),"marpto-ordinals")</f>
        <v>marpto-ordinals</v>
      </c>
      <c r="B7368" s="4" t="str">
        <f>IFERROR(__xludf.DUMMYFUNCTION("""COMPUTED_VALUE"""),"mrpt")</f>
        <v>mrpt</v>
      </c>
      <c r="C7368" s="4" t="str">
        <f>IFERROR(__xludf.DUMMYFUNCTION("""COMPUTED_VALUE"""),"MARPTO")</f>
        <v>MARPTO</v>
      </c>
    </row>
    <row r="7369">
      <c r="A7369" s="4" t="str">
        <f>IFERROR(__xludf.DUMMYFUNCTION("""COMPUTED_VALUE"""),"marquee")</f>
        <v>marquee</v>
      </c>
      <c r="B7369" s="4" t="str">
        <f>IFERROR(__xludf.DUMMYFUNCTION("""COMPUTED_VALUE"""),"marq")</f>
        <v>marq</v>
      </c>
      <c r="C7369" s="4" t="str">
        <f>IFERROR(__xludf.DUMMYFUNCTION("""COMPUTED_VALUE"""),"Marquee")</f>
        <v>Marquee</v>
      </c>
    </row>
    <row r="7370">
      <c r="A7370" s="4" t="str">
        <f>IFERROR(__xludf.DUMMYFUNCTION("""COMPUTED_VALUE"""),"mars4")</f>
        <v>mars4</v>
      </c>
      <c r="B7370" s="4" t="str">
        <f>IFERROR(__xludf.DUMMYFUNCTION("""COMPUTED_VALUE"""),"mars4")</f>
        <v>mars4</v>
      </c>
      <c r="C7370" s="4" t="str">
        <f>IFERROR(__xludf.DUMMYFUNCTION("""COMPUTED_VALUE"""),"MARS4")</f>
        <v>MARS4</v>
      </c>
    </row>
    <row r="7371">
      <c r="A7371" s="4" t="str">
        <f>IFERROR(__xludf.DUMMYFUNCTION("""COMPUTED_VALUE"""),"marscoin")</f>
        <v>marscoin</v>
      </c>
      <c r="B7371" s="4" t="str">
        <f>IFERROR(__xludf.DUMMYFUNCTION("""COMPUTED_VALUE"""),"mars")</f>
        <v>mars</v>
      </c>
      <c r="C7371" s="4" t="str">
        <f>IFERROR(__xludf.DUMMYFUNCTION("""COMPUTED_VALUE"""),"Marscoin")</f>
        <v>Marscoin</v>
      </c>
    </row>
    <row r="7372">
      <c r="A7372" s="4" t="str">
        <f>IFERROR(__xludf.DUMMYFUNCTION("""COMPUTED_VALUE"""),"marscolony")</f>
        <v>marscolony</v>
      </c>
      <c r="B7372" s="4" t="str">
        <f>IFERROR(__xludf.DUMMYFUNCTION("""COMPUTED_VALUE"""),"clny")</f>
        <v>clny</v>
      </c>
      <c r="C7372" s="4" t="str">
        <f>IFERROR(__xludf.DUMMYFUNCTION("""COMPUTED_VALUE"""),"MarsColony")</f>
        <v>MarsColony</v>
      </c>
    </row>
    <row r="7373">
      <c r="A7373" s="4" t="str">
        <f>IFERROR(__xludf.DUMMYFUNCTION("""COMPUTED_VALUE"""),"marsdao")</f>
        <v>marsdao</v>
      </c>
      <c r="B7373" s="4" t="str">
        <f>IFERROR(__xludf.DUMMYFUNCTION("""COMPUTED_VALUE"""),"mdao")</f>
        <v>mdao</v>
      </c>
      <c r="C7373" s="4" t="str">
        <f>IFERROR(__xludf.DUMMYFUNCTION("""COMPUTED_VALUE"""),"MarsDAO")</f>
        <v>MarsDAO</v>
      </c>
    </row>
    <row r="7374">
      <c r="A7374" s="4" t="str">
        <f>IFERROR(__xludf.DUMMYFUNCTION("""COMPUTED_VALUE"""),"mars-doginals")</f>
        <v>mars-doginals</v>
      </c>
      <c r="B7374" s="4" t="str">
        <f>IFERROR(__xludf.DUMMYFUNCTION("""COMPUTED_VALUE"""),"mars")</f>
        <v>mars</v>
      </c>
      <c r="C7374" s="4" t="str">
        <f>IFERROR(__xludf.DUMMYFUNCTION("""COMPUTED_VALUE"""),"MARS (DRC-20)")</f>
        <v>MARS (DRC-20)</v>
      </c>
    </row>
    <row r="7375">
      <c r="A7375" s="4" t="str">
        <f>IFERROR(__xludf.DUMMYFUNCTION("""COMPUTED_VALUE"""),"mars-ecosystem-token")</f>
        <v>mars-ecosystem-token</v>
      </c>
      <c r="B7375" s="4" t="str">
        <f>IFERROR(__xludf.DUMMYFUNCTION("""COMPUTED_VALUE"""),"xms")</f>
        <v>xms</v>
      </c>
      <c r="C7375" s="4" t="str">
        <f>IFERROR(__xludf.DUMMYFUNCTION("""COMPUTED_VALUE"""),"Mars Ecosystem")</f>
        <v>Mars Ecosystem</v>
      </c>
    </row>
    <row r="7376">
      <c r="A7376" s="4" t="str">
        <f>IFERROR(__xludf.DUMMYFUNCTION("""COMPUTED_VALUE"""),"marshall-fighting-champio")</f>
        <v>marshall-fighting-champio</v>
      </c>
      <c r="B7376" s="4" t="str">
        <f>IFERROR(__xludf.DUMMYFUNCTION("""COMPUTED_VALUE"""),"mfc")</f>
        <v>mfc</v>
      </c>
      <c r="C7376" s="4" t="str">
        <f>IFERROR(__xludf.DUMMYFUNCTION("""COMPUTED_VALUE"""),"Marshall Fighting Championship")</f>
        <v>Marshall Fighting Championship</v>
      </c>
    </row>
    <row r="7377">
      <c r="A7377" s="4" t="str">
        <f>IFERROR(__xludf.DUMMYFUNCTION("""COMPUTED_VALUE"""),"mars-protocol-a7fcbcfb-fd61-4017-92f0-7ee9f9cc6da3")</f>
        <v>mars-protocol-a7fcbcfb-fd61-4017-92f0-7ee9f9cc6da3</v>
      </c>
      <c r="B7377" s="4" t="str">
        <f>IFERROR(__xludf.DUMMYFUNCTION("""COMPUTED_VALUE"""),"mars")</f>
        <v>mars</v>
      </c>
      <c r="C7377" s="4" t="str">
        <f>IFERROR(__xludf.DUMMYFUNCTION("""COMPUTED_VALUE"""),"Mars Protocol")</f>
        <v>Mars Protocol</v>
      </c>
    </row>
    <row r="7378">
      <c r="A7378" s="4" t="str">
        <f>IFERROR(__xludf.DUMMYFUNCTION("""COMPUTED_VALUE"""),"marswap")</f>
        <v>marswap</v>
      </c>
      <c r="B7378" s="4" t="str">
        <f>IFERROR(__xludf.DUMMYFUNCTION("""COMPUTED_VALUE"""),"mswap")</f>
        <v>mswap</v>
      </c>
      <c r="C7378" s="4" t="str">
        <f>IFERROR(__xludf.DUMMYFUNCTION("""COMPUTED_VALUE"""),"Marswap")</f>
        <v>Marswap</v>
      </c>
    </row>
    <row r="7379">
      <c r="A7379" s="4" t="str">
        <f>IFERROR(__xludf.DUMMYFUNCTION("""COMPUTED_VALUE"""),"marswap-farm")</f>
        <v>marswap-farm</v>
      </c>
      <c r="B7379" s="4" t="str">
        <f>IFERROR(__xludf.DUMMYFUNCTION("""COMPUTED_VALUE"""),"mswapf")</f>
        <v>mswapf</v>
      </c>
      <c r="C7379" s="4" t="str">
        <f>IFERROR(__xludf.DUMMYFUNCTION("""COMPUTED_VALUE"""),"MARSWAP FARM")</f>
        <v>MARSWAP FARM</v>
      </c>
    </row>
    <row r="7380">
      <c r="A7380" s="4" t="str">
        <f>IFERROR(__xludf.DUMMYFUNCTION("""COMPUTED_VALUE"""),"martik")</f>
        <v>martik</v>
      </c>
      <c r="B7380" s="4" t="str">
        <f>IFERROR(__xludf.DUMMYFUNCTION("""COMPUTED_VALUE"""),"mtk")</f>
        <v>mtk</v>
      </c>
      <c r="C7380" s="4" t="str">
        <f>IFERROR(__xludf.DUMMYFUNCTION("""COMPUTED_VALUE"""),"Martik")</f>
        <v>Martik</v>
      </c>
    </row>
    <row r="7381">
      <c r="A7381" s="4" t="str">
        <f>IFERROR(__xludf.DUMMYFUNCTION("""COMPUTED_VALUE"""),"martin-shkreli-inu")</f>
        <v>martin-shkreli-inu</v>
      </c>
      <c r="B7381" s="4" t="str">
        <f>IFERROR(__xludf.DUMMYFUNCTION("""COMPUTED_VALUE"""),"msi")</f>
        <v>msi</v>
      </c>
      <c r="C7381" s="4" t="str">
        <f>IFERROR(__xludf.DUMMYFUNCTION("""COMPUTED_VALUE"""),"Martin Shkreli Inu")</f>
        <v>Martin Shkreli Inu</v>
      </c>
    </row>
    <row r="7382">
      <c r="A7382" s="4" t="str">
        <f>IFERROR(__xludf.DUMMYFUNCTION("""COMPUTED_VALUE"""),"martkist")</f>
        <v>martkist</v>
      </c>
      <c r="B7382" s="4" t="str">
        <f>IFERROR(__xludf.DUMMYFUNCTION("""COMPUTED_VALUE"""),"martk")</f>
        <v>martk</v>
      </c>
      <c r="C7382" s="4" t="str">
        <f>IFERROR(__xludf.DUMMYFUNCTION("""COMPUTED_VALUE"""),"Martkist")</f>
        <v>Martkist</v>
      </c>
    </row>
    <row r="7383">
      <c r="A7383" s="4" t="str">
        <f>IFERROR(__xludf.DUMMYFUNCTION("""COMPUTED_VALUE"""),"marty-inu")</f>
        <v>marty-inu</v>
      </c>
      <c r="B7383" s="4" t="str">
        <f>IFERROR(__xludf.DUMMYFUNCTION("""COMPUTED_VALUE"""),"marty")</f>
        <v>marty</v>
      </c>
      <c r="C7383" s="4" t="str">
        <f>IFERROR(__xludf.DUMMYFUNCTION("""COMPUTED_VALUE"""),"Marty Inu")</f>
        <v>Marty Inu</v>
      </c>
    </row>
    <row r="7384">
      <c r="A7384" s="4" t="str">
        <f>IFERROR(__xludf.DUMMYFUNCTION("""COMPUTED_VALUE"""),"marumarunft")</f>
        <v>marumarunft</v>
      </c>
      <c r="B7384" s="4" t="str">
        <f>IFERROR(__xludf.DUMMYFUNCTION("""COMPUTED_VALUE"""),"maru")</f>
        <v>maru</v>
      </c>
      <c r="C7384" s="4" t="str">
        <f>IFERROR(__xludf.DUMMYFUNCTION("""COMPUTED_VALUE"""),"marumaruNFT")</f>
        <v>marumaruNFT</v>
      </c>
    </row>
    <row r="7385">
      <c r="A7385" s="4" t="str">
        <f>IFERROR(__xludf.DUMMYFUNCTION("""COMPUTED_VALUE"""),"marutaro")</f>
        <v>marutaro</v>
      </c>
      <c r="B7385" s="4" t="str">
        <f>IFERROR(__xludf.DUMMYFUNCTION("""COMPUTED_VALUE"""),"maru")</f>
        <v>maru</v>
      </c>
      <c r="C7385" s="4" t="str">
        <f>IFERROR(__xludf.DUMMYFUNCTION("""COMPUTED_VALUE"""),"MaruTaro")</f>
        <v>MaruTaro</v>
      </c>
    </row>
    <row r="7386">
      <c r="A7386" s="4" t="str">
        <f>IFERROR(__xludf.DUMMYFUNCTION("""COMPUTED_VALUE"""),"marvellex-classic")</f>
        <v>marvellex-classic</v>
      </c>
      <c r="B7386" s="4" t="str">
        <f>IFERROR(__xludf.DUMMYFUNCTION("""COMPUTED_VALUE"""),"mlxc")</f>
        <v>mlxc</v>
      </c>
      <c r="C7386" s="4" t="str">
        <f>IFERROR(__xludf.DUMMYFUNCTION("""COMPUTED_VALUE"""),"Marvellex Classic")</f>
        <v>Marvellex Classic</v>
      </c>
    </row>
    <row r="7387">
      <c r="A7387" s="4" t="str">
        <f>IFERROR(__xludf.DUMMYFUNCTION("""COMPUTED_VALUE"""),"marvellex-venture-token")</f>
        <v>marvellex-venture-token</v>
      </c>
      <c r="B7387" s="4" t="str">
        <f>IFERROR(__xludf.DUMMYFUNCTION("""COMPUTED_VALUE"""),"mlxv")</f>
        <v>mlxv</v>
      </c>
      <c r="C7387" s="4" t="str">
        <f>IFERROR(__xludf.DUMMYFUNCTION("""COMPUTED_VALUE"""),"Marvellex Venture Token")</f>
        <v>Marvellex Venture Token</v>
      </c>
    </row>
    <row r="7388">
      <c r="A7388" s="4" t="str">
        <f>IFERROR(__xludf.DUMMYFUNCTION("""COMPUTED_VALUE"""),"marvelous-nfts")</f>
        <v>marvelous-nfts</v>
      </c>
      <c r="B7388" s="4" t="str">
        <f>IFERROR(__xludf.DUMMYFUNCTION("""COMPUTED_VALUE"""),"mnft")</f>
        <v>mnft</v>
      </c>
      <c r="C7388" s="4" t="str">
        <f>IFERROR(__xludf.DUMMYFUNCTION("""COMPUTED_VALUE"""),"Marvelous NFTs")</f>
        <v>Marvelous NFTs</v>
      </c>
    </row>
    <row r="7389">
      <c r="A7389" s="4" t="str">
        <f>IFERROR(__xludf.DUMMYFUNCTION("""COMPUTED_VALUE"""),"marvin")</f>
        <v>marvin</v>
      </c>
      <c r="B7389" s="4" t="str">
        <f>IFERROR(__xludf.DUMMYFUNCTION("""COMPUTED_VALUE"""),"marvin")</f>
        <v>marvin</v>
      </c>
      <c r="C7389" s="4" t="str">
        <f>IFERROR(__xludf.DUMMYFUNCTION("""COMPUTED_VALUE"""),"MARVIN")</f>
        <v>MARVIN</v>
      </c>
    </row>
    <row r="7390">
      <c r="A7390" s="4" t="str">
        <f>IFERROR(__xludf.DUMMYFUNCTION("""COMPUTED_VALUE"""),"marvin-2")</f>
        <v>marvin-2</v>
      </c>
      <c r="B7390" s="4" t="str">
        <f>IFERROR(__xludf.DUMMYFUNCTION("""COMPUTED_VALUE"""),"marvin")</f>
        <v>marvin</v>
      </c>
      <c r="C7390" s="4" t="str">
        <f>IFERROR(__xludf.DUMMYFUNCTION("""COMPUTED_VALUE"""),"Marvin")</f>
        <v>Marvin</v>
      </c>
    </row>
    <row r="7391">
      <c r="A7391" s="4" t="str">
        <f>IFERROR(__xludf.DUMMYFUNCTION("""COMPUTED_VALUE"""),"marvin-inu")</f>
        <v>marvin-inu</v>
      </c>
      <c r="B7391" s="4" t="str">
        <f>IFERROR(__xludf.DUMMYFUNCTION("""COMPUTED_VALUE"""),"marvin")</f>
        <v>marvin</v>
      </c>
      <c r="C7391" s="4" t="str">
        <f>IFERROR(__xludf.DUMMYFUNCTION("""COMPUTED_VALUE"""),"Marvin Inu")</f>
        <v>Marvin Inu</v>
      </c>
    </row>
    <row r="7392">
      <c r="A7392" s="4" t="str">
        <f>IFERROR(__xludf.DUMMYFUNCTION("""COMPUTED_VALUE"""),"masa-finance")</f>
        <v>masa-finance</v>
      </c>
      <c r="B7392" s="4" t="str">
        <f>IFERROR(__xludf.DUMMYFUNCTION("""COMPUTED_VALUE"""),"masa")</f>
        <v>masa</v>
      </c>
      <c r="C7392" s="4" t="str">
        <f>IFERROR(__xludf.DUMMYFUNCTION("""COMPUTED_VALUE"""),"Masa")</f>
        <v>Masa</v>
      </c>
    </row>
    <row r="7393">
      <c r="A7393" s="4" t="str">
        <f>IFERROR(__xludf.DUMMYFUNCTION("""COMPUTED_VALUE"""),"masari")</f>
        <v>masari</v>
      </c>
      <c r="B7393" s="4" t="str">
        <f>IFERROR(__xludf.DUMMYFUNCTION("""COMPUTED_VALUE"""),"msr")</f>
        <v>msr</v>
      </c>
      <c r="C7393" s="4" t="str">
        <f>IFERROR(__xludf.DUMMYFUNCTION("""COMPUTED_VALUE"""),"Masari")</f>
        <v>Masari</v>
      </c>
    </row>
    <row r="7394">
      <c r="A7394" s="4" t="str">
        <f>IFERROR(__xludf.DUMMYFUNCTION("""COMPUTED_VALUE"""),"mask-network")</f>
        <v>mask-network</v>
      </c>
      <c r="B7394" s="4" t="str">
        <f>IFERROR(__xludf.DUMMYFUNCTION("""COMPUTED_VALUE"""),"mask")</f>
        <v>mask</v>
      </c>
      <c r="C7394" s="4" t="str">
        <f>IFERROR(__xludf.DUMMYFUNCTION("""COMPUTED_VALUE"""),"Mask Network")</f>
        <v>Mask Network</v>
      </c>
    </row>
    <row r="7395">
      <c r="A7395" s="4" t="str">
        <f>IFERROR(__xludf.DUMMYFUNCTION("""COMPUTED_VALUE"""),"masq")</f>
        <v>masq</v>
      </c>
      <c r="B7395" s="4" t="str">
        <f>IFERROR(__xludf.DUMMYFUNCTION("""COMPUTED_VALUE"""),"masq")</f>
        <v>masq</v>
      </c>
      <c r="C7395" s="4" t="str">
        <f>IFERROR(__xludf.DUMMYFUNCTION("""COMPUTED_VALUE"""),"MASQ")</f>
        <v>MASQ</v>
      </c>
    </row>
    <row r="7396">
      <c r="A7396" s="4" t="str">
        <f>IFERROR(__xludf.DUMMYFUNCTION("""COMPUTED_VALUE"""),"mass")</f>
        <v>mass</v>
      </c>
      <c r="B7396" s="4" t="str">
        <f>IFERROR(__xludf.DUMMYFUNCTION("""COMPUTED_VALUE"""),"mass")</f>
        <v>mass</v>
      </c>
      <c r="C7396" s="4" t="str">
        <f>IFERROR(__xludf.DUMMYFUNCTION("""COMPUTED_VALUE"""),"MASS")</f>
        <v>MASS</v>
      </c>
    </row>
    <row r="7397">
      <c r="A7397" s="4" t="str">
        <f>IFERROR(__xludf.DUMMYFUNCTION("""COMPUTED_VALUE"""),"massa")</f>
        <v>massa</v>
      </c>
      <c r="B7397" s="4" t="str">
        <f>IFERROR(__xludf.DUMMYFUNCTION("""COMPUTED_VALUE"""),"massa")</f>
        <v>massa</v>
      </c>
      <c r="C7397" s="4" t="str">
        <f>IFERROR(__xludf.DUMMYFUNCTION("""COMPUTED_VALUE"""),"Massa")</f>
        <v>Massa</v>
      </c>
    </row>
    <row r="7398">
      <c r="A7398" s="4" t="str">
        <f>IFERROR(__xludf.DUMMYFUNCTION("""COMPUTED_VALUE"""),"massive-protocol")</f>
        <v>massive-protocol</v>
      </c>
      <c r="B7398" s="4" t="str">
        <f>IFERROR(__xludf.DUMMYFUNCTION("""COMPUTED_VALUE"""),"mav")</f>
        <v>mav</v>
      </c>
      <c r="C7398" s="4" t="str">
        <f>IFERROR(__xludf.DUMMYFUNCTION("""COMPUTED_VALUE"""),"Massive Protocol")</f>
        <v>Massive Protocol</v>
      </c>
    </row>
    <row r="7399">
      <c r="A7399" s="4" t="str">
        <f>IFERROR(__xludf.DUMMYFUNCTION("""COMPUTED_VALUE"""),"mass-protocol")</f>
        <v>mass-protocol</v>
      </c>
      <c r="B7399" s="4" t="str">
        <f>IFERROR(__xludf.DUMMYFUNCTION("""COMPUTED_VALUE"""),"mass")</f>
        <v>mass</v>
      </c>
      <c r="C7399" s="4" t="str">
        <f>IFERROR(__xludf.DUMMYFUNCTION("""COMPUTED_VALUE"""),"Mass Protocol")</f>
        <v>Mass Protocol</v>
      </c>
    </row>
    <row r="7400">
      <c r="A7400" s="4" t="str">
        <f>IFERROR(__xludf.DUMMYFUNCTION("""COMPUTED_VALUE"""),"mass-vehicle-ledger")</f>
        <v>mass-vehicle-ledger</v>
      </c>
      <c r="B7400" s="4" t="str">
        <f>IFERROR(__xludf.DUMMYFUNCTION("""COMPUTED_VALUE"""),"mvl")</f>
        <v>mvl</v>
      </c>
      <c r="C7400" s="4" t="str">
        <f>IFERROR(__xludf.DUMMYFUNCTION("""COMPUTED_VALUE"""),"MVL")</f>
        <v>MVL</v>
      </c>
    </row>
    <row r="7401">
      <c r="A7401" s="4" t="str">
        <f>IFERROR(__xludf.DUMMYFUNCTION("""COMPUTED_VALUE"""),"masterdex")</f>
        <v>masterdex</v>
      </c>
      <c r="B7401" s="4" t="str">
        <f>IFERROR(__xludf.DUMMYFUNCTION("""COMPUTED_VALUE"""),"mdex")</f>
        <v>mdex</v>
      </c>
      <c r="C7401" s="4" t="str">
        <f>IFERROR(__xludf.DUMMYFUNCTION("""COMPUTED_VALUE"""),"MasterDEX")</f>
        <v>MasterDEX</v>
      </c>
    </row>
    <row r="7402">
      <c r="A7402" s="4" t="str">
        <f>IFERROR(__xludf.DUMMYFUNCTION("""COMPUTED_VALUE"""),"mastermind")</f>
        <v>mastermind</v>
      </c>
      <c r="B7402" s="4" t="str">
        <f>IFERROR(__xludf.DUMMYFUNCTION("""COMPUTED_VALUE"""),"mastermind")</f>
        <v>mastermind</v>
      </c>
      <c r="C7402" s="4" t="str">
        <f>IFERROR(__xludf.DUMMYFUNCTION("""COMPUTED_VALUE"""),"Mastermind")</f>
        <v>Mastermind</v>
      </c>
    </row>
    <row r="7403">
      <c r="A7403" s="4" t="str">
        <f>IFERROR(__xludf.DUMMYFUNCTION("""COMPUTED_VALUE"""),"masternode-btc")</f>
        <v>masternode-btc</v>
      </c>
      <c r="B7403" s="4" t="str">
        <f>IFERROR(__xludf.DUMMYFUNCTION("""COMPUTED_VALUE"""),"mnbtc")</f>
        <v>mnbtc</v>
      </c>
      <c r="C7403" s="4" t="str">
        <f>IFERROR(__xludf.DUMMYFUNCTION("""COMPUTED_VALUE"""),"Masternode BTC")</f>
        <v>Masternode BTC</v>
      </c>
    </row>
    <row r="7404">
      <c r="A7404" s="4" t="str">
        <f>IFERROR(__xludf.DUMMYFUNCTION("""COMPUTED_VALUE"""),"masters-of-the-memes")</f>
        <v>masters-of-the-memes</v>
      </c>
      <c r="B7404" s="4" t="str">
        <f>IFERROR(__xludf.DUMMYFUNCTION("""COMPUTED_VALUE"""),"mom")</f>
        <v>mom</v>
      </c>
      <c r="C7404" s="4" t="str">
        <f>IFERROR(__xludf.DUMMYFUNCTION("""COMPUTED_VALUE"""),"Masters Of The Memes")</f>
        <v>Masters Of The Memes</v>
      </c>
    </row>
    <row r="7405">
      <c r="A7405" s="4" t="str">
        <f>IFERROR(__xludf.DUMMYFUNCTION("""COMPUTED_VALUE"""),"masterwin")</f>
        <v>masterwin</v>
      </c>
      <c r="B7405" s="4" t="str">
        <f>IFERROR(__xludf.DUMMYFUNCTION("""COMPUTED_VALUE"""),"mw")</f>
        <v>mw</v>
      </c>
      <c r="C7405" s="4" t="str">
        <f>IFERROR(__xludf.DUMMYFUNCTION("""COMPUTED_VALUE"""),"MasterWin")</f>
        <v>MasterWin</v>
      </c>
    </row>
    <row r="7406">
      <c r="A7406" s="4" t="str">
        <f>IFERROR(__xludf.DUMMYFUNCTION("""COMPUTED_VALUE"""),"matchcup")</f>
        <v>matchcup</v>
      </c>
      <c r="B7406" s="4" t="str">
        <f>IFERROR(__xludf.DUMMYFUNCTION("""COMPUTED_VALUE"""),"match")</f>
        <v>match</v>
      </c>
      <c r="C7406" s="4" t="str">
        <f>IFERROR(__xludf.DUMMYFUNCTION("""COMPUTED_VALUE"""),"Matchcup")</f>
        <v>Matchcup</v>
      </c>
    </row>
    <row r="7407">
      <c r="A7407" s="4" t="str">
        <f>IFERROR(__xludf.DUMMYFUNCTION("""COMPUTED_VALUE"""),"match-finance-eslbr")</f>
        <v>match-finance-eslbr</v>
      </c>
      <c r="B7407" s="4" t="str">
        <f>IFERROR(__xludf.DUMMYFUNCTION("""COMPUTED_VALUE"""),"meslbr")</f>
        <v>meslbr</v>
      </c>
      <c r="C7407" s="4" t="str">
        <f>IFERROR(__xludf.DUMMYFUNCTION("""COMPUTED_VALUE"""),"Match Finance esLBR")</f>
        <v>Match Finance esLBR</v>
      </c>
    </row>
    <row r="7408">
      <c r="A7408" s="4" t="str">
        <f>IFERROR(__xludf.DUMMYFUNCTION("""COMPUTED_VALUE"""),"match-token")</f>
        <v>match-token</v>
      </c>
      <c r="B7408" s="4" t="str">
        <f>IFERROR(__xludf.DUMMYFUNCTION("""COMPUTED_VALUE"""),"match")</f>
        <v>match</v>
      </c>
      <c r="C7408" s="4" t="str">
        <f>IFERROR(__xludf.DUMMYFUNCTION("""COMPUTED_VALUE"""),"Match Token")</f>
        <v>Match Token</v>
      </c>
    </row>
    <row r="7409">
      <c r="A7409" s="4" t="str">
        <f>IFERROR(__xludf.DUMMYFUNCTION("""COMPUTED_VALUE"""),"matchtrade")</f>
        <v>matchtrade</v>
      </c>
      <c r="B7409" s="4" t="str">
        <f>IFERROR(__xludf.DUMMYFUNCTION("""COMPUTED_VALUE"""),"match")</f>
        <v>match</v>
      </c>
      <c r="C7409" s="4" t="str">
        <f>IFERROR(__xludf.DUMMYFUNCTION("""COMPUTED_VALUE"""),"MatchTrade")</f>
        <v>MatchTrade</v>
      </c>
    </row>
    <row r="7410">
      <c r="A7410" s="4" t="str">
        <f>IFERROR(__xludf.DUMMYFUNCTION("""COMPUTED_VALUE"""),"mateable")</f>
        <v>mateable</v>
      </c>
      <c r="B7410" s="4" t="str">
        <f>IFERROR(__xludf.DUMMYFUNCTION("""COMPUTED_VALUE"""),"mtbc")</f>
        <v>mtbc</v>
      </c>
      <c r="C7410" s="4" t="str">
        <f>IFERROR(__xludf.DUMMYFUNCTION("""COMPUTED_VALUE"""),"Mateable")</f>
        <v>Mateable</v>
      </c>
    </row>
    <row r="7411">
      <c r="A7411" s="4" t="str">
        <f>IFERROR(__xludf.DUMMYFUNCTION("""COMPUTED_VALUE"""),"materium")</f>
        <v>materium</v>
      </c>
      <c r="B7411" s="4" t="str">
        <f>IFERROR(__xludf.DUMMYFUNCTION("""COMPUTED_VALUE"""),"mtrm")</f>
        <v>mtrm</v>
      </c>
      <c r="C7411" s="4" t="str">
        <f>IFERROR(__xludf.DUMMYFUNCTION("""COMPUTED_VALUE"""),"Materium")</f>
        <v>Materium</v>
      </c>
    </row>
    <row r="7412">
      <c r="A7412" s="4" t="str">
        <f>IFERROR(__xludf.DUMMYFUNCTION("""COMPUTED_VALUE"""),"math")</f>
        <v>math</v>
      </c>
      <c r="B7412" s="4" t="str">
        <f>IFERROR(__xludf.DUMMYFUNCTION("""COMPUTED_VALUE"""),"math")</f>
        <v>math</v>
      </c>
      <c r="C7412" s="4" t="str">
        <f>IFERROR(__xludf.DUMMYFUNCTION("""COMPUTED_VALUE"""),"MATH")</f>
        <v>MATH</v>
      </c>
    </row>
    <row r="7413">
      <c r="A7413" s="4" t="str">
        <f>IFERROR(__xludf.DUMMYFUNCTION("""COMPUTED_VALUE"""),"matic-aave-aave")</f>
        <v>matic-aave-aave</v>
      </c>
      <c r="B7413" s="4" t="str">
        <f>IFERROR(__xludf.DUMMYFUNCTION("""COMPUTED_VALUE"""),"maaave")</f>
        <v>maaave</v>
      </c>
      <c r="C7413" s="4" t="str">
        <f>IFERROR(__xludf.DUMMYFUNCTION("""COMPUTED_VALUE"""),"Matic Aave Interest Bearing AAVE")</f>
        <v>Matic Aave Interest Bearing AAVE</v>
      </c>
    </row>
    <row r="7414">
      <c r="A7414" s="4" t="str">
        <f>IFERROR(__xludf.DUMMYFUNCTION("""COMPUTED_VALUE"""),"matic-aave-usdc")</f>
        <v>matic-aave-usdc</v>
      </c>
      <c r="B7414" s="4" t="str">
        <f>IFERROR(__xludf.DUMMYFUNCTION("""COMPUTED_VALUE"""),"mausdc")</f>
        <v>mausdc</v>
      </c>
      <c r="C7414" s="4" t="str">
        <f>IFERROR(__xludf.DUMMYFUNCTION("""COMPUTED_VALUE"""),"Matic Aave Interest Bearing USDC")</f>
        <v>Matic Aave Interest Bearing USDC</v>
      </c>
    </row>
    <row r="7415">
      <c r="A7415" s="4" t="str">
        <f>IFERROR(__xludf.DUMMYFUNCTION("""COMPUTED_VALUE"""),"matic-dai-stablecoin")</f>
        <v>matic-dai-stablecoin</v>
      </c>
      <c r="B7415" s="4" t="str">
        <f>IFERROR(__xludf.DUMMYFUNCTION("""COMPUTED_VALUE"""),"dai-matic")</f>
        <v>dai-matic</v>
      </c>
      <c r="C7415" s="4" t="str">
        <f>IFERROR(__xludf.DUMMYFUNCTION("""COMPUTED_VALUE"""),"Matic DAI Stablecoin")</f>
        <v>Matic DAI Stablecoin</v>
      </c>
    </row>
    <row r="7416">
      <c r="A7416" s="4" t="str">
        <f>IFERROR(__xludf.DUMMYFUNCTION("""COMPUTED_VALUE"""),"matic-network")</f>
        <v>matic-network</v>
      </c>
      <c r="B7416" s="4" t="str">
        <f>IFERROR(__xludf.DUMMYFUNCTION("""COMPUTED_VALUE"""),"matic")</f>
        <v>matic</v>
      </c>
      <c r="C7416" s="4" t="str">
        <f>IFERROR(__xludf.DUMMYFUNCTION("""COMPUTED_VALUE"""),"Polygon")</f>
        <v>Polygon</v>
      </c>
    </row>
    <row r="7417">
      <c r="A7417" s="4" t="str">
        <f>IFERROR(__xludf.DUMMYFUNCTION("""COMPUTED_VALUE"""),"matic-plenty-bridge")</f>
        <v>matic-plenty-bridge</v>
      </c>
      <c r="B7417" s="4" t="str">
        <f>IFERROR(__xludf.DUMMYFUNCTION("""COMPUTED_VALUE"""),"matic.e")</f>
        <v>matic.e</v>
      </c>
      <c r="C7417" s="4" t="str">
        <f>IFERROR(__xludf.DUMMYFUNCTION("""COMPUTED_VALUE"""),"MATIC (Plenty Bridge)")</f>
        <v>MATIC (Plenty Bridge)</v>
      </c>
    </row>
    <row r="7418">
      <c r="A7418" s="4" t="str">
        <f>IFERROR(__xludf.DUMMYFUNCTION("""COMPUTED_VALUE"""),"matic-wormhole")</f>
        <v>matic-wormhole</v>
      </c>
      <c r="B7418" s="4" t="str">
        <f>IFERROR(__xludf.DUMMYFUNCTION("""COMPUTED_VALUE"""),"maticpo")</f>
        <v>maticpo</v>
      </c>
      <c r="C7418" s="4" t="str">
        <f>IFERROR(__xludf.DUMMYFUNCTION("""COMPUTED_VALUE"""),"MATIC (Wormhole)")</f>
        <v>MATIC (Wormhole)</v>
      </c>
    </row>
    <row r="7419">
      <c r="A7419" s="4" t="str">
        <f>IFERROR(__xludf.DUMMYFUNCTION("""COMPUTED_VALUE"""),"matr1x-fire")</f>
        <v>matr1x-fire</v>
      </c>
      <c r="B7419" s="4" t="str">
        <f>IFERROR(__xludf.DUMMYFUNCTION("""COMPUTED_VALUE"""),"fire")</f>
        <v>fire</v>
      </c>
      <c r="C7419" s="4" t="str">
        <f>IFERROR(__xludf.DUMMYFUNCTION("""COMPUTED_VALUE"""),"Matr1x Fire")</f>
        <v>Matr1x Fire</v>
      </c>
    </row>
    <row r="7420">
      <c r="A7420" s="4" t="str">
        <f>IFERROR(__xludf.DUMMYFUNCTION("""COMPUTED_VALUE"""),"matrak-fan-token")</f>
        <v>matrak-fan-token</v>
      </c>
      <c r="B7420" s="4" t="str">
        <f>IFERROR(__xludf.DUMMYFUNCTION("""COMPUTED_VALUE"""),"mtrk")</f>
        <v>mtrk</v>
      </c>
      <c r="C7420" s="4" t="str">
        <f>IFERROR(__xludf.DUMMYFUNCTION("""COMPUTED_VALUE"""),"Matrak Fan Token")</f>
        <v>Matrak Fan Token</v>
      </c>
    </row>
    <row r="7421">
      <c r="A7421" s="4" t="str">
        <f>IFERROR(__xludf.DUMMYFUNCTION("""COMPUTED_VALUE"""),"matrix-ai-network")</f>
        <v>matrix-ai-network</v>
      </c>
      <c r="B7421" s="4" t="str">
        <f>IFERROR(__xludf.DUMMYFUNCTION("""COMPUTED_VALUE"""),"man")</f>
        <v>man</v>
      </c>
      <c r="C7421" s="4" t="str">
        <f>IFERROR(__xludf.DUMMYFUNCTION("""COMPUTED_VALUE"""),"Matrix AI Network")</f>
        <v>Matrix AI Network</v>
      </c>
    </row>
    <row r="7422">
      <c r="A7422" s="4" t="str">
        <f>IFERROR(__xludf.DUMMYFUNCTION("""COMPUTED_VALUE"""),"matrixetf")</f>
        <v>matrixetf</v>
      </c>
      <c r="B7422" s="4" t="str">
        <f>IFERROR(__xludf.DUMMYFUNCTION("""COMPUTED_VALUE"""),"mdf")</f>
        <v>mdf</v>
      </c>
      <c r="C7422" s="4" t="str">
        <f>IFERROR(__xludf.DUMMYFUNCTION("""COMPUTED_VALUE"""),"MatrixETF")</f>
        <v>MatrixETF</v>
      </c>
    </row>
    <row r="7423">
      <c r="A7423" s="4" t="str">
        <f>IFERROR(__xludf.DUMMYFUNCTION("""COMPUTED_VALUE"""),"matrixgpt")</f>
        <v>matrixgpt</v>
      </c>
      <c r="B7423" s="4" t="str">
        <f>IFERROR(__xludf.DUMMYFUNCTION("""COMPUTED_VALUE"""),"mai")</f>
        <v>mai</v>
      </c>
      <c r="C7423" s="4" t="str">
        <f>IFERROR(__xludf.DUMMYFUNCTION("""COMPUTED_VALUE"""),"MatrixGPT")</f>
        <v>MatrixGPT</v>
      </c>
    </row>
    <row r="7424">
      <c r="A7424" s="4" t="str">
        <f>IFERROR(__xludf.DUMMYFUNCTION("""COMPUTED_VALUE"""),"matrix-protocol")</f>
        <v>matrix-protocol</v>
      </c>
      <c r="B7424" s="4" t="str">
        <f>IFERROR(__xludf.DUMMYFUNCTION("""COMPUTED_VALUE"""),"mtx")</f>
        <v>mtx</v>
      </c>
      <c r="C7424" s="4" t="str">
        <f>IFERROR(__xludf.DUMMYFUNCTION("""COMPUTED_VALUE"""),"Matrix Protocol")</f>
        <v>Matrix Protocol</v>
      </c>
    </row>
    <row r="7425">
      <c r="A7425" s="4" t="str">
        <f>IFERROR(__xludf.DUMMYFUNCTION("""COMPUTED_VALUE"""),"matrixswap")</f>
        <v>matrixswap</v>
      </c>
      <c r="B7425" s="4" t="str">
        <f>IFERROR(__xludf.DUMMYFUNCTION("""COMPUTED_VALUE"""),"matrix")</f>
        <v>matrix</v>
      </c>
      <c r="C7425" s="4" t="str">
        <f>IFERROR(__xludf.DUMMYFUNCTION("""COMPUTED_VALUE"""),"Matrix Labs")</f>
        <v>Matrix Labs</v>
      </c>
    </row>
    <row r="7426">
      <c r="A7426" s="4" t="str">
        <f>IFERROR(__xludf.DUMMYFUNCTION("""COMPUTED_VALUE"""),"matrix-token")</f>
        <v>matrix-token</v>
      </c>
      <c r="B7426" s="4" t="str">
        <f>IFERROR(__xludf.DUMMYFUNCTION("""COMPUTED_VALUE"""),"mtix")</f>
        <v>mtix</v>
      </c>
      <c r="C7426" s="4" t="str">
        <f>IFERROR(__xludf.DUMMYFUNCTION("""COMPUTED_VALUE"""),"Matrix Token")</f>
        <v>Matrix Token</v>
      </c>
    </row>
    <row r="7427">
      <c r="A7427" s="4" t="str">
        <f>IFERROR(__xludf.DUMMYFUNCTION("""COMPUTED_VALUE"""),"matsuri-shiba-inu")</f>
        <v>matsuri-shiba-inu</v>
      </c>
      <c r="B7427" s="4" t="str">
        <f>IFERROR(__xludf.DUMMYFUNCTION("""COMPUTED_VALUE"""),"mshiba")</f>
        <v>mshiba</v>
      </c>
      <c r="C7427" s="4" t="str">
        <f>IFERROR(__xludf.DUMMYFUNCTION("""COMPUTED_VALUE"""),"Matsuri Shiba Inu")</f>
        <v>Matsuri Shiba Inu</v>
      </c>
    </row>
    <row r="7428">
      <c r="A7428" s="4" t="str">
        <f>IFERROR(__xludf.DUMMYFUNCTION("""COMPUTED_VALUE"""),"mau")</f>
        <v>mau</v>
      </c>
      <c r="B7428" s="4" t="str">
        <f>IFERROR(__xludf.DUMMYFUNCTION("""COMPUTED_VALUE"""),"mau")</f>
        <v>mau</v>
      </c>
      <c r="C7428" s="4" t="str">
        <f>IFERROR(__xludf.DUMMYFUNCTION("""COMPUTED_VALUE"""),"MAU")</f>
        <v>MAU</v>
      </c>
    </row>
    <row r="7429">
      <c r="A7429" s="4" t="str">
        <f>IFERROR(__xludf.DUMMYFUNCTION("""COMPUTED_VALUE"""),"mausdc")</f>
        <v>mausdc</v>
      </c>
      <c r="B7429" s="4" t="str">
        <f>IFERROR(__xludf.DUMMYFUNCTION("""COMPUTED_VALUE"""),"mausdc")</f>
        <v>mausdc</v>
      </c>
      <c r="C7429" s="4" t="str">
        <f>IFERROR(__xludf.DUMMYFUNCTION("""COMPUTED_VALUE"""),"Morpho-Aave USD Coin")</f>
        <v>Morpho-Aave USD Coin</v>
      </c>
    </row>
    <row r="7430">
      <c r="A7430" s="4" t="str">
        <f>IFERROR(__xludf.DUMMYFUNCTION("""COMPUTED_VALUE"""),"mausdt")</f>
        <v>mausdt</v>
      </c>
      <c r="B7430" s="4" t="str">
        <f>IFERROR(__xludf.DUMMYFUNCTION("""COMPUTED_VALUE"""),"mausdt")</f>
        <v>mausdt</v>
      </c>
      <c r="C7430" s="4" t="str">
        <f>IFERROR(__xludf.DUMMYFUNCTION("""COMPUTED_VALUE"""),"Morpho-Aave Tether USD")</f>
        <v>Morpho-Aave Tether USD</v>
      </c>
    </row>
    <row r="7431">
      <c r="A7431" s="4" t="str">
        <f>IFERROR(__xludf.DUMMYFUNCTION("""COMPUTED_VALUE"""),"mavaverse-token")</f>
        <v>mavaverse-token</v>
      </c>
      <c r="B7431" s="4" t="str">
        <f>IFERROR(__xludf.DUMMYFUNCTION("""COMPUTED_VALUE"""),"mvx")</f>
        <v>mvx</v>
      </c>
      <c r="C7431" s="4" t="str">
        <f>IFERROR(__xludf.DUMMYFUNCTION("""COMPUTED_VALUE"""),"Mavaverse")</f>
        <v>Mavaverse</v>
      </c>
    </row>
    <row r="7432">
      <c r="A7432" s="4" t="str">
        <f>IFERROR(__xludf.DUMMYFUNCTION("""COMPUTED_VALUE"""),"maverick-protocol")</f>
        <v>maverick-protocol</v>
      </c>
      <c r="B7432" s="4" t="str">
        <f>IFERROR(__xludf.DUMMYFUNCTION("""COMPUTED_VALUE"""),"mav")</f>
        <v>mav</v>
      </c>
      <c r="C7432" s="4" t="str">
        <f>IFERROR(__xludf.DUMMYFUNCTION("""COMPUTED_VALUE"""),"Maverick Protocol")</f>
        <v>Maverick Protocol</v>
      </c>
    </row>
    <row r="7433">
      <c r="A7433" s="4" t="str">
        <f>IFERROR(__xludf.DUMMYFUNCTION("""COMPUTED_VALUE"""),"maw")</f>
        <v>maw</v>
      </c>
      <c r="B7433" s="4" t="str">
        <f>IFERROR(__xludf.DUMMYFUNCTION("""COMPUTED_VALUE"""),"maw")</f>
        <v>maw</v>
      </c>
      <c r="C7433" s="4" t="str">
        <f>IFERROR(__xludf.DUMMYFUNCTION("""COMPUTED_VALUE"""),"MAW")</f>
        <v>MAW</v>
      </c>
    </row>
    <row r="7434">
      <c r="A7434" s="4" t="str">
        <f>IFERROR(__xludf.DUMMYFUNCTION("""COMPUTED_VALUE"""),"max")</f>
        <v>max</v>
      </c>
      <c r="B7434" s="4" t="str">
        <f>IFERROR(__xludf.DUMMYFUNCTION("""COMPUTED_VALUE"""),"max")</f>
        <v>max</v>
      </c>
      <c r="C7434" s="4" t="str">
        <f>IFERROR(__xludf.DUMMYFUNCTION("""COMPUTED_VALUE"""),"MAX")</f>
        <v>MAX</v>
      </c>
    </row>
    <row r="7435">
      <c r="A7435" s="4" t="str">
        <f>IFERROR(__xludf.DUMMYFUNCTION("""COMPUTED_VALUE"""),"maxcoin")</f>
        <v>maxcoin</v>
      </c>
      <c r="B7435" s="4" t="str">
        <f>IFERROR(__xludf.DUMMYFUNCTION("""COMPUTED_VALUE"""),"max")</f>
        <v>max</v>
      </c>
      <c r="C7435" s="4" t="str">
        <f>IFERROR(__xludf.DUMMYFUNCTION("""COMPUTED_VALUE"""),"Maxcoin")</f>
        <v>Maxcoin</v>
      </c>
    </row>
    <row r="7436">
      <c r="A7436" s="4" t="str">
        <f>IFERROR(__xludf.DUMMYFUNCTION("""COMPUTED_VALUE"""),"maximus")</f>
        <v>maximus</v>
      </c>
      <c r="B7436" s="4" t="str">
        <f>IFERROR(__xludf.DUMMYFUNCTION("""COMPUTED_VALUE"""),"maxi")</f>
        <v>maxi</v>
      </c>
      <c r="C7436" s="4" t="str">
        <f>IFERROR(__xludf.DUMMYFUNCTION("""COMPUTED_VALUE"""),"Maximus")</f>
        <v>Maximus</v>
      </c>
    </row>
    <row r="7437">
      <c r="A7437" s="4" t="str">
        <f>IFERROR(__xludf.DUMMYFUNCTION("""COMPUTED_VALUE"""),"maximus-base")</f>
        <v>maximus-base</v>
      </c>
      <c r="B7437" s="4" t="str">
        <f>IFERROR(__xludf.DUMMYFUNCTION("""COMPUTED_VALUE"""),"base")</f>
        <v>base</v>
      </c>
      <c r="C7437" s="4" t="str">
        <f>IFERROR(__xludf.DUMMYFUNCTION("""COMPUTED_VALUE"""),"Maximus BASE")</f>
        <v>Maximus BASE</v>
      </c>
    </row>
    <row r="7438">
      <c r="A7438" s="4" t="str">
        <f>IFERROR(__xludf.DUMMYFUNCTION("""COMPUTED_VALUE"""),"maximus-dao")</f>
        <v>maximus-dao</v>
      </c>
      <c r="B7438" s="4" t="str">
        <f>IFERROR(__xludf.DUMMYFUNCTION("""COMPUTED_VALUE"""),"maxi")</f>
        <v>maxi</v>
      </c>
      <c r="C7438" s="4" t="str">
        <f>IFERROR(__xludf.DUMMYFUNCTION("""COMPUTED_VALUE"""),"Maximus DAO")</f>
        <v>Maximus DAO</v>
      </c>
    </row>
    <row r="7439">
      <c r="A7439" s="4" t="str">
        <f>IFERROR(__xludf.DUMMYFUNCTION("""COMPUTED_VALUE"""),"maximus-deci")</f>
        <v>maximus-deci</v>
      </c>
      <c r="B7439" s="4" t="str">
        <f>IFERROR(__xludf.DUMMYFUNCTION("""COMPUTED_VALUE"""),"deci")</f>
        <v>deci</v>
      </c>
      <c r="C7439" s="4" t="str">
        <f>IFERROR(__xludf.DUMMYFUNCTION("""COMPUTED_VALUE"""),"Maximus DECI")</f>
        <v>Maximus DECI</v>
      </c>
    </row>
    <row r="7440">
      <c r="A7440" s="4" t="str">
        <f>IFERROR(__xludf.DUMMYFUNCTION("""COMPUTED_VALUE"""),"maximus-lucky")</f>
        <v>maximus-lucky</v>
      </c>
      <c r="B7440" s="4" t="str">
        <f>IFERROR(__xludf.DUMMYFUNCTION("""COMPUTED_VALUE"""),"lucky")</f>
        <v>lucky</v>
      </c>
      <c r="C7440" s="4" t="str">
        <f>IFERROR(__xludf.DUMMYFUNCTION("""COMPUTED_VALUE"""),"Maximus LUCKY")</f>
        <v>Maximus LUCKY</v>
      </c>
    </row>
    <row r="7441">
      <c r="A7441" s="4" t="str">
        <f>IFERROR(__xludf.DUMMYFUNCTION("""COMPUTED_VALUE"""),"maximus-pool-party")</f>
        <v>maximus-pool-party</v>
      </c>
      <c r="B7441" s="4" t="str">
        <f>IFERROR(__xludf.DUMMYFUNCTION("""COMPUTED_VALUE"""),"party")</f>
        <v>party</v>
      </c>
      <c r="C7441" s="4" t="str">
        <f>IFERROR(__xludf.DUMMYFUNCTION("""COMPUTED_VALUE"""),"Maximus Pool Party")</f>
        <v>Maximus Pool Party</v>
      </c>
    </row>
    <row r="7442">
      <c r="A7442" s="4" t="str">
        <f>IFERROR(__xludf.DUMMYFUNCTION("""COMPUTED_VALUE"""),"maximus-trio")</f>
        <v>maximus-trio</v>
      </c>
      <c r="B7442" s="4" t="str">
        <f>IFERROR(__xludf.DUMMYFUNCTION("""COMPUTED_VALUE"""),"trio")</f>
        <v>trio</v>
      </c>
      <c r="C7442" s="4" t="str">
        <f>IFERROR(__xludf.DUMMYFUNCTION("""COMPUTED_VALUE"""),"Maximus TRIO")</f>
        <v>Maximus TRIO</v>
      </c>
    </row>
    <row r="7443">
      <c r="A7443" s="4" t="str">
        <f>IFERROR(__xludf.DUMMYFUNCTION("""COMPUTED_VALUE"""),"maxi-ordinals")</f>
        <v>maxi-ordinals</v>
      </c>
      <c r="B7443" s="4" t="str">
        <f>IFERROR(__xludf.DUMMYFUNCTION("""COMPUTED_VALUE"""),"maxi")</f>
        <v>maxi</v>
      </c>
      <c r="C7443" s="4" t="str">
        <f>IFERROR(__xludf.DUMMYFUNCTION("""COMPUTED_VALUE"""),"MAXI (Ordinals)")</f>
        <v>MAXI (Ordinals)</v>
      </c>
    </row>
    <row r="7444">
      <c r="A7444" s="4" t="str">
        <f>IFERROR(__xludf.DUMMYFUNCTION("""COMPUTED_VALUE"""),"maxity")</f>
        <v>maxity</v>
      </c>
      <c r="B7444" s="4" t="str">
        <f>IFERROR(__xludf.DUMMYFUNCTION("""COMPUTED_VALUE"""),"max")</f>
        <v>max</v>
      </c>
      <c r="C7444" s="4" t="str">
        <f>IFERROR(__xludf.DUMMYFUNCTION("""COMPUTED_VALUE"""),"Maxity")</f>
        <v>Maxity</v>
      </c>
    </row>
    <row r="7445">
      <c r="A7445" s="4" t="str">
        <f>IFERROR(__xludf.DUMMYFUNCTION("""COMPUTED_VALUE"""),"max-token")</f>
        <v>max-token</v>
      </c>
      <c r="B7445" s="4" t="str">
        <f>IFERROR(__xludf.DUMMYFUNCTION("""COMPUTED_VALUE"""),"max")</f>
        <v>max</v>
      </c>
      <c r="C7445" s="4" t="str">
        <f>IFERROR(__xludf.DUMMYFUNCTION("""COMPUTED_VALUE"""),"MAX")</f>
        <v>MAX</v>
      </c>
    </row>
    <row r="7446">
      <c r="A7446" s="4" t="str">
        <f>IFERROR(__xludf.DUMMYFUNCTION("""COMPUTED_VALUE"""),"maxwell-the-spinning-cat")</f>
        <v>maxwell-the-spinning-cat</v>
      </c>
      <c r="B7446" s="4" t="str">
        <f>IFERROR(__xludf.DUMMYFUNCTION("""COMPUTED_VALUE"""),"cat")</f>
        <v>cat</v>
      </c>
      <c r="C7446" s="4" t="str">
        <f>IFERROR(__xludf.DUMMYFUNCTION("""COMPUTED_VALUE"""),"Maxwell the spinning cat")</f>
        <v>Maxwell the spinning cat</v>
      </c>
    </row>
    <row r="7447">
      <c r="A7447" s="4" t="str">
        <f>IFERROR(__xludf.DUMMYFUNCTION("""COMPUTED_VALUE"""),"maxx")</f>
        <v>maxx</v>
      </c>
      <c r="B7447" s="4" t="str">
        <f>IFERROR(__xludf.DUMMYFUNCTION("""COMPUTED_VALUE"""),"$maxx")</f>
        <v>$maxx</v>
      </c>
      <c r="C7447" s="4" t="str">
        <f>IFERROR(__xludf.DUMMYFUNCTION("""COMPUTED_VALUE"""),"Maxx")</f>
        <v>Maxx</v>
      </c>
    </row>
    <row r="7448">
      <c r="A7448" s="4" t="str">
        <f>IFERROR(__xludf.DUMMYFUNCTION("""COMPUTED_VALUE"""),"maxx-finance")</f>
        <v>maxx-finance</v>
      </c>
      <c r="B7448" s="4" t="str">
        <f>IFERROR(__xludf.DUMMYFUNCTION("""COMPUTED_VALUE"""),"maxx")</f>
        <v>maxx</v>
      </c>
      <c r="C7448" s="4" t="str">
        <f>IFERROR(__xludf.DUMMYFUNCTION("""COMPUTED_VALUE"""),"MAXX Finance")</f>
        <v>MAXX Finance</v>
      </c>
    </row>
    <row r="7449">
      <c r="A7449" s="4" t="str">
        <f>IFERROR(__xludf.DUMMYFUNCTION("""COMPUTED_VALUE"""),"maya-preferred-223")</f>
        <v>maya-preferred-223</v>
      </c>
      <c r="B7449" s="4" t="str">
        <f>IFERROR(__xludf.DUMMYFUNCTION("""COMPUTED_VALUE"""),"mayp")</f>
        <v>mayp</v>
      </c>
      <c r="C7449" s="4" t="str">
        <f>IFERROR(__xludf.DUMMYFUNCTION("""COMPUTED_VALUE"""),"Maya Preferred")</f>
        <v>Maya Preferred</v>
      </c>
    </row>
    <row r="7450">
      <c r="A7450" s="4" t="str">
        <f>IFERROR(__xludf.DUMMYFUNCTION("""COMPUTED_VALUE"""),"mayfair")</f>
        <v>mayfair</v>
      </c>
      <c r="B7450" s="4" t="str">
        <f>IFERROR(__xludf.DUMMYFUNCTION("""COMPUTED_VALUE"""),"may")</f>
        <v>may</v>
      </c>
      <c r="C7450" s="4" t="str">
        <f>IFERROR(__xludf.DUMMYFUNCTION("""COMPUTED_VALUE"""),"Mayfair")</f>
        <v>Mayfair</v>
      </c>
    </row>
    <row r="7451">
      <c r="A7451" s="4" t="str">
        <f>IFERROR(__xludf.DUMMYFUNCTION("""COMPUTED_VALUE"""),"maza")</f>
        <v>maza</v>
      </c>
      <c r="B7451" s="4" t="str">
        <f>IFERROR(__xludf.DUMMYFUNCTION("""COMPUTED_VALUE"""),"mzc")</f>
        <v>mzc</v>
      </c>
      <c r="C7451" s="4" t="str">
        <f>IFERROR(__xludf.DUMMYFUNCTION("""COMPUTED_VALUE"""),"Maza")</f>
        <v>Maza</v>
      </c>
    </row>
    <row r="7452">
      <c r="A7452" s="4" t="str">
        <f>IFERROR(__xludf.DUMMYFUNCTION("""COMPUTED_VALUE"""),"mazimatic")</f>
        <v>mazimatic</v>
      </c>
      <c r="B7452" s="4" t="str">
        <f>IFERROR(__xludf.DUMMYFUNCTION("""COMPUTED_VALUE"""),"mazi")</f>
        <v>mazi</v>
      </c>
      <c r="C7452" s="4" t="str">
        <f>IFERROR(__xludf.DUMMYFUNCTION("""COMPUTED_VALUE"""),"MaziMatic")</f>
        <v>MaziMatic</v>
      </c>
    </row>
    <row r="7453">
      <c r="A7453" s="4" t="str">
        <f>IFERROR(__xludf.DUMMYFUNCTION("""COMPUTED_VALUE"""),"mazze")</f>
        <v>mazze</v>
      </c>
      <c r="B7453" s="4" t="str">
        <f>IFERROR(__xludf.DUMMYFUNCTION("""COMPUTED_VALUE"""),"mazze")</f>
        <v>mazze</v>
      </c>
      <c r="C7453" s="4" t="str">
        <f>IFERROR(__xludf.DUMMYFUNCTION("""COMPUTED_VALUE"""),"Mazze")</f>
        <v>Mazze</v>
      </c>
    </row>
    <row r="7454">
      <c r="A7454" s="4" t="str">
        <f>IFERROR(__xludf.DUMMYFUNCTION("""COMPUTED_VALUE"""),"mbd-financials")</f>
        <v>mbd-financials</v>
      </c>
      <c r="B7454" s="4" t="str">
        <f>IFERROR(__xludf.DUMMYFUNCTION("""COMPUTED_VALUE"""),"mbd")</f>
        <v>mbd</v>
      </c>
      <c r="C7454" s="4" t="str">
        <f>IFERROR(__xludf.DUMMYFUNCTION("""COMPUTED_VALUE"""),"MBD Financials")</f>
        <v>MBD Financials</v>
      </c>
    </row>
    <row r="7455">
      <c r="A7455" s="4" t="str">
        <f>IFERROR(__xludf.DUMMYFUNCTION("""COMPUTED_VALUE"""),"mcbroken")</f>
        <v>mcbroken</v>
      </c>
      <c r="B7455" s="4" t="str">
        <f>IFERROR(__xludf.DUMMYFUNCTION("""COMPUTED_VALUE"""),"mcbroken")</f>
        <v>mcbroken</v>
      </c>
      <c r="C7455" s="4" t="str">
        <f>IFERROR(__xludf.DUMMYFUNCTION("""COMPUTED_VALUE"""),"McBROKEN")</f>
        <v>McBROKEN</v>
      </c>
    </row>
    <row r="7456">
      <c r="A7456" s="4" t="str">
        <f>IFERROR(__xludf.DUMMYFUNCTION("""COMPUTED_VALUE"""),"mcdex")</f>
        <v>mcdex</v>
      </c>
      <c r="B7456" s="4" t="str">
        <f>IFERROR(__xludf.DUMMYFUNCTION("""COMPUTED_VALUE"""),"mcb")</f>
        <v>mcb</v>
      </c>
      <c r="C7456" s="4" t="str">
        <f>IFERROR(__xludf.DUMMYFUNCTION("""COMPUTED_VALUE"""),"MUX Protocol")</f>
        <v>MUX Protocol</v>
      </c>
    </row>
    <row r="7457">
      <c r="A7457" s="4" t="str">
        <f>IFERROR(__xludf.DUMMYFUNCTION("""COMPUTED_VALUE"""),"mcelo")</f>
        <v>mcelo</v>
      </c>
      <c r="B7457" s="4" t="str">
        <f>IFERROR(__xludf.DUMMYFUNCTION("""COMPUTED_VALUE"""),"mcelo")</f>
        <v>mcelo</v>
      </c>
      <c r="C7457" s="4" t="str">
        <f>IFERROR(__xludf.DUMMYFUNCTION("""COMPUTED_VALUE"""),"mCELO")</f>
        <v>mCELO</v>
      </c>
    </row>
    <row r="7458">
      <c r="A7458" s="4" t="str">
        <f>IFERROR(__xludf.DUMMYFUNCTION("""COMPUTED_VALUE"""),"mceur")</f>
        <v>mceur</v>
      </c>
      <c r="B7458" s="4" t="str">
        <f>IFERROR(__xludf.DUMMYFUNCTION("""COMPUTED_VALUE"""),"mceur")</f>
        <v>mceur</v>
      </c>
      <c r="C7458" s="4" t="str">
        <f>IFERROR(__xludf.DUMMYFUNCTION("""COMPUTED_VALUE"""),"mcEUR")</f>
        <v>mcEUR</v>
      </c>
    </row>
    <row r="7459">
      <c r="A7459" s="4" t="str">
        <f>IFERROR(__xludf.DUMMYFUNCTION("""COMPUTED_VALUE"""),"mcfinance")</f>
        <v>mcfinance</v>
      </c>
      <c r="B7459" s="4" t="str">
        <f>IFERROR(__xludf.DUMMYFUNCTION("""COMPUTED_VALUE"""),"mcf")</f>
        <v>mcf</v>
      </c>
      <c r="C7459" s="4" t="str">
        <f>IFERROR(__xludf.DUMMYFUNCTION("""COMPUTED_VALUE"""),"MCFinance")</f>
        <v>MCFinance</v>
      </c>
    </row>
    <row r="7460">
      <c r="A7460" s="4" t="str">
        <f>IFERROR(__xludf.DUMMYFUNCTION("""COMPUTED_VALUE"""),"mch-coin")</f>
        <v>mch-coin</v>
      </c>
      <c r="B7460" s="4" t="str">
        <f>IFERROR(__xludf.DUMMYFUNCTION("""COMPUTED_VALUE"""),"mchc")</f>
        <v>mchc</v>
      </c>
      <c r="C7460" s="4" t="str">
        <f>IFERROR(__xludf.DUMMYFUNCTION("""COMPUTED_VALUE"""),"MCH Coin")</f>
        <v>MCH Coin</v>
      </c>
    </row>
    <row r="7461">
      <c r="A7461" s="4" t="str">
        <f>IFERROR(__xludf.DUMMYFUNCTION("""COMPUTED_VALUE"""),"mci-coin")</f>
        <v>mci-coin</v>
      </c>
      <c r="B7461" s="4" t="str">
        <f>IFERROR(__xludf.DUMMYFUNCTION("""COMPUTED_VALUE"""),"cyclub")</f>
        <v>cyclub</v>
      </c>
      <c r="C7461" s="4" t="str">
        <f>IFERROR(__xludf.DUMMYFUNCTION("""COMPUTED_VALUE"""),"Cyclub")</f>
        <v>Cyclub</v>
      </c>
    </row>
    <row r="7462">
      <c r="A7462" s="4" t="str">
        <f>IFERROR(__xludf.DUMMYFUNCTION("""COMPUTED_VALUE"""),"mclaren-f1-fan-token")</f>
        <v>mclaren-f1-fan-token</v>
      </c>
      <c r="B7462" s="4" t="str">
        <f>IFERROR(__xludf.DUMMYFUNCTION("""COMPUTED_VALUE"""),"mcl")</f>
        <v>mcl</v>
      </c>
      <c r="C7462" s="4" t="str">
        <f>IFERROR(__xludf.DUMMYFUNCTION("""COMPUTED_VALUE"""),"McLaren F1 Fan Token")</f>
        <v>McLaren F1 Fan Token</v>
      </c>
    </row>
    <row r="7463">
      <c r="A7463" s="4" t="str">
        <f>IFERROR(__xludf.DUMMYFUNCTION("""COMPUTED_VALUE"""),"mcoin1")</f>
        <v>mcoin1</v>
      </c>
      <c r="B7463" s="4" t="str">
        <f>IFERROR(__xludf.DUMMYFUNCTION("""COMPUTED_VALUE"""),"mcoin")</f>
        <v>mcoin</v>
      </c>
      <c r="C7463" s="4" t="str">
        <f>IFERROR(__xludf.DUMMYFUNCTION("""COMPUTED_VALUE"""),"mCoin")</f>
        <v>mCoin</v>
      </c>
    </row>
    <row r="7464">
      <c r="A7464" s="4" t="str">
        <f>IFERROR(__xludf.DUMMYFUNCTION("""COMPUTED_VALUE"""),"mcontent")</f>
        <v>mcontent</v>
      </c>
      <c r="B7464" s="4" t="str">
        <f>IFERROR(__xludf.DUMMYFUNCTION("""COMPUTED_VALUE"""),"mcontent")</f>
        <v>mcontent</v>
      </c>
      <c r="C7464" s="4" t="str">
        <f>IFERROR(__xludf.DUMMYFUNCTION("""COMPUTED_VALUE"""),"MContent")</f>
        <v>MContent</v>
      </c>
    </row>
    <row r="7465">
      <c r="A7465" s="4" t="str">
        <f>IFERROR(__xludf.DUMMYFUNCTION("""COMPUTED_VALUE"""),"mcpepe-s")</f>
        <v>mcpepe-s</v>
      </c>
      <c r="B7465" s="4" t="str">
        <f>IFERROR(__xludf.DUMMYFUNCTION("""COMPUTED_VALUE"""),"pepes")</f>
        <v>pepes</v>
      </c>
      <c r="C7465" s="4" t="str">
        <f>IFERROR(__xludf.DUMMYFUNCTION("""COMPUTED_VALUE"""),"McPepe's")</f>
        <v>McPepe's</v>
      </c>
    </row>
    <row r="7466">
      <c r="A7466" s="4" t="str">
        <f>IFERROR(__xludf.DUMMYFUNCTION("""COMPUTED_VALUE"""),"mcverse")</f>
        <v>mcverse</v>
      </c>
      <c r="B7466" s="4" t="str">
        <f>IFERROR(__xludf.DUMMYFUNCTION("""COMPUTED_VALUE"""),"mcv")</f>
        <v>mcv</v>
      </c>
      <c r="C7466" s="4" t="str">
        <f>IFERROR(__xludf.DUMMYFUNCTION("""COMPUTED_VALUE"""),"MCVERSE")</f>
        <v>MCVERSE</v>
      </c>
    </row>
    <row r="7467">
      <c r="A7467" s="4" t="str">
        <f>IFERROR(__xludf.DUMMYFUNCTION("""COMPUTED_VALUE"""),"mdex")</f>
        <v>mdex</v>
      </c>
      <c r="B7467" s="4" t="str">
        <f>IFERROR(__xludf.DUMMYFUNCTION("""COMPUTED_VALUE"""),"mdx")</f>
        <v>mdx</v>
      </c>
      <c r="C7467" s="4" t="str">
        <f>IFERROR(__xludf.DUMMYFUNCTION("""COMPUTED_VALUE"""),"Mdex (HECO)")</f>
        <v>Mdex (HECO)</v>
      </c>
    </row>
    <row r="7468">
      <c r="A7468" s="4" t="str">
        <f>IFERROR(__xludf.DUMMYFUNCTION("""COMPUTED_VALUE"""),"mdex-bsc")</f>
        <v>mdex-bsc</v>
      </c>
      <c r="B7468" s="4" t="str">
        <f>IFERROR(__xludf.DUMMYFUNCTION("""COMPUTED_VALUE"""),"mdx")</f>
        <v>mdx</v>
      </c>
      <c r="C7468" s="4" t="str">
        <f>IFERROR(__xludf.DUMMYFUNCTION("""COMPUTED_VALUE"""),"Mdex (BSC)")</f>
        <v>Mdex (BSC)</v>
      </c>
    </row>
    <row r="7469">
      <c r="A7469" s="4" t="str">
        <f>IFERROR(__xludf.DUMMYFUNCTION("""COMPUTED_VALUE"""),"mdsquare")</f>
        <v>mdsquare</v>
      </c>
      <c r="B7469" s="4" t="str">
        <f>IFERROR(__xludf.DUMMYFUNCTION("""COMPUTED_VALUE"""),"tmed")</f>
        <v>tmed</v>
      </c>
      <c r="C7469" s="4" t="str">
        <f>IFERROR(__xludf.DUMMYFUNCTION("""COMPUTED_VALUE"""),"MDsquare")</f>
        <v>MDsquare</v>
      </c>
    </row>
    <row r="7470">
      <c r="A7470" s="4" t="str">
        <f>IFERROR(__xludf.DUMMYFUNCTION("""COMPUTED_VALUE"""),"meadow")</f>
        <v>meadow</v>
      </c>
      <c r="B7470" s="4" t="str">
        <f>IFERROR(__xludf.DUMMYFUNCTION("""COMPUTED_VALUE"""),"meadow")</f>
        <v>meadow</v>
      </c>
      <c r="C7470" s="4" t="str">
        <f>IFERROR(__xludf.DUMMYFUNCTION("""COMPUTED_VALUE"""),"Meadow")</f>
        <v>Meadow</v>
      </c>
    </row>
    <row r="7471">
      <c r="A7471" s="4" t="str">
        <f>IFERROR(__xludf.DUMMYFUNCTION("""COMPUTED_VALUE"""),"meanfi")</f>
        <v>meanfi</v>
      </c>
      <c r="B7471" s="4" t="str">
        <f>IFERROR(__xludf.DUMMYFUNCTION("""COMPUTED_VALUE"""),"mean")</f>
        <v>mean</v>
      </c>
      <c r="C7471" s="4" t="str">
        <f>IFERROR(__xludf.DUMMYFUNCTION("""COMPUTED_VALUE"""),"Mean DAO")</f>
        <v>Mean DAO</v>
      </c>
    </row>
    <row r="7472">
      <c r="A7472" s="4" t="str">
        <f>IFERROR(__xludf.DUMMYFUNCTION("""COMPUTED_VALUE"""),"measurable-data-token")</f>
        <v>measurable-data-token</v>
      </c>
      <c r="B7472" s="4" t="str">
        <f>IFERROR(__xludf.DUMMYFUNCTION("""COMPUTED_VALUE"""),"mdt")</f>
        <v>mdt</v>
      </c>
      <c r="C7472" s="4" t="str">
        <f>IFERROR(__xludf.DUMMYFUNCTION("""COMPUTED_VALUE"""),"Measurable Data")</f>
        <v>Measurable Data</v>
      </c>
    </row>
    <row r="7473">
      <c r="A7473" s="4" t="str">
        <f>IFERROR(__xludf.DUMMYFUNCTION("""COMPUTED_VALUE"""),"meblox-protocol")</f>
        <v>meblox-protocol</v>
      </c>
      <c r="B7473" s="4" t="str">
        <f>IFERROR(__xludf.DUMMYFUNCTION("""COMPUTED_VALUE"""),"meb")</f>
        <v>meb</v>
      </c>
      <c r="C7473" s="4" t="str">
        <f>IFERROR(__xludf.DUMMYFUNCTION("""COMPUTED_VALUE"""),"Meblox Protocol")</f>
        <v>Meblox Protocol</v>
      </c>
    </row>
    <row r="7474">
      <c r="A7474" s="4" t="str">
        <f>IFERROR(__xludf.DUMMYFUNCTION("""COMPUTED_VALUE"""),"mechachain")</f>
        <v>mechachain</v>
      </c>
      <c r="B7474" s="4" t="str">
        <f>IFERROR(__xludf.DUMMYFUNCTION("""COMPUTED_VALUE"""),"$mecha")</f>
        <v>$mecha</v>
      </c>
      <c r="C7474" s="4" t="str">
        <f>IFERROR(__xludf.DUMMYFUNCTION("""COMPUTED_VALUE"""),"Mechanium")</f>
        <v>Mechanium</v>
      </c>
    </row>
    <row r="7475">
      <c r="A7475" s="4" t="str">
        <f>IFERROR(__xludf.DUMMYFUNCTION("""COMPUTED_VALUE"""),"mecha-morphing")</f>
        <v>mecha-morphing</v>
      </c>
      <c r="B7475" s="4" t="str">
        <f>IFERROR(__xludf.DUMMYFUNCTION("""COMPUTED_VALUE"""),"mape")</f>
        <v>mape</v>
      </c>
      <c r="C7475" s="4" t="str">
        <f>IFERROR(__xludf.DUMMYFUNCTION("""COMPUTED_VALUE"""),"Mecha Morphing")</f>
        <v>Mecha Morphing</v>
      </c>
    </row>
    <row r="7476">
      <c r="A7476" s="4" t="str">
        <f>IFERROR(__xludf.DUMMYFUNCTION("""COMPUTED_VALUE"""),"mechaverse")</f>
        <v>mechaverse</v>
      </c>
      <c r="B7476" s="4" t="str">
        <f>IFERROR(__xludf.DUMMYFUNCTION("""COMPUTED_VALUE"""),"mc")</f>
        <v>mc</v>
      </c>
      <c r="C7476" s="4" t="str">
        <f>IFERROR(__xludf.DUMMYFUNCTION("""COMPUTED_VALUE"""),"Mechaverse")</f>
        <v>Mechaverse</v>
      </c>
    </row>
    <row r="7477">
      <c r="A7477" s="4" t="str">
        <f>IFERROR(__xludf.DUMMYFUNCTION("""COMPUTED_VALUE"""),"mechazilla")</f>
        <v>mechazilla</v>
      </c>
      <c r="B7477" s="4" t="str">
        <f>IFERROR(__xludf.DUMMYFUNCTION("""COMPUTED_VALUE"""),"mecha")</f>
        <v>mecha</v>
      </c>
      <c r="C7477" s="4" t="str">
        <f>IFERROR(__xludf.DUMMYFUNCTION("""COMPUTED_VALUE"""),"Mechazilla")</f>
        <v>Mechazilla</v>
      </c>
    </row>
    <row r="7478">
      <c r="A7478" s="4" t="str">
        <f>IFERROR(__xludf.DUMMYFUNCTION("""COMPUTED_VALUE"""),"mech-master")</f>
        <v>mech-master</v>
      </c>
      <c r="B7478" s="4" t="str">
        <f>IFERROR(__xludf.DUMMYFUNCTION("""COMPUTED_VALUE"""),"mech")</f>
        <v>mech</v>
      </c>
      <c r="C7478" s="4" t="str">
        <f>IFERROR(__xludf.DUMMYFUNCTION("""COMPUTED_VALUE"""),"Mech Master")</f>
        <v>Mech Master</v>
      </c>
    </row>
    <row r="7479">
      <c r="A7479" s="4" t="str">
        <f>IFERROR(__xludf.DUMMYFUNCTION("""COMPUTED_VALUE"""),"meconcash")</f>
        <v>meconcash</v>
      </c>
      <c r="B7479" s="4" t="str">
        <f>IFERROR(__xludf.DUMMYFUNCTION("""COMPUTED_VALUE"""),"mch")</f>
        <v>mch</v>
      </c>
      <c r="C7479" s="4" t="str">
        <f>IFERROR(__xludf.DUMMYFUNCTION("""COMPUTED_VALUE"""),"Meconcash")</f>
        <v>Meconcash</v>
      </c>
    </row>
    <row r="7480">
      <c r="A7480" s="4" t="str">
        <f>IFERROR(__xludf.DUMMYFUNCTION("""COMPUTED_VALUE"""),"medamon")</f>
        <v>medamon</v>
      </c>
      <c r="B7480" s="4" t="str">
        <f>IFERROR(__xludf.DUMMYFUNCTION("""COMPUTED_VALUE"""),"mon")</f>
        <v>mon</v>
      </c>
      <c r="C7480" s="4" t="str">
        <f>IFERROR(__xludf.DUMMYFUNCTION("""COMPUTED_VALUE"""),"Medamon")</f>
        <v>Medamon</v>
      </c>
    </row>
    <row r="7481">
      <c r="A7481" s="4" t="str">
        <f>IFERROR(__xludf.DUMMYFUNCTION("""COMPUTED_VALUE"""),"media-licensing-token")</f>
        <v>media-licensing-token</v>
      </c>
      <c r="B7481" s="4" t="str">
        <f>IFERROR(__xludf.DUMMYFUNCTION("""COMPUTED_VALUE"""),"mlt")</f>
        <v>mlt</v>
      </c>
      <c r="C7481" s="4" t="str">
        <f>IFERROR(__xludf.DUMMYFUNCTION("""COMPUTED_VALUE"""),"Media Licensing Token")</f>
        <v>Media Licensing Token</v>
      </c>
    </row>
    <row r="7482">
      <c r="A7482" s="4" t="str">
        <f>IFERROR(__xludf.DUMMYFUNCTION("""COMPUTED_VALUE"""),"media-network")</f>
        <v>media-network</v>
      </c>
      <c r="B7482" s="4" t="str">
        <f>IFERROR(__xludf.DUMMYFUNCTION("""COMPUTED_VALUE"""),"media")</f>
        <v>media</v>
      </c>
      <c r="C7482" s="4" t="str">
        <f>IFERROR(__xludf.DUMMYFUNCTION("""COMPUTED_VALUE"""),"Media Network")</f>
        <v>Media Network</v>
      </c>
    </row>
    <row r="7483">
      <c r="A7483" s="4" t="str">
        <f>IFERROR(__xludf.DUMMYFUNCTION("""COMPUTED_VALUE"""),"medibloc")</f>
        <v>medibloc</v>
      </c>
      <c r="B7483" s="4" t="str">
        <f>IFERROR(__xludf.DUMMYFUNCTION("""COMPUTED_VALUE"""),"med")</f>
        <v>med</v>
      </c>
      <c r="C7483" s="4" t="str">
        <f>IFERROR(__xludf.DUMMYFUNCTION("""COMPUTED_VALUE"""),"Medibloc")</f>
        <v>Medibloc</v>
      </c>
    </row>
    <row r="7484">
      <c r="A7484" s="4" t="str">
        <f>IFERROR(__xludf.DUMMYFUNCTION("""COMPUTED_VALUE"""),"medicalchain")</f>
        <v>medicalchain</v>
      </c>
      <c r="B7484" s="4" t="str">
        <f>IFERROR(__xludf.DUMMYFUNCTION("""COMPUTED_VALUE"""),"mtn")</f>
        <v>mtn</v>
      </c>
      <c r="C7484" s="4" t="str">
        <f>IFERROR(__xludf.DUMMYFUNCTION("""COMPUTED_VALUE"""),"Medicalchain")</f>
        <v>Medicalchain</v>
      </c>
    </row>
    <row r="7485">
      <c r="A7485" s="4" t="str">
        <f>IFERROR(__xludf.DUMMYFUNCTION("""COMPUTED_VALUE"""),"medicalveda")</f>
        <v>medicalveda</v>
      </c>
      <c r="B7485" s="4" t="str">
        <f>IFERROR(__xludf.DUMMYFUNCTION("""COMPUTED_VALUE"""),"mveda")</f>
        <v>mveda</v>
      </c>
      <c r="C7485" s="4" t="str">
        <f>IFERROR(__xludf.DUMMYFUNCTION("""COMPUTED_VALUE"""),"MedicalVeda")</f>
        <v>MedicalVeda</v>
      </c>
    </row>
    <row r="7486">
      <c r="A7486" s="4" t="str">
        <f>IFERROR(__xludf.DUMMYFUNCTION("""COMPUTED_VALUE"""),"medicinal-pork")</f>
        <v>medicinal-pork</v>
      </c>
      <c r="B7486" s="4" t="str">
        <f>IFERROR(__xludf.DUMMYFUNCTION("""COMPUTED_VALUE"""),"mork")</f>
        <v>mork</v>
      </c>
      <c r="C7486" s="4" t="str">
        <f>IFERROR(__xludf.DUMMYFUNCTION("""COMPUTED_VALUE"""),"Medicinal Pork")</f>
        <v>Medicinal Pork</v>
      </c>
    </row>
    <row r="7487">
      <c r="A7487" s="4" t="str">
        <f>IFERROR(__xludf.DUMMYFUNCTION("""COMPUTED_VALUE"""),"medicle")</f>
        <v>medicle</v>
      </c>
      <c r="B7487" s="4" t="str">
        <f>IFERROR(__xludf.DUMMYFUNCTION("""COMPUTED_VALUE"""),"mdi")</f>
        <v>mdi</v>
      </c>
      <c r="C7487" s="4" t="str">
        <f>IFERROR(__xludf.DUMMYFUNCTION("""COMPUTED_VALUE"""),"Medicle")</f>
        <v>Medicle</v>
      </c>
    </row>
    <row r="7488">
      <c r="A7488" s="4" t="str">
        <f>IFERROR(__xludf.DUMMYFUNCTION("""COMPUTED_VALUE"""),"medieus")</f>
        <v>medieus</v>
      </c>
      <c r="B7488" s="4" t="str">
        <f>IFERROR(__xludf.DUMMYFUNCTION("""COMPUTED_VALUE"""),"mdus")</f>
        <v>mdus</v>
      </c>
      <c r="C7488" s="4" t="str">
        <f>IFERROR(__xludf.DUMMYFUNCTION("""COMPUTED_VALUE"""),"MEDIEUS")</f>
        <v>MEDIEUS</v>
      </c>
    </row>
    <row r="7489">
      <c r="A7489" s="4" t="str">
        <f>IFERROR(__xludf.DUMMYFUNCTION("""COMPUTED_VALUE"""),"medieval-empires")</f>
        <v>medieval-empires</v>
      </c>
      <c r="B7489" s="4" t="str">
        <f>IFERROR(__xludf.DUMMYFUNCTION("""COMPUTED_VALUE"""),"mee")</f>
        <v>mee</v>
      </c>
      <c r="C7489" s="4" t="str">
        <f>IFERROR(__xludf.DUMMYFUNCTION("""COMPUTED_VALUE"""),"Medieval Empires")</f>
        <v>Medieval Empires</v>
      </c>
    </row>
    <row r="7490">
      <c r="A7490" s="4" t="str">
        <f>IFERROR(__xludf.DUMMYFUNCTION("""COMPUTED_VALUE"""),"medifakt")</f>
        <v>medifakt</v>
      </c>
      <c r="B7490" s="4" t="str">
        <f>IFERROR(__xludf.DUMMYFUNCTION("""COMPUTED_VALUE"""),"fakt")</f>
        <v>fakt</v>
      </c>
      <c r="C7490" s="4" t="str">
        <f>IFERROR(__xludf.DUMMYFUNCTION("""COMPUTED_VALUE"""),"Medifakt")</f>
        <v>Medifakt</v>
      </c>
    </row>
    <row r="7491">
      <c r="A7491" s="4" t="str">
        <f>IFERROR(__xludf.DUMMYFUNCTION("""COMPUTED_VALUE"""),"medishares")</f>
        <v>medishares</v>
      </c>
      <c r="B7491" s="4" t="str">
        <f>IFERROR(__xludf.DUMMYFUNCTION("""COMPUTED_VALUE"""),"mds")</f>
        <v>mds</v>
      </c>
      <c r="C7491" s="4" t="str">
        <f>IFERROR(__xludf.DUMMYFUNCTION("""COMPUTED_VALUE"""),"MediShares")</f>
        <v>MediShares</v>
      </c>
    </row>
    <row r="7492">
      <c r="A7492" s="4" t="str">
        <f>IFERROR(__xludf.DUMMYFUNCTION("""COMPUTED_VALUE"""),"medping")</f>
        <v>medping</v>
      </c>
      <c r="B7492" s="4" t="str">
        <f>IFERROR(__xludf.DUMMYFUNCTION("""COMPUTED_VALUE"""),"mpg")</f>
        <v>mpg</v>
      </c>
      <c r="C7492" s="4" t="str">
        <f>IFERROR(__xludf.DUMMYFUNCTION("""COMPUTED_VALUE"""),"Medping")</f>
        <v>Medping</v>
      </c>
    </row>
    <row r="7493">
      <c r="A7493" s="4" t="str">
        <f>IFERROR(__xludf.DUMMYFUNCTION("""COMPUTED_VALUE"""),"meeb-master")</f>
        <v>meeb-master</v>
      </c>
      <c r="B7493" s="4" t="str">
        <f>IFERROR(__xludf.DUMMYFUNCTION("""COMPUTED_VALUE"""),"meeb")</f>
        <v>meeb</v>
      </c>
      <c r="C7493" s="4" t="str">
        <f>IFERROR(__xludf.DUMMYFUNCTION("""COMPUTED_VALUE"""),"Meeb Master")</f>
        <v>Meeb Master</v>
      </c>
    </row>
    <row r="7494">
      <c r="A7494" s="4" t="str">
        <f>IFERROR(__xludf.DUMMYFUNCTION("""COMPUTED_VALUE"""),"meeb-vault-nftx")</f>
        <v>meeb-vault-nftx</v>
      </c>
      <c r="B7494" s="4" t="str">
        <f>IFERROR(__xludf.DUMMYFUNCTION("""COMPUTED_VALUE"""),"meeb")</f>
        <v>meeb</v>
      </c>
      <c r="C7494" s="4" t="str">
        <f>IFERROR(__xludf.DUMMYFUNCTION("""COMPUTED_VALUE"""),"MEEB Vault (NFTX)")</f>
        <v>MEEB Vault (NFTX)</v>
      </c>
    </row>
    <row r="7495">
      <c r="A7495" s="4" t="str">
        <f>IFERROR(__xludf.DUMMYFUNCTION("""COMPUTED_VALUE"""),"meeds-dao")</f>
        <v>meeds-dao</v>
      </c>
      <c r="B7495" s="4" t="str">
        <f>IFERROR(__xludf.DUMMYFUNCTION("""COMPUTED_VALUE"""),"meed")</f>
        <v>meed</v>
      </c>
      <c r="C7495" s="4" t="str">
        <f>IFERROR(__xludf.DUMMYFUNCTION("""COMPUTED_VALUE"""),"Meeds DAO")</f>
        <v>Meeds DAO</v>
      </c>
    </row>
    <row r="7496">
      <c r="A7496" s="4" t="str">
        <f>IFERROR(__xludf.DUMMYFUNCTION("""COMPUTED_VALUE"""),"meerkat-shares")</f>
        <v>meerkat-shares</v>
      </c>
      <c r="B7496" s="4" t="str">
        <f>IFERROR(__xludf.DUMMYFUNCTION("""COMPUTED_VALUE"""),"mshare")</f>
        <v>mshare</v>
      </c>
      <c r="C7496" s="4" t="str">
        <f>IFERROR(__xludf.DUMMYFUNCTION("""COMPUTED_VALUE"""),"Meerkat Shares")</f>
        <v>Meerkat Shares</v>
      </c>
    </row>
    <row r="7497">
      <c r="A7497" s="4" t="str">
        <f>IFERROR(__xludf.DUMMYFUNCTION("""COMPUTED_VALUE"""),"meetple")</f>
        <v>meetple</v>
      </c>
      <c r="B7497" s="4" t="str">
        <f>IFERROR(__xludf.DUMMYFUNCTION("""COMPUTED_VALUE"""),"mpt")</f>
        <v>mpt</v>
      </c>
      <c r="C7497" s="4" t="str">
        <f>IFERROR(__xludf.DUMMYFUNCTION("""COMPUTED_VALUE"""),"Meetple")</f>
        <v>Meetple</v>
      </c>
    </row>
    <row r="7498">
      <c r="A7498" s="4" t="str">
        <f>IFERROR(__xludf.DUMMYFUNCTION("""COMPUTED_VALUE"""),"meflex")</f>
        <v>meflex</v>
      </c>
      <c r="B7498" s="4" t="str">
        <f>IFERROR(__xludf.DUMMYFUNCTION("""COMPUTED_VALUE"""),"mef")</f>
        <v>mef</v>
      </c>
      <c r="C7498" s="4" t="str">
        <f>IFERROR(__xludf.DUMMYFUNCTION("""COMPUTED_VALUE"""),"MEFLEX")</f>
        <v>MEFLEX</v>
      </c>
    </row>
    <row r="7499">
      <c r="A7499" s="4" t="str">
        <f>IFERROR(__xludf.DUMMYFUNCTION("""COMPUTED_VALUE"""),"meg4mint")</f>
        <v>meg4mint</v>
      </c>
      <c r="B7499" s="4" t="str">
        <f>IFERROR(__xludf.DUMMYFUNCTION("""COMPUTED_VALUE"""),"meg")</f>
        <v>meg</v>
      </c>
      <c r="C7499" s="4" t="str">
        <f>IFERROR(__xludf.DUMMYFUNCTION("""COMPUTED_VALUE"""),"Meg4mint")</f>
        <v>Meg4mint</v>
      </c>
    </row>
    <row r="7500">
      <c r="A7500" s="4" t="str">
        <f>IFERROR(__xludf.DUMMYFUNCTION("""COMPUTED_VALUE"""),"megabot")</f>
        <v>megabot</v>
      </c>
      <c r="B7500" s="4" t="str">
        <f>IFERROR(__xludf.DUMMYFUNCTION("""COMPUTED_VALUE"""),"megabot")</f>
        <v>megabot</v>
      </c>
      <c r="C7500" s="4" t="str">
        <f>IFERROR(__xludf.DUMMYFUNCTION("""COMPUTED_VALUE"""),"Megabot")</f>
        <v>Megabot</v>
      </c>
    </row>
    <row r="7501">
      <c r="A7501" s="4" t="str">
        <f>IFERROR(__xludf.DUMMYFUNCTION("""COMPUTED_VALUE"""),"megalink")</f>
        <v>megalink</v>
      </c>
      <c r="B7501" s="4" t="str">
        <f>IFERROR(__xludf.DUMMYFUNCTION("""COMPUTED_VALUE"""),"mg8")</f>
        <v>mg8</v>
      </c>
      <c r="C7501" s="4" t="str">
        <f>IFERROR(__xludf.DUMMYFUNCTION("""COMPUTED_VALUE"""),"Megalink")</f>
        <v>Megalink</v>
      </c>
    </row>
    <row r="7502">
      <c r="A7502" s="4" t="str">
        <f>IFERROR(__xludf.DUMMYFUNCTION("""COMPUTED_VALUE"""),"megalodon")</f>
        <v>megalodon</v>
      </c>
      <c r="B7502" s="4" t="str">
        <f>IFERROR(__xludf.DUMMYFUNCTION("""COMPUTED_VALUE"""),"mega")</f>
        <v>mega</v>
      </c>
      <c r="C7502" s="4" t="str">
        <f>IFERROR(__xludf.DUMMYFUNCTION("""COMPUTED_VALUE"""),"MEGALODON")</f>
        <v>MEGALODON</v>
      </c>
    </row>
    <row r="7503">
      <c r="A7503" s="4" t="str">
        <f>IFERROR(__xludf.DUMMYFUNCTION("""COMPUTED_VALUE"""),"megapix")</f>
        <v>megapix</v>
      </c>
      <c r="B7503" s="4" t="str">
        <f>IFERROR(__xludf.DUMMYFUNCTION("""COMPUTED_VALUE"""),"mpix")</f>
        <v>mpix</v>
      </c>
      <c r="C7503" s="4" t="str">
        <f>IFERROR(__xludf.DUMMYFUNCTION("""COMPUTED_VALUE"""),"Megapix")</f>
        <v>Megapix</v>
      </c>
    </row>
    <row r="7504">
      <c r="A7504" s="4" t="str">
        <f>IFERROR(__xludf.DUMMYFUNCTION("""COMPUTED_VALUE"""),"megapont")</f>
        <v>megapont</v>
      </c>
      <c r="B7504" s="4" t="str">
        <f>IFERROR(__xludf.DUMMYFUNCTION("""COMPUTED_VALUE"""),"mega")</f>
        <v>mega</v>
      </c>
      <c r="C7504" s="4" t="str">
        <f>IFERROR(__xludf.DUMMYFUNCTION("""COMPUTED_VALUE"""),"Megapont")</f>
        <v>Megapont</v>
      </c>
    </row>
    <row r="7505">
      <c r="A7505" s="4" t="str">
        <f>IFERROR(__xludf.DUMMYFUNCTION("""COMPUTED_VALUE"""),"megashibazilla")</f>
        <v>megashibazilla</v>
      </c>
      <c r="B7505" s="4" t="str">
        <f>IFERROR(__xludf.DUMMYFUNCTION("""COMPUTED_VALUE"""),"msz")</f>
        <v>msz</v>
      </c>
      <c r="C7505" s="4" t="str">
        <f>IFERROR(__xludf.DUMMYFUNCTION("""COMPUTED_VALUE"""),"MegaShibaZilla")</f>
        <v>MegaShibaZilla</v>
      </c>
    </row>
    <row r="7506">
      <c r="A7506" s="4" t="str">
        <f>IFERROR(__xludf.DUMMYFUNCTION("""COMPUTED_VALUE"""),"megatech")</f>
        <v>megatech</v>
      </c>
      <c r="B7506" s="4" t="str">
        <f>IFERROR(__xludf.DUMMYFUNCTION("""COMPUTED_VALUE"""),"mgt")</f>
        <v>mgt</v>
      </c>
      <c r="C7506" s="4" t="str">
        <f>IFERROR(__xludf.DUMMYFUNCTION("""COMPUTED_VALUE"""),"Megatech")</f>
        <v>Megatech</v>
      </c>
    </row>
    <row r="7507">
      <c r="A7507" s="4" t="str">
        <f>IFERROR(__xludf.DUMMYFUNCTION("""COMPUTED_VALUE"""),"megatoken")</f>
        <v>megatoken</v>
      </c>
      <c r="B7507" s="4" t="str">
        <f>IFERROR(__xludf.DUMMYFUNCTION("""COMPUTED_VALUE"""),"mega")</f>
        <v>mega</v>
      </c>
      <c r="C7507" s="4" t="str">
        <f>IFERROR(__xludf.DUMMYFUNCTION("""COMPUTED_VALUE"""),"MegaToken")</f>
        <v>MegaToken</v>
      </c>
    </row>
    <row r="7508">
      <c r="A7508" s="4" t="str">
        <f>IFERROR(__xludf.DUMMYFUNCTION("""COMPUTED_VALUE"""),"megaton-finance")</f>
        <v>megaton-finance</v>
      </c>
      <c r="B7508" s="4" t="str">
        <f>IFERROR(__xludf.DUMMYFUNCTION("""COMPUTED_VALUE"""),"mega")</f>
        <v>mega</v>
      </c>
      <c r="C7508" s="4" t="str">
        <f>IFERROR(__xludf.DUMMYFUNCTION("""COMPUTED_VALUE"""),"Megaton Finance")</f>
        <v>Megaton Finance</v>
      </c>
    </row>
    <row r="7509">
      <c r="A7509" s="4" t="str">
        <f>IFERROR(__xludf.DUMMYFUNCTION("""COMPUTED_VALUE"""),"megaton-finance-wrapped-toncoin")</f>
        <v>megaton-finance-wrapped-toncoin</v>
      </c>
      <c r="B7509" s="4" t="str">
        <f>IFERROR(__xludf.DUMMYFUNCTION("""COMPUTED_VALUE"""),"wton")</f>
        <v>wton</v>
      </c>
      <c r="C7509" s="4" t="str">
        <f>IFERROR(__xludf.DUMMYFUNCTION("""COMPUTED_VALUE"""),"Megaton Finance Wrapped Toncoin")</f>
        <v>Megaton Finance Wrapped Toncoin</v>
      </c>
    </row>
    <row r="7510">
      <c r="A7510" s="4" t="str">
        <f>IFERROR(__xludf.DUMMYFUNCTION("""COMPUTED_VALUE"""),"megaweapon")</f>
        <v>megaweapon</v>
      </c>
      <c r="B7510" s="4" t="str">
        <f>IFERROR(__xludf.DUMMYFUNCTION("""COMPUTED_VALUE"""),"$weapon")</f>
        <v>$weapon</v>
      </c>
      <c r="C7510" s="4" t="str">
        <f>IFERROR(__xludf.DUMMYFUNCTION("""COMPUTED_VALUE"""),"Megaweapon")</f>
        <v>Megaweapon</v>
      </c>
    </row>
    <row r="7511">
      <c r="A7511" s="4" t="str">
        <f>IFERROR(__xludf.DUMMYFUNCTION("""COMPUTED_VALUE"""),"megaworld")</f>
        <v>megaworld</v>
      </c>
      <c r="B7511" s="4" t="str">
        <f>IFERROR(__xludf.DUMMYFUNCTION("""COMPUTED_VALUE"""),"mega")</f>
        <v>mega</v>
      </c>
      <c r="C7511" s="4" t="str">
        <f>IFERROR(__xludf.DUMMYFUNCTION("""COMPUTED_VALUE"""),"MegaWorld")</f>
        <v>MegaWorld</v>
      </c>
    </row>
    <row r="7512">
      <c r="A7512" s="4" t="str">
        <f>IFERROR(__xludf.DUMMYFUNCTION("""COMPUTED_VALUE"""),"mega-yacht-cult")</f>
        <v>mega-yacht-cult</v>
      </c>
      <c r="B7512" s="4" t="str">
        <f>IFERROR(__xludf.DUMMYFUNCTION("""COMPUTED_VALUE"""),"myc")</f>
        <v>myc</v>
      </c>
      <c r="C7512" s="4" t="str">
        <f>IFERROR(__xludf.DUMMYFUNCTION("""COMPUTED_VALUE"""),"Mega Yacht Cult")</f>
        <v>Mega Yacht Cult</v>
      </c>
    </row>
    <row r="7513">
      <c r="A7513" s="4" t="str">
        <f>IFERROR(__xludf.DUMMYFUNCTION("""COMPUTED_VALUE"""),"me-gusta")</f>
        <v>me-gusta</v>
      </c>
      <c r="B7513" s="4" t="str">
        <f>IFERROR(__xludf.DUMMYFUNCTION("""COMPUTED_VALUE"""),"gusta")</f>
        <v>gusta</v>
      </c>
      <c r="C7513" s="4" t="str">
        <f>IFERROR(__xludf.DUMMYFUNCTION("""COMPUTED_VALUE"""),"Me Gusta")</f>
        <v>Me Gusta</v>
      </c>
    </row>
    <row r="7514">
      <c r="A7514" s="4" t="str">
        <f>IFERROR(__xludf.DUMMYFUNCTION("""COMPUTED_VALUE"""),"meld")</f>
        <v>meld</v>
      </c>
      <c r="B7514" s="4" t="str">
        <f>IFERROR(__xludf.DUMMYFUNCTION("""COMPUTED_VALUE"""),"meld")</f>
        <v>meld</v>
      </c>
      <c r="C7514" s="4" t="str">
        <f>IFERROR(__xludf.DUMMYFUNCTION("""COMPUTED_VALUE"""),"MELD [OLD]")</f>
        <v>MELD [OLD]</v>
      </c>
    </row>
    <row r="7515">
      <c r="A7515" s="4" t="str">
        <f>IFERROR(__xludf.DUMMYFUNCTION("""COMPUTED_VALUE"""),"meld-2")</f>
        <v>meld-2</v>
      </c>
      <c r="B7515" s="4" t="str">
        <f>IFERROR(__xludf.DUMMYFUNCTION("""COMPUTED_VALUE"""),"meld")</f>
        <v>meld</v>
      </c>
      <c r="C7515" s="4" t="str">
        <f>IFERROR(__xludf.DUMMYFUNCTION("""COMPUTED_VALUE"""),"MELD")</f>
        <v>MELD</v>
      </c>
    </row>
    <row r="7516">
      <c r="A7516" s="4" t="str">
        <f>IFERROR(__xludf.DUMMYFUNCTION("""COMPUTED_VALUE"""),"meld-gold")</f>
        <v>meld-gold</v>
      </c>
      <c r="B7516" s="4" t="str">
        <f>IFERROR(__xludf.DUMMYFUNCTION("""COMPUTED_VALUE"""),"mcau")</f>
        <v>mcau</v>
      </c>
      <c r="C7516" s="4" t="str">
        <f>IFERROR(__xludf.DUMMYFUNCTION("""COMPUTED_VALUE"""),"Meld Gold")</f>
        <v>Meld Gold</v>
      </c>
    </row>
    <row r="7517">
      <c r="A7517" s="4" t="str">
        <f>IFERROR(__xludf.DUMMYFUNCTION("""COMPUTED_VALUE"""),"melega")</f>
        <v>melega</v>
      </c>
      <c r="B7517" s="4" t="str">
        <f>IFERROR(__xludf.DUMMYFUNCTION("""COMPUTED_VALUE"""),"marco")</f>
        <v>marco</v>
      </c>
      <c r="C7517" s="4" t="str">
        <f>IFERROR(__xludf.DUMMYFUNCTION("""COMPUTED_VALUE"""),"Melega")</f>
        <v>Melega</v>
      </c>
    </row>
    <row r="7518">
      <c r="A7518" s="4" t="str">
        <f>IFERROR(__xludf.DUMMYFUNCTION("""COMPUTED_VALUE"""),"meli-games")</f>
        <v>meli-games</v>
      </c>
      <c r="B7518" s="4" t="str">
        <f>IFERROR(__xludf.DUMMYFUNCTION("""COMPUTED_VALUE"""),"meli")</f>
        <v>meli</v>
      </c>
      <c r="C7518" s="4" t="str">
        <f>IFERROR(__xludf.DUMMYFUNCTION("""COMPUTED_VALUE"""),"Meli Games")</f>
        <v>Meli Games</v>
      </c>
    </row>
    <row r="7519">
      <c r="A7519" s="4" t="str">
        <f>IFERROR(__xludf.DUMMYFUNCTION("""COMPUTED_VALUE"""),"mellivora")</f>
        <v>mellivora</v>
      </c>
      <c r="B7519" s="4" t="str">
        <f>IFERROR(__xludf.DUMMYFUNCTION("""COMPUTED_VALUE"""),"mell")</f>
        <v>mell</v>
      </c>
      <c r="C7519" s="4" t="str">
        <f>IFERROR(__xludf.DUMMYFUNCTION("""COMPUTED_VALUE"""),"Mellivora")</f>
        <v>Mellivora</v>
      </c>
    </row>
    <row r="7520">
      <c r="A7520" s="4" t="str">
        <f>IFERROR(__xludf.DUMMYFUNCTION("""COMPUTED_VALUE"""),"melon")</f>
        <v>melon</v>
      </c>
      <c r="B7520" s="4" t="str">
        <f>IFERROR(__xludf.DUMMYFUNCTION("""COMPUTED_VALUE"""),"mln")</f>
        <v>mln</v>
      </c>
      <c r="C7520" s="4" t="str">
        <f>IFERROR(__xludf.DUMMYFUNCTION("""COMPUTED_VALUE"""),"Enzyme")</f>
        <v>Enzyme</v>
      </c>
    </row>
    <row r="7521">
      <c r="A7521" s="4" t="str">
        <f>IFERROR(__xludf.DUMMYFUNCTION("""COMPUTED_VALUE"""),"melon-2")</f>
        <v>melon-2</v>
      </c>
      <c r="B7521" s="4" t="str">
        <f>IFERROR(__xludf.DUMMYFUNCTION("""COMPUTED_VALUE"""),"melon")</f>
        <v>melon</v>
      </c>
      <c r="C7521" s="4" t="str">
        <f>IFERROR(__xludf.DUMMYFUNCTION("""COMPUTED_VALUE"""),"MELON")</f>
        <v>MELON</v>
      </c>
    </row>
    <row r="7522">
      <c r="A7522" s="4" t="str">
        <f>IFERROR(__xludf.DUMMYFUNCTION("""COMPUTED_VALUE"""),"melon-dog")</f>
        <v>melon-dog</v>
      </c>
      <c r="B7522" s="4" t="str">
        <f>IFERROR(__xludf.DUMMYFUNCTION("""COMPUTED_VALUE"""),"melon")</f>
        <v>melon</v>
      </c>
      <c r="C7522" s="4" t="str">
        <f>IFERROR(__xludf.DUMMYFUNCTION("""COMPUTED_VALUE"""),"Melon Dog")</f>
        <v>Melon Dog</v>
      </c>
    </row>
    <row r="7523">
      <c r="A7523" s="4" t="str">
        <f>IFERROR(__xludf.DUMMYFUNCTION("""COMPUTED_VALUE"""),"melos-studio")</f>
        <v>melos-studio</v>
      </c>
      <c r="B7523" s="4" t="str">
        <f>IFERROR(__xludf.DUMMYFUNCTION("""COMPUTED_VALUE"""),"melos")</f>
        <v>melos</v>
      </c>
      <c r="C7523" s="4" t="str">
        <f>IFERROR(__xludf.DUMMYFUNCTION("""COMPUTED_VALUE"""),"Melos Studio")</f>
        <v>Melos Studio</v>
      </c>
    </row>
    <row r="7524">
      <c r="A7524" s="4" t="str">
        <f>IFERROR(__xludf.DUMMYFUNCTION("""COMPUTED_VALUE"""),"member")</f>
        <v>member</v>
      </c>
      <c r="B7524" s="4" t="str">
        <f>IFERROR(__xludf.DUMMYFUNCTION("""COMPUTED_VALUE"""),"member")</f>
        <v>member</v>
      </c>
      <c r="C7524" s="4" t="str">
        <f>IFERROR(__xludf.DUMMYFUNCTION("""COMPUTED_VALUE"""),"member")</f>
        <v>member</v>
      </c>
    </row>
    <row r="7525">
      <c r="A7525" s="4" t="str">
        <f>IFERROR(__xludf.DUMMYFUNCTION("""COMPUTED_VALUE"""),"membrane")</f>
        <v>membrane</v>
      </c>
      <c r="B7525" s="4" t="str">
        <f>IFERROR(__xludf.DUMMYFUNCTION("""COMPUTED_VALUE"""),"mbrn")</f>
        <v>mbrn</v>
      </c>
      <c r="C7525" s="4" t="str">
        <f>IFERROR(__xludf.DUMMYFUNCTION("""COMPUTED_VALUE"""),"Membrane")</f>
        <v>Membrane</v>
      </c>
    </row>
    <row r="7526">
      <c r="A7526" s="4" t="str">
        <f>IFERROR(__xludf.DUMMYFUNCTION("""COMPUTED_VALUE"""),"meme-ai")</f>
        <v>meme-ai</v>
      </c>
      <c r="B7526" s="4" t="str">
        <f>IFERROR(__xludf.DUMMYFUNCTION("""COMPUTED_VALUE"""),"memeai")</f>
        <v>memeai</v>
      </c>
      <c r="C7526" s="4" t="str">
        <f>IFERROR(__xludf.DUMMYFUNCTION("""COMPUTED_VALUE"""),"Meme AI")</f>
        <v>Meme AI</v>
      </c>
    </row>
    <row r="7527">
      <c r="A7527" s="4" t="str">
        <f>IFERROR(__xludf.DUMMYFUNCTION("""COMPUTED_VALUE"""),"meme-ai-coin")</f>
        <v>meme-ai-coin</v>
      </c>
      <c r="B7527" s="4" t="str">
        <f>IFERROR(__xludf.DUMMYFUNCTION("""COMPUTED_VALUE"""),"memeai")</f>
        <v>memeai</v>
      </c>
      <c r="C7527" s="4" t="str">
        <f>IFERROR(__xludf.DUMMYFUNCTION("""COMPUTED_VALUE"""),"Meme AI Coin")</f>
        <v>Meme AI Coin</v>
      </c>
    </row>
    <row r="7528">
      <c r="A7528" s="4" t="str">
        <f>IFERROR(__xludf.DUMMYFUNCTION("""COMPUTED_VALUE"""),"meme-alliance")</f>
        <v>meme-alliance</v>
      </c>
      <c r="B7528" s="4" t="str">
        <f>IFERROR(__xludf.DUMMYFUNCTION("""COMPUTED_VALUE"""),"mma")</f>
        <v>mma</v>
      </c>
      <c r="C7528" s="4" t="str">
        <f>IFERROR(__xludf.DUMMYFUNCTION("""COMPUTED_VALUE"""),"Meme Alliance")</f>
        <v>Meme Alliance</v>
      </c>
    </row>
    <row r="7529">
      <c r="A7529" s="4" t="str">
        <f>IFERROR(__xludf.DUMMYFUNCTION("""COMPUTED_VALUE"""),"meme-brc-20")</f>
        <v>meme-brc-20</v>
      </c>
      <c r="B7529" s="4" t="str">
        <f>IFERROR(__xludf.DUMMYFUNCTION("""COMPUTED_VALUE"""),"meme")</f>
        <v>meme</v>
      </c>
      <c r="C7529" s="4" t="str">
        <f>IFERROR(__xludf.DUMMYFUNCTION("""COMPUTED_VALUE"""),"MEME (Ordinals)")</f>
        <v>MEME (Ordinals)</v>
      </c>
    </row>
    <row r="7530">
      <c r="A7530" s="4" t="str">
        <f>IFERROR(__xludf.DUMMYFUNCTION("""COMPUTED_VALUE"""),"memebull")</f>
        <v>memebull</v>
      </c>
      <c r="B7530" s="4" t="str">
        <f>IFERROR(__xludf.DUMMYFUNCTION("""COMPUTED_VALUE"""),"memebull")</f>
        <v>memebull</v>
      </c>
      <c r="C7530" s="4" t="str">
        <f>IFERROR(__xludf.DUMMYFUNCTION("""COMPUTED_VALUE"""),"MemeBull")</f>
        <v>MemeBull</v>
      </c>
    </row>
    <row r="7531">
      <c r="A7531" s="4" t="str">
        <f>IFERROR(__xludf.DUMMYFUNCTION("""COMPUTED_VALUE"""),"memecoin")</f>
        <v>memecoin</v>
      </c>
      <c r="B7531" s="4" t="str">
        <f>IFERROR(__xludf.DUMMYFUNCTION("""COMPUTED_VALUE"""),"mem")</f>
        <v>mem</v>
      </c>
      <c r="C7531" s="4" t="str">
        <f>IFERROR(__xludf.DUMMYFUNCTION("""COMPUTED_VALUE"""),"Memecoin")</f>
        <v>Memecoin</v>
      </c>
    </row>
    <row r="7532">
      <c r="A7532" s="4" t="str">
        <f>IFERROR(__xludf.DUMMYFUNCTION("""COMPUTED_VALUE"""),"memecoin-2")</f>
        <v>memecoin-2</v>
      </c>
      <c r="B7532" s="4" t="str">
        <f>IFERROR(__xludf.DUMMYFUNCTION("""COMPUTED_VALUE"""),"meme")</f>
        <v>meme</v>
      </c>
      <c r="C7532" s="4" t="str">
        <f>IFERROR(__xludf.DUMMYFUNCTION("""COMPUTED_VALUE"""),"Memecoin")</f>
        <v>Memecoin</v>
      </c>
    </row>
    <row r="7533">
      <c r="A7533" s="4" t="str">
        <f>IFERROR(__xludf.DUMMYFUNCTION("""COMPUTED_VALUE"""),"memecoindao")</f>
        <v>memecoindao</v>
      </c>
      <c r="B7533" s="4" t="str">
        <f>IFERROR(__xludf.DUMMYFUNCTION("""COMPUTED_VALUE"""),"$memes")</f>
        <v>$memes</v>
      </c>
      <c r="C7533" s="4" t="str">
        <f>IFERROR(__xludf.DUMMYFUNCTION("""COMPUTED_VALUE"""),"Memecoindao")</f>
        <v>Memecoindao</v>
      </c>
    </row>
    <row r="7534">
      <c r="A7534" s="4" t="str">
        <f>IFERROR(__xludf.DUMMYFUNCTION("""COMPUTED_VALUE"""),"meme-cult")</f>
        <v>meme-cult</v>
      </c>
      <c r="B7534" s="4" t="str">
        <f>IFERROR(__xludf.DUMMYFUNCTION("""COMPUTED_VALUE"""),"mcult")</f>
        <v>mcult</v>
      </c>
      <c r="C7534" s="4" t="str">
        <f>IFERROR(__xludf.DUMMYFUNCTION("""COMPUTED_VALUE"""),"Meme Cult")</f>
        <v>Meme Cult</v>
      </c>
    </row>
    <row r="7535">
      <c r="A7535" s="4" t="str">
        <f>IFERROR(__xludf.DUMMYFUNCTION("""COMPUTED_VALUE"""),"memedao")</f>
        <v>memedao</v>
      </c>
      <c r="B7535" s="4" t="str">
        <f>IFERROR(__xludf.DUMMYFUNCTION("""COMPUTED_VALUE"""),"memd")</f>
        <v>memd</v>
      </c>
      <c r="C7535" s="4" t="str">
        <f>IFERROR(__xludf.DUMMYFUNCTION("""COMPUTED_VALUE"""),"MemeDAO")</f>
        <v>MemeDAO</v>
      </c>
    </row>
    <row r="7536">
      <c r="A7536" s="4" t="str">
        <f>IFERROR(__xludf.DUMMYFUNCTION("""COMPUTED_VALUE"""),"memedao-ai")</f>
        <v>memedao-ai</v>
      </c>
      <c r="B7536" s="4" t="str">
        <f>IFERROR(__xludf.DUMMYFUNCTION("""COMPUTED_VALUE"""),"mdai")</f>
        <v>mdai</v>
      </c>
      <c r="C7536" s="5" t="str">
        <f>IFERROR(__xludf.DUMMYFUNCTION("""COMPUTED_VALUE"""),"MemeDao.Ai")</f>
        <v>MemeDao.Ai</v>
      </c>
    </row>
    <row r="7537">
      <c r="A7537" s="4" t="str">
        <f>IFERROR(__xludf.DUMMYFUNCTION("""COMPUTED_VALUE"""),"memedefi")</f>
        <v>memedefi</v>
      </c>
      <c r="B7537" s="4" t="str">
        <f>IFERROR(__xludf.DUMMYFUNCTION("""COMPUTED_VALUE"""),"memefi")</f>
        <v>memefi</v>
      </c>
      <c r="C7537" s="4" t="str">
        <f>IFERROR(__xludf.DUMMYFUNCTION("""COMPUTED_VALUE"""),"MemeDefi")</f>
        <v>MemeDefi</v>
      </c>
    </row>
    <row r="7538">
      <c r="A7538" s="4" t="str">
        <f>IFERROR(__xludf.DUMMYFUNCTION("""COMPUTED_VALUE"""),"meme-elon-doge-floki-2")</f>
        <v>meme-elon-doge-floki-2</v>
      </c>
      <c r="B7538" s="4" t="str">
        <f>IFERROR(__xludf.DUMMYFUNCTION("""COMPUTED_VALUE"""),"memelon")</f>
        <v>memelon</v>
      </c>
      <c r="C7538" s="4" t="str">
        <f>IFERROR(__xludf.DUMMYFUNCTION("""COMPUTED_VALUE"""),"Meme Elon Doge Floki")</f>
        <v>Meme Elon Doge Floki</v>
      </c>
    </row>
    <row r="7539">
      <c r="A7539" s="4" t="str">
        <f>IFERROR(__xludf.DUMMYFUNCTION("""COMPUTED_VALUE"""),"memeetf")</f>
        <v>memeetf</v>
      </c>
      <c r="B7539" s="4" t="str">
        <f>IFERROR(__xludf.DUMMYFUNCTION("""COMPUTED_VALUE"""),"memeetf")</f>
        <v>memeetf</v>
      </c>
      <c r="C7539" s="4" t="str">
        <f>IFERROR(__xludf.DUMMYFUNCTION("""COMPUTED_VALUE"""),"Bitget MemeETF")</f>
        <v>Bitget MemeETF</v>
      </c>
    </row>
    <row r="7540">
      <c r="A7540" s="4" t="str">
        <f>IFERROR(__xludf.DUMMYFUNCTION("""COMPUTED_VALUE"""),"meme-etf")</f>
        <v>meme-etf</v>
      </c>
      <c r="B7540" s="4" t="str">
        <f>IFERROR(__xludf.DUMMYFUNCTION("""COMPUTED_VALUE"""),"memeetf")</f>
        <v>memeetf</v>
      </c>
      <c r="C7540" s="4" t="str">
        <f>IFERROR(__xludf.DUMMYFUNCTION("""COMPUTED_VALUE"""),"Meme ETF")</f>
        <v>Meme ETF</v>
      </c>
    </row>
    <row r="7541">
      <c r="A7541" s="4" t="str">
        <f>IFERROR(__xludf.DUMMYFUNCTION("""COMPUTED_VALUE"""),"memefi-toybox-404")</f>
        <v>memefi-toybox-404</v>
      </c>
      <c r="B7541" s="4" t="str">
        <f>IFERROR(__xludf.DUMMYFUNCTION("""COMPUTED_VALUE"""),"toybox")</f>
        <v>toybox</v>
      </c>
      <c r="C7541" s="4" t="str">
        <f>IFERROR(__xludf.DUMMYFUNCTION("""COMPUTED_VALUE"""),"Memefi Toybox 404")</f>
        <v>Memefi Toybox 404</v>
      </c>
    </row>
    <row r="7542">
      <c r="A7542" s="4" t="str">
        <f>IFERROR(__xludf.DUMMYFUNCTION("""COMPUTED_VALUE"""),"memeflate")</f>
        <v>memeflate</v>
      </c>
      <c r="B7542" s="4" t="str">
        <f>IFERROR(__xludf.DUMMYFUNCTION("""COMPUTED_VALUE"""),"mflate")</f>
        <v>mflate</v>
      </c>
      <c r="C7542" s="4" t="str">
        <f>IFERROR(__xludf.DUMMYFUNCTION("""COMPUTED_VALUE"""),"Memeflate")</f>
        <v>Memeflate</v>
      </c>
    </row>
    <row r="7543">
      <c r="A7543" s="4" t="str">
        <f>IFERROR(__xludf.DUMMYFUNCTION("""COMPUTED_VALUE"""),"memehub")</f>
        <v>memehub</v>
      </c>
      <c r="B7543" s="4" t="str">
        <f>IFERROR(__xludf.DUMMYFUNCTION("""COMPUTED_VALUE"""),"memehub")</f>
        <v>memehub</v>
      </c>
      <c r="C7543" s="4" t="str">
        <f>IFERROR(__xludf.DUMMYFUNCTION("""COMPUTED_VALUE"""),"Memehub")</f>
        <v>Memehub</v>
      </c>
    </row>
    <row r="7544">
      <c r="A7544" s="4" t="str">
        <f>IFERROR(__xludf.DUMMYFUNCTION("""COMPUTED_VALUE"""),"meme-inu")</f>
        <v>meme-inu</v>
      </c>
      <c r="B7544" s="4" t="str">
        <f>IFERROR(__xludf.DUMMYFUNCTION("""COMPUTED_VALUE"""),"meme")</f>
        <v>meme</v>
      </c>
      <c r="C7544" s="4" t="str">
        <f>IFERROR(__xludf.DUMMYFUNCTION("""COMPUTED_VALUE"""),"Meme Inu")</f>
        <v>Meme Inu</v>
      </c>
    </row>
    <row r="7545">
      <c r="A7545" s="4" t="str">
        <f>IFERROR(__xludf.DUMMYFUNCTION("""COMPUTED_VALUE"""),"meme-kombat")</f>
        <v>meme-kombat</v>
      </c>
      <c r="B7545" s="4" t="str">
        <f>IFERROR(__xludf.DUMMYFUNCTION("""COMPUTED_VALUE"""),"mk")</f>
        <v>mk</v>
      </c>
      <c r="C7545" s="4" t="str">
        <f>IFERROR(__xludf.DUMMYFUNCTION("""COMPUTED_VALUE"""),"Meme Kombat")</f>
        <v>Meme Kombat</v>
      </c>
    </row>
    <row r="7546">
      <c r="A7546" s="4" t="str">
        <f>IFERROR(__xludf.DUMMYFUNCTION("""COMPUTED_VALUE"""),"meme-lordz")</f>
        <v>meme-lordz</v>
      </c>
      <c r="B7546" s="4" t="str">
        <f>IFERROR(__xludf.DUMMYFUNCTION("""COMPUTED_VALUE"""),"lordz")</f>
        <v>lordz</v>
      </c>
      <c r="C7546" s="4" t="str">
        <f>IFERROR(__xludf.DUMMYFUNCTION("""COMPUTED_VALUE"""),"Meme Lordz")</f>
        <v>Meme Lordz</v>
      </c>
    </row>
    <row r="7547">
      <c r="A7547" s="4" t="str">
        <f>IFERROR(__xludf.DUMMYFUNCTION("""COMPUTED_VALUE"""),"mememe")</f>
        <v>mememe</v>
      </c>
      <c r="B7547" s="4" t="str">
        <f>IFERROR(__xludf.DUMMYFUNCTION("""COMPUTED_VALUE"""),"$mememe")</f>
        <v>$mememe</v>
      </c>
      <c r="C7547" s="4" t="str">
        <f>IFERROR(__xludf.DUMMYFUNCTION("""COMPUTED_VALUE"""),"MEMEME")</f>
        <v>MEMEME</v>
      </c>
    </row>
    <row r="7548">
      <c r="A7548" s="4" t="str">
        <f>IFERROR(__xludf.DUMMYFUNCTION("""COMPUTED_VALUE"""),"meme-mint")</f>
        <v>meme-mint</v>
      </c>
      <c r="B7548" s="4" t="str">
        <f>IFERROR(__xludf.DUMMYFUNCTION("""COMPUTED_VALUE"""),"mememint")</f>
        <v>mememint</v>
      </c>
      <c r="C7548" s="4" t="str">
        <f>IFERROR(__xludf.DUMMYFUNCTION("""COMPUTED_VALUE"""),"MEME MINT")</f>
        <v>MEME MINT</v>
      </c>
    </row>
    <row r="7549">
      <c r="A7549" s="4" t="str">
        <f>IFERROR(__xludf.DUMMYFUNCTION("""COMPUTED_VALUE"""),"meme-moguls")</f>
        <v>meme-moguls</v>
      </c>
      <c r="B7549" s="4" t="str">
        <f>IFERROR(__xludf.DUMMYFUNCTION("""COMPUTED_VALUE"""),"mgls")</f>
        <v>mgls</v>
      </c>
      <c r="C7549" s="4" t="str">
        <f>IFERROR(__xludf.DUMMYFUNCTION("""COMPUTED_VALUE"""),"Meme Moguls")</f>
        <v>Meme Moguls</v>
      </c>
    </row>
    <row r="7550">
      <c r="A7550" s="4" t="str">
        <f>IFERROR(__xludf.DUMMYFUNCTION("""COMPUTED_VALUE"""),"meme-musk")</f>
        <v>meme-musk</v>
      </c>
      <c r="B7550" s="4" t="str">
        <f>IFERROR(__xludf.DUMMYFUNCTION("""COMPUTED_VALUE"""),"mememusk")</f>
        <v>mememusk</v>
      </c>
      <c r="C7550" s="4" t="str">
        <f>IFERROR(__xludf.DUMMYFUNCTION("""COMPUTED_VALUE"""),"MEME MUSK")</f>
        <v>MEME MUSK</v>
      </c>
    </row>
    <row r="7551">
      <c r="A7551" s="4" t="str">
        <f>IFERROR(__xludf.DUMMYFUNCTION("""COMPUTED_VALUE"""),"meme-network")</f>
        <v>meme-network</v>
      </c>
      <c r="B7551" s="4" t="str">
        <f>IFERROR(__xludf.DUMMYFUNCTION("""COMPUTED_VALUE"""),"meme")</f>
        <v>meme</v>
      </c>
      <c r="C7551" s="4" t="str">
        <f>IFERROR(__xludf.DUMMYFUNCTION("""COMPUTED_VALUE"""),"Meme Network")</f>
        <v>Meme Network</v>
      </c>
    </row>
    <row r="7552">
      <c r="A7552" s="4" t="str">
        <f>IFERROR(__xludf.DUMMYFUNCTION("""COMPUTED_VALUE"""),"memepad")</f>
        <v>memepad</v>
      </c>
      <c r="B7552" s="4" t="str">
        <f>IFERROR(__xludf.DUMMYFUNCTION("""COMPUTED_VALUE"""),"mepad")</f>
        <v>mepad</v>
      </c>
      <c r="C7552" s="4" t="str">
        <f>IFERROR(__xludf.DUMMYFUNCTION("""COMPUTED_VALUE"""),"MemePad")</f>
        <v>MemePad</v>
      </c>
    </row>
    <row r="7553">
      <c r="A7553" s="4" t="str">
        <f>IFERROR(__xludf.DUMMYFUNCTION("""COMPUTED_VALUE"""),"memes-casino")</f>
        <v>memes-casino</v>
      </c>
      <c r="B7553" s="4" t="str">
        <f>IFERROR(__xludf.DUMMYFUNCTION("""COMPUTED_VALUE"""),"memes")</f>
        <v>memes</v>
      </c>
      <c r="C7553" s="4" t="str">
        <f>IFERROR(__xludf.DUMMYFUNCTION("""COMPUTED_VALUE"""),"Memes Casino")</f>
        <v>Memes Casino</v>
      </c>
    </row>
    <row r="7554">
      <c r="A7554" s="4" t="str">
        <f>IFERROR(__xludf.DUMMYFUNCTION("""COMPUTED_VALUE"""),"meme-shib")</f>
        <v>meme-shib</v>
      </c>
      <c r="B7554" s="4" t="str">
        <f>IFERROR(__xludf.DUMMYFUNCTION("""COMPUTED_VALUE"""),"ms")</f>
        <v>ms</v>
      </c>
      <c r="C7554" s="4" t="str">
        <f>IFERROR(__xludf.DUMMYFUNCTION("""COMPUTED_VALUE"""),"Meme Shib")</f>
        <v>Meme Shib</v>
      </c>
    </row>
    <row r="7555">
      <c r="A7555" s="4" t="str">
        <f>IFERROR(__xludf.DUMMYFUNCTION("""COMPUTED_VALUE"""),"memeshub")</f>
        <v>memeshub</v>
      </c>
      <c r="B7555" s="4" t="str">
        <f>IFERROR(__xludf.DUMMYFUNCTION("""COMPUTED_VALUE"""),"mht")</f>
        <v>mht</v>
      </c>
      <c r="C7555" s="4" t="str">
        <f>IFERROR(__xludf.DUMMYFUNCTION("""COMPUTED_VALUE"""),"MemesHub")</f>
        <v>MemesHub</v>
      </c>
    </row>
    <row r="7556">
      <c r="A7556" s="4" t="str">
        <f>IFERROR(__xludf.DUMMYFUNCTION("""COMPUTED_VALUE"""),"memes-street")</f>
        <v>memes-street</v>
      </c>
      <c r="B7556" s="4" t="str">
        <f>IFERROR(__xludf.DUMMYFUNCTION("""COMPUTED_VALUE"""),"memes")</f>
        <v>memes</v>
      </c>
      <c r="C7556" s="4" t="str">
        <f>IFERROR(__xludf.DUMMYFUNCTION("""COMPUTED_VALUE"""),"Memes Street")</f>
        <v>Memes Street</v>
      </c>
    </row>
    <row r="7557">
      <c r="A7557" s="4" t="str">
        <f>IFERROR(__xludf.DUMMYFUNCTION("""COMPUTED_VALUE"""),"memes-street-ai")</f>
        <v>memes-street-ai</v>
      </c>
      <c r="B7557" s="4" t="str">
        <f>IFERROR(__xludf.DUMMYFUNCTION("""COMPUTED_VALUE"""),"mst")</f>
        <v>mst</v>
      </c>
      <c r="C7557" s="4" t="str">
        <f>IFERROR(__xludf.DUMMYFUNCTION("""COMPUTED_VALUE"""),"Memes Street AI")</f>
        <v>Memes Street AI</v>
      </c>
    </row>
    <row r="7558">
      <c r="A7558" s="4" t="str">
        <f>IFERROR(__xludf.DUMMYFUNCTION("""COMPUTED_VALUE"""),"memes-vs-undead")</f>
        <v>memes-vs-undead</v>
      </c>
      <c r="B7558" s="4" t="str">
        <f>IFERROR(__xludf.DUMMYFUNCTION("""COMPUTED_VALUE"""),"mvu")</f>
        <v>mvu</v>
      </c>
      <c r="C7558" s="4" t="str">
        <f>IFERROR(__xludf.DUMMYFUNCTION("""COMPUTED_VALUE"""),"Memes vs Undead")</f>
        <v>Memes vs Undead</v>
      </c>
    </row>
    <row r="7559">
      <c r="A7559" s="4" t="str">
        <f>IFERROR(__xludf.DUMMYFUNCTION("""COMPUTED_VALUE"""),"memetoon")</f>
        <v>memetoon</v>
      </c>
      <c r="B7559" s="4" t="str">
        <f>IFERROR(__xludf.DUMMYFUNCTION("""COMPUTED_VALUE"""),"meme")</f>
        <v>meme</v>
      </c>
      <c r="C7559" s="4" t="str">
        <f>IFERROR(__xludf.DUMMYFUNCTION("""COMPUTED_VALUE"""),"MEMETOON")</f>
        <v>MEMETOON</v>
      </c>
    </row>
    <row r="7560">
      <c r="A7560" s="4" t="str">
        <f>IFERROR(__xludf.DUMMYFUNCTION("""COMPUTED_VALUE"""),"memevengers")</f>
        <v>memevengers</v>
      </c>
      <c r="B7560" s="4" t="str">
        <f>IFERROR(__xludf.DUMMYFUNCTION("""COMPUTED_VALUE"""),"mmvg")</f>
        <v>mmvg</v>
      </c>
      <c r="C7560" s="4" t="str">
        <f>IFERROR(__xludf.DUMMYFUNCTION("""COMPUTED_VALUE"""),"MEMEVENGERS")</f>
        <v>MEMEVENGERS</v>
      </c>
    </row>
    <row r="7561">
      <c r="A7561" s="4" t="str">
        <f>IFERROR(__xludf.DUMMYFUNCTION("""COMPUTED_VALUE"""),"memeverse")</f>
        <v>memeverse</v>
      </c>
      <c r="B7561" s="4" t="str">
        <f>IFERROR(__xludf.DUMMYFUNCTION("""COMPUTED_VALUE"""),"meme")</f>
        <v>meme</v>
      </c>
      <c r="C7561" s="4" t="str">
        <f>IFERROR(__xludf.DUMMYFUNCTION("""COMPUTED_VALUE"""),"Memeverse")</f>
        <v>Memeverse</v>
      </c>
    </row>
    <row r="7562">
      <c r="A7562" s="4" t="str">
        <f>IFERROR(__xludf.DUMMYFUNCTION("""COMPUTED_VALUE"""),"memex")</f>
        <v>memex</v>
      </c>
      <c r="B7562" s="4" t="str">
        <f>IFERROR(__xludf.DUMMYFUNCTION("""COMPUTED_VALUE"""),"memex")</f>
        <v>memex</v>
      </c>
      <c r="C7562" s="4" t="str">
        <f>IFERROR(__xludf.DUMMYFUNCTION("""COMPUTED_VALUE"""),"MEMEX")</f>
        <v>MEMEX</v>
      </c>
    </row>
    <row r="7563">
      <c r="A7563" s="4" t="str">
        <f>IFERROR(__xludf.DUMMYFUNCTION("""COMPUTED_VALUE"""),"memusic")</f>
        <v>memusic</v>
      </c>
      <c r="B7563" s="4" t="str">
        <f>IFERROR(__xludf.DUMMYFUNCTION("""COMPUTED_VALUE"""),"mmt")</f>
        <v>mmt</v>
      </c>
      <c r="C7563" s="4" t="str">
        <f>IFERROR(__xludf.DUMMYFUNCTION("""COMPUTED_VALUE"""),"MeMusic")</f>
        <v>MeMusic</v>
      </c>
    </row>
    <row r="7564">
      <c r="A7564" s="4" t="str">
        <f>IFERROR(__xludf.DUMMYFUNCTION("""COMPUTED_VALUE"""),"menapay")</f>
        <v>menapay</v>
      </c>
      <c r="B7564" s="4" t="str">
        <f>IFERROR(__xludf.DUMMYFUNCTION("""COMPUTED_VALUE"""),"mpay")</f>
        <v>mpay</v>
      </c>
      <c r="C7564" s="4" t="str">
        <f>IFERROR(__xludf.DUMMYFUNCTION("""COMPUTED_VALUE"""),"Menapay")</f>
        <v>Menapay</v>
      </c>
    </row>
    <row r="7565">
      <c r="A7565" s="4" t="str">
        <f>IFERROR(__xludf.DUMMYFUNCTION("""COMPUTED_VALUE"""),"mend")</f>
        <v>mend</v>
      </c>
      <c r="B7565" s="4" t="str">
        <f>IFERROR(__xludf.DUMMYFUNCTION("""COMPUTED_VALUE"""),"mend")</f>
        <v>mend</v>
      </c>
      <c r="C7565" s="4" t="str">
        <f>IFERROR(__xludf.DUMMYFUNCTION("""COMPUTED_VALUE"""),"Mend")</f>
        <v>Mend</v>
      </c>
    </row>
    <row r="7566">
      <c r="A7566" s="4" t="str">
        <f>IFERROR(__xludf.DUMMYFUNCTION("""COMPUTED_VALUE"""),"mendi-finance")</f>
        <v>mendi-finance</v>
      </c>
      <c r="B7566" s="4" t="str">
        <f>IFERROR(__xludf.DUMMYFUNCTION("""COMPUTED_VALUE"""),"mendi")</f>
        <v>mendi</v>
      </c>
      <c r="C7566" s="4" t="str">
        <f>IFERROR(__xludf.DUMMYFUNCTION("""COMPUTED_VALUE"""),"Mendi Finance")</f>
        <v>Mendi Finance</v>
      </c>
    </row>
    <row r="7567">
      <c r="A7567" s="4" t="str">
        <f>IFERROR(__xludf.DUMMYFUNCTION("""COMPUTED_VALUE"""),"menzy")</f>
        <v>menzy</v>
      </c>
      <c r="B7567" s="4" t="str">
        <f>IFERROR(__xludf.DUMMYFUNCTION("""COMPUTED_VALUE"""),"mnz")</f>
        <v>mnz</v>
      </c>
      <c r="C7567" s="4" t="str">
        <f>IFERROR(__xludf.DUMMYFUNCTION("""COMPUTED_VALUE"""),"Menzy")</f>
        <v>Menzy</v>
      </c>
    </row>
    <row r="7568">
      <c r="A7568" s="4" t="str">
        <f>IFERROR(__xludf.DUMMYFUNCTION("""COMPUTED_VALUE"""),"meow-casino")</f>
        <v>meow-casino</v>
      </c>
      <c r="B7568" s="4" t="str">
        <f>IFERROR(__xludf.DUMMYFUNCTION("""COMPUTED_VALUE"""),"meow")</f>
        <v>meow</v>
      </c>
      <c r="C7568" s="4" t="str">
        <f>IFERROR(__xludf.DUMMYFUNCTION("""COMPUTED_VALUE"""),"Meow Casino")</f>
        <v>Meow Casino</v>
      </c>
    </row>
    <row r="7569">
      <c r="A7569" s="4" t="str">
        <f>IFERROR(__xludf.DUMMYFUNCTION("""COMPUTED_VALUE"""),"meowcat-2")</f>
        <v>meowcat-2</v>
      </c>
      <c r="B7569" s="4" t="str">
        <f>IFERROR(__xludf.DUMMYFUNCTION("""COMPUTED_VALUE"""),"meow")</f>
        <v>meow</v>
      </c>
      <c r="C7569" s="4" t="str">
        <f>IFERROR(__xludf.DUMMYFUNCTION("""COMPUTED_VALUE"""),"Meowcat")</f>
        <v>Meowcat</v>
      </c>
    </row>
    <row r="7570">
      <c r="A7570" s="4" t="str">
        <f>IFERROR(__xludf.DUMMYFUNCTION("""COMPUTED_VALUE"""),"meowcoin")</f>
        <v>meowcoin</v>
      </c>
      <c r="B7570" s="4" t="str">
        <f>IFERROR(__xludf.DUMMYFUNCTION("""COMPUTED_VALUE"""),"mewc")</f>
        <v>mewc</v>
      </c>
      <c r="C7570" s="4" t="str">
        <f>IFERROR(__xludf.DUMMYFUNCTION("""COMPUTED_VALUE"""),"MeowCoin")</f>
        <v>MeowCoin</v>
      </c>
    </row>
    <row r="7571">
      <c r="A7571" s="4" t="str">
        <f>IFERROR(__xludf.DUMMYFUNCTION("""COMPUTED_VALUE"""),"meow-meme")</f>
        <v>meow-meme</v>
      </c>
      <c r="B7571" s="4" t="str">
        <f>IFERROR(__xludf.DUMMYFUNCTION("""COMPUTED_VALUE"""),"meow")</f>
        <v>meow</v>
      </c>
      <c r="C7571" s="4" t="str">
        <f>IFERROR(__xludf.DUMMYFUNCTION("""COMPUTED_VALUE"""),"Meow Meme")</f>
        <v>Meow Meme</v>
      </c>
    </row>
    <row r="7572">
      <c r="A7572" s="4" t="str">
        <f>IFERROR(__xludf.DUMMYFUNCTION("""COMPUTED_VALUE"""),"merchant-token")</f>
        <v>merchant-token</v>
      </c>
      <c r="B7572" s="4" t="str">
        <f>IFERROR(__xludf.DUMMYFUNCTION("""COMPUTED_VALUE"""),"mto")</f>
        <v>mto</v>
      </c>
      <c r="C7572" s="4" t="str">
        <f>IFERROR(__xludf.DUMMYFUNCTION("""COMPUTED_VALUE"""),"Merchant")</f>
        <v>Merchant</v>
      </c>
    </row>
    <row r="7573">
      <c r="A7573" s="4" t="str">
        <f>IFERROR(__xludf.DUMMYFUNCTION("""COMPUTED_VALUE"""),"merchdao")</f>
        <v>merchdao</v>
      </c>
      <c r="B7573" s="4" t="str">
        <f>IFERROR(__xludf.DUMMYFUNCTION("""COMPUTED_VALUE"""),"mrch")</f>
        <v>mrch</v>
      </c>
      <c r="C7573" s="4" t="str">
        <f>IFERROR(__xludf.DUMMYFUNCTION("""COMPUTED_VALUE"""),"MerchDAO")</f>
        <v>MerchDAO</v>
      </c>
    </row>
    <row r="7574">
      <c r="A7574" s="4" t="str">
        <f>IFERROR(__xludf.DUMMYFUNCTION("""COMPUTED_VALUE"""),"mercle")</f>
        <v>mercle</v>
      </c>
      <c r="B7574" s="4" t="str">
        <f>IFERROR(__xludf.DUMMYFUNCTION("""COMPUTED_VALUE"""),"$mercle")</f>
        <v>$mercle</v>
      </c>
      <c r="C7574" s="4" t="str">
        <f>IFERROR(__xludf.DUMMYFUNCTION("""COMPUTED_VALUE"""),"MERCLE")</f>
        <v>MERCLE</v>
      </c>
    </row>
    <row r="7575">
      <c r="A7575" s="4" t="str">
        <f>IFERROR(__xludf.DUMMYFUNCTION("""COMPUTED_VALUE"""),"mercor-finance")</f>
        <v>mercor-finance</v>
      </c>
      <c r="B7575" s="4" t="str">
        <f>IFERROR(__xludf.DUMMYFUNCTION("""COMPUTED_VALUE"""),"mrcr")</f>
        <v>mrcr</v>
      </c>
      <c r="C7575" s="4" t="str">
        <f>IFERROR(__xludf.DUMMYFUNCTION("""COMPUTED_VALUE"""),"Mercor Finance")</f>
        <v>Mercor Finance</v>
      </c>
    </row>
    <row r="7576">
      <c r="A7576" s="4" t="str">
        <f>IFERROR(__xludf.DUMMYFUNCTION("""COMPUTED_VALUE"""),"mercurial")</f>
        <v>mercurial</v>
      </c>
      <c r="B7576" s="4" t="str">
        <f>IFERROR(__xludf.DUMMYFUNCTION("""COMPUTED_VALUE"""),"mer")</f>
        <v>mer</v>
      </c>
      <c r="C7576" s="4" t="str">
        <f>IFERROR(__xludf.DUMMYFUNCTION("""COMPUTED_VALUE"""),"Mercurial")</f>
        <v>Mercurial</v>
      </c>
    </row>
    <row r="7577">
      <c r="A7577" s="4" t="str">
        <f>IFERROR(__xludf.DUMMYFUNCTION("""COMPUTED_VALUE"""),"mercury-protocol-404")</f>
        <v>mercury-protocol-404</v>
      </c>
      <c r="B7577" s="4" t="str">
        <f>IFERROR(__xludf.DUMMYFUNCTION("""COMPUTED_VALUE"""),"m404")</f>
        <v>m404</v>
      </c>
      <c r="C7577" s="4" t="str">
        <f>IFERROR(__xludf.DUMMYFUNCTION("""COMPUTED_VALUE"""),"Mercury Protocol 404")</f>
        <v>Mercury Protocol 404</v>
      </c>
    </row>
    <row r="7578">
      <c r="A7578" s="4" t="str">
        <f>IFERROR(__xludf.DUMMYFUNCTION("""COMPUTED_VALUE"""),"merebel")</f>
        <v>merebel</v>
      </c>
      <c r="B7578" s="4" t="str">
        <f>IFERROR(__xludf.DUMMYFUNCTION("""COMPUTED_VALUE"""),"meri")</f>
        <v>meri</v>
      </c>
      <c r="C7578" s="4" t="str">
        <f>IFERROR(__xludf.DUMMYFUNCTION("""COMPUTED_VALUE"""),"Merebel")</f>
        <v>Merebel</v>
      </c>
    </row>
    <row r="7579">
      <c r="A7579" s="4" t="str">
        <f>IFERROR(__xludf.DUMMYFUNCTION("""COMPUTED_VALUE"""),"merge")</f>
        <v>merge</v>
      </c>
      <c r="B7579" s="4" t="str">
        <f>IFERROR(__xludf.DUMMYFUNCTION("""COMPUTED_VALUE"""),"merge")</f>
        <v>merge</v>
      </c>
      <c r="C7579" s="4" t="str">
        <f>IFERROR(__xludf.DUMMYFUNCTION("""COMPUTED_VALUE"""),"Merge")</f>
        <v>Merge</v>
      </c>
    </row>
    <row r="7580">
      <c r="A7580" s="4" t="str">
        <f>IFERROR(__xludf.DUMMYFUNCTION("""COMPUTED_VALUE"""),"mergen")</f>
        <v>mergen</v>
      </c>
      <c r="B7580" s="4" t="str">
        <f>IFERROR(__xludf.DUMMYFUNCTION("""COMPUTED_VALUE"""),"mrgn")</f>
        <v>mrgn</v>
      </c>
      <c r="C7580" s="4" t="str">
        <f>IFERROR(__xludf.DUMMYFUNCTION("""COMPUTED_VALUE"""),"Mergen")</f>
        <v>Mergen</v>
      </c>
    </row>
    <row r="7581">
      <c r="A7581" s="4" t="str">
        <f>IFERROR(__xludf.DUMMYFUNCTION("""COMPUTED_VALUE"""),"mergex")</f>
        <v>mergex</v>
      </c>
      <c r="B7581" s="4" t="str">
        <f>IFERROR(__xludf.DUMMYFUNCTION("""COMPUTED_VALUE"""),"mge")</f>
        <v>mge</v>
      </c>
      <c r="C7581" s="4" t="str">
        <f>IFERROR(__xludf.DUMMYFUNCTION("""COMPUTED_VALUE"""),"MergeX")</f>
        <v>MergeX</v>
      </c>
    </row>
    <row r="7582">
      <c r="A7582" s="4" t="str">
        <f>IFERROR(__xludf.DUMMYFUNCTION("""COMPUTED_VALUE"""),"meridian-mst")</f>
        <v>meridian-mst</v>
      </c>
      <c r="B7582" s="4" t="str">
        <f>IFERROR(__xludf.DUMMYFUNCTION("""COMPUTED_VALUE"""),"mst")</f>
        <v>mst</v>
      </c>
      <c r="C7582" s="4" t="str">
        <f>IFERROR(__xludf.DUMMYFUNCTION("""COMPUTED_VALUE"""),"Meridian MST")</f>
        <v>Meridian MST</v>
      </c>
    </row>
    <row r="7583">
      <c r="A7583" s="4" t="str">
        <f>IFERROR(__xludf.DUMMYFUNCTION("""COMPUTED_VALUE"""),"merit-circle")</f>
        <v>merit-circle</v>
      </c>
      <c r="B7583" s="4" t="str">
        <f>IFERROR(__xludf.DUMMYFUNCTION("""COMPUTED_VALUE"""),"mc")</f>
        <v>mc</v>
      </c>
      <c r="C7583" s="4" t="str">
        <f>IFERROR(__xludf.DUMMYFUNCTION("""COMPUTED_VALUE"""),"Merit Circle")</f>
        <v>Merit Circle</v>
      </c>
    </row>
    <row r="7584">
      <c r="A7584" s="4" t="str">
        <f>IFERROR(__xludf.DUMMYFUNCTION("""COMPUTED_VALUE"""),"merlinbox")</f>
        <v>merlinbox</v>
      </c>
      <c r="B7584" s="4" t="str">
        <f>IFERROR(__xludf.DUMMYFUNCTION("""COMPUTED_VALUE"""),"merlinbox")</f>
        <v>merlinbox</v>
      </c>
      <c r="C7584" s="4" t="str">
        <f>IFERROR(__xludf.DUMMYFUNCTION("""COMPUTED_VALUE"""),"MerlinBox")</f>
        <v>MerlinBox</v>
      </c>
    </row>
    <row r="7585">
      <c r="A7585" s="4" t="str">
        <f>IFERROR(__xludf.DUMMYFUNCTION("""COMPUTED_VALUE"""),"merlin-chain-bridged-voya-merlin")</f>
        <v>merlin-chain-bridged-voya-merlin</v>
      </c>
      <c r="B7585" s="4" t="str">
        <f>IFERROR(__xludf.DUMMYFUNCTION("""COMPUTED_VALUE"""),"voya")</f>
        <v>voya</v>
      </c>
      <c r="C7585" s="4" t="str">
        <f>IFERROR(__xludf.DUMMYFUNCTION("""COMPUTED_VALUE"""),"Merlin Chain Bridged VOYA (Merlin)")</f>
        <v>Merlin Chain Bridged VOYA (Merlin)</v>
      </c>
    </row>
    <row r="7586">
      <c r="A7586" s="4" t="str">
        <f>IFERROR(__xludf.DUMMYFUNCTION("""COMPUTED_VALUE"""),"merlin-chain-bridged-wrapped-btc-merlin")</f>
        <v>merlin-chain-bridged-wrapped-btc-merlin</v>
      </c>
      <c r="B7586" s="4" t="str">
        <f>IFERROR(__xludf.DUMMYFUNCTION("""COMPUTED_VALUE"""),"wbtc")</f>
        <v>wbtc</v>
      </c>
      <c r="C7586" s="4" t="str">
        <f>IFERROR(__xludf.DUMMYFUNCTION("""COMPUTED_VALUE"""),"Merlin Chain Bridged Wrapped BTC (Merlin)")</f>
        <v>Merlin Chain Bridged Wrapped BTC (Merlin)</v>
      </c>
    </row>
    <row r="7587">
      <c r="A7587" s="4" t="str">
        <f>IFERROR(__xludf.DUMMYFUNCTION("""COMPUTED_VALUE"""),"merlinland")</f>
        <v>merlinland</v>
      </c>
      <c r="B7587" s="4" t="str">
        <f>IFERROR(__xludf.DUMMYFUNCTION("""COMPUTED_VALUE"""),"merlinland")</f>
        <v>merlinland</v>
      </c>
      <c r="C7587" s="4" t="str">
        <f>IFERROR(__xludf.DUMMYFUNCTION("""COMPUTED_VALUE"""),"MerlinLand")</f>
        <v>MerlinLand</v>
      </c>
    </row>
    <row r="7588">
      <c r="A7588" s="4" t="str">
        <f>IFERROR(__xludf.DUMMYFUNCTION("""COMPUTED_VALUE"""),"merlin-s-seal-btc")</f>
        <v>merlin-s-seal-btc</v>
      </c>
      <c r="B7588" s="4" t="str">
        <f>IFERROR(__xludf.DUMMYFUNCTION("""COMPUTED_VALUE"""),"m-btc")</f>
        <v>m-btc</v>
      </c>
      <c r="C7588" s="4" t="str">
        <f>IFERROR(__xludf.DUMMYFUNCTION("""COMPUTED_VALUE"""),"Merlin's Seal BTC")</f>
        <v>Merlin's Seal BTC</v>
      </c>
    </row>
    <row r="7589">
      <c r="A7589" s="4" t="str">
        <f>IFERROR(__xludf.DUMMYFUNCTION("""COMPUTED_VALUE"""),"merlinswap")</f>
        <v>merlinswap</v>
      </c>
      <c r="B7589" s="4" t="str">
        <f>IFERROR(__xludf.DUMMYFUNCTION("""COMPUTED_VALUE"""),"mp")</f>
        <v>mp</v>
      </c>
      <c r="C7589" s="4" t="str">
        <f>IFERROR(__xludf.DUMMYFUNCTION("""COMPUTED_VALUE"""),"MerlinSwap")</f>
        <v>MerlinSwap</v>
      </c>
    </row>
    <row r="7590">
      <c r="A7590" s="4" t="str">
        <f>IFERROR(__xludf.DUMMYFUNCTION("""COMPUTED_VALUE"""),"merrychristmas")</f>
        <v>merrychristmas</v>
      </c>
      <c r="B7590" s="4" t="str">
        <f>IFERROR(__xludf.DUMMYFUNCTION("""COMPUTED_VALUE"""),"hohoho")</f>
        <v>hohoho</v>
      </c>
      <c r="C7590" s="4" t="str">
        <f>IFERROR(__xludf.DUMMYFUNCTION("""COMPUTED_VALUE"""),"MerryChristmas [OLD]")</f>
        <v>MerryChristmas [OLD]</v>
      </c>
    </row>
    <row r="7591">
      <c r="A7591" s="4" t="str">
        <f>IFERROR(__xludf.DUMMYFUNCTION("""COMPUTED_VALUE"""),"merrychristmas-2")</f>
        <v>merrychristmas-2</v>
      </c>
      <c r="B7591" s="4" t="str">
        <f>IFERROR(__xludf.DUMMYFUNCTION("""COMPUTED_VALUE"""),"hohoho")</f>
        <v>hohoho</v>
      </c>
      <c r="C7591" s="4" t="str">
        <f>IFERROR(__xludf.DUMMYFUNCTION("""COMPUTED_VALUE"""),"MerryChristmas")</f>
        <v>MerryChristmas</v>
      </c>
    </row>
    <row r="7592">
      <c r="A7592" s="4" t="str">
        <f>IFERROR(__xludf.DUMMYFUNCTION("""COMPUTED_VALUE"""),"merry-christmas-token")</f>
        <v>merry-christmas-token</v>
      </c>
      <c r="B7592" s="4" t="str">
        <f>IFERROR(__xludf.DUMMYFUNCTION("""COMPUTED_VALUE"""),"mct")</f>
        <v>mct</v>
      </c>
      <c r="C7592" s="4" t="str">
        <f>IFERROR(__xludf.DUMMYFUNCTION("""COMPUTED_VALUE"""),"Merry Christmas Token")</f>
        <v>Merry Christmas Token</v>
      </c>
    </row>
    <row r="7593">
      <c r="A7593" s="4" t="str">
        <f>IFERROR(__xludf.DUMMYFUNCTION("""COMPUTED_VALUE"""),"meshbox")</f>
        <v>meshbox</v>
      </c>
      <c r="B7593" s="4" t="str">
        <f>IFERROR(__xludf.DUMMYFUNCTION("""COMPUTED_VALUE"""),"mesh")</f>
        <v>mesh</v>
      </c>
      <c r="C7593" s="4" t="str">
        <f>IFERROR(__xludf.DUMMYFUNCTION("""COMPUTED_VALUE"""),"MeshBox")</f>
        <v>MeshBox</v>
      </c>
    </row>
    <row r="7594">
      <c r="A7594" s="4" t="str">
        <f>IFERROR(__xludf.DUMMYFUNCTION("""COMPUTED_VALUE"""),"mesh-protocol")</f>
        <v>mesh-protocol</v>
      </c>
      <c r="B7594" s="4" t="str">
        <f>IFERROR(__xludf.DUMMYFUNCTION("""COMPUTED_VALUE"""),"mesh")</f>
        <v>mesh</v>
      </c>
      <c r="C7594" s="4" t="str">
        <f>IFERROR(__xludf.DUMMYFUNCTION("""COMPUTED_VALUE"""),"Mesh Protocol")</f>
        <v>Mesh Protocol</v>
      </c>
    </row>
    <row r="7595">
      <c r="A7595" s="4" t="str">
        <f>IFERROR(__xludf.DUMMYFUNCTION("""COMPUTED_VALUE"""),"meshswap-protocol")</f>
        <v>meshswap-protocol</v>
      </c>
      <c r="B7595" s="4" t="str">
        <f>IFERROR(__xludf.DUMMYFUNCTION("""COMPUTED_VALUE"""),"mesh")</f>
        <v>mesh</v>
      </c>
      <c r="C7595" s="4" t="str">
        <f>IFERROR(__xludf.DUMMYFUNCTION("""COMPUTED_VALUE"""),"Meshswap Protocol")</f>
        <v>Meshswap Protocol</v>
      </c>
    </row>
    <row r="7596">
      <c r="A7596" s="4" t="str">
        <f>IFERROR(__xludf.DUMMYFUNCTION("""COMPUTED_VALUE"""),"meshwave")</f>
        <v>meshwave</v>
      </c>
      <c r="B7596" s="4" t="str">
        <f>IFERROR(__xludf.DUMMYFUNCTION("""COMPUTED_VALUE"""),"mwave")</f>
        <v>mwave</v>
      </c>
      <c r="C7596" s="4" t="str">
        <f>IFERROR(__xludf.DUMMYFUNCTION("""COMPUTED_VALUE"""),"MeshWave")</f>
        <v>MeshWave</v>
      </c>
    </row>
    <row r="7597">
      <c r="A7597" s="4" t="str">
        <f>IFERROR(__xludf.DUMMYFUNCTION("""COMPUTED_VALUE"""),"meso")</f>
        <v>meso</v>
      </c>
      <c r="B7597" s="4" t="str">
        <f>IFERROR(__xludf.DUMMYFUNCTION("""COMPUTED_VALUE"""),"meso")</f>
        <v>meso</v>
      </c>
      <c r="C7597" s="4" t="str">
        <f>IFERROR(__xludf.DUMMYFUNCTION("""COMPUTED_VALUE"""),"Meso")</f>
        <v>Meso</v>
      </c>
    </row>
    <row r="7598">
      <c r="A7598" s="4" t="str">
        <f>IFERROR(__xludf.DUMMYFUNCTION("""COMPUTED_VALUE"""),"meson-network")</f>
        <v>meson-network</v>
      </c>
      <c r="B7598" s="4" t="str">
        <f>IFERROR(__xludf.DUMMYFUNCTION("""COMPUTED_VALUE"""),"msn")</f>
        <v>msn</v>
      </c>
      <c r="C7598" s="4" t="str">
        <f>IFERROR(__xludf.DUMMYFUNCTION("""COMPUTED_VALUE"""),"Meson Network")</f>
        <v>Meson Network</v>
      </c>
    </row>
    <row r="7599">
      <c r="A7599" s="4" t="str">
        <f>IFERROR(__xludf.DUMMYFUNCTION("""COMPUTED_VALUE"""),"messi-coin")</f>
        <v>messi-coin</v>
      </c>
      <c r="B7599" s="4" t="str">
        <f>IFERROR(__xludf.DUMMYFUNCTION("""COMPUTED_VALUE"""),"messi")</f>
        <v>messi</v>
      </c>
      <c r="C7599" s="4" t="str">
        <f>IFERROR(__xludf.DUMMYFUNCTION("""COMPUTED_VALUE"""),"MESSI COIN")</f>
        <v>MESSI COIN</v>
      </c>
    </row>
    <row r="7600">
      <c r="A7600" s="4" t="str">
        <f>IFERROR(__xludf.DUMMYFUNCTION("""COMPUTED_VALUE"""),"messier")</f>
        <v>messier</v>
      </c>
      <c r="B7600" s="4" t="str">
        <f>IFERROR(__xludf.DUMMYFUNCTION("""COMPUTED_VALUE"""),"m87")</f>
        <v>m87</v>
      </c>
      <c r="C7600" s="4" t="str">
        <f>IFERROR(__xludf.DUMMYFUNCTION("""COMPUTED_VALUE"""),"MESSIER")</f>
        <v>MESSIER</v>
      </c>
    </row>
    <row r="7601">
      <c r="A7601" s="4" t="str">
        <f>IFERROR(__xludf.DUMMYFUNCTION("""COMPUTED_VALUE"""),"meta")</f>
        <v>meta</v>
      </c>
      <c r="B7601" s="4" t="str">
        <f>IFERROR(__xludf.DUMMYFUNCTION("""COMPUTED_VALUE"""),"mta")</f>
        <v>mta</v>
      </c>
      <c r="C7601" s="4" t="str">
        <f>IFERROR(__xludf.DUMMYFUNCTION("""COMPUTED_VALUE"""),"mStable Governance: Meta")</f>
        <v>mStable Governance: Meta</v>
      </c>
    </row>
    <row r="7602">
      <c r="A7602" s="4" t="str">
        <f>IFERROR(__xludf.DUMMYFUNCTION("""COMPUTED_VALUE"""),"meta-2")</f>
        <v>meta-2</v>
      </c>
      <c r="B7602" s="4" t="str">
        <f>IFERROR(__xludf.DUMMYFUNCTION("""COMPUTED_VALUE"""),"meta")</f>
        <v>meta</v>
      </c>
      <c r="C7602" s="4" t="str">
        <f>IFERROR(__xludf.DUMMYFUNCTION("""COMPUTED_VALUE"""),"META")</f>
        <v>META</v>
      </c>
    </row>
    <row r="7603">
      <c r="A7603" s="4" t="str">
        <f>IFERROR(__xludf.DUMMYFUNCTION("""COMPUTED_VALUE"""),"meta-apes-peel")</f>
        <v>meta-apes-peel</v>
      </c>
      <c r="B7603" s="4" t="str">
        <f>IFERROR(__xludf.DUMMYFUNCTION("""COMPUTED_VALUE"""),"peel")</f>
        <v>peel</v>
      </c>
      <c r="C7603" s="4" t="str">
        <f>IFERROR(__xludf.DUMMYFUNCTION("""COMPUTED_VALUE"""),"Meta Apes PEEL")</f>
        <v>Meta Apes PEEL</v>
      </c>
    </row>
    <row r="7604">
      <c r="A7604" s="4" t="str">
        <f>IFERROR(__xludf.DUMMYFUNCTION("""COMPUTED_VALUE"""),"meta-art-connection")</f>
        <v>meta-art-connection</v>
      </c>
      <c r="B7604" s="4" t="str">
        <f>IFERROR(__xludf.DUMMYFUNCTION("""COMPUTED_VALUE"""),"mac")</f>
        <v>mac</v>
      </c>
      <c r="C7604" s="4" t="str">
        <f>IFERROR(__xludf.DUMMYFUNCTION("""COMPUTED_VALUE"""),"Meta Art Connection")</f>
        <v>Meta Art Connection</v>
      </c>
    </row>
    <row r="7605">
      <c r="A7605" s="4" t="str">
        <f>IFERROR(__xludf.DUMMYFUNCTION("""COMPUTED_VALUE"""),"metababy")</f>
        <v>metababy</v>
      </c>
      <c r="B7605" s="4" t="str">
        <f>IFERROR(__xludf.DUMMYFUNCTION("""COMPUTED_VALUE"""),"baby")</f>
        <v>baby</v>
      </c>
      <c r="C7605" s="4" t="str">
        <f>IFERROR(__xludf.DUMMYFUNCTION("""COMPUTED_VALUE"""),"Metababy")</f>
        <v>Metababy</v>
      </c>
    </row>
    <row r="7606">
      <c r="A7606" s="4" t="str">
        <f>IFERROR(__xludf.DUMMYFUNCTION("""COMPUTED_VALUE"""),"metabeat")</f>
        <v>metabeat</v>
      </c>
      <c r="B7606" s="4" t="str">
        <f>IFERROR(__xludf.DUMMYFUNCTION("""COMPUTED_VALUE"""),"$beat")</f>
        <v>$beat</v>
      </c>
      <c r="C7606" s="4" t="str">
        <f>IFERROR(__xludf.DUMMYFUNCTION("""COMPUTED_VALUE"""),"MetaBeat")</f>
        <v>MetaBeat</v>
      </c>
    </row>
    <row r="7607">
      <c r="A7607" s="4" t="str">
        <f>IFERROR(__xludf.DUMMYFUNCTION("""COMPUTED_VALUE"""),"metabet")</f>
        <v>metabet</v>
      </c>
      <c r="B7607" s="4" t="str">
        <f>IFERROR(__xludf.DUMMYFUNCTION("""COMPUTED_VALUE"""),"mbet")</f>
        <v>mbet</v>
      </c>
      <c r="C7607" s="4" t="str">
        <f>IFERROR(__xludf.DUMMYFUNCTION("""COMPUTED_VALUE"""),"MetaBET")</f>
        <v>MetaBET</v>
      </c>
    </row>
    <row r="7608">
      <c r="A7608" s="4" t="str">
        <f>IFERROR(__xludf.DUMMYFUNCTION("""COMPUTED_VALUE"""),"metabit-network")</f>
        <v>metabit-network</v>
      </c>
      <c r="B7608" s="4" t="str">
        <f>IFERROR(__xludf.DUMMYFUNCTION("""COMPUTED_VALUE"""),"bmtc")</f>
        <v>bmtc</v>
      </c>
      <c r="C7608" s="4" t="str">
        <f>IFERROR(__xludf.DUMMYFUNCTION("""COMPUTED_VALUE"""),"Metabit Network")</f>
        <v>Metabit Network</v>
      </c>
    </row>
    <row r="7609">
      <c r="A7609" s="4" t="str">
        <f>IFERROR(__xludf.DUMMYFUNCTION("""COMPUTED_VALUE"""),"metable")</f>
        <v>metable</v>
      </c>
      <c r="B7609" s="4" t="str">
        <f>IFERROR(__xludf.DUMMYFUNCTION("""COMPUTED_VALUE"""),"mtbl")</f>
        <v>mtbl</v>
      </c>
      <c r="C7609" s="4" t="str">
        <f>IFERROR(__xludf.DUMMYFUNCTION("""COMPUTED_VALUE"""),"Metable")</f>
        <v>Metable</v>
      </c>
    </row>
    <row r="7610">
      <c r="A7610" s="4" t="str">
        <f>IFERROR(__xludf.DUMMYFUNCTION("""COMPUTED_VALUE"""),"metablox")</f>
        <v>metablox</v>
      </c>
      <c r="B7610" s="4" t="str">
        <f>IFERROR(__xludf.DUMMYFUNCTION("""COMPUTED_VALUE"""),"mbx")</f>
        <v>mbx</v>
      </c>
      <c r="C7610" s="4" t="str">
        <f>IFERROR(__xludf.DUMMYFUNCTION("""COMPUTED_VALUE"""),"MetaBlox")</f>
        <v>MetaBlox</v>
      </c>
    </row>
    <row r="7611">
      <c r="A7611" s="4" t="str">
        <f>IFERROR(__xludf.DUMMYFUNCTION("""COMPUTED_VALUE"""),"metabot")</f>
        <v>metabot</v>
      </c>
      <c r="B7611" s="4" t="str">
        <f>IFERROR(__xludf.DUMMYFUNCTION("""COMPUTED_VALUE"""),"metabot")</f>
        <v>metabot</v>
      </c>
      <c r="C7611" s="4" t="str">
        <f>IFERROR(__xludf.DUMMYFUNCTION("""COMPUTED_VALUE"""),"MetaBot")</f>
        <v>MetaBot</v>
      </c>
    </row>
    <row r="7612">
      <c r="A7612" s="4" t="str">
        <f>IFERROR(__xludf.DUMMYFUNCTION("""COMPUTED_VALUE"""),"metabrands")</f>
        <v>metabrands</v>
      </c>
      <c r="B7612" s="4" t="str">
        <f>IFERROR(__xludf.DUMMYFUNCTION("""COMPUTED_VALUE"""),"mage")</f>
        <v>mage</v>
      </c>
      <c r="C7612" s="4" t="str">
        <f>IFERROR(__xludf.DUMMYFUNCTION("""COMPUTED_VALUE"""),"MetaBrands")</f>
        <v>MetaBrands</v>
      </c>
    </row>
    <row r="7613">
      <c r="A7613" s="4" t="str">
        <f>IFERROR(__xludf.DUMMYFUNCTION("""COMPUTED_VALUE"""),"meta-bsc")</f>
        <v>meta-bsc</v>
      </c>
      <c r="B7613" s="4" t="str">
        <f>IFERROR(__xludf.DUMMYFUNCTION("""COMPUTED_VALUE"""),"meta")</f>
        <v>meta</v>
      </c>
      <c r="C7613" s="4" t="str">
        <f>IFERROR(__xludf.DUMMYFUNCTION("""COMPUTED_VALUE"""),"Meta BSC")</f>
        <v>Meta BSC</v>
      </c>
    </row>
    <row r="7614">
      <c r="A7614" s="4" t="str">
        <f>IFERROR(__xludf.DUMMYFUNCTION("""COMPUTED_VALUE"""),"metabusdcoin")</f>
        <v>metabusdcoin</v>
      </c>
      <c r="B7614" s="4" t="str">
        <f>IFERROR(__xludf.DUMMYFUNCTION("""COMPUTED_VALUE"""),"mlz")</f>
        <v>mlz</v>
      </c>
      <c r="C7614" s="4" t="str">
        <f>IFERROR(__xludf.DUMMYFUNCTION("""COMPUTED_VALUE"""),"MetaLabz")</f>
        <v>MetaLabz</v>
      </c>
    </row>
    <row r="7615">
      <c r="A7615" s="4" t="str">
        <f>IFERROR(__xludf.DUMMYFUNCTION("""COMPUTED_VALUE"""),"metacade")</f>
        <v>metacade</v>
      </c>
      <c r="B7615" s="4" t="str">
        <f>IFERROR(__xludf.DUMMYFUNCTION("""COMPUTED_VALUE"""),"mcade")</f>
        <v>mcade</v>
      </c>
      <c r="C7615" s="4" t="str">
        <f>IFERROR(__xludf.DUMMYFUNCTION("""COMPUTED_VALUE"""),"Metacade")</f>
        <v>Metacade</v>
      </c>
    </row>
    <row r="7616">
      <c r="A7616" s="4" t="str">
        <f>IFERROR(__xludf.DUMMYFUNCTION("""COMPUTED_VALUE"""),"metacash")</f>
        <v>metacash</v>
      </c>
      <c r="B7616" s="4" t="str">
        <f>IFERROR(__xludf.DUMMYFUNCTION("""COMPUTED_VALUE"""),"meta")</f>
        <v>meta</v>
      </c>
      <c r="C7616" s="4" t="str">
        <f>IFERROR(__xludf.DUMMYFUNCTION("""COMPUTED_VALUE"""),"MetaCash")</f>
        <v>MetaCash</v>
      </c>
    </row>
    <row r="7617">
      <c r="A7617" s="4" t="str">
        <f>IFERROR(__xludf.DUMMYFUNCTION("""COMPUTED_VALUE"""),"metacraft")</f>
        <v>metacraft</v>
      </c>
      <c r="B7617" s="4" t="str">
        <f>IFERROR(__xludf.DUMMYFUNCTION("""COMPUTED_VALUE"""),"mct")</f>
        <v>mct</v>
      </c>
      <c r="C7617" s="4" t="str">
        <f>IFERROR(__xludf.DUMMYFUNCTION("""COMPUTED_VALUE"""),"Metacraft")</f>
        <v>Metacraft</v>
      </c>
    </row>
    <row r="7618">
      <c r="A7618" s="4" t="str">
        <f>IFERROR(__xludf.DUMMYFUNCTION("""COMPUTED_VALUE"""),"meta-dance")</f>
        <v>meta-dance</v>
      </c>
      <c r="B7618" s="4" t="str">
        <f>IFERROR(__xludf.DUMMYFUNCTION("""COMPUTED_VALUE"""),"mdt")</f>
        <v>mdt</v>
      </c>
      <c r="C7618" s="4" t="str">
        <f>IFERROR(__xludf.DUMMYFUNCTION("""COMPUTED_VALUE"""),"META DANCE")</f>
        <v>META DANCE</v>
      </c>
    </row>
    <row r="7619">
      <c r="A7619" s="4" t="str">
        <f>IFERROR(__xludf.DUMMYFUNCTION("""COMPUTED_VALUE"""),"metaderby")</f>
        <v>metaderby</v>
      </c>
      <c r="B7619" s="4" t="str">
        <f>IFERROR(__xludf.DUMMYFUNCTION("""COMPUTED_VALUE"""),"dby")</f>
        <v>dby</v>
      </c>
      <c r="C7619" s="4" t="str">
        <f>IFERROR(__xludf.DUMMYFUNCTION("""COMPUTED_VALUE"""),"Metaderby")</f>
        <v>Metaderby</v>
      </c>
    </row>
    <row r="7620">
      <c r="A7620" s="4" t="str">
        <f>IFERROR(__xludf.DUMMYFUNCTION("""COMPUTED_VALUE"""),"metaderby-hoof")</f>
        <v>metaderby-hoof</v>
      </c>
      <c r="B7620" s="4" t="str">
        <f>IFERROR(__xludf.DUMMYFUNCTION("""COMPUTED_VALUE"""),"hoof")</f>
        <v>hoof</v>
      </c>
      <c r="C7620" s="4" t="str">
        <f>IFERROR(__xludf.DUMMYFUNCTION("""COMPUTED_VALUE"""),"Metaderby Hoof")</f>
        <v>Metaderby Hoof</v>
      </c>
    </row>
    <row r="7621">
      <c r="A7621" s="4" t="str">
        <f>IFERROR(__xludf.DUMMYFUNCTION("""COMPUTED_VALUE"""),"metadium")</f>
        <v>metadium</v>
      </c>
      <c r="B7621" s="4" t="str">
        <f>IFERROR(__xludf.DUMMYFUNCTION("""COMPUTED_VALUE"""),"meta")</f>
        <v>meta</v>
      </c>
      <c r="C7621" s="4" t="str">
        <f>IFERROR(__xludf.DUMMYFUNCTION("""COMPUTED_VALUE"""),"Metadium")</f>
        <v>Metadium</v>
      </c>
    </row>
    <row r="7622">
      <c r="A7622" s="4" t="str">
        <f>IFERROR(__xludf.DUMMYFUNCTION("""COMPUTED_VALUE"""),"meta-doge")</f>
        <v>meta-doge</v>
      </c>
      <c r="B7622" s="4" t="str">
        <f>IFERROR(__xludf.DUMMYFUNCTION("""COMPUTED_VALUE"""),"metadoge")</f>
        <v>metadoge</v>
      </c>
      <c r="C7622" s="4" t="str">
        <f>IFERROR(__xludf.DUMMYFUNCTION("""COMPUTED_VALUE"""),"Meta Doge")</f>
        <v>Meta Doge</v>
      </c>
    </row>
    <row r="7623">
      <c r="A7623" s="4" t="str">
        <f>IFERROR(__xludf.DUMMYFUNCTION("""COMPUTED_VALUE"""),"metadoge-bsc")</f>
        <v>metadoge-bsc</v>
      </c>
      <c r="B7623" s="4" t="str">
        <f>IFERROR(__xludf.DUMMYFUNCTION("""COMPUTED_VALUE"""),"metadoge")</f>
        <v>metadoge</v>
      </c>
      <c r="C7623" s="4" t="str">
        <f>IFERROR(__xludf.DUMMYFUNCTION("""COMPUTED_VALUE"""),"MetaDoge BSC")</f>
        <v>MetaDoge BSC</v>
      </c>
    </row>
    <row r="7624">
      <c r="A7624" s="4" t="str">
        <f>IFERROR(__xludf.DUMMYFUNCTION("""COMPUTED_VALUE"""),"metadoge-v2")</f>
        <v>metadoge-v2</v>
      </c>
      <c r="B7624" s="4" t="str">
        <f>IFERROR(__xludf.DUMMYFUNCTION("""COMPUTED_VALUE"""),"metadogev2")</f>
        <v>metadogev2</v>
      </c>
      <c r="C7624" s="4" t="str">
        <f>IFERROR(__xludf.DUMMYFUNCTION("""COMPUTED_VALUE"""),"MetaDoge V2")</f>
        <v>MetaDoge V2</v>
      </c>
    </row>
    <row r="7625">
      <c r="A7625" s="4" t="str">
        <f>IFERROR(__xludf.DUMMYFUNCTION("""COMPUTED_VALUE"""),"metados")</f>
        <v>metados</v>
      </c>
      <c r="B7625" s="4" t="str">
        <f>IFERROR(__xludf.DUMMYFUNCTION("""COMPUTED_VALUE"""),"second")</f>
        <v>second</v>
      </c>
      <c r="C7625" s="4" t="str">
        <f>IFERROR(__xludf.DUMMYFUNCTION("""COMPUTED_VALUE"""),"MetaDOS")</f>
        <v>MetaDOS</v>
      </c>
    </row>
    <row r="7626">
      <c r="A7626" s="4" t="str">
        <f>IFERROR(__xludf.DUMMYFUNCTION("""COMPUTED_VALUE"""),"metaelfland")</f>
        <v>metaelfland</v>
      </c>
      <c r="B7626" s="4" t="str">
        <f>IFERROR(__xludf.DUMMYFUNCTION("""COMPUTED_VALUE"""),"meld")</f>
        <v>meld</v>
      </c>
      <c r="C7626" s="4" t="str">
        <f>IFERROR(__xludf.DUMMYFUNCTION("""COMPUTED_VALUE"""),"MetaElfLand")</f>
        <v>MetaElfLand</v>
      </c>
    </row>
    <row r="7627">
      <c r="A7627" s="4" t="str">
        <f>IFERROR(__xludf.DUMMYFUNCTION("""COMPUTED_VALUE"""),"metafastest")</f>
        <v>metafastest</v>
      </c>
      <c r="B7627" s="4" t="str">
        <f>IFERROR(__xludf.DUMMYFUNCTION("""COMPUTED_VALUE"""),"metaf")</f>
        <v>metaf</v>
      </c>
      <c r="C7627" s="4" t="str">
        <f>IFERROR(__xludf.DUMMYFUNCTION("""COMPUTED_VALUE"""),"METAFASTEST")</f>
        <v>METAFASTEST</v>
      </c>
    </row>
    <row r="7628">
      <c r="A7628" s="4" t="str">
        <f>IFERROR(__xludf.DUMMYFUNCTION("""COMPUTED_VALUE"""),"metafighter")</f>
        <v>metafighter</v>
      </c>
      <c r="B7628" s="4" t="str">
        <f>IFERROR(__xludf.DUMMYFUNCTION("""COMPUTED_VALUE"""),"mf")</f>
        <v>mf</v>
      </c>
      <c r="C7628" s="4" t="str">
        <f>IFERROR(__xludf.DUMMYFUNCTION("""COMPUTED_VALUE"""),"MetaFighter")</f>
        <v>MetaFighter</v>
      </c>
    </row>
    <row r="7629">
      <c r="A7629" s="4" t="str">
        <f>IFERROR(__xludf.DUMMYFUNCTION("""COMPUTED_VALUE"""),"metafinance")</f>
        <v>metafinance</v>
      </c>
      <c r="B7629" s="4" t="str">
        <f>IFERROR(__xludf.DUMMYFUNCTION("""COMPUTED_VALUE"""),"mfi")</f>
        <v>mfi</v>
      </c>
      <c r="C7629" s="4" t="str">
        <f>IFERROR(__xludf.DUMMYFUNCTION("""COMPUTED_VALUE"""),"MetaFinance")</f>
        <v>MetaFinance</v>
      </c>
    </row>
    <row r="7630">
      <c r="A7630" s="4" t="str">
        <f>IFERROR(__xludf.DUMMYFUNCTION("""COMPUTED_VALUE"""),"meta_finance")</f>
        <v>meta_finance</v>
      </c>
      <c r="B7630" s="4" t="str">
        <f>IFERROR(__xludf.DUMMYFUNCTION("""COMPUTED_VALUE"""),"mf1")</f>
        <v>mf1</v>
      </c>
      <c r="C7630" s="4" t="str">
        <f>IFERROR(__xludf.DUMMYFUNCTION("""COMPUTED_VALUE"""),"Meta Finance")</f>
        <v>Meta Finance</v>
      </c>
    </row>
    <row r="7631">
      <c r="A7631" s="4" t="str">
        <f>IFERROR(__xludf.DUMMYFUNCTION("""COMPUTED_VALUE"""),"meta-finance")</f>
        <v>meta-finance</v>
      </c>
      <c r="B7631" s="4" t="str">
        <f>IFERROR(__xludf.DUMMYFUNCTION("""COMPUTED_VALUE"""),"meta")</f>
        <v>meta</v>
      </c>
      <c r="C7631" s="4" t="str">
        <f>IFERROR(__xludf.DUMMYFUNCTION("""COMPUTED_VALUE"""),"Meta Finance")</f>
        <v>Meta Finance</v>
      </c>
    </row>
    <row r="7632">
      <c r="A7632" s="4" t="str">
        <f>IFERROR(__xludf.DUMMYFUNCTION("""COMPUTED_VALUE"""),"metafishing-2")</f>
        <v>metafishing-2</v>
      </c>
      <c r="B7632" s="4" t="str">
        <f>IFERROR(__xludf.DUMMYFUNCTION("""COMPUTED_VALUE"""),"dgc")</f>
        <v>dgc</v>
      </c>
      <c r="C7632" s="4" t="str">
        <f>IFERROR(__xludf.DUMMYFUNCTION("""COMPUTED_VALUE"""),"MetaFishing")</f>
        <v>MetaFishing</v>
      </c>
    </row>
    <row r="7633">
      <c r="A7633" s="4" t="str">
        <f>IFERROR(__xludf.DUMMYFUNCTION("""COMPUTED_VALUE"""),"metafluence")</f>
        <v>metafluence</v>
      </c>
      <c r="B7633" s="4" t="str">
        <f>IFERROR(__xludf.DUMMYFUNCTION("""COMPUTED_VALUE"""),"meto")</f>
        <v>meto</v>
      </c>
      <c r="C7633" s="4" t="str">
        <f>IFERROR(__xludf.DUMMYFUNCTION("""COMPUTED_VALUE"""),"Metafluence")</f>
        <v>Metafluence</v>
      </c>
    </row>
    <row r="7634">
      <c r="A7634" s="4" t="str">
        <f>IFERROR(__xludf.DUMMYFUNCTION("""COMPUTED_VALUE"""),"metafootball")</f>
        <v>metafootball</v>
      </c>
      <c r="B7634" s="4" t="str">
        <f>IFERROR(__xludf.DUMMYFUNCTION("""COMPUTED_VALUE"""),"mtf")</f>
        <v>mtf</v>
      </c>
      <c r="C7634" s="4" t="str">
        <f>IFERROR(__xludf.DUMMYFUNCTION("""COMPUTED_VALUE"""),"MetaFootball")</f>
        <v>MetaFootball</v>
      </c>
    </row>
    <row r="7635">
      <c r="A7635" s="4" t="str">
        <f>IFERROR(__xludf.DUMMYFUNCTION("""COMPUTED_VALUE"""),"meta-fps")</f>
        <v>meta-fps</v>
      </c>
      <c r="B7635" s="4" t="str">
        <f>IFERROR(__xludf.DUMMYFUNCTION("""COMPUTED_VALUE"""),"mfps")</f>
        <v>mfps</v>
      </c>
      <c r="C7635" s="4" t="str">
        <f>IFERROR(__xludf.DUMMYFUNCTION("""COMPUTED_VALUE"""),"Meta FPS")</f>
        <v>Meta FPS</v>
      </c>
    </row>
    <row r="7636">
      <c r="A7636" s="4" t="str">
        <f>IFERROR(__xludf.DUMMYFUNCTION("""COMPUTED_VALUE"""),"metagalaxy-land")</f>
        <v>metagalaxy-land</v>
      </c>
      <c r="B7636" s="4" t="str">
        <f>IFERROR(__xludf.DUMMYFUNCTION("""COMPUTED_VALUE"""),"megaland")</f>
        <v>megaland</v>
      </c>
      <c r="C7636" s="4" t="str">
        <f>IFERROR(__xludf.DUMMYFUNCTION("""COMPUTED_VALUE"""),"Metagalaxy Land")</f>
        <v>Metagalaxy Land</v>
      </c>
    </row>
    <row r="7637">
      <c r="A7637" s="4" t="str">
        <f>IFERROR(__xludf.DUMMYFUNCTION("""COMPUTED_VALUE"""),"metagame")</f>
        <v>metagame</v>
      </c>
      <c r="B7637" s="4" t="str">
        <f>IFERROR(__xludf.DUMMYFUNCTION("""COMPUTED_VALUE"""),"seed")</f>
        <v>seed</v>
      </c>
      <c r="C7637" s="4" t="str">
        <f>IFERROR(__xludf.DUMMYFUNCTION("""COMPUTED_VALUE"""),"MetaGame")</f>
        <v>MetaGame</v>
      </c>
    </row>
    <row r="7638">
      <c r="A7638" s="4" t="str">
        <f>IFERROR(__xludf.DUMMYFUNCTION("""COMPUTED_VALUE"""),"metagame-arena")</f>
        <v>metagame-arena</v>
      </c>
      <c r="B7638" s="4" t="str">
        <f>IFERROR(__xludf.DUMMYFUNCTION("""COMPUTED_VALUE"""),"mga")</f>
        <v>mga</v>
      </c>
      <c r="C7638" s="4" t="str">
        <f>IFERROR(__xludf.DUMMYFUNCTION("""COMPUTED_VALUE"""),"Metagame Arena")</f>
        <v>Metagame Arena</v>
      </c>
    </row>
    <row r="7639">
      <c r="A7639" s="4" t="str">
        <f>IFERROR(__xludf.DUMMYFUNCTION("""COMPUTED_VALUE"""),"metagamehub-dao")</f>
        <v>metagamehub-dao</v>
      </c>
      <c r="B7639" s="4" t="str">
        <f>IFERROR(__xludf.DUMMYFUNCTION("""COMPUTED_VALUE"""),"mgh")</f>
        <v>mgh</v>
      </c>
      <c r="C7639" s="4" t="str">
        <f>IFERROR(__xludf.DUMMYFUNCTION("""COMPUTED_VALUE"""),"MetaGameHub DAO")</f>
        <v>MetaGameHub DAO</v>
      </c>
    </row>
    <row r="7640">
      <c r="A7640" s="4" t="str">
        <f>IFERROR(__xludf.DUMMYFUNCTION("""COMPUTED_VALUE"""),"metagaming-guild")</f>
        <v>metagaming-guild</v>
      </c>
      <c r="B7640" s="4" t="str">
        <f>IFERROR(__xludf.DUMMYFUNCTION("""COMPUTED_VALUE"""),"mgg")</f>
        <v>mgg</v>
      </c>
      <c r="C7640" s="4" t="str">
        <f>IFERROR(__xludf.DUMMYFUNCTION("""COMPUTED_VALUE"""),"MetaGaming Guild")</f>
        <v>MetaGaming Guild</v>
      </c>
    </row>
    <row r="7641">
      <c r="A7641" s="4" t="str">
        <f>IFERROR(__xludf.DUMMYFUNCTION("""COMPUTED_VALUE"""),"metagods")</f>
        <v>metagods</v>
      </c>
      <c r="B7641" s="4" t="str">
        <f>IFERROR(__xludf.DUMMYFUNCTION("""COMPUTED_VALUE"""),"mgod")</f>
        <v>mgod</v>
      </c>
      <c r="C7641" s="4" t="str">
        <f>IFERROR(__xludf.DUMMYFUNCTION("""COMPUTED_VALUE"""),"MetaGods")</f>
        <v>MetaGods</v>
      </c>
    </row>
    <row r="7642">
      <c r="A7642" s="4" t="str">
        <f>IFERROR(__xludf.DUMMYFUNCTION("""COMPUTED_VALUE"""),"metaguard")</f>
        <v>metaguard</v>
      </c>
      <c r="B7642" s="4" t="str">
        <f>IFERROR(__xludf.DUMMYFUNCTION("""COMPUTED_VALUE"""),"mtgrd")</f>
        <v>mtgrd</v>
      </c>
      <c r="C7642" s="4" t="str">
        <f>IFERROR(__xludf.DUMMYFUNCTION("""COMPUTED_VALUE"""),"MetaGuard")</f>
        <v>MetaGuard</v>
      </c>
    </row>
    <row r="7643">
      <c r="A7643" s="4" t="str">
        <f>IFERROR(__xludf.DUMMYFUNCTION("""COMPUTED_VALUE"""),"metahamster")</f>
        <v>metahamster</v>
      </c>
      <c r="B7643" s="4" t="str">
        <f>IFERROR(__xludf.DUMMYFUNCTION("""COMPUTED_VALUE"""),"mham")</f>
        <v>mham</v>
      </c>
      <c r="C7643" s="4" t="str">
        <f>IFERROR(__xludf.DUMMYFUNCTION("""COMPUTED_VALUE"""),"Metahamster")</f>
        <v>Metahamster</v>
      </c>
    </row>
    <row r="7644">
      <c r="A7644" s="4" t="str">
        <f>IFERROR(__xludf.DUMMYFUNCTION("""COMPUTED_VALUE"""),"metahero")</f>
        <v>metahero</v>
      </c>
      <c r="B7644" s="4" t="str">
        <f>IFERROR(__xludf.DUMMYFUNCTION("""COMPUTED_VALUE"""),"hero")</f>
        <v>hero</v>
      </c>
      <c r="C7644" s="4" t="str">
        <f>IFERROR(__xludf.DUMMYFUNCTION("""COMPUTED_VALUE"""),"Metahero")</f>
        <v>Metahero</v>
      </c>
    </row>
    <row r="7645">
      <c r="A7645" s="4" t="str">
        <f>IFERROR(__xludf.DUMMYFUNCTION("""COMPUTED_VALUE"""),"metahorse-unity")</f>
        <v>metahorse-unity</v>
      </c>
      <c r="B7645" s="4" t="str">
        <f>IFERROR(__xludf.DUMMYFUNCTION("""COMPUTED_VALUE"""),"munity")</f>
        <v>munity</v>
      </c>
      <c r="C7645" s="4" t="str">
        <f>IFERROR(__xludf.DUMMYFUNCTION("""COMPUTED_VALUE"""),"Metahorse Unity")</f>
        <v>Metahorse Unity</v>
      </c>
    </row>
    <row r="7646">
      <c r="A7646" s="4" t="str">
        <f>IFERROR(__xludf.DUMMYFUNCTION("""COMPUTED_VALUE"""),"metahub-finance")</f>
        <v>metahub-finance</v>
      </c>
      <c r="B7646" s="4" t="str">
        <f>IFERROR(__xludf.DUMMYFUNCTION("""COMPUTED_VALUE"""),"men")</f>
        <v>men</v>
      </c>
      <c r="C7646" s="4" t="str">
        <f>IFERROR(__xludf.DUMMYFUNCTION("""COMPUTED_VALUE"""),"MetaHub Finance")</f>
        <v>MetaHub Finance</v>
      </c>
    </row>
    <row r="7647">
      <c r="A7647" s="4" t="str">
        <f>IFERROR(__xludf.DUMMYFUNCTION("""COMPUTED_VALUE"""),"metajuice")</f>
        <v>metajuice</v>
      </c>
      <c r="B7647" s="4" t="str">
        <f>IFERROR(__xludf.DUMMYFUNCTION("""COMPUTED_VALUE"""),"vcoin")</f>
        <v>vcoin</v>
      </c>
      <c r="C7647" s="4" t="str">
        <f>IFERROR(__xludf.DUMMYFUNCTION("""COMPUTED_VALUE"""),"Metajuice")</f>
        <v>Metajuice</v>
      </c>
    </row>
    <row r="7648">
      <c r="A7648" s="4" t="str">
        <f>IFERROR(__xludf.DUMMYFUNCTION("""COMPUTED_VALUE"""),"metakings")</f>
        <v>metakings</v>
      </c>
      <c r="B7648" s="4" t="str">
        <f>IFERROR(__xludf.DUMMYFUNCTION("""COMPUTED_VALUE"""),"mtk")</f>
        <v>mtk</v>
      </c>
      <c r="C7648" s="4" t="str">
        <f>IFERROR(__xludf.DUMMYFUNCTION("""COMPUTED_VALUE"""),"Metakings")</f>
        <v>Metakings</v>
      </c>
    </row>
    <row r="7649">
      <c r="A7649" s="4" t="str">
        <f>IFERROR(__xludf.DUMMYFUNCTION("""COMPUTED_VALUE"""),"metal")</f>
        <v>metal</v>
      </c>
      <c r="B7649" s="4" t="str">
        <f>IFERROR(__xludf.DUMMYFUNCTION("""COMPUTED_VALUE"""),"mtl")</f>
        <v>mtl</v>
      </c>
      <c r="C7649" s="4" t="str">
        <f>IFERROR(__xludf.DUMMYFUNCTION("""COMPUTED_VALUE"""),"Metal DAO")</f>
        <v>Metal DAO</v>
      </c>
    </row>
    <row r="7650">
      <c r="A7650" s="4" t="str">
        <f>IFERROR(__xludf.DUMMYFUNCTION("""COMPUTED_VALUE"""),"metaland-gameverse")</f>
        <v>metaland-gameverse</v>
      </c>
      <c r="B7650" s="4" t="str">
        <f>IFERROR(__xludf.DUMMYFUNCTION("""COMPUTED_VALUE"""),"mst")</f>
        <v>mst</v>
      </c>
      <c r="C7650" s="4" t="str">
        <f>IFERROR(__xludf.DUMMYFUNCTION("""COMPUTED_VALUE"""),"Monster")</f>
        <v>Monster</v>
      </c>
    </row>
    <row r="7651">
      <c r="A7651" s="4" t="str">
        <f>IFERROR(__xludf.DUMMYFUNCTION("""COMPUTED_VALUE"""),"metalands")</f>
        <v>metalands</v>
      </c>
      <c r="B7651" s="4" t="str">
        <f>IFERROR(__xludf.DUMMYFUNCTION("""COMPUTED_VALUE"""),"pvp")</f>
        <v>pvp</v>
      </c>
      <c r="C7651" s="4" t="str">
        <f>IFERROR(__xludf.DUMMYFUNCTION("""COMPUTED_VALUE"""),"Metalands")</f>
        <v>Metalands</v>
      </c>
    </row>
    <row r="7652">
      <c r="A7652" s="4" t="str">
        <f>IFERROR(__xludf.DUMMYFUNCTION("""COMPUTED_VALUE"""),"meta-launcher")</f>
        <v>meta-launcher</v>
      </c>
      <c r="B7652" s="4" t="str">
        <f>IFERROR(__xludf.DUMMYFUNCTION("""COMPUTED_VALUE"""),"mtla")</f>
        <v>mtla</v>
      </c>
      <c r="C7652" s="4" t="str">
        <f>IFERROR(__xludf.DUMMYFUNCTION("""COMPUTED_VALUE"""),"Meta Launcher")</f>
        <v>Meta Launcher</v>
      </c>
    </row>
    <row r="7653">
      <c r="A7653" s="4" t="str">
        <f>IFERROR(__xludf.DUMMYFUNCTION("""COMPUTED_VALUE"""),"metal-blockchain")</f>
        <v>metal-blockchain</v>
      </c>
      <c r="B7653" s="4" t="str">
        <f>IFERROR(__xludf.DUMMYFUNCTION("""COMPUTED_VALUE"""),"metal")</f>
        <v>metal</v>
      </c>
      <c r="C7653" s="4" t="str">
        <f>IFERROR(__xludf.DUMMYFUNCTION("""COMPUTED_VALUE"""),"Metal Blockchain")</f>
        <v>Metal Blockchain</v>
      </c>
    </row>
    <row r="7654">
      <c r="A7654" s="4" t="str">
        <f>IFERROR(__xludf.DUMMYFUNCTION("""COMPUTED_VALUE"""),"metal-dollar")</f>
        <v>metal-dollar</v>
      </c>
      <c r="B7654" s="4" t="str">
        <f>IFERROR(__xludf.DUMMYFUNCTION("""COMPUTED_VALUE"""),"xmd")</f>
        <v>xmd</v>
      </c>
      <c r="C7654" s="4" t="str">
        <f>IFERROR(__xludf.DUMMYFUNCTION("""COMPUTED_VALUE"""),"Metal Dollar")</f>
        <v>Metal Dollar</v>
      </c>
    </row>
    <row r="7655">
      <c r="A7655" s="4" t="str">
        <f>IFERROR(__xludf.DUMMYFUNCTION("""COMPUTED_VALUE"""),"metal-friends")</f>
        <v>metal-friends</v>
      </c>
      <c r="B7655" s="4" t="str">
        <f>IFERROR(__xludf.DUMMYFUNCTION("""COMPUTED_VALUE"""),"mtls")</f>
        <v>mtls</v>
      </c>
      <c r="C7655" s="4" t="str">
        <f>IFERROR(__xludf.DUMMYFUNCTION("""COMPUTED_VALUE"""),"Metal Friends")</f>
        <v>Metal Friends</v>
      </c>
    </row>
    <row r="7656">
      <c r="A7656" s="4" t="str">
        <f>IFERROR(__xludf.DUMMYFUNCTION("""COMPUTED_VALUE"""),"metalswap")</f>
        <v>metalswap</v>
      </c>
      <c r="B7656" s="4" t="str">
        <f>IFERROR(__xludf.DUMMYFUNCTION("""COMPUTED_VALUE"""),"xmt")</f>
        <v>xmt</v>
      </c>
      <c r="C7656" s="4" t="str">
        <f>IFERROR(__xludf.DUMMYFUNCTION("""COMPUTED_VALUE"""),"MetalSwap")</f>
        <v>MetalSwap</v>
      </c>
    </row>
    <row r="7657">
      <c r="A7657" s="4" t="str">
        <f>IFERROR(__xludf.DUMMYFUNCTION("""COMPUTED_VALUE"""),"metal-tools")</f>
        <v>metal-tools</v>
      </c>
      <c r="B7657" s="4" t="str">
        <f>IFERROR(__xludf.DUMMYFUNCTION("""COMPUTED_VALUE"""),"metal")</f>
        <v>metal</v>
      </c>
      <c r="C7657" s="4" t="str">
        <f>IFERROR(__xludf.DUMMYFUNCTION("""COMPUTED_VALUE"""),"Metal Tools")</f>
        <v>Metal Tools</v>
      </c>
    </row>
    <row r="7658">
      <c r="A7658" s="4" t="str">
        <f>IFERROR(__xludf.DUMMYFUNCTION("""COMPUTED_VALUE"""),"metamafia")</f>
        <v>metamafia</v>
      </c>
      <c r="B7658" s="4" t="str">
        <f>IFERROR(__xludf.DUMMYFUNCTION("""COMPUTED_VALUE"""),"maf")</f>
        <v>maf</v>
      </c>
      <c r="C7658" s="4" t="str">
        <f>IFERROR(__xludf.DUMMYFUNCTION("""COMPUTED_VALUE"""),"MetaMAFIA")</f>
        <v>MetaMAFIA</v>
      </c>
    </row>
    <row r="7659">
      <c r="A7659" s="4" t="str">
        <f>IFERROR(__xludf.DUMMYFUNCTION("""COMPUTED_VALUE"""),"metamall")</f>
        <v>metamall</v>
      </c>
      <c r="B7659" s="4" t="str">
        <f>IFERROR(__xludf.DUMMYFUNCTION("""COMPUTED_VALUE"""),"mall")</f>
        <v>mall</v>
      </c>
      <c r="C7659" s="4" t="str">
        <f>IFERROR(__xludf.DUMMYFUNCTION("""COMPUTED_VALUE"""),"MetaMall")</f>
        <v>MetaMall</v>
      </c>
    </row>
    <row r="7660">
      <c r="A7660" s="4" t="str">
        <f>IFERROR(__xludf.DUMMYFUNCTION("""COMPUTED_VALUE"""),"metamecha")</f>
        <v>metamecha</v>
      </c>
      <c r="B7660" s="4" t="str">
        <f>IFERROR(__xludf.DUMMYFUNCTION("""COMPUTED_VALUE"""),"mm")</f>
        <v>mm</v>
      </c>
      <c r="C7660" s="4" t="str">
        <f>IFERROR(__xludf.DUMMYFUNCTION("""COMPUTED_VALUE"""),"MetaMecha")</f>
        <v>MetaMecha</v>
      </c>
    </row>
    <row r="7661">
      <c r="A7661" s="4" t="str">
        <f>IFERROR(__xludf.DUMMYFUNCTION("""COMPUTED_VALUE"""),"meta-merge-mana")</f>
        <v>meta-merge-mana</v>
      </c>
      <c r="B7661" s="4" t="str">
        <f>IFERROR(__xludf.DUMMYFUNCTION("""COMPUTED_VALUE"""),"mmm")</f>
        <v>mmm</v>
      </c>
      <c r="C7661" s="4" t="str">
        <f>IFERROR(__xludf.DUMMYFUNCTION("""COMPUTED_VALUE"""),"Meta Merge Mana")</f>
        <v>Meta Merge Mana</v>
      </c>
    </row>
    <row r="7662">
      <c r="A7662" s="4" t="str">
        <f>IFERROR(__xludf.DUMMYFUNCTION("""COMPUTED_VALUE"""),"met-a-meta-metameme")</f>
        <v>met-a-meta-metameme</v>
      </c>
      <c r="B7662" s="4" t="str">
        <f>IFERROR(__xludf.DUMMYFUNCTION("""COMPUTED_VALUE"""),"metameme")</f>
        <v>metameme</v>
      </c>
      <c r="C7662" s="4" t="str">
        <f>IFERROR(__xludf.DUMMYFUNCTION("""COMPUTED_VALUE"""),"met a meta metameme")</f>
        <v>met a meta metameme</v>
      </c>
    </row>
    <row r="7663">
      <c r="A7663" s="4" t="str">
        <f>IFERROR(__xludf.DUMMYFUNCTION("""COMPUTED_VALUE"""),"meta-mine")</f>
        <v>meta-mine</v>
      </c>
      <c r="B7663" s="4" t="str">
        <f>IFERROR(__xludf.DUMMYFUNCTION("""COMPUTED_VALUE"""),"mtmn")</f>
        <v>mtmn</v>
      </c>
      <c r="C7663" s="4" t="str">
        <f>IFERROR(__xludf.DUMMYFUNCTION("""COMPUTED_VALUE"""),"META MINE")</f>
        <v>META MINE</v>
      </c>
    </row>
    <row r="7664">
      <c r="A7664" s="4" t="str">
        <f>IFERROR(__xludf.DUMMYFUNCTION("""COMPUTED_VALUE"""),"meta-minigames")</f>
        <v>meta-minigames</v>
      </c>
      <c r="B7664" s="4" t="str">
        <f>IFERROR(__xludf.DUMMYFUNCTION("""COMPUTED_VALUE"""),"mmg")</f>
        <v>mmg</v>
      </c>
      <c r="C7664" s="4" t="str">
        <f>IFERROR(__xludf.DUMMYFUNCTION("""COMPUTED_VALUE"""),"Meta Minigames")</f>
        <v>Meta Minigames</v>
      </c>
    </row>
    <row r="7665">
      <c r="A7665" s="4" t="str">
        <f>IFERROR(__xludf.DUMMYFUNCTION("""COMPUTED_VALUE"""),"metamonkeyai")</f>
        <v>metamonkeyai</v>
      </c>
      <c r="B7665" s="4" t="str">
        <f>IFERROR(__xludf.DUMMYFUNCTION("""COMPUTED_VALUE"""),"mmai")</f>
        <v>mmai</v>
      </c>
      <c r="C7665" s="4" t="str">
        <f>IFERROR(__xludf.DUMMYFUNCTION("""COMPUTED_VALUE"""),"MetamonkeyAi")</f>
        <v>MetamonkeyAi</v>
      </c>
    </row>
    <row r="7666">
      <c r="A7666" s="4" t="str">
        <f>IFERROR(__xludf.DUMMYFUNCTION("""COMPUTED_VALUE"""),"meta-monopoly")</f>
        <v>meta-monopoly</v>
      </c>
      <c r="B7666" s="4" t="str">
        <f>IFERROR(__xludf.DUMMYFUNCTION("""COMPUTED_VALUE"""),"monopoly")</f>
        <v>monopoly</v>
      </c>
      <c r="C7666" s="4" t="str">
        <f>IFERROR(__xludf.DUMMYFUNCTION("""COMPUTED_VALUE"""),"Meta Monopoly")</f>
        <v>Meta Monopoly</v>
      </c>
    </row>
    <row r="7667">
      <c r="A7667" s="4" t="str">
        <f>IFERROR(__xludf.DUMMYFUNCTION("""COMPUTED_VALUE"""),"metamoon")</f>
        <v>metamoon</v>
      </c>
      <c r="B7667" s="4" t="str">
        <f>IFERROR(__xludf.DUMMYFUNCTION("""COMPUTED_VALUE"""),"metamoon")</f>
        <v>metamoon</v>
      </c>
      <c r="C7667" s="4" t="str">
        <f>IFERROR(__xludf.DUMMYFUNCTION("""COMPUTED_VALUE"""),"MetaMoon")</f>
        <v>MetaMoon</v>
      </c>
    </row>
    <row r="7668">
      <c r="A7668" s="4" t="str">
        <f>IFERROR(__xludf.DUMMYFUNCTION("""COMPUTED_VALUE"""),"metamui")</f>
        <v>metamui</v>
      </c>
      <c r="B7668" s="4" t="str">
        <f>IFERROR(__xludf.DUMMYFUNCTION("""COMPUTED_VALUE"""),"mmui")</f>
        <v>mmui</v>
      </c>
      <c r="C7668" s="4" t="str">
        <f>IFERROR(__xludf.DUMMYFUNCTION("""COMPUTED_VALUE"""),"MetaMUI")</f>
        <v>MetaMUI</v>
      </c>
    </row>
    <row r="7669">
      <c r="A7669" s="4" t="str">
        <f>IFERROR(__xludf.DUMMYFUNCTION("""COMPUTED_VALUE"""),"metamundo")</f>
        <v>metamundo</v>
      </c>
      <c r="B7669" s="4" t="str">
        <f>IFERROR(__xludf.DUMMYFUNCTION("""COMPUTED_VALUE"""),"mmt")</f>
        <v>mmt</v>
      </c>
      <c r="C7669" s="4" t="str">
        <f>IFERROR(__xludf.DUMMYFUNCTION("""COMPUTED_VALUE"""),"Metamundo")</f>
        <v>Metamundo</v>
      </c>
    </row>
    <row r="7670">
      <c r="A7670" s="4" t="str">
        <f>IFERROR(__xludf.DUMMYFUNCTION("""COMPUTED_VALUE"""),"metanept")</f>
        <v>metanept</v>
      </c>
      <c r="B7670" s="4" t="str">
        <f>IFERROR(__xludf.DUMMYFUNCTION("""COMPUTED_VALUE"""),"nept")</f>
        <v>nept</v>
      </c>
      <c r="C7670" s="4" t="str">
        <f>IFERROR(__xludf.DUMMYFUNCTION("""COMPUTED_VALUE"""),"Metanept")</f>
        <v>Metanept</v>
      </c>
    </row>
    <row r="7671">
      <c r="A7671" s="4" t="str">
        <f>IFERROR(__xludf.DUMMYFUNCTION("""COMPUTED_VALUE"""),"metan-evolutions")</f>
        <v>metan-evolutions</v>
      </c>
      <c r="B7671" s="4" t="str">
        <f>IFERROR(__xludf.DUMMYFUNCTION("""COMPUTED_VALUE"""),"metan")</f>
        <v>metan</v>
      </c>
      <c r="C7671" s="4" t="str">
        <f>IFERROR(__xludf.DUMMYFUNCTION("""COMPUTED_VALUE"""),"Metan Evolutions")</f>
        <v>Metan Evolutions</v>
      </c>
    </row>
    <row r="7672">
      <c r="A7672" s="4" t="str">
        <f>IFERROR(__xludf.DUMMYFUNCTION("""COMPUTED_VALUE"""),"metaniagames")</f>
        <v>metaniagames</v>
      </c>
      <c r="B7672" s="4" t="str">
        <f>IFERROR(__xludf.DUMMYFUNCTION("""COMPUTED_VALUE"""),"metania")</f>
        <v>metania</v>
      </c>
      <c r="C7672" s="4" t="str">
        <f>IFERROR(__xludf.DUMMYFUNCTION("""COMPUTED_VALUE"""),"MetaniaGames")</f>
        <v>MetaniaGames</v>
      </c>
    </row>
    <row r="7673">
      <c r="A7673" s="4" t="str">
        <f>IFERROR(__xludf.DUMMYFUNCTION("""COMPUTED_VALUE"""),"metano")</f>
        <v>metano</v>
      </c>
      <c r="B7673" s="4" t="str">
        <f>IFERROR(__xludf.DUMMYFUNCTION("""COMPUTED_VALUE"""),"metano")</f>
        <v>metano</v>
      </c>
      <c r="C7673" s="4" t="str">
        <f>IFERROR(__xludf.DUMMYFUNCTION("""COMPUTED_VALUE"""),"Metano")</f>
        <v>Metano</v>
      </c>
    </row>
    <row r="7674">
      <c r="A7674" s="4" t="str">
        <f>IFERROR(__xludf.DUMMYFUNCTION("""COMPUTED_VALUE"""),"metanyx")</f>
        <v>metanyx</v>
      </c>
      <c r="B7674" s="4" t="str">
        <f>IFERROR(__xludf.DUMMYFUNCTION("""COMPUTED_VALUE"""),"metx")</f>
        <v>metx</v>
      </c>
      <c r="C7674" s="4" t="str">
        <f>IFERROR(__xludf.DUMMYFUNCTION("""COMPUTED_VALUE"""),"Metanyx")</f>
        <v>Metanyx</v>
      </c>
    </row>
    <row r="7675">
      <c r="A7675" s="4" t="str">
        <f>IFERROR(__xludf.DUMMYFUNCTION("""COMPUTED_VALUE"""),"meta-oasis")</f>
        <v>meta-oasis</v>
      </c>
      <c r="B7675" s="4" t="str">
        <f>IFERROR(__xludf.DUMMYFUNCTION("""COMPUTED_VALUE"""),"aim")</f>
        <v>aim</v>
      </c>
      <c r="C7675" s="4" t="str">
        <f>IFERROR(__xludf.DUMMYFUNCTION("""COMPUTED_VALUE"""),"Meta Oasis")</f>
        <v>Meta Oasis</v>
      </c>
    </row>
    <row r="7676">
      <c r="A7676" s="4" t="str">
        <f>IFERROR(__xludf.DUMMYFUNCTION("""COMPUTED_VALUE"""),"metaoctagon")</f>
        <v>metaoctagon</v>
      </c>
      <c r="B7676" s="4" t="str">
        <f>IFERROR(__xludf.DUMMYFUNCTION("""COMPUTED_VALUE"""),"motg")</f>
        <v>motg</v>
      </c>
      <c r="C7676" s="4" t="str">
        <f>IFERROR(__xludf.DUMMYFUNCTION("""COMPUTED_VALUE"""),"MetaOctagon")</f>
        <v>MetaOctagon</v>
      </c>
    </row>
    <row r="7677">
      <c r="A7677" s="4" t="str">
        <f>IFERROR(__xludf.DUMMYFUNCTION("""COMPUTED_VALUE"""),"metaplanet-ai")</f>
        <v>metaplanet-ai</v>
      </c>
      <c r="B7677" s="4" t="str">
        <f>IFERROR(__xludf.DUMMYFUNCTION("""COMPUTED_VALUE"""),"mplai")</f>
        <v>mplai</v>
      </c>
      <c r="C7677" s="4" t="str">
        <f>IFERROR(__xludf.DUMMYFUNCTION("""COMPUTED_VALUE"""),"MetaPlanet AI")</f>
        <v>MetaPlanet AI</v>
      </c>
    </row>
    <row r="7678">
      <c r="A7678" s="4" t="str">
        <f>IFERROR(__xludf.DUMMYFUNCTION("""COMPUTED_VALUE"""),"metaplex")</f>
        <v>metaplex</v>
      </c>
      <c r="B7678" s="4" t="str">
        <f>IFERROR(__xludf.DUMMYFUNCTION("""COMPUTED_VALUE"""),"mplx")</f>
        <v>mplx</v>
      </c>
      <c r="C7678" s="4" t="str">
        <f>IFERROR(__xludf.DUMMYFUNCTION("""COMPUTED_VALUE"""),"Metaplex")</f>
        <v>Metaplex</v>
      </c>
    </row>
    <row r="7679">
      <c r="A7679" s="4" t="str">
        <f>IFERROR(__xludf.DUMMYFUNCTION("""COMPUTED_VALUE"""),"meta-plus-token")</f>
        <v>meta-plus-token</v>
      </c>
      <c r="B7679" s="4" t="str">
        <f>IFERROR(__xludf.DUMMYFUNCTION("""COMPUTED_VALUE"""),"mts")</f>
        <v>mts</v>
      </c>
      <c r="C7679" s="4" t="str">
        <f>IFERROR(__xludf.DUMMYFUNCTION("""COMPUTED_VALUE"""),"Meta Plus Token")</f>
        <v>Meta Plus Token</v>
      </c>
    </row>
    <row r="7680">
      <c r="A7680" s="4" t="str">
        <f>IFERROR(__xludf.DUMMYFUNCTION("""COMPUTED_VALUE"""),"metapocket")</f>
        <v>metapocket</v>
      </c>
      <c r="B7680" s="4" t="str">
        <f>IFERROR(__xludf.DUMMYFUNCTION("""COMPUTED_VALUE"""),"mpckt")</f>
        <v>mpckt</v>
      </c>
      <c r="C7680" s="4" t="str">
        <f>IFERROR(__xludf.DUMMYFUNCTION("""COMPUTED_VALUE"""),"MetaPocket")</f>
        <v>MetaPocket</v>
      </c>
    </row>
    <row r="7681">
      <c r="A7681" s="4" t="str">
        <f>IFERROR(__xludf.DUMMYFUNCTION("""COMPUTED_VALUE"""),"metapolitans")</f>
        <v>metapolitans</v>
      </c>
      <c r="B7681" s="4" t="str">
        <f>IFERROR(__xludf.DUMMYFUNCTION("""COMPUTED_VALUE"""),"maps")</f>
        <v>maps</v>
      </c>
      <c r="C7681" s="4" t="str">
        <f>IFERROR(__xludf.DUMMYFUNCTION("""COMPUTED_VALUE"""),"Metapolitans")</f>
        <v>Metapolitans</v>
      </c>
    </row>
    <row r="7682">
      <c r="A7682" s="4" t="str">
        <f>IFERROR(__xludf.DUMMYFUNCTION("""COMPUTED_VALUE"""),"meta-pool")</f>
        <v>meta-pool</v>
      </c>
      <c r="B7682" s="4" t="str">
        <f>IFERROR(__xludf.DUMMYFUNCTION("""COMPUTED_VALUE"""),"meta")</f>
        <v>meta</v>
      </c>
      <c r="C7682" s="4" t="str">
        <f>IFERROR(__xludf.DUMMYFUNCTION("""COMPUTED_VALUE"""),"Meta Pool")</f>
        <v>Meta Pool</v>
      </c>
    </row>
    <row r="7683">
      <c r="A7683" s="4" t="str">
        <f>IFERROR(__xludf.DUMMYFUNCTION("""COMPUTED_VALUE"""),"metapuss")</f>
        <v>metapuss</v>
      </c>
      <c r="B7683" s="4" t="str">
        <f>IFERROR(__xludf.DUMMYFUNCTION("""COMPUTED_VALUE"""),"mtp")</f>
        <v>mtp</v>
      </c>
      <c r="C7683" s="4" t="str">
        <f>IFERROR(__xludf.DUMMYFUNCTION("""COMPUTED_VALUE"""),"MetaPuss")</f>
        <v>MetaPuss</v>
      </c>
    </row>
    <row r="7684">
      <c r="A7684" s="4" t="str">
        <f>IFERROR(__xludf.DUMMYFUNCTION("""COMPUTED_VALUE"""),"metaq")</f>
        <v>metaq</v>
      </c>
      <c r="B7684" s="4" t="str">
        <f>IFERROR(__xludf.DUMMYFUNCTION("""COMPUTED_VALUE"""),"metaq")</f>
        <v>metaq</v>
      </c>
      <c r="C7684" s="4" t="str">
        <f>IFERROR(__xludf.DUMMYFUNCTION("""COMPUTED_VALUE"""),"MetaQ")</f>
        <v>MetaQ</v>
      </c>
    </row>
    <row r="7685">
      <c r="A7685" s="4" t="str">
        <f>IFERROR(__xludf.DUMMYFUNCTION("""COMPUTED_VALUE"""),"metarim")</f>
        <v>metarim</v>
      </c>
      <c r="B7685" s="4" t="str">
        <f>IFERROR(__xludf.DUMMYFUNCTION("""COMPUTED_VALUE"""),"rim")</f>
        <v>rim</v>
      </c>
      <c r="C7685" s="4" t="str">
        <f>IFERROR(__xludf.DUMMYFUNCTION("""COMPUTED_VALUE"""),"MetaRim")</f>
        <v>MetaRim</v>
      </c>
    </row>
    <row r="7686">
      <c r="A7686" s="4" t="str">
        <f>IFERROR(__xludf.DUMMYFUNCTION("""COMPUTED_VALUE"""),"metarix")</f>
        <v>metarix</v>
      </c>
      <c r="B7686" s="4" t="str">
        <f>IFERROR(__xludf.DUMMYFUNCTION("""COMPUTED_VALUE"""),"mtrx")</f>
        <v>mtrx</v>
      </c>
      <c r="C7686" s="4" t="str">
        <f>IFERROR(__xludf.DUMMYFUNCTION("""COMPUTED_VALUE"""),"Metarix")</f>
        <v>Metarix</v>
      </c>
    </row>
    <row r="7687">
      <c r="A7687" s="4" t="str">
        <f>IFERROR(__xludf.DUMMYFUNCTION("""COMPUTED_VALUE"""),"metars-genesis")</f>
        <v>metars-genesis</v>
      </c>
      <c r="B7687" s="4" t="str">
        <f>IFERROR(__xludf.DUMMYFUNCTION("""COMPUTED_VALUE"""),"mrs")</f>
        <v>mrs</v>
      </c>
      <c r="C7687" s="4" t="str">
        <f>IFERROR(__xludf.DUMMYFUNCTION("""COMPUTED_VALUE"""),"Metars Genesis")</f>
        <v>Metars Genesis</v>
      </c>
    </row>
    <row r="7688">
      <c r="A7688" s="4" t="str">
        <f>IFERROR(__xludf.DUMMYFUNCTION("""COMPUTED_VALUE"""),"meta-ruffy")</f>
        <v>meta-ruffy</v>
      </c>
      <c r="B7688" s="4" t="str">
        <f>IFERROR(__xludf.DUMMYFUNCTION("""COMPUTED_VALUE"""),"mr")</f>
        <v>mr</v>
      </c>
      <c r="C7688" s="4" t="str">
        <f>IFERROR(__xludf.DUMMYFUNCTION("""COMPUTED_VALUE"""),"MetaRuffy (MR)")</f>
        <v>MetaRuffy (MR)</v>
      </c>
    </row>
    <row r="7689">
      <c r="A7689" s="4" t="str">
        <f>IFERROR(__xludf.DUMMYFUNCTION("""COMPUTED_VALUE"""),"metarun")</f>
        <v>metarun</v>
      </c>
      <c r="B7689" s="4" t="str">
        <f>IFERROR(__xludf.DUMMYFUNCTION("""COMPUTED_VALUE"""),"mrun")</f>
        <v>mrun</v>
      </c>
      <c r="C7689" s="4" t="str">
        <f>IFERROR(__xludf.DUMMYFUNCTION("""COMPUTED_VALUE"""),"Metarun")</f>
        <v>Metarun</v>
      </c>
    </row>
    <row r="7690">
      <c r="A7690" s="4" t="str">
        <f>IFERROR(__xludf.DUMMYFUNCTION("""COMPUTED_VALUE"""),"metasafemoon")</f>
        <v>metasafemoon</v>
      </c>
      <c r="B7690" s="4" t="str">
        <f>IFERROR(__xludf.DUMMYFUNCTION("""COMPUTED_VALUE"""),"metasfm")</f>
        <v>metasfm</v>
      </c>
      <c r="C7690" s="4" t="str">
        <f>IFERROR(__xludf.DUMMYFUNCTION("""COMPUTED_VALUE"""),"MetaSafeMoon")</f>
        <v>MetaSafeMoon</v>
      </c>
    </row>
    <row r="7691">
      <c r="A7691" s="4" t="str">
        <f>IFERROR(__xludf.DUMMYFUNCTION("""COMPUTED_VALUE"""),"metashooter")</f>
        <v>metashooter</v>
      </c>
      <c r="B7691" s="4" t="str">
        <f>IFERROR(__xludf.DUMMYFUNCTION("""COMPUTED_VALUE"""),"mhunt")</f>
        <v>mhunt</v>
      </c>
      <c r="C7691" s="4" t="str">
        <f>IFERROR(__xludf.DUMMYFUNCTION("""COMPUTED_VALUE"""),"MetaShooter")</f>
        <v>MetaShooter</v>
      </c>
    </row>
    <row r="7692">
      <c r="A7692" s="4" t="str">
        <f>IFERROR(__xludf.DUMMYFUNCTION("""COMPUTED_VALUE"""),"metasoccer")</f>
        <v>metasoccer</v>
      </c>
      <c r="B7692" s="4" t="str">
        <f>IFERROR(__xludf.DUMMYFUNCTION("""COMPUTED_VALUE"""),"msu")</f>
        <v>msu</v>
      </c>
      <c r="C7692" s="4" t="str">
        <f>IFERROR(__xludf.DUMMYFUNCTION("""COMPUTED_VALUE"""),"MetaSoccer")</f>
        <v>MetaSoccer</v>
      </c>
    </row>
    <row r="7693">
      <c r="A7693" s="4" t="str">
        <f>IFERROR(__xludf.DUMMYFUNCTION("""COMPUTED_VALUE"""),"metastreet-v2-mwsteth-wpunks-20")</f>
        <v>metastreet-v2-mwsteth-wpunks-20</v>
      </c>
      <c r="B7693" s="4" t="str">
        <f>IFERROR(__xludf.DUMMYFUNCTION("""COMPUTED_VALUE"""),"punketh-20")</f>
        <v>punketh-20</v>
      </c>
      <c r="C7693" s="4" t="str">
        <f>IFERROR(__xludf.DUMMYFUNCTION("""COMPUTED_VALUE"""),"MetaStreet V2 mwstETH-WPUNKS:20")</f>
        <v>MetaStreet V2 mwstETH-WPUNKS:20</v>
      </c>
    </row>
    <row r="7694">
      <c r="A7694" s="4" t="str">
        <f>IFERROR(__xludf.DUMMYFUNCTION("""COMPUTED_VALUE"""),"metastrike")</f>
        <v>metastrike</v>
      </c>
      <c r="B7694" s="4" t="str">
        <f>IFERROR(__xludf.DUMMYFUNCTION("""COMPUTED_VALUE"""),"mts")</f>
        <v>mts</v>
      </c>
      <c r="C7694" s="4" t="str">
        <f>IFERROR(__xludf.DUMMYFUNCTION("""COMPUTED_VALUE"""),"Metastrike")</f>
        <v>Metastrike</v>
      </c>
    </row>
    <row r="7695">
      <c r="A7695" s="4" t="str">
        <f>IFERROR(__xludf.DUMMYFUNCTION("""COMPUTED_VALUE"""),"metatdex")</f>
        <v>metatdex</v>
      </c>
      <c r="B7695" s="4" t="str">
        <f>IFERROR(__xludf.DUMMYFUNCTION("""COMPUTED_VALUE"""),"tt")</f>
        <v>tt</v>
      </c>
      <c r="C7695" s="4" t="str">
        <f>IFERROR(__xludf.DUMMYFUNCTION("""COMPUTED_VALUE"""),"TDEX Token")</f>
        <v>TDEX Token</v>
      </c>
    </row>
    <row r="7696">
      <c r="A7696" s="4" t="str">
        <f>IFERROR(__xludf.DUMMYFUNCTION("""COMPUTED_VALUE"""),"metathings")</f>
        <v>metathings</v>
      </c>
      <c r="B7696" s="4" t="str">
        <f>IFERROR(__xludf.DUMMYFUNCTION("""COMPUTED_VALUE"""),"mett")</f>
        <v>mett</v>
      </c>
      <c r="C7696" s="4" t="str">
        <f>IFERROR(__xludf.DUMMYFUNCTION("""COMPUTED_VALUE"""),"Metathings")</f>
        <v>Metathings</v>
      </c>
    </row>
    <row r="7697">
      <c r="A7697" s="4" t="str">
        <f>IFERROR(__xludf.DUMMYFUNCTION("""COMPUTED_VALUE"""),"metatime-coin")</f>
        <v>metatime-coin</v>
      </c>
      <c r="B7697" s="4" t="str">
        <f>IFERROR(__xludf.DUMMYFUNCTION("""COMPUTED_VALUE"""),"mtc")</f>
        <v>mtc</v>
      </c>
      <c r="C7697" s="4" t="str">
        <f>IFERROR(__xludf.DUMMYFUNCTION("""COMPUTED_VALUE"""),"Metatime Coin")</f>
        <v>Metatime Coin</v>
      </c>
    </row>
    <row r="7698">
      <c r="A7698" s="4" t="str">
        <f>IFERROR(__xludf.DUMMYFUNCTION("""COMPUTED_VALUE"""),"metatoken")</f>
        <v>metatoken</v>
      </c>
      <c r="B7698" s="4" t="str">
        <f>IFERROR(__xludf.DUMMYFUNCTION("""COMPUTED_VALUE"""),"mtk")</f>
        <v>mtk</v>
      </c>
      <c r="C7698" s="4" t="str">
        <f>IFERROR(__xludf.DUMMYFUNCTION("""COMPUTED_VALUE"""),"MetaToken")</f>
        <v>MetaToken</v>
      </c>
    </row>
    <row r="7699">
      <c r="A7699" s="4" t="str">
        <f>IFERROR(__xludf.DUMMYFUNCTION("""COMPUTED_VALUE"""),"meta-toy-dragonz-saga-fxerc20")</f>
        <v>meta-toy-dragonz-saga-fxerc20</v>
      </c>
      <c r="B7699" s="4" t="str">
        <f>IFERROR(__xludf.DUMMYFUNCTION("""COMPUTED_VALUE"""),"fxmetod")</f>
        <v>fxmetod</v>
      </c>
      <c r="C7699" s="4" t="str">
        <f>IFERROR(__xludf.DUMMYFUNCTION("""COMPUTED_VALUE"""),"Meta Toy DragonZ SAGA (FXERC20)")</f>
        <v>Meta Toy DragonZ SAGA (FXERC20)</v>
      </c>
    </row>
    <row r="7700">
      <c r="A7700" s="4" t="str">
        <f>IFERROR(__xludf.DUMMYFUNCTION("""COMPUTED_VALUE"""),"metatrace")</f>
        <v>metatrace</v>
      </c>
      <c r="B7700" s="4" t="str">
        <f>IFERROR(__xludf.DUMMYFUNCTION("""COMPUTED_VALUE"""),"trc")</f>
        <v>trc</v>
      </c>
      <c r="C7700" s="4" t="str">
        <f>IFERROR(__xludf.DUMMYFUNCTION("""COMPUTED_VALUE"""),"MetaTrace")</f>
        <v>MetaTrace</v>
      </c>
    </row>
    <row r="7701">
      <c r="A7701" s="4" t="str">
        <f>IFERROR(__xludf.DUMMYFUNCTION("""COMPUTED_VALUE"""),"metavault-dao")</f>
        <v>metavault-dao</v>
      </c>
      <c r="B7701" s="4" t="str">
        <f>IFERROR(__xludf.DUMMYFUNCTION("""COMPUTED_VALUE"""),"mvd")</f>
        <v>mvd</v>
      </c>
      <c r="C7701" s="4" t="str">
        <f>IFERROR(__xludf.DUMMYFUNCTION("""COMPUTED_VALUE"""),"Metavault DAO")</f>
        <v>Metavault DAO</v>
      </c>
    </row>
    <row r="7702">
      <c r="A7702" s="4" t="str">
        <f>IFERROR(__xludf.DUMMYFUNCTION("""COMPUTED_VALUE"""),"metavault-trade")</f>
        <v>metavault-trade</v>
      </c>
      <c r="B7702" s="4" t="str">
        <f>IFERROR(__xludf.DUMMYFUNCTION("""COMPUTED_VALUE"""),"mvx")</f>
        <v>mvx</v>
      </c>
      <c r="C7702" s="4" t="str">
        <f>IFERROR(__xludf.DUMMYFUNCTION("""COMPUTED_VALUE"""),"Metavault Trade")</f>
        <v>Metavault Trade</v>
      </c>
    </row>
    <row r="7703">
      <c r="A7703" s="4" t="str">
        <f>IFERROR(__xludf.DUMMYFUNCTION("""COMPUTED_VALUE"""),"metaverse-etp")</f>
        <v>metaverse-etp</v>
      </c>
      <c r="B7703" s="4" t="str">
        <f>IFERROR(__xludf.DUMMYFUNCTION("""COMPUTED_VALUE"""),"etp")</f>
        <v>etp</v>
      </c>
      <c r="C7703" s="4" t="str">
        <f>IFERROR(__xludf.DUMMYFUNCTION("""COMPUTED_VALUE"""),"Metaverse ETP")</f>
        <v>Metaverse ETP</v>
      </c>
    </row>
    <row r="7704">
      <c r="A7704" s="4" t="str">
        <f>IFERROR(__xludf.DUMMYFUNCTION("""COMPUTED_VALUE"""),"metaverse-face")</f>
        <v>metaverse-face</v>
      </c>
      <c r="B7704" s="4" t="str">
        <f>IFERROR(__xludf.DUMMYFUNCTION("""COMPUTED_VALUE"""),"mefa")</f>
        <v>mefa</v>
      </c>
      <c r="C7704" s="4" t="str">
        <f>IFERROR(__xludf.DUMMYFUNCTION("""COMPUTED_VALUE"""),"Metaverse Face")</f>
        <v>Metaverse Face</v>
      </c>
    </row>
    <row r="7705">
      <c r="A7705" s="4" t="str">
        <f>IFERROR(__xludf.DUMMYFUNCTION("""COMPUTED_VALUE"""),"metaverse-hub")</f>
        <v>metaverse-hub</v>
      </c>
      <c r="B7705" s="4" t="str">
        <f>IFERROR(__xludf.DUMMYFUNCTION("""COMPUTED_VALUE"""),"mhub")</f>
        <v>mhub</v>
      </c>
      <c r="C7705" s="4" t="str">
        <f>IFERROR(__xludf.DUMMYFUNCTION("""COMPUTED_VALUE"""),"Metaverse Hub")</f>
        <v>Metaverse Hub</v>
      </c>
    </row>
    <row r="7706">
      <c r="A7706" s="4" t="str">
        <f>IFERROR(__xludf.DUMMYFUNCTION("""COMPUTED_VALUE"""),"metaverse-index")</f>
        <v>metaverse-index</v>
      </c>
      <c r="B7706" s="4" t="str">
        <f>IFERROR(__xludf.DUMMYFUNCTION("""COMPUTED_VALUE"""),"mvi")</f>
        <v>mvi</v>
      </c>
      <c r="C7706" s="4" t="str">
        <f>IFERROR(__xludf.DUMMYFUNCTION("""COMPUTED_VALUE"""),"Metaverse Index")</f>
        <v>Metaverse Index</v>
      </c>
    </row>
    <row r="7707">
      <c r="A7707" s="4" t="str">
        <f>IFERROR(__xludf.DUMMYFUNCTION("""COMPUTED_VALUE"""),"metaverse-kombat")</f>
        <v>metaverse-kombat</v>
      </c>
      <c r="B7707" s="4" t="str">
        <f>IFERROR(__xludf.DUMMYFUNCTION("""COMPUTED_VALUE"""),"mvk")</f>
        <v>mvk</v>
      </c>
      <c r="C7707" s="4" t="str">
        <f>IFERROR(__xludf.DUMMYFUNCTION("""COMPUTED_VALUE"""),"Metaverse Kombat")</f>
        <v>Metaverse Kombat</v>
      </c>
    </row>
    <row r="7708">
      <c r="A7708" s="4" t="str">
        <f>IFERROR(__xludf.DUMMYFUNCTION("""COMPUTED_VALUE"""),"metaverse-m")</f>
        <v>metaverse-m</v>
      </c>
      <c r="B7708" s="4" t="str">
        <f>IFERROR(__xludf.DUMMYFUNCTION("""COMPUTED_VALUE"""),"m")</f>
        <v>m</v>
      </c>
      <c r="C7708" s="4" t="str">
        <f>IFERROR(__xludf.DUMMYFUNCTION("""COMPUTED_VALUE"""),"MetaVerse-M")</f>
        <v>MetaVerse-M</v>
      </c>
    </row>
    <row r="7709">
      <c r="A7709" s="4" t="str">
        <f>IFERROR(__xludf.DUMMYFUNCTION("""COMPUTED_VALUE"""),"metaverse-miner")</f>
        <v>metaverse-miner</v>
      </c>
      <c r="B7709" s="4" t="str">
        <f>IFERROR(__xludf.DUMMYFUNCTION("""COMPUTED_VALUE"""),"meta")</f>
        <v>meta</v>
      </c>
      <c r="C7709" s="4" t="str">
        <f>IFERROR(__xludf.DUMMYFUNCTION("""COMPUTED_VALUE"""),"Metaverse Miner")</f>
        <v>Metaverse Miner</v>
      </c>
    </row>
    <row r="7710">
      <c r="A7710" s="4" t="str">
        <f>IFERROR(__xludf.DUMMYFUNCTION("""COMPUTED_VALUE"""),"metaverse-network-pioneer")</f>
        <v>metaverse-network-pioneer</v>
      </c>
      <c r="B7710" s="4" t="str">
        <f>IFERROR(__xludf.DUMMYFUNCTION("""COMPUTED_VALUE"""),"neer")</f>
        <v>neer</v>
      </c>
      <c r="C7710" s="4" t="str">
        <f>IFERROR(__xludf.DUMMYFUNCTION("""COMPUTED_VALUE"""),"MNet Pioneer")</f>
        <v>MNet Pioneer</v>
      </c>
    </row>
    <row r="7711">
      <c r="A7711" s="4" t="str">
        <f>IFERROR(__xludf.DUMMYFUNCTION("""COMPUTED_VALUE"""),"metaverser")</f>
        <v>metaverser</v>
      </c>
      <c r="B7711" s="4" t="str">
        <f>IFERROR(__xludf.DUMMYFUNCTION("""COMPUTED_VALUE"""),"mtvt")</f>
        <v>mtvt</v>
      </c>
      <c r="C7711" s="4" t="str">
        <f>IFERROR(__xludf.DUMMYFUNCTION("""COMPUTED_VALUE"""),"Metaverser")</f>
        <v>Metaverser</v>
      </c>
    </row>
    <row r="7712">
      <c r="A7712" s="4" t="str">
        <f>IFERROR(__xludf.DUMMYFUNCTION("""COMPUTED_VALUE"""),"metaverse-universal-assets-bmbi-ordinals")</f>
        <v>metaverse-universal-assets-bmbi-ordinals</v>
      </c>
      <c r="B7712" s="4" t="str">
        <f>IFERROR(__xludf.DUMMYFUNCTION("""COMPUTED_VALUE"""),"bmbi")</f>
        <v>bmbi</v>
      </c>
      <c r="C7712" s="4" t="str">
        <f>IFERROR(__xludf.DUMMYFUNCTION("""COMPUTED_VALUE"""),"Metaverse Universal Assets BMBI (Ordinals)")</f>
        <v>Metaverse Universal Assets BMBI (Ordinals)</v>
      </c>
    </row>
    <row r="7713">
      <c r="A7713" s="4" t="str">
        <f>IFERROR(__xludf.DUMMYFUNCTION("""COMPUTED_VALUE"""),"metaverse-vr")</f>
        <v>metaverse-vr</v>
      </c>
      <c r="B7713" s="4" t="str">
        <f>IFERROR(__xludf.DUMMYFUNCTION("""COMPUTED_VALUE"""),"mevr")</f>
        <v>mevr</v>
      </c>
      <c r="C7713" s="4" t="str">
        <f>IFERROR(__xludf.DUMMYFUNCTION("""COMPUTED_VALUE"""),"Metaverse VR")</f>
        <v>Metaverse VR</v>
      </c>
    </row>
    <row r="7714">
      <c r="A7714" s="4" t="str">
        <f>IFERROR(__xludf.DUMMYFUNCTION("""COMPUTED_VALUE"""),"metaverse-world-membership")</f>
        <v>metaverse-world-membership</v>
      </c>
      <c r="B7714" s="4" t="str">
        <f>IFERROR(__xludf.DUMMYFUNCTION("""COMPUTED_VALUE"""),"mwm")</f>
        <v>mwm</v>
      </c>
      <c r="C7714" s="4" t="str">
        <f>IFERROR(__xludf.DUMMYFUNCTION("""COMPUTED_VALUE"""),"Metaverse World Membership")</f>
        <v>Metaverse World Membership</v>
      </c>
    </row>
    <row r="7715">
      <c r="A7715" s="4" t="str">
        <f>IFERROR(__xludf.DUMMYFUNCTION("""COMPUTED_VALUE"""),"metaversex")</f>
        <v>metaversex</v>
      </c>
      <c r="B7715" s="4" t="str">
        <f>IFERROR(__xludf.DUMMYFUNCTION("""COMPUTED_VALUE"""),"metax")</f>
        <v>metax</v>
      </c>
      <c r="C7715" s="4" t="str">
        <f>IFERROR(__xludf.DUMMYFUNCTION("""COMPUTED_VALUE"""),"MetaverseX")</f>
        <v>MetaverseX</v>
      </c>
    </row>
    <row r="7716">
      <c r="A7716" s="4" t="str">
        <f>IFERROR(__xludf.DUMMYFUNCTION("""COMPUTED_VALUE"""),"metavisa")</f>
        <v>metavisa</v>
      </c>
      <c r="B7716" s="4" t="str">
        <f>IFERROR(__xludf.DUMMYFUNCTION("""COMPUTED_VALUE"""),"mesa")</f>
        <v>mesa</v>
      </c>
      <c r="C7716" s="4" t="str">
        <f>IFERROR(__xludf.DUMMYFUNCTION("""COMPUTED_VALUE"""),"metavisa")</f>
        <v>metavisa</v>
      </c>
    </row>
    <row r="7717">
      <c r="A7717" s="4" t="str">
        <f>IFERROR(__xludf.DUMMYFUNCTION("""COMPUTED_VALUE"""),"metavpad")</f>
        <v>metavpad</v>
      </c>
      <c r="B7717" s="4" t="str">
        <f>IFERROR(__xludf.DUMMYFUNCTION("""COMPUTED_VALUE"""),"metav")</f>
        <v>metav</v>
      </c>
      <c r="C7717" s="4" t="str">
        <f>IFERROR(__xludf.DUMMYFUNCTION("""COMPUTED_VALUE"""),"MetaVPad")</f>
        <v>MetaVPad</v>
      </c>
    </row>
    <row r="7718">
      <c r="A7718" s="4" t="str">
        <f>IFERROR(__xludf.DUMMYFUNCTION("""COMPUTED_VALUE"""),"metawars")</f>
        <v>metawars</v>
      </c>
      <c r="B7718" s="4" t="str">
        <f>IFERROR(__xludf.DUMMYFUNCTION("""COMPUTED_VALUE"""),"wars")</f>
        <v>wars</v>
      </c>
      <c r="C7718" s="4" t="str">
        <f>IFERROR(__xludf.DUMMYFUNCTION("""COMPUTED_VALUE"""),"MetaWars")</f>
        <v>MetaWars</v>
      </c>
    </row>
    <row r="7719">
      <c r="A7719" s="4" t="str">
        <f>IFERROR(__xludf.DUMMYFUNCTION("""COMPUTED_VALUE"""),"metawear")</f>
        <v>metawear</v>
      </c>
      <c r="B7719" s="4" t="str">
        <f>IFERROR(__xludf.DUMMYFUNCTION("""COMPUTED_VALUE"""),"wear")</f>
        <v>wear</v>
      </c>
      <c r="C7719" s="4" t="str">
        <f>IFERROR(__xludf.DUMMYFUNCTION("""COMPUTED_VALUE"""),"MetaWear")</f>
        <v>MetaWear</v>
      </c>
    </row>
    <row r="7720">
      <c r="A7720" s="4" t="str">
        <f>IFERROR(__xludf.DUMMYFUNCTION("""COMPUTED_VALUE"""),"metaworld")</f>
        <v>metaworld</v>
      </c>
      <c r="B7720" s="4" t="str">
        <f>IFERROR(__xludf.DUMMYFUNCTION("""COMPUTED_VALUE"""),"mw")</f>
        <v>mw</v>
      </c>
      <c r="C7720" s="4" t="str">
        <f>IFERROR(__xludf.DUMMYFUNCTION("""COMPUTED_VALUE"""),"MetaWorld")</f>
        <v>MetaWorld</v>
      </c>
    </row>
    <row r="7721">
      <c r="A7721" s="4" t="str">
        <f>IFERROR(__xludf.DUMMYFUNCTION("""COMPUTED_VALUE"""),"metaxcosmos")</f>
        <v>metaxcosmos</v>
      </c>
      <c r="B7721" s="4" t="str">
        <f>IFERROR(__xludf.DUMMYFUNCTION("""COMPUTED_VALUE"""),"metax")</f>
        <v>metax</v>
      </c>
      <c r="C7721" s="4" t="str">
        <f>IFERROR(__xludf.DUMMYFUNCTION("""COMPUTED_VALUE"""),"MetaXCosmos")</f>
        <v>MetaXCosmos</v>
      </c>
    </row>
    <row r="7722">
      <c r="A7722" s="4" t="str">
        <f>IFERROR(__xludf.DUMMYFUNCTION("""COMPUTED_VALUE"""),"metaxy")</f>
        <v>metaxy</v>
      </c>
      <c r="B7722" s="4" t="str">
        <f>IFERROR(__xludf.DUMMYFUNCTION("""COMPUTED_VALUE"""),"mxy")</f>
        <v>mxy</v>
      </c>
      <c r="C7722" s="4" t="str">
        <f>IFERROR(__xludf.DUMMYFUNCTION("""COMPUTED_VALUE"""),"Metaxy")</f>
        <v>Metaxy</v>
      </c>
    </row>
    <row r="7723">
      <c r="A7723" s="4" t="str">
        <f>IFERROR(__xludf.DUMMYFUNCTION("""COMPUTED_VALUE"""),"metazero")</f>
        <v>metazero</v>
      </c>
      <c r="B7723" s="4" t="str">
        <f>IFERROR(__xludf.DUMMYFUNCTION("""COMPUTED_VALUE"""),"mzero")</f>
        <v>mzero</v>
      </c>
      <c r="C7723" s="4" t="str">
        <f>IFERROR(__xludf.DUMMYFUNCTION("""COMPUTED_VALUE"""),"MetaZero")</f>
        <v>MetaZero</v>
      </c>
    </row>
    <row r="7724">
      <c r="A7724" s="4" t="str">
        <f>IFERROR(__xludf.DUMMYFUNCTION("""COMPUTED_VALUE"""),"metazilla")</f>
        <v>metazilla</v>
      </c>
      <c r="B7724" s="4" t="str">
        <f>IFERROR(__xludf.DUMMYFUNCTION("""COMPUTED_VALUE"""),"mz")</f>
        <v>mz</v>
      </c>
      <c r="C7724" s="4" t="str">
        <f>IFERROR(__xludf.DUMMYFUNCTION("""COMPUTED_VALUE"""),"MetaZilla")</f>
        <v>MetaZilla</v>
      </c>
    </row>
    <row r="7725">
      <c r="A7725" s="4" t="str">
        <f>IFERROR(__xludf.DUMMYFUNCTION("""COMPUTED_VALUE"""),"metazoomee")</f>
        <v>metazoomee</v>
      </c>
      <c r="B7725" s="4" t="str">
        <f>IFERROR(__xludf.DUMMYFUNCTION("""COMPUTED_VALUE"""),"mzm")</f>
        <v>mzm</v>
      </c>
      <c r="C7725" s="4" t="str">
        <f>IFERROR(__xludf.DUMMYFUNCTION("""COMPUTED_VALUE"""),"MetaZooMee")</f>
        <v>MetaZooMee</v>
      </c>
    </row>
    <row r="7726">
      <c r="A7726" s="4" t="str">
        <f>IFERROR(__xludf.DUMMYFUNCTION("""COMPUTED_VALUE"""),"metchain")</f>
        <v>metchain</v>
      </c>
      <c r="B7726" s="4" t="str">
        <f>IFERROR(__xludf.DUMMYFUNCTION("""COMPUTED_VALUE"""),"met")</f>
        <v>met</v>
      </c>
      <c r="C7726" s="4" t="str">
        <f>IFERROR(__xludf.DUMMYFUNCTION("""COMPUTED_VALUE"""),"Metchain")</f>
        <v>Metchain</v>
      </c>
    </row>
    <row r="7727">
      <c r="A7727" s="4" t="str">
        <f>IFERROR(__xludf.DUMMYFUNCTION("""COMPUTED_VALUE"""),"meter")</f>
        <v>meter</v>
      </c>
      <c r="B7727" s="4" t="str">
        <f>IFERROR(__xludf.DUMMYFUNCTION("""COMPUTED_VALUE"""),"mtrg")</f>
        <v>mtrg</v>
      </c>
      <c r="C7727" s="4" t="str">
        <f>IFERROR(__xludf.DUMMYFUNCTION("""COMPUTED_VALUE"""),"Meter Governance")</f>
        <v>Meter Governance</v>
      </c>
    </row>
    <row r="7728">
      <c r="A7728" s="4" t="str">
        <f>IFERROR(__xludf.DUMMYFUNCTION("""COMPUTED_VALUE"""),"meter-governance-mapped-by-meter-io")</f>
        <v>meter-governance-mapped-by-meter-io</v>
      </c>
      <c r="B7728" s="4" t="str">
        <f>IFERROR(__xludf.DUMMYFUNCTION("""COMPUTED_VALUE"""),"emtrg")</f>
        <v>emtrg</v>
      </c>
      <c r="C7728" s="4" t="str">
        <f>IFERROR(__xludf.DUMMYFUNCTION("""COMPUTED_VALUE"""),"Meter Governance mapped by Meter.io")</f>
        <v>Meter Governance mapped by Meter.io</v>
      </c>
    </row>
    <row r="7729">
      <c r="A7729" s="4" t="str">
        <f>IFERROR(__xludf.DUMMYFUNCTION("""COMPUTED_VALUE"""),"meter-io-staked-mtrg")</f>
        <v>meter-io-staked-mtrg</v>
      </c>
      <c r="B7729" s="4" t="str">
        <f>IFERROR(__xludf.DUMMYFUNCTION("""COMPUTED_VALUE"""),"stmtrg")</f>
        <v>stmtrg</v>
      </c>
      <c r="C7729" s="4" t="str">
        <f>IFERROR(__xludf.DUMMYFUNCTION("""COMPUTED_VALUE"""),"Meter.io Staked MTRG")</f>
        <v>Meter.io Staked MTRG</v>
      </c>
    </row>
    <row r="7730">
      <c r="A7730" s="4" t="str">
        <f>IFERROR(__xludf.DUMMYFUNCTION("""COMPUTED_VALUE"""),"meter-io-wrapped-stmtrg")</f>
        <v>meter-io-wrapped-stmtrg</v>
      </c>
      <c r="B7730" s="4" t="str">
        <f>IFERROR(__xludf.DUMMYFUNCTION("""COMPUTED_VALUE"""),"wstmtrg")</f>
        <v>wstmtrg</v>
      </c>
      <c r="C7730" s="4" t="str">
        <f>IFERROR(__xludf.DUMMYFUNCTION("""COMPUTED_VALUE"""),"Meter.io Wrapped stMTRG")</f>
        <v>Meter.io Wrapped stMTRG</v>
      </c>
    </row>
    <row r="7731">
      <c r="A7731" s="4" t="str">
        <f>IFERROR(__xludf.DUMMYFUNCTION("""COMPUTED_VALUE"""),"meter-passport-bridged-usdc-meter")</f>
        <v>meter-passport-bridged-usdc-meter</v>
      </c>
      <c r="B7731" s="4" t="str">
        <f>IFERROR(__xludf.DUMMYFUNCTION("""COMPUTED_VALUE"""),"usdc")</f>
        <v>usdc</v>
      </c>
      <c r="C7731" s="4" t="str">
        <f>IFERROR(__xludf.DUMMYFUNCTION("""COMPUTED_VALUE"""),"Meter Passport Bridged USDC (Meter)")</f>
        <v>Meter Passport Bridged USDC (Meter)</v>
      </c>
    </row>
    <row r="7732">
      <c r="A7732" s="4" t="str">
        <f>IFERROR(__xludf.DUMMYFUNCTION("""COMPUTED_VALUE"""),"meter-stable")</f>
        <v>meter-stable</v>
      </c>
      <c r="B7732" s="4" t="str">
        <f>IFERROR(__xludf.DUMMYFUNCTION("""COMPUTED_VALUE"""),"mtr")</f>
        <v>mtr</v>
      </c>
      <c r="C7732" s="4" t="str">
        <f>IFERROR(__xludf.DUMMYFUNCTION("""COMPUTED_VALUE"""),"Meter Stable")</f>
        <v>Meter Stable</v>
      </c>
    </row>
    <row r="7733">
      <c r="A7733" s="4" t="str">
        <f>IFERROR(__xludf.DUMMYFUNCTION("""COMPUTED_VALUE"""),"metfi-2")</f>
        <v>metfi-2</v>
      </c>
      <c r="B7733" s="4" t="str">
        <f>IFERROR(__xludf.DUMMYFUNCTION("""COMPUTED_VALUE"""),"metfi")</f>
        <v>metfi</v>
      </c>
      <c r="C7733" s="4" t="str">
        <f>IFERROR(__xludf.DUMMYFUNCTION("""COMPUTED_VALUE"""),"MetFi")</f>
        <v>MetFi</v>
      </c>
    </row>
    <row r="7734">
      <c r="A7734" s="4" t="str">
        <f>IFERROR(__xludf.DUMMYFUNCTION("""COMPUTED_VALUE"""),"metisbot")</f>
        <v>metisbot</v>
      </c>
      <c r="B7734" s="4" t="str">
        <f>IFERROR(__xludf.DUMMYFUNCTION("""COMPUTED_VALUE"""),"mbot")</f>
        <v>mbot</v>
      </c>
      <c r="C7734" s="4" t="str">
        <f>IFERROR(__xludf.DUMMYFUNCTION("""COMPUTED_VALUE"""),"MetisBot")</f>
        <v>MetisBot</v>
      </c>
    </row>
    <row r="7735">
      <c r="A7735" s="4" t="str">
        <f>IFERROR(__xludf.DUMMYFUNCTION("""COMPUTED_VALUE"""),"metis-token")</f>
        <v>metis-token</v>
      </c>
      <c r="B7735" s="4" t="str">
        <f>IFERROR(__xludf.DUMMYFUNCTION("""COMPUTED_VALUE"""),"metis")</f>
        <v>metis</v>
      </c>
      <c r="C7735" s="4" t="str">
        <f>IFERROR(__xludf.DUMMYFUNCTION("""COMPUTED_VALUE"""),"Metis")</f>
        <v>Metis</v>
      </c>
    </row>
    <row r="7736">
      <c r="A7736" s="4" t="str">
        <f>IFERROR(__xludf.DUMMYFUNCTION("""COMPUTED_VALUE"""),"metoshi")</f>
        <v>metoshi</v>
      </c>
      <c r="B7736" s="4" t="str">
        <f>IFERROR(__xludf.DUMMYFUNCTION("""COMPUTED_VALUE"""),"meto")</f>
        <v>meto</v>
      </c>
      <c r="C7736" s="4" t="str">
        <f>IFERROR(__xludf.DUMMYFUNCTION("""COMPUTED_VALUE"""),"Metoshi")</f>
        <v>Metoshi</v>
      </c>
    </row>
    <row r="7737">
      <c r="A7737" s="4" t="str">
        <f>IFERROR(__xludf.DUMMYFUNCTION("""COMPUTED_VALUE"""),"metronome")</f>
        <v>metronome</v>
      </c>
      <c r="B7737" s="4" t="str">
        <f>IFERROR(__xludf.DUMMYFUNCTION("""COMPUTED_VALUE"""),"met")</f>
        <v>met</v>
      </c>
      <c r="C7737" s="4" t="str">
        <f>IFERROR(__xludf.DUMMYFUNCTION("""COMPUTED_VALUE"""),"Metronome")</f>
        <v>Metronome</v>
      </c>
    </row>
    <row r="7738">
      <c r="A7738" s="4" t="str">
        <f>IFERROR(__xludf.DUMMYFUNCTION("""COMPUTED_VALUE"""),"metropoly")</f>
        <v>metropoly</v>
      </c>
      <c r="B7738" s="4" t="str">
        <f>IFERROR(__xludf.DUMMYFUNCTION("""COMPUTED_VALUE"""),"metro")</f>
        <v>metro</v>
      </c>
      <c r="C7738" s="4" t="str">
        <f>IFERROR(__xludf.DUMMYFUNCTION("""COMPUTED_VALUE"""),"Metropoly")</f>
        <v>Metropoly</v>
      </c>
    </row>
    <row r="7739">
      <c r="A7739" s="4" t="str">
        <f>IFERROR(__xludf.DUMMYFUNCTION("""COMPUTED_VALUE"""),"metroxynth")</f>
        <v>metroxynth</v>
      </c>
      <c r="B7739" s="4" t="str">
        <f>IFERROR(__xludf.DUMMYFUNCTION("""COMPUTED_VALUE"""),"mxh")</f>
        <v>mxh</v>
      </c>
      <c r="C7739" s="4" t="str">
        <f>IFERROR(__xludf.DUMMYFUNCTION("""COMPUTED_VALUE"""),"Metroxynth")</f>
        <v>Metroxynth</v>
      </c>
    </row>
    <row r="7740">
      <c r="A7740" s="4" t="str">
        <f>IFERROR(__xludf.DUMMYFUNCTION("""COMPUTED_VALUE"""),"mettalex")</f>
        <v>mettalex</v>
      </c>
      <c r="B7740" s="4" t="str">
        <f>IFERROR(__xludf.DUMMYFUNCTION("""COMPUTED_VALUE"""),"mtlx")</f>
        <v>mtlx</v>
      </c>
      <c r="C7740" s="4" t="str">
        <f>IFERROR(__xludf.DUMMYFUNCTION("""COMPUTED_VALUE"""),"Mettalex")</f>
        <v>Mettalex</v>
      </c>
    </row>
    <row r="7741">
      <c r="A7741" s="4" t="str">
        <f>IFERROR(__xludf.DUMMYFUNCTION("""COMPUTED_VALUE"""),"metti-inu")</f>
        <v>metti-inu</v>
      </c>
      <c r="B7741" s="4" t="str">
        <f>IFERROR(__xludf.DUMMYFUNCTION("""COMPUTED_VALUE"""),"metti")</f>
        <v>metti</v>
      </c>
      <c r="C7741" s="4" t="str">
        <f>IFERROR(__xludf.DUMMYFUNCTION("""COMPUTED_VALUE"""),"Metti Inu")</f>
        <v>Metti Inu</v>
      </c>
    </row>
    <row r="7742">
      <c r="A7742" s="4" t="str">
        <f>IFERROR(__xludf.DUMMYFUNCTION("""COMPUTED_VALUE"""),"mevai")</f>
        <v>mevai</v>
      </c>
      <c r="B7742" s="4" t="str">
        <f>IFERROR(__xludf.DUMMYFUNCTION("""COMPUTED_VALUE"""),"mai")</f>
        <v>mai</v>
      </c>
      <c r="C7742" s="4" t="str">
        <f>IFERROR(__xludf.DUMMYFUNCTION("""COMPUTED_VALUE"""),"MevAI")</f>
        <v>MevAI</v>
      </c>
    </row>
    <row r="7743">
      <c r="A7743" s="4" t="str">
        <f>IFERROR(__xludf.DUMMYFUNCTION("""COMPUTED_VALUE"""),"meverse")</f>
        <v>meverse</v>
      </c>
      <c r="B7743" s="4" t="str">
        <f>IFERROR(__xludf.DUMMYFUNCTION("""COMPUTED_VALUE"""),"mev")</f>
        <v>mev</v>
      </c>
      <c r="C7743" s="4" t="str">
        <f>IFERROR(__xludf.DUMMYFUNCTION("""COMPUTED_VALUE"""),"MEVerse")</f>
        <v>MEVerse</v>
      </c>
    </row>
    <row r="7744">
      <c r="A7744" s="4" t="str">
        <f>IFERROR(__xludf.DUMMYFUNCTION("""COMPUTED_VALUE"""),"meveth")</f>
        <v>meveth</v>
      </c>
      <c r="B7744" s="4" t="str">
        <f>IFERROR(__xludf.DUMMYFUNCTION("""COMPUTED_VALUE"""),"meveth")</f>
        <v>meveth</v>
      </c>
      <c r="C7744" s="4" t="str">
        <f>IFERROR(__xludf.DUMMYFUNCTION("""COMPUTED_VALUE"""),"mevETH")</f>
        <v>mevETH</v>
      </c>
    </row>
    <row r="7745">
      <c r="A7745" s="4" t="str">
        <f>IFERROR(__xludf.DUMMYFUNCTION("""COMPUTED_VALUE"""),"mexican-peso-tether")</f>
        <v>mexican-peso-tether</v>
      </c>
      <c r="B7745" s="4" t="str">
        <f>IFERROR(__xludf.DUMMYFUNCTION("""COMPUTED_VALUE"""),"mxnt")</f>
        <v>mxnt</v>
      </c>
      <c r="C7745" s="4" t="str">
        <f>IFERROR(__xludf.DUMMYFUNCTION("""COMPUTED_VALUE"""),"Mexican Peso Tether")</f>
        <v>Mexican Peso Tether</v>
      </c>
    </row>
    <row r="7746">
      <c r="A7746" s="4" t="str">
        <f>IFERROR(__xludf.DUMMYFUNCTION("""COMPUTED_VALUE"""),"mezz")</f>
        <v>mezz</v>
      </c>
      <c r="B7746" s="4" t="str">
        <f>IFERROR(__xludf.DUMMYFUNCTION("""COMPUTED_VALUE"""),"mezz")</f>
        <v>mezz</v>
      </c>
      <c r="C7746" s="4" t="str">
        <f>IFERROR(__xludf.DUMMYFUNCTION("""COMPUTED_VALUE"""),"MEZZ")</f>
        <v>MEZZ</v>
      </c>
    </row>
    <row r="7747">
      <c r="A7747" s="4" t="str">
        <f>IFERROR(__xludf.DUMMYFUNCTION("""COMPUTED_VALUE"""),"mfercoin")</f>
        <v>mfercoin</v>
      </c>
      <c r="B7747" s="4" t="str">
        <f>IFERROR(__xludf.DUMMYFUNCTION("""COMPUTED_VALUE"""),"mfer")</f>
        <v>mfer</v>
      </c>
      <c r="C7747" s="4" t="str">
        <f>IFERROR(__xludf.DUMMYFUNCTION("""COMPUTED_VALUE"""),"mfercoin")</f>
        <v>mfercoin</v>
      </c>
    </row>
    <row r="7748">
      <c r="A7748" s="4" t="str">
        <f>IFERROR(__xludf.DUMMYFUNCTION("""COMPUTED_VALUE"""),"mfers")</f>
        <v>mfers</v>
      </c>
      <c r="B7748" s="4" t="str">
        <f>IFERROR(__xludf.DUMMYFUNCTION("""COMPUTED_VALUE"""),"mfers")</f>
        <v>mfers</v>
      </c>
      <c r="C7748" s="4" t="str">
        <f>IFERROR(__xludf.DUMMYFUNCTION("""COMPUTED_VALUE"""),"MFERS")</f>
        <v>MFERS</v>
      </c>
    </row>
    <row r="7749">
      <c r="A7749" s="4" t="str">
        <f>IFERROR(__xludf.DUMMYFUNCTION("""COMPUTED_VALUE"""),"mfet")</f>
        <v>mfet</v>
      </c>
      <c r="B7749" s="4" t="str">
        <f>IFERROR(__xludf.DUMMYFUNCTION("""COMPUTED_VALUE"""),"mfet")</f>
        <v>mfet</v>
      </c>
      <c r="C7749" s="4" t="str">
        <f>IFERROR(__xludf.DUMMYFUNCTION("""COMPUTED_VALUE"""),"MFET")</f>
        <v>MFET</v>
      </c>
    </row>
    <row r="7750">
      <c r="A7750" s="4" t="str">
        <f>IFERROR(__xludf.DUMMYFUNCTION("""COMPUTED_VALUE"""),"mhcash")</f>
        <v>mhcash</v>
      </c>
      <c r="B7750" s="4" t="str">
        <f>IFERROR(__xludf.DUMMYFUNCTION("""COMPUTED_VALUE"""),"mhcash")</f>
        <v>mhcash</v>
      </c>
      <c r="C7750" s="4" t="str">
        <f>IFERROR(__xludf.DUMMYFUNCTION("""COMPUTED_VALUE"""),"MHCASH")</f>
        <v>MHCASH</v>
      </c>
    </row>
    <row r="7751">
      <c r="A7751" s="4" t="str">
        <f>IFERROR(__xludf.DUMMYFUNCTION("""COMPUTED_VALUE"""),"mia")</f>
        <v>mia</v>
      </c>
      <c r="B7751" s="4" t="str">
        <f>IFERROR(__xludf.DUMMYFUNCTION("""COMPUTED_VALUE"""),"mia")</f>
        <v>mia</v>
      </c>
      <c r="C7751" s="4" t="str">
        <f>IFERROR(__xludf.DUMMYFUNCTION("""COMPUTED_VALUE"""),"Mia")</f>
        <v>Mia</v>
      </c>
    </row>
    <row r="7752">
      <c r="A7752" s="4" t="str">
        <f>IFERROR(__xludf.DUMMYFUNCTION("""COMPUTED_VALUE"""),"miaswap")</f>
        <v>miaswap</v>
      </c>
      <c r="B7752" s="4" t="str">
        <f>IFERROR(__xludf.DUMMYFUNCTION("""COMPUTED_VALUE"""),"mia")</f>
        <v>mia</v>
      </c>
      <c r="C7752" s="4" t="str">
        <f>IFERROR(__xludf.DUMMYFUNCTION("""COMPUTED_VALUE"""),"MiaSwap")</f>
        <v>MiaSwap</v>
      </c>
    </row>
    <row r="7753">
      <c r="A7753" s="4" t="str">
        <f>IFERROR(__xludf.DUMMYFUNCTION("""COMPUTED_VALUE"""),"mibr-fan-token")</f>
        <v>mibr-fan-token</v>
      </c>
      <c r="B7753" s="4" t="str">
        <f>IFERROR(__xludf.DUMMYFUNCTION("""COMPUTED_VALUE"""),"mibr")</f>
        <v>mibr</v>
      </c>
      <c r="C7753" s="4" t="str">
        <f>IFERROR(__xludf.DUMMYFUNCTION("""COMPUTED_VALUE"""),"MIBR Fan Token")</f>
        <v>MIBR Fan Token</v>
      </c>
    </row>
    <row r="7754">
      <c r="A7754" s="4" t="str">
        <f>IFERROR(__xludf.DUMMYFUNCTION("""COMPUTED_VALUE"""),"mice")</f>
        <v>mice</v>
      </c>
      <c r="B7754" s="4" t="str">
        <f>IFERROR(__xludf.DUMMYFUNCTION("""COMPUTED_VALUE"""),"mice")</f>
        <v>mice</v>
      </c>
      <c r="C7754" s="4" t="str">
        <f>IFERROR(__xludf.DUMMYFUNCTION("""COMPUTED_VALUE"""),"Mice (Ordinals)")</f>
        <v>Mice (Ordinals)</v>
      </c>
    </row>
    <row r="7755">
      <c r="A7755" s="4" t="str">
        <f>IFERROR(__xludf.DUMMYFUNCTION("""COMPUTED_VALUE"""),"mickey")</f>
        <v>mickey</v>
      </c>
      <c r="B7755" s="4" t="str">
        <f>IFERROR(__xludf.DUMMYFUNCTION("""COMPUTED_VALUE"""),"mickey")</f>
        <v>mickey</v>
      </c>
      <c r="C7755" s="4" t="str">
        <f>IFERROR(__xludf.DUMMYFUNCTION("""COMPUTED_VALUE"""),"Mickey")</f>
        <v>Mickey</v>
      </c>
    </row>
    <row r="7756">
      <c r="A7756" s="4" t="str">
        <f>IFERROR(__xludf.DUMMYFUNCTION("""COMPUTED_VALUE"""),"micro-ai")</f>
        <v>micro-ai</v>
      </c>
      <c r="B7756" s="4" t="str">
        <f>IFERROR(__xludf.DUMMYFUNCTION("""COMPUTED_VALUE"""),"mai")</f>
        <v>mai</v>
      </c>
      <c r="C7756" s="4" t="str">
        <f>IFERROR(__xludf.DUMMYFUNCTION("""COMPUTED_VALUE"""),"Micro AI")</f>
        <v>Micro AI</v>
      </c>
    </row>
    <row r="7757">
      <c r="A7757" s="4" t="str">
        <f>IFERROR(__xludf.DUMMYFUNCTION("""COMPUTED_VALUE"""),"micro-bitcoin-finance")</f>
        <v>micro-bitcoin-finance</v>
      </c>
      <c r="B7757" s="4" t="str">
        <f>IFERROR(__xludf.DUMMYFUNCTION("""COMPUTED_VALUE"""),"mbtc")</f>
        <v>mbtc</v>
      </c>
      <c r="C7757" s="4" t="str">
        <f>IFERROR(__xludf.DUMMYFUNCTION("""COMPUTED_VALUE"""),"Micro Bitcoin Finance")</f>
        <v>Micro Bitcoin Finance</v>
      </c>
    </row>
    <row r="7758">
      <c r="A7758" s="4" t="str">
        <f>IFERROR(__xludf.DUMMYFUNCTION("""COMPUTED_VALUE"""),"micro-coq")</f>
        <v>micro-coq</v>
      </c>
      <c r="B7758" s="4" t="str">
        <f>IFERROR(__xludf.DUMMYFUNCTION("""COMPUTED_VALUE"""),"micro")</f>
        <v>micro</v>
      </c>
      <c r="C7758" s="4" t="str">
        <f>IFERROR(__xludf.DUMMYFUNCTION("""COMPUTED_VALUE"""),"Micro Coq")</f>
        <v>Micro Coq</v>
      </c>
    </row>
    <row r="7759">
      <c r="A7759" s="4" t="str">
        <f>IFERROR(__xludf.DUMMYFUNCTION("""COMPUTED_VALUE"""),"microcredittoken")</f>
        <v>microcredittoken</v>
      </c>
      <c r="B7759" s="4" t="str">
        <f>IFERROR(__xludf.DUMMYFUNCTION("""COMPUTED_VALUE"""),"1mct")</f>
        <v>1mct</v>
      </c>
      <c r="C7759" s="4" t="str">
        <f>IFERROR(__xludf.DUMMYFUNCTION("""COMPUTED_VALUE"""),"MicroCreditToken")</f>
        <v>MicroCreditToken</v>
      </c>
    </row>
    <row r="7760">
      <c r="A7760" s="4" t="str">
        <f>IFERROR(__xludf.DUMMYFUNCTION("""COMPUTED_VALUE"""),"micromoney")</f>
        <v>micromoney</v>
      </c>
      <c r="B7760" s="4" t="str">
        <f>IFERROR(__xludf.DUMMYFUNCTION("""COMPUTED_VALUE"""),"amm")</f>
        <v>amm</v>
      </c>
      <c r="C7760" s="4" t="str">
        <f>IFERROR(__xludf.DUMMYFUNCTION("""COMPUTED_VALUE"""),"MicroMoney")</f>
        <v>MicroMoney</v>
      </c>
    </row>
    <row r="7761">
      <c r="A7761" s="4" t="str">
        <f>IFERROR(__xludf.DUMMYFUNCTION("""COMPUTED_VALUE"""),"micropepe")</f>
        <v>micropepe</v>
      </c>
      <c r="B7761" s="4" t="str">
        <f>IFERROR(__xludf.DUMMYFUNCTION("""COMPUTED_VALUE"""),"mpepe")</f>
        <v>mpepe</v>
      </c>
      <c r="C7761" s="4" t="str">
        <f>IFERROR(__xludf.DUMMYFUNCTION("""COMPUTED_VALUE"""),"MicroPepe")</f>
        <v>MicroPepe</v>
      </c>
    </row>
    <row r="7762">
      <c r="A7762" s="4" t="str">
        <f>IFERROR(__xludf.DUMMYFUNCTION("""COMPUTED_VALUE"""),"micropets")</f>
        <v>micropets</v>
      </c>
      <c r="B7762" s="4" t="str">
        <f>IFERROR(__xludf.DUMMYFUNCTION("""COMPUTED_VALUE"""),"pets")</f>
        <v>pets</v>
      </c>
      <c r="C7762" s="4" t="str">
        <f>IFERROR(__xludf.DUMMYFUNCTION("""COMPUTED_VALUE"""),"MicroPets [OLD]")</f>
        <v>MicroPets [OLD]</v>
      </c>
    </row>
    <row r="7763">
      <c r="A7763" s="4" t="str">
        <f>IFERROR(__xludf.DUMMYFUNCTION("""COMPUTED_VALUE"""),"micropets-2")</f>
        <v>micropets-2</v>
      </c>
      <c r="B7763" s="4" t="str">
        <f>IFERROR(__xludf.DUMMYFUNCTION("""COMPUTED_VALUE"""),"pets")</f>
        <v>pets</v>
      </c>
      <c r="C7763" s="4" t="str">
        <f>IFERROR(__xludf.DUMMYFUNCTION("""COMPUTED_VALUE"""),"MicroPets")</f>
        <v>MicroPets</v>
      </c>
    </row>
    <row r="7764">
      <c r="A7764" s="4" t="str">
        <f>IFERROR(__xludf.DUMMYFUNCTION("""COMPUTED_VALUE"""),"microsoft-tokenized-stock-defichain")</f>
        <v>microsoft-tokenized-stock-defichain</v>
      </c>
      <c r="B7764" s="4" t="str">
        <f>IFERROR(__xludf.DUMMYFUNCTION("""COMPUTED_VALUE"""),"dmsft")</f>
        <v>dmsft</v>
      </c>
      <c r="C7764" s="4" t="str">
        <f>IFERROR(__xludf.DUMMYFUNCTION("""COMPUTED_VALUE"""),"Microsoft Tokenized Stock Defichain")</f>
        <v>Microsoft Tokenized Stock Defichain</v>
      </c>
    </row>
    <row r="7765">
      <c r="A7765" s="4" t="str">
        <f>IFERROR(__xludf.DUMMYFUNCTION("""COMPUTED_VALUE"""),"microtick")</f>
        <v>microtick</v>
      </c>
      <c r="B7765" s="4" t="str">
        <f>IFERROR(__xludf.DUMMYFUNCTION("""COMPUTED_VALUE"""),"tick")</f>
        <v>tick</v>
      </c>
      <c r="C7765" s="4" t="str">
        <f>IFERROR(__xludf.DUMMYFUNCTION("""COMPUTED_VALUE"""),"Microtick")</f>
        <v>Microtick</v>
      </c>
    </row>
    <row r="7766">
      <c r="A7766" s="4" t="str">
        <f>IFERROR(__xludf.DUMMYFUNCTION("""COMPUTED_VALUE"""),"microtuber")</f>
        <v>microtuber</v>
      </c>
      <c r="B7766" s="4" t="str">
        <f>IFERROR(__xludf.DUMMYFUNCTION("""COMPUTED_VALUE"""),"mct")</f>
        <v>mct</v>
      </c>
      <c r="C7766" s="4" t="str">
        <f>IFERROR(__xludf.DUMMYFUNCTION("""COMPUTED_VALUE"""),"MicroTuber")</f>
        <v>MicroTuber</v>
      </c>
    </row>
    <row r="7767">
      <c r="A7767" s="4" t="str">
        <f>IFERROR(__xludf.DUMMYFUNCTION("""COMPUTED_VALUE"""),"microvisionchain")</f>
        <v>microvisionchain</v>
      </c>
      <c r="B7767" s="4" t="str">
        <f>IFERROR(__xludf.DUMMYFUNCTION("""COMPUTED_VALUE"""),"space")</f>
        <v>space</v>
      </c>
      <c r="C7767" s="4" t="str">
        <f>IFERROR(__xludf.DUMMYFUNCTION("""COMPUTED_VALUE"""),"MicrovisionChain")</f>
        <v>MicrovisionChain</v>
      </c>
    </row>
    <row r="7768">
      <c r="A7768" s="4" t="str">
        <f>IFERROR(__xludf.DUMMYFUNCTION("""COMPUTED_VALUE"""),"midas-stusd")</f>
        <v>midas-stusd</v>
      </c>
      <c r="B7768" s="4" t="str">
        <f>IFERROR(__xludf.DUMMYFUNCTION("""COMPUTED_VALUE"""),"stusd")</f>
        <v>stusd</v>
      </c>
      <c r="C7768" s="4" t="str">
        <f>IFERROR(__xludf.DUMMYFUNCTION("""COMPUTED_VALUE"""),"Midas stUSD")</f>
        <v>Midas stUSD</v>
      </c>
    </row>
    <row r="7769">
      <c r="A7769" s="4" t="str">
        <f>IFERROR(__xludf.DUMMYFUNCTION("""COMPUTED_VALUE"""),"midas-token")</f>
        <v>midas-token</v>
      </c>
      <c r="B7769" s="4" t="str">
        <f>IFERROR(__xludf.DUMMYFUNCTION("""COMPUTED_VALUE"""),"mds")</f>
        <v>mds</v>
      </c>
      <c r="C7769" s="4" t="str">
        <f>IFERROR(__xludf.DUMMYFUNCTION("""COMPUTED_VALUE"""),"MIDAS Token")</f>
        <v>MIDAS Token</v>
      </c>
    </row>
    <row r="7770">
      <c r="A7770" s="4" t="str">
        <f>IFERROR(__xludf.DUMMYFUNCTION("""COMPUTED_VALUE"""),"miggy")</f>
        <v>miggy</v>
      </c>
      <c r="B7770" s="4" t="str">
        <f>IFERROR(__xludf.DUMMYFUNCTION("""COMPUTED_VALUE"""),"miggy")</f>
        <v>miggy</v>
      </c>
      <c r="C7770" s="4" t="str">
        <f>IFERROR(__xludf.DUMMYFUNCTION("""COMPUTED_VALUE"""),"Miggy")</f>
        <v>Miggy</v>
      </c>
    </row>
    <row r="7771">
      <c r="A7771" s="4" t="str">
        <f>IFERROR(__xludf.DUMMYFUNCTION("""COMPUTED_VALUE"""),"miidas")</f>
        <v>miidas</v>
      </c>
      <c r="B7771" s="4" t="str">
        <f>IFERROR(__xludf.DUMMYFUNCTION("""COMPUTED_VALUE"""),"miidas")</f>
        <v>miidas</v>
      </c>
      <c r="C7771" s="4" t="str">
        <f>IFERROR(__xludf.DUMMYFUNCTION("""COMPUTED_VALUE"""),"Miidas")</f>
        <v>Miidas</v>
      </c>
    </row>
    <row r="7772">
      <c r="A7772" s="4" t="str">
        <f>IFERROR(__xludf.DUMMYFUNCTION("""COMPUTED_VALUE"""),"mikawa-inu")</f>
        <v>mikawa-inu</v>
      </c>
      <c r="B7772" s="4" t="str">
        <f>IFERROR(__xludf.DUMMYFUNCTION("""COMPUTED_VALUE"""),"mikawa")</f>
        <v>mikawa</v>
      </c>
      <c r="C7772" s="4" t="str">
        <f>IFERROR(__xludf.DUMMYFUNCTION("""COMPUTED_VALUE"""),"Mikawa Inu")</f>
        <v>Mikawa Inu</v>
      </c>
    </row>
    <row r="7773">
      <c r="A7773" s="4" t="str">
        <f>IFERROR(__xludf.DUMMYFUNCTION("""COMPUTED_VALUE"""),"mikeneko")</f>
        <v>mikeneko</v>
      </c>
      <c r="B7773" s="4" t="str">
        <f>IFERROR(__xludf.DUMMYFUNCTION("""COMPUTED_VALUE"""),"mike")</f>
        <v>mike</v>
      </c>
      <c r="C7773" s="4" t="str">
        <f>IFERROR(__xludf.DUMMYFUNCTION("""COMPUTED_VALUE"""),"MiKeNeKo")</f>
        <v>MiKeNeKo</v>
      </c>
    </row>
    <row r="7774">
      <c r="A7774" s="4" t="str">
        <f>IFERROR(__xludf.DUMMYFUNCTION("""COMPUTED_VALUE"""),"milady-meme-coin")</f>
        <v>milady-meme-coin</v>
      </c>
      <c r="B7774" s="4" t="str">
        <f>IFERROR(__xludf.DUMMYFUNCTION("""COMPUTED_VALUE"""),"ladys")</f>
        <v>ladys</v>
      </c>
      <c r="C7774" s="4" t="str">
        <f>IFERROR(__xludf.DUMMYFUNCTION("""COMPUTED_VALUE"""),"Milady Meme Coin")</f>
        <v>Milady Meme Coin</v>
      </c>
    </row>
    <row r="7775">
      <c r="A7775" s="4" t="str">
        <f>IFERROR(__xludf.DUMMYFUNCTION("""COMPUTED_VALUE"""),"milady-vault-nftx")</f>
        <v>milady-vault-nftx</v>
      </c>
      <c r="B7775" s="4" t="str">
        <f>IFERROR(__xludf.DUMMYFUNCTION("""COMPUTED_VALUE"""),"milady")</f>
        <v>milady</v>
      </c>
      <c r="C7775" s="4" t="str">
        <f>IFERROR(__xludf.DUMMYFUNCTION("""COMPUTED_VALUE"""),"Milady Vault (NFTX)")</f>
        <v>Milady Vault (NFTX)</v>
      </c>
    </row>
    <row r="7776">
      <c r="A7776" s="4" t="str">
        <f>IFERROR(__xludf.DUMMYFUNCTION("""COMPUTED_VALUE"""),"milei")</f>
        <v>milei</v>
      </c>
      <c r="B7776" s="4" t="str">
        <f>IFERROR(__xludf.DUMMYFUNCTION("""COMPUTED_VALUE"""),"milei")</f>
        <v>milei</v>
      </c>
      <c r="C7776" s="4" t="str">
        <f>IFERROR(__xludf.DUMMYFUNCTION("""COMPUTED_VALUE"""),"MILEI")</f>
        <v>MILEI</v>
      </c>
    </row>
    <row r="7777">
      <c r="A7777" s="4" t="str">
        <f>IFERROR(__xludf.DUMMYFUNCTION("""COMPUTED_VALUE"""),"milei-token")</f>
        <v>milei-token</v>
      </c>
      <c r="B7777" s="4" t="str">
        <f>IFERROR(__xludf.DUMMYFUNCTION("""COMPUTED_VALUE"""),"milei")</f>
        <v>milei</v>
      </c>
      <c r="C7777" s="4" t="str">
        <f>IFERROR(__xludf.DUMMYFUNCTION("""COMPUTED_VALUE"""),"MILEI Token")</f>
        <v>MILEI Token</v>
      </c>
    </row>
    <row r="7778">
      <c r="A7778" s="4" t="str">
        <f>IFERROR(__xludf.DUMMYFUNCTION("""COMPUTED_VALUE"""),"milestone-millions")</f>
        <v>milestone-millions</v>
      </c>
      <c r="B7778" s="4" t="str">
        <f>IFERROR(__xludf.DUMMYFUNCTION("""COMPUTED_VALUE"""),"msmil")</f>
        <v>msmil</v>
      </c>
      <c r="C7778" s="4" t="str">
        <f>IFERROR(__xludf.DUMMYFUNCTION("""COMPUTED_VALUE"""),"Milestone Millions")</f>
        <v>Milestone Millions</v>
      </c>
    </row>
    <row r="7779">
      <c r="A7779" s="4" t="str">
        <f>IFERROR(__xludf.DUMMYFUNCTION("""COMPUTED_VALUE"""),"mileverse")</f>
        <v>mileverse</v>
      </c>
      <c r="B7779" s="4" t="str">
        <f>IFERROR(__xludf.DUMMYFUNCTION("""COMPUTED_VALUE"""),"mvc")</f>
        <v>mvc</v>
      </c>
      <c r="C7779" s="4" t="str">
        <f>IFERROR(__xludf.DUMMYFUNCTION("""COMPUTED_VALUE"""),"MileVerse")</f>
        <v>MileVerse</v>
      </c>
    </row>
    <row r="7780">
      <c r="A7780" s="4" t="str">
        <f>IFERROR(__xludf.DUMMYFUNCTION("""COMPUTED_VALUE"""),"milk")</f>
        <v>milk</v>
      </c>
      <c r="B7780" s="4" t="str">
        <f>IFERROR(__xludf.DUMMYFUNCTION("""COMPUTED_VALUE"""),"milk")</f>
        <v>milk</v>
      </c>
      <c r="C7780" s="4" t="str">
        <f>IFERROR(__xludf.DUMMYFUNCTION("""COMPUTED_VALUE"""),"Cool Cats Milk")</f>
        <v>Cool Cats Milk</v>
      </c>
    </row>
    <row r="7781">
      <c r="A7781" s="4" t="str">
        <f>IFERROR(__xludf.DUMMYFUNCTION("""COMPUTED_VALUE"""),"milk-2")</f>
        <v>milk-2</v>
      </c>
      <c r="B7781" s="4" t="str">
        <f>IFERROR(__xludf.DUMMYFUNCTION("""COMPUTED_VALUE"""),"milk")</f>
        <v>milk</v>
      </c>
      <c r="C7781" s="4" t="str">
        <f>IFERROR(__xludf.DUMMYFUNCTION("""COMPUTED_VALUE"""),"Milk")</f>
        <v>Milk</v>
      </c>
    </row>
    <row r="7782">
      <c r="A7782" s="4" t="str">
        <f>IFERROR(__xludf.DUMMYFUNCTION("""COMPUTED_VALUE"""),"milkai")</f>
        <v>milkai</v>
      </c>
      <c r="B7782" s="4" t="str">
        <f>IFERROR(__xludf.DUMMYFUNCTION("""COMPUTED_VALUE"""),"milkai")</f>
        <v>milkai</v>
      </c>
      <c r="C7782" s="4" t="str">
        <f>IFERROR(__xludf.DUMMYFUNCTION("""COMPUTED_VALUE"""),"MilkAI")</f>
        <v>MilkAI</v>
      </c>
    </row>
    <row r="7783">
      <c r="A7783" s="4" t="str">
        <f>IFERROR(__xludf.DUMMYFUNCTION("""COMPUTED_VALUE"""),"milk-alliance")</f>
        <v>milk-alliance</v>
      </c>
      <c r="B7783" s="4" t="str">
        <f>IFERROR(__xludf.DUMMYFUNCTION("""COMPUTED_VALUE"""),"mlk")</f>
        <v>mlk</v>
      </c>
      <c r="C7783" s="4" t="str">
        <f>IFERROR(__xludf.DUMMYFUNCTION("""COMPUTED_VALUE"""),"MiL.k Alliance")</f>
        <v>MiL.k Alliance</v>
      </c>
    </row>
    <row r="7784">
      <c r="A7784" s="4" t="str">
        <f>IFERROR(__xludf.DUMMYFUNCTION("""COMPUTED_VALUE"""),"milk-coin")</f>
        <v>milk-coin</v>
      </c>
      <c r="B7784" s="4" t="str">
        <f>IFERROR(__xludf.DUMMYFUNCTION("""COMPUTED_VALUE"""),"milk")</f>
        <v>milk</v>
      </c>
      <c r="C7784" s="4" t="str">
        <f>IFERROR(__xludf.DUMMYFUNCTION("""COMPUTED_VALUE"""),"MILK Coin")</f>
        <v>MILK Coin</v>
      </c>
    </row>
    <row r="7785">
      <c r="A7785" s="4" t="str">
        <f>IFERROR(__xludf.DUMMYFUNCTION("""COMPUTED_VALUE"""),"milkshakeswap")</f>
        <v>milkshakeswap</v>
      </c>
      <c r="B7785" s="4" t="str">
        <f>IFERROR(__xludf.DUMMYFUNCTION("""COMPUTED_VALUE"""),"milk")</f>
        <v>milk</v>
      </c>
      <c r="C7785" s="4" t="str">
        <f>IFERROR(__xludf.DUMMYFUNCTION("""COMPUTED_VALUE"""),"Milkshake Swap")</f>
        <v>Milkshake Swap</v>
      </c>
    </row>
    <row r="7786">
      <c r="A7786" s="4" t="str">
        <f>IFERROR(__xludf.DUMMYFUNCTION("""COMPUTED_VALUE"""),"milkyswap")</f>
        <v>milkyswap</v>
      </c>
      <c r="B7786" s="4" t="str">
        <f>IFERROR(__xludf.DUMMYFUNCTION("""COMPUTED_VALUE"""),"milky")</f>
        <v>milky</v>
      </c>
      <c r="C7786" s="4" t="str">
        <f>IFERROR(__xludf.DUMMYFUNCTION("""COMPUTED_VALUE"""),"MilkySwap")</f>
        <v>MilkySwap</v>
      </c>
    </row>
    <row r="7787">
      <c r="A7787" s="4" t="str">
        <f>IFERROR(__xludf.DUMMYFUNCTION("""COMPUTED_VALUE"""),"milky-token")</f>
        <v>milky-token</v>
      </c>
      <c r="B7787" s="4" t="str">
        <f>IFERROR(__xludf.DUMMYFUNCTION("""COMPUTED_VALUE"""),"milky")</f>
        <v>milky</v>
      </c>
      <c r="C7787" s="4" t="str">
        <f>IFERROR(__xludf.DUMMYFUNCTION("""COMPUTED_VALUE"""),"Milky")</f>
        <v>Milky</v>
      </c>
    </row>
    <row r="7788">
      <c r="A7788" s="4" t="str">
        <f>IFERROR(__xludf.DUMMYFUNCTION("""COMPUTED_VALUE"""),"milkyway-staked-tia")</f>
        <v>milkyway-staked-tia</v>
      </c>
      <c r="B7788" s="4" t="str">
        <f>IFERROR(__xludf.DUMMYFUNCTION("""COMPUTED_VALUE"""),"milktia")</f>
        <v>milktia</v>
      </c>
      <c r="C7788" s="4" t="str">
        <f>IFERROR(__xludf.DUMMYFUNCTION("""COMPUTED_VALUE"""),"MilkyWay Staked TIA")</f>
        <v>MilkyWay Staked TIA</v>
      </c>
    </row>
    <row r="7789">
      <c r="A7789" s="4" t="str">
        <f>IFERROR(__xludf.DUMMYFUNCTION("""COMPUTED_VALUE"""),"mille-chain")</f>
        <v>mille-chain</v>
      </c>
      <c r="B7789" s="4" t="str">
        <f>IFERROR(__xludf.DUMMYFUNCTION("""COMPUTED_VALUE"""),"mille")</f>
        <v>mille</v>
      </c>
      <c r="C7789" s="4" t="str">
        <f>IFERROR(__xludf.DUMMYFUNCTION("""COMPUTED_VALUE"""),"MILLE CHAIN")</f>
        <v>MILLE CHAIN</v>
      </c>
    </row>
    <row r="7790">
      <c r="A7790" s="4" t="str">
        <f>IFERROR(__xludf.DUMMYFUNCTION("""COMPUTED_VALUE"""),"millenniumclub")</f>
        <v>millenniumclub</v>
      </c>
      <c r="B7790" s="4" t="str">
        <f>IFERROR(__xludf.DUMMYFUNCTION("""COMPUTED_VALUE"""),"mclb")</f>
        <v>mclb</v>
      </c>
      <c r="C7790" s="4" t="str">
        <f>IFERROR(__xludf.DUMMYFUNCTION("""COMPUTED_VALUE"""),"MillenniumClub Coin [OLD]")</f>
        <v>MillenniumClub Coin [OLD]</v>
      </c>
    </row>
    <row r="7791">
      <c r="A7791" s="4" t="str">
        <f>IFERROR(__xludf.DUMMYFUNCTION("""COMPUTED_VALUE"""),"millenniumclub-coin-new")</f>
        <v>millenniumclub-coin-new</v>
      </c>
      <c r="B7791" s="4" t="str">
        <f>IFERROR(__xludf.DUMMYFUNCTION("""COMPUTED_VALUE"""),"mclb")</f>
        <v>mclb</v>
      </c>
      <c r="C7791" s="4" t="str">
        <f>IFERROR(__xludf.DUMMYFUNCTION("""COMPUTED_VALUE"""),"MillenniumClub Coin [NEW]")</f>
        <v>MillenniumClub Coin [NEW]</v>
      </c>
    </row>
    <row r="7792">
      <c r="A7792" s="4" t="str">
        <f>IFERROR(__xludf.DUMMYFUNCTION("""COMPUTED_VALUE"""),"milli-coin")</f>
        <v>milli-coin</v>
      </c>
      <c r="B7792" s="4" t="str">
        <f>IFERROR(__xludf.DUMMYFUNCTION("""COMPUTED_VALUE"""),"milli")</f>
        <v>milli</v>
      </c>
      <c r="C7792" s="4" t="str">
        <f>IFERROR(__xludf.DUMMYFUNCTION("""COMPUTED_VALUE"""),"MILLI")</f>
        <v>MILLI</v>
      </c>
    </row>
    <row r="7793">
      <c r="A7793" s="4" t="str">
        <f>IFERROR(__xludf.DUMMYFUNCTION("""COMPUTED_VALUE"""),"millimeter")</f>
        <v>millimeter</v>
      </c>
      <c r="B7793" s="4" t="str">
        <f>IFERROR(__xludf.DUMMYFUNCTION("""COMPUTED_VALUE"""),"mm")</f>
        <v>mm</v>
      </c>
      <c r="C7793" s="4" t="str">
        <f>IFERROR(__xludf.DUMMYFUNCTION("""COMPUTED_VALUE"""),"Millimeter")</f>
        <v>Millimeter</v>
      </c>
    </row>
    <row r="7794">
      <c r="A7794" s="4" t="str">
        <f>IFERROR(__xludf.DUMMYFUNCTION("""COMPUTED_VALUE"""),"million")</f>
        <v>million</v>
      </c>
      <c r="B7794" s="4" t="str">
        <f>IFERROR(__xludf.DUMMYFUNCTION("""COMPUTED_VALUE"""),"mm")</f>
        <v>mm</v>
      </c>
      <c r="C7794" s="4" t="str">
        <f>IFERROR(__xludf.DUMMYFUNCTION("""COMPUTED_VALUE"""),"Million")</f>
        <v>Million</v>
      </c>
    </row>
    <row r="7795">
      <c r="A7795" s="4" t="str">
        <f>IFERROR(__xludf.DUMMYFUNCTION("""COMPUTED_VALUE"""),"milliondollarbaby")</f>
        <v>milliondollarbaby</v>
      </c>
      <c r="B7795" s="4" t="str">
        <f>IFERROR(__xludf.DUMMYFUNCTION("""COMPUTED_VALUE"""),"mdb")</f>
        <v>mdb</v>
      </c>
      <c r="C7795" s="4" t="str">
        <f>IFERROR(__xludf.DUMMYFUNCTION("""COMPUTED_VALUE"""),"Make DeFi Better")</f>
        <v>Make DeFi Better</v>
      </c>
    </row>
    <row r="7796">
      <c r="A7796" s="4" t="str">
        <f>IFERROR(__xludf.DUMMYFUNCTION("""COMPUTED_VALUE"""),"million-monke")</f>
        <v>million-monke</v>
      </c>
      <c r="B7796" s="4" t="str">
        <f>IFERROR(__xludf.DUMMYFUNCTION("""COMPUTED_VALUE"""),"mimo")</f>
        <v>mimo</v>
      </c>
      <c r="C7796" s="4" t="str">
        <f>IFERROR(__xludf.DUMMYFUNCTION("""COMPUTED_VALUE"""),"Million Monke")</f>
        <v>Million Monke</v>
      </c>
    </row>
    <row r="7797">
      <c r="A7797" s="4" t="str">
        <f>IFERROR(__xludf.DUMMYFUNCTION("""COMPUTED_VALUE"""),"millonarios-fc-fan-token")</f>
        <v>millonarios-fc-fan-token</v>
      </c>
      <c r="B7797" s="4" t="str">
        <f>IFERROR(__xludf.DUMMYFUNCTION("""COMPUTED_VALUE"""),"mfc")</f>
        <v>mfc</v>
      </c>
      <c r="C7797" s="4" t="str">
        <f>IFERROR(__xludf.DUMMYFUNCTION("""COMPUTED_VALUE"""),"Millonarios FC Fan Token")</f>
        <v>Millonarios FC Fan Token</v>
      </c>
    </row>
    <row r="7798">
      <c r="A7798" s="4" t="str">
        <f>IFERROR(__xludf.DUMMYFUNCTION("""COMPUTED_VALUE"""),"milo")</f>
        <v>milo</v>
      </c>
      <c r="B7798" s="4" t="str">
        <f>IFERROR(__xludf.DUMMYFUNCTION("""COMPUTED_VALUE"""),"milo")</f>
        <v>milo</v>
      </c>
      <c r="C7798" s="4" t="str">
        <f>IFERROR(__xludf.DUMMYFUNCTION("""COMPUTED_VALUE"""),"MILO")</f>
        <v>MILO</v>
      </c>
    </row>
    <row r="7799">
      <c r="A7799" s="4" t="str">
        <f>IFERROR(__xludf.DUMMYFUNCTION("""COMPUTED_VALUE"""),"milo-2")</f>
        <v>milo-2</v>
      </c>
      <c r="B7799" s="4" t="str">
        <f>IFERROR(__xludf.DUMMYFUNCTION("""COMPUTED_VALUE"""),"milo")</f>
        <v>milo</v>
      </c>
      <c r="C7799" s="4" t="str">
        <f>IFERROR(__xludf.DUMMYFUNCTION("""COMPUTED_VALUE"""),"MILO")</f>
        <v>MILO</v>
      </c>
    </row>
    <row r="7800">
      <c r="A7800" s="4" t="str">
        <f>IFERROR(__xludf.DUMMYFUNCTION("""COMPUTED_VALUE"""),"milo-dog")</f>
        <v>milo-dog</v>
      </c>
      <c r="B7800" s="4" t="str">
        <f>IFERROR(__xludf.DUMMYFUNCTION("""COMPUTED_VALUE"""),"milo dog")</f>
        <v>milo dog</v>
      </c>
      <c r="C7800" s="4" t="str">
        <f>IFERROR(__xludf.DUMMYFUNCTION("""COMPUTED_VALUE"""),"MILO DOG")</f>
        <v>MILO DOG</v>
      </c>
    </row>
    <row r="7801">
      <c r="A7801" s="4" t="str">
        <f>IFERROR(__xludf.DUMMYFUNCTION("""COMPUTED_VALUE"""),"milo-inu")</f>
        <v>milo-inu</v>
      </c>
      <c r="B7801" s="4" t="str">
        <f>IFERROR(__xludf.DUMMYFUNCTION("""COMPUTED_VALUE"""),"milo")</f>
        <v>milo</v>
      </c>
      <c r="C7801" s="4" t="str">
        <f>IFERROR(__xludf.DUMMYFUNCTION("""COMPUTED_VALUE"""),"Milo Inu")</f>
        <v>Milo Inu</v>
      </c>
    </row>
    <row r="7802">
      <c r="A7802" s="4" t="str">
        <f>IFERROR(__xludf.DUMMYFUNCTION("""COMPUTED_VALUE"""),"mim")</f>
        <v>mim</v>
      </c>
      <c r="B7802" s="4" t="str">
        <f>IFERROR(__xludf.DUMMYFUNCTION("""COMPUTED_VALUE"""),"swarm")</f>
        <v>swarm</v>
      </c>
      <c r="C7802" s="4" t="str">
        <f>IFERROR(__xludf.DUMMYFUNCTION("""COMPUTED_VALUE"""),"MIM")</f>
        <v>MIM</v>
      </c>
    </row>
    <row r="7803">
      <c r="A7803" s="4" t="str">
        <f>IFERROR(__xludf.DUMMYFUNCTION("""COMPUTED_VALUE"""),"mimany")</f>
        <v>mimany</v>
      </c>
      <c r="B7803" s="4" t="str">
        <f>IFERROR(__xludf.DUMMYFUNCTION("""COMPUTED_VALUE"""),"mimany")</f>
        <v>mimany</v>
      </c>
      <c r="C7803" s="4" t="str">
        <f>IFERROR(__xludf.DUMMYFUNCTION("""COMPUTED_VALUE"""),"MIMANY")</f>
        <v>MIMANY</v>
      </c>
    </row>
    <row r="7804">
      <c r="A7804" s="4" t="str">
        <f>IFERROR(__xludf.DUMMYFUNCTION("""COMPUTED_VALUE"""),"mimas-finance")</f>
        <v>mimas-finance</v>
      </c>
      <c r="B7804" s="4" t="str">
        <f>IFERROR(__xludf.DUMMYFUNCTION("""COMPUTED_VALUE"""),"mimas")</f>
        <v>mimas</v>
      </c>
      <c r="C7804" s="4" t="str">
        <f>IFERROR(__xludf.DUMMYFUNCTION("""COMPUTED_VALUE"""),"Mimas Finance")</f>
        <v>Mimas Finance</v>
      </c>
    </row>
    <row r="7805">
      <c r="A7805" s="4" t="str">
        <f>IFERROR(__xludf.DUMMYFUNCTION("""COMPUTED_VALUE"""),"mimatic")</f>
        <v>mimatic</v>
      </c>
      <c r="B7805" s="4" t="str">
        <f>IFERROR(__xludf.DUMMYFUNCTION("""COMPUTED_VALUE"""),"mimatic")</f>
        <v>mimatic</v>
      </c>
      <c r="C7805" s="4" t="str">
        <f>IFERROR(__xludf.DUMMYFUNCTION("""COMPUTED_VALUE"""),"MAI")</f>
        <v>MAI</v>
      </c>
    </row>
    <row r="7806">
      <c r="A7806" s="4" t="str">
        <f>IFERROR(__xludf.DUMMYFUNCTION("""COMPUTED_VALUE"""),"mimblewimblecoin")</f>
        <v>mimblewimblecoin</v>
      </c>
      <c r="B7806" s="4" t="str">
        <f>IFERROR(__xludf.DUMMYFUNCTION("""COMPUTED_VALUE"""),"mwc")</f>
        <v>mwc</v>
      </c>
      <c r="C7806" s="4" t="str">
        <f>IFERROR(__xludf.DUMMYFUNCTION("""COMPUTED_VALUE"""),"MimbleWimbleCoin")</f>
        <v>MimbleWimbleCoin</v>
      </c>
    </row>
    <row r="7807">
      <c r="A7807" s="4" t="str">
        <f>IFERROR(__xludf.DUMMYFUNCTION("""COMPUTED_VALUE"""),"mimbo")</f>
        <v>mimbo</v>
      </c>
      <c r="B7807" s="4" t="str">
        <f>IFERROR(__xludf.DUMMYFUNCTION("""COMPUTED_VALUE"""),"mimbo")</f>
        <v>mimbo</v>
      </c>
      <c r="C7807" s="4" t="str">
        <f>IFERROR(__xludf.DUMMYFUNCTION("""COMPUTED_VALUE"""),"Mimbo")</f>
        <v>Mimbo</v>
      </c>
    </row>
    <row r="7808">
      <c r="A7808" s="4" t="str">
        <f>IFERROR(__xludf.DUMMYFUNCTION("""COMPUTED_VALUE"""),"mimir-token")</f>
        <v>mimir-token</v>
      </c>
      <c r="B7808" s="4" t="str">
        <f>IFERROR(__xludf.DUMMYFUNCTION("""COMPUTED_VALUE"""),"mimir")</f>
        <v>mimir</v>
      </c>
      <c r="C7808" s="4" t="str">
        <f>IFERROR(__xludf.DUMMYFUNCTION("""COMPUTED_VALUE"""),"Mimir")</f>
        <v>Mimir</v>
      </c>
    </row>
    <row r="7809">
      <c r="A7809" s="4" t="str">
        <f>IFERROR(__xludf.DUMMYFUNCTION("""COMPUTED_VALUE"""),"mimo-capital-ag-us-kuma-interest-bearing-token")</f>
        <v>mimo-capital-ag-us-kuma-interest-bearing-token</v>
      </c>
      <c r="B7809" s="4" t="str">
        <f>IFERROR(__xludf.DUMMYFUNCTION("""COMPUTED_VALUE"""),"usk")</f>
        <v>usk</v>
      </c>
      <c r="C7809" s="4" t="str">
        <f>IFERROR(__xludf.DUMMYFUNCTION("""COMPUTED_VALUE"""),"KUMA Protocol US KUMA Interest Bearing Token")</f>
        <v>KUMA Protocol US KUMA Interest Bearing Token</v>
      </c>
    </row>
    <row r="7810">
      <c r="A7810" s="4" t="str">
        <f>IFERROR(__xludf.DUMMYFUNCTION("""COMPUTED_VALUE"""),"mimo-parallel-governance-token")</f>
        <v>mimo-parallel-governance-token</v>
      </c>
      <c r="B7810" s="4" t="str">
        <f>IFERROR(__xludf.DUMMYFUNCTION("""COMPUTED_VALUE"""),"mimo")</f>
        <v>mimo</v>
      </c>
      <c r="C7810" s="4" t="str">
        <f>IFERROR(__xludf.DUMMYFUNCTION("""COMPUTED_VALUE"""),"Mimo Governance")</f>
        <v>Mimo Governance</v>
      </c>
    </row>
    <row r="7811">
      <c r="A7811" s="4" t="str">
        <f>IFERROR(__xludf.DUMMYFUNCTION("""COMPUTED_VALUE"""),"mimosa")</f>
        <v>mimosa</v>
      </c>
      <c r="B7811" s="4" t="str">
        <f>IFERROR(__xludf.DUMMYFUNCTION("""COMPUTED_VALUE"""),"mimo")</f>
        <v>mimo</v>
      </c>
      <c r="C7811" s="4" t="str">
        <f>IFERROR(__xludf.DUMMYFUNCTION("""COMPUTED_VALUE"""),"Mimosa")</f>
        <v>Mimosa</v>
      </c>
    </row>
    <row r="7812">
      <c r="A7812" s="4" t="str">
        <f>IFERROR(__xludf.DUMMYFUNCTION("""COMPUTED_VALUE"""),"mina-protocol")</f>
        <v>mina-protocol</v>
      </c>
      <c r="B7812" s="4" t="str">
        <f>IFERROR(__xludf.DUMMYFUNCTION("""COMPUTED_VALUE"""),"mina")</f>
        <v>mina</v>
      </c>
      <c r="C7812" s="4" t="str">
        <f>IFERROR(__xludf.DUMMYFUNCTION("""COMPUTED_VALUE"""),"Mina Protocol")</f>
        <v>Mina Protocol</v>
      </c>
    </row>
    <row r="7813">
      <c r="A7813" s="4" t="str">
        <f>IFERROR(__xludf.DUMMYFUNCTION("""COMPUTED_VALUE"""),"minativerse")</f>
        <v>minativerse</v>
      </c>
      <c r="B7813" s="4" t="str">
        <f>IFERROR(__xludf.DUMMYFUNCTION("""COMPUTED_VALUE"""),"mntc")</f>
        <v>mntc</v>
      </c>
      <c r="C7813" s="4" t="str">
        <f>IFERROR(__xludf.DUMMYFUNCTION("""COMPUTED_VALUE"""),"MINATIVERSE")</f>
        <v>MINATIVERSE</v>
      </c>
    </row>
    <row r="7814">
      <c r="A7814" s="4" t="str">
        <f>IFERROR(__xludf.DUMMYFUNCTION("""COMPUTED_VALUE"""),"minato")</f>
        <v>minato</v>
      </c>
      <c r="B7814" s="4" t="str">
        <f>IFERROR(__xludf.DUMMYFUNCTION("""COMPUTED_VALUE"""),"mnto")</f>
        <v>mnto</v>
      </c>
      <c r="C7814" s="4" t="str">
        <f>IFERROR(__xludf.DUMMYFUNCTION("""COMPUTED_VALUE"""),"Minato")</f>
        <v>Minato</v>
      </c>
    </row>
    <row r="7815">
      <c r="A7815" s="4" t="str">
        <f>IFERROR(__xludf.DUMMYFUNCTION("""COMPUTED_VALUE"""),"mindai")</f>
        <v>mindai</v>
      </c>
      <c r="B7815" s="4" t="str">
        <f>IFERROR(__xludf.DUMMYFUNCTION("""COMPUTED_VALUE"""),"mdai")</f>
        <v>mdai</v>
      </c>
      <c r="C7815" s="4" t="str">
        <f>IFERROR(__xludf.DUMMYFUNCTION("""COMPUTED_VALUE"""),"MindAI")</f>
        <v>MindAI</v>
      </c>
    </row>
    <row r="7816">
      <c r="A7816" s="4" t="str">
        <f>IFERROR(__xludf.DUMMYFUNCTION("""COMPUTED_VALUE"""),"mind-connect")</f>
        <v>mind-connect</v>
      </c>
      <c r="B7816" s="4" t="str">
        <f>IFERROR(__xludf.DUMMYFUNCTION("""COMPUTED_VALUE"""),"mind")</f>
        <v>mind</v>
      </c>
      <c r="C7816" s="4" t="str">
        <f>IFERROR(__xludf.DUMMYFUNCTION("""COMPUTED_VALUE"""),"Mind Connect")</f>
        <v>Mind Connect</v>
      </c>
    </row>
    <row r="7817">
      <c r="A7817" s="4" t="str">
        <f>IFERROR(__xludf.DUMMYFUNCTION("""COMPUTED_VALUE"""),"mind-games-cortex")</f>
        <v>mind-games-cortex</v>
      </c>
      <c r="B7817" s="4" t="str">
        <f>IFERROR(__xludf.DUMMYFUNCTION("""COMPUTED_VALUE"""),"crx")</f>
        <v>crx</v>
      </c>
      <c r="C7817" s="4" t="str">
        <f>IFERROR(__xludf.DUMMYFUNCTION("""COMPUTED_VALUE"""),"MIND Games CORTEX")</f>
        <v>MIND Games CORTEX</v>
      </c>
    </row>
    <row r="7818">
      <c r="A7818" s="4" t="str">
        <f>IFERROR(__xludf.DUMMYFUNCTION("""COMPUTED_VALUE"""),"mind-language")</f>
        <v>mind-language</v>
      </c>
      <c r="B7818" s="4" t="str">
        <f>IFERROR(__xludf.DUMMYFUNCTION("""COMPUTED_VALUE"""),"mnd")</f>
        <v>mnd</v>
      </c>
      <c r="C7818" s="4" t="str">
        <f>IFERROR(__xludf.DUMMYFUNCTION("""COMPUTED_VALUE"""),"Mind")</f>
        <v>Mind</v>
      </c>
    </row>
    <row r="7819">
      <c r="A7819" s="4" t="str">
        <f>IFERROR(__xludf.DUMMYFUNCTION("""COMPUTED_VALUE"""),"mind-matrix")</f>
        <v>mind-matrix</v>
      </c>
      <c r="B7819" s="4" t="str">
        <f>IFERROR(__xludf.DUMMYFUNCTION("""COMPUTED_VALUE"""),"aimx")</f>
        <v>aimx</v>
      </c>
      <c r="C7819" s="4" t="str">
        <f>IFERROR(__xludf.DUMMYFUNCTION("""COMPUTED_VALUE"""),"Mind Matrix")</f>
        <v>Mind Matrix</v>
      </c>
    </row>
    <row r="7820">
      <c r="A7820" s="4" t="str">
        <f>IFERROR(__xludf.DUMMYFUNCTION("""COMPUTED_VALUE"""),"minds")</f>
        <v>minds</v>
      </c>
      <c r="B7820" s="4" t="str">
        <f>IFERROR(__xludf.DUMMYFUNCTION("""COMPUTED_VALUE"""),"minds")</f>
        <v>minds</v>
      </c>
      <c r="C7820" s="4" t="str">
        <f>IFERROR(__xludf.DUMMYFUNCTION("""COMPUTED_VALUE"""),"Minds")</f>
        <v>Minds</v>
      </c>
    </row>
    <row r="7821">
      <c r="A7821" s="4" t="str">
        <f>IFERROR(__xludf.DUMMYFUNCTION("""COMPUTED_VALUE"""),"mindverse")</f>
        <v>mindverse</v>
      </c>
      <c r="B7821" s="4" t="str">
        <f>IFERROR(__xludf.DUMMYFUNCTION("""COMPUTED_VALUE"""),"mverse")</f>
        <v>mverse</v>
      </c>
      <c r="C7821" s="4" t="str">
        <f>IFERROR(__xludf.DUMMYFUNCTION("""COMPUTED_VALUE"""),"MindVerse")</f>
        <v>MindVerse</v>
      </c>
    </row>
    <row r="7822">
      <c r="A7822" s="4" t="str">
        <f>IFERROR(__xludf.DUMMYFUNCTION("""COMPUTED_VALUE"""),"mineable")</f>
        <v>mineable</v>
      </c>
      <c r="B7822" s="4" t="str">
        <f>IFERROR(__xludf.DUMMYFUNCTION("""COMPUTED_VALUE"""),"mnb")</f>
        <v>mnb</v>
      </c>
      <c r="C7822" s="4" t="str">
        <f>IFERROR(__xludf.DUMMYFUNCTION("""COMPUTED_VALUE"""),"Mineable")</f>
        <v>Mineable</v>
      </c>
    </row>
    <row r="7823">
      <c r="A7823" s="4" t="str">
        <f>IFERROR(__xludf.DUMMYFUNCTION("""COMPUTED_VALUE"""),"mine-ai")</f>
        <v>mine-ai</v>
      </c>
      <c r="B7823" s="4" t="str">
        <f>IFERROR(__xludf.DUMMYFUNCTION("""COMPUTED_VALUE"""),"mai")</f>
        <v>mai</v>
      </c>
      <c r="C7823" s="4" t="str">
        <f>IFERROR(__xludf.DUMMYFUNCTION("""COMPUTED_VALUE"""),"Mine AI")</f>
        <v>Mine AI</v>
      </c>
    </row>
    <row r="7824">
      <c r="A7824" s="4" t="str">
        <f>IFERROR(__xludf.DUMMYFUNCTION("""COMPUTED_VALUE"""),"minebase")</f>
        <v>minebase</v>
      </c>
      <c r="B7824" s="4" t="str">
        <f>IFERROR(__xludf.DUMMYFUNCTION("""COMPUTED_VALUE"""),"mbase")</f>
        <v>mbase</v>
      </c>
      <c r="C7824" s="4" t="str">
        <f>IFERROR(__xludf.DUMMYFUNCTION("""COMPUTED_VALUE"""),"Minebase")</f>
        <v>Minebase</v>
      </c>
    </row>
    <row r="7825">
      <c r="A7825" s="4" t="str">
        <f>IFERROR(__xludf.DUMMYFUNCTION("""COMPUTED_VALUE"""),"minelab")</f>
        <v>minelab</v>
      </c>
      <c r="B7825" s="4" t="str">
        <f>IFERROR(__xludf.DUMMYFUNCTION("""COMPUTED_VALUE"""),"melb")</f>
        <v>melb</v>
      </c>
      <c r="C7825" s="4" t="str">
        <f>IFERROR(__xludf.DUMMYFUNCTION("""COMPUTED_VALUE"""),"Minelab")</f>
        <v>Minelab</v>
      </c>
    </row>
    <row r="7826">
      <c r="A7826" s="4" t="str">
        <f>IFERROR(__xludf.DUMMYFUNCTION("""COMPUTED_VALUE"""),"miner")</f>
        <v>miner</v>
      </c>
      <c r="B7826" s="4" t="str">
        <f>IFERROR(__xludf.DUMMYFUNCTION("""COMPUTED_VALUE"""),"miner")</f>
        <v>miner</v>
      </c>
      <c r="C7826" s="4" t="str">
        <f>IFERROR(__xludf.DUMMYFUNCTION("""COMPUTED_VALUE"""),"MINER")</f>
        <v>MINER</v>
      </c>
    </row>
    <row r="7827">
      <c r="A7827" s="4" t="str">
        <f>IFERROR(__xludf.DUMMYFUNCTION("""COMPUTED_VALUE"""),"mineral")</f>
        <v>mineral</v>
      </c>
      <c r="B7827" s="4" t="str">
        <f>IFERROR(__xludf.DUMMYFUNCTION("""COMPUTED_VALUE"""),"mnr")</f>
        <v>mnr</v>
      </c>
      <c r="C7827" s="4" t="str">
        <f>IFERROR(__xludf.DUMMYFUNCTION("""COMPUTED_VALUE"""),"Mineral")</f>
        <v>Mineral</v>
      </c>
    </row>
    <row r="7828">
      <c r="A7828" s="4" t="str">
        <f>IFERROR(__xludf.DUMMYFUNCTION("""COMPUTED_VALUE"""),"miner-arena")</f>
        <v>miner-arena</v>
      </c>
      <c r="B7828" s="4" t="str">
        <f>IFERROR(__xludf.DUMMYFUNCTION("""COMPUTED_VALUE"""),"minar")</f>
        <v>minar</v>
      </c>
      <c r="C7828" s="4" t="str">
        <f>IFERROR(__xludf.DUMMYFUNCTION("""COMPUTED_VALUE"""),"Miner Arena")</f>
        <v>Miner Arena</v>
      </c>
    </row>
    <row r="7829">
      <c r="A7829" s="4" t="str">
        <f>IFERROR(__xludf.DUMMYFUNCTION("""COMPUTED_VALUE"""),"minergatetoken")</f>
        <v>minergatetoken</v>
      </c>
      <c r="B7829" s="4" t="str">
        <f>IFERROR(__xludf.DUMMYFUNCTION("""COMPUTED_VALUE"""),"mgt")</f>
        <v>mgt</v>
      </c>
      <c r="C7829" s="4" t="str">
        <f>IFERROR(__xludf.DUMMYFUNCTION("""COMPUTED_VALUE"""),"MinerGateToken")</f>
        <v>MinerGateToken</v>
      </c>
    </row>
    <row r="7830">
      <c r="A7830" s="4" t="str">
        <f>IFERROR(__xludf.DUMMYFUNCTION("""COMPUTED_VALUE"""),"minergold-io")</f>
        <v>minergold-io</v>
      </c>
      <c r="B7830" s="4" t="str">
        <f>IFERROR(__xludf.DUMMYFUNCTION("""COMPUTED_VALUE"""),"mgold")</f>
        <v>mgold</v>
      </c>
      <c r="C7830" s="5" t="str">
        <f>IFERROR(__xludf.DUMMYFUNCTION("""COMPUTED_VALUE"""),"MinerGold.io")</f>
        <v>MinerGold.io</v>
      </c>
    </row>
    <row r="7831">
      <c r="A7831" s="4" t="str">
        <f>IFERROR(__xludf.DUMMYFUNCTION("""COMPUTED_VALUE"""),"miners-of-kadenia")</f>
        <v>miners-of-kadenia</v>
      </c>
      <c r="B7831" s="4" t="str">
        <f>IFERROR(__xludf.DUMMYFUNCTION("""COMPUTED_VALUE"""),"mok")</f>
        <v>mok</v>
      </c>
      <c r="C7831" s="4" t="str">
        <f>IFERROR(__xludf.DUMMYFUNCTION("""COMPUTED_VALUE"""),"Miners of Kadenia")</f>
        <v>Miners of Kadenia</v>
      </c>
    </row>
    <row r="7832">
      <c r="A7832" s="4" t="str">
        <f>IFERROR(__xludf.DUMMYFUNCTION("""COMPUTED_VALUE"""),"minerva-money")</f>
        <v>minerva-money</v>
      </c>
      <c r="B7832" s="4" t="str">
        <f>IFERROR(__xludf.DUMMYFUNCTION("""COMPUTED_VALUE"""),"mine")</f>
        <v>mine</v>
      </c>
      <c r="C7832" s="4" t="str">
        <f>IFERROR(__xludf.DUMMYFUNCTION("""COMPUTED_VALUE"""),"Minerva Money")</f>
        <v>Minerva Money</v>
      </c>
    </row>
    <row r="7833">
      <c r="A7833" s="4" t="str">
        <f>IFERROR(__xludf.DUMMYFUNCTION("""COMPUTED_VALUE"""),"minerva-wallet")</f>
        <v>minerva-wallet</v>
      </c>
      <c r="B7833" s="4" t="str">
        <f>IFERROR(__xludf.DUMMYFUNCTION("""COMPUTED_VALUE"""),"miva")</f>
        <v>miva</v>
      </c>
      <c r="C7833" s="4" t="str">
        <f>IFERROR(__xludf.DUMMYFUNCTION("""COMPUTED_VALUE"""),"Minerva Wallet")</f>
        <v>Minerva Wallet</v>
      </c>
    </row>
    <row r="7834">
      <c r="A7834" s="4" t="str">
        <f>IFERROR(__xludf.DUMMYFUNCTION("""COMPUTED_VALUE"""),"minesee")</f>
        <v>minesee</v>
      </c>
      <c r="B7834" s="4" t="str">
        <f>IFERROR(__xludf.DUMMYFUNCTION("""COMPUTED_VALUE"""),"see")</f>
        <v>see</v>
      </c>
      <c r="C7834" s="4" t="str">
        <f>IFERROR(__xludf.DUMMYFUNCTION("""COMPUTED_VALUE"""),"MineSee")</f>
        <v>MineSee</v>
      </c>
    </row>
    <row r="7835">
      <c r="A7835" s="4" t="str">
        <f>IFERROR(__xludf.DUMMYFUNCTION("""COMPUTED_VALUE"""),"mineshield")</f>
        <v>mineshield</v>
      </c>
      <c r="B7835" s="4" t="str">
        <f>IFERROR(__xludf.DUMMYFUNCTION("""COMPUTED_VALUE"""),"mns")</f>
        <v>mns</v>
      </c>
      <c r="C7835" s="4" t="str">
        <f>IFERROR(__xludf.DUMMYFUNCTION("""COMPUTED_VALUE"""),"Mineshield")</f>
        <v>Mineshield</v>
      </c>
    </row>
    <row r="7836">
      <c r="A7836" s="4" t="str">
        <f>IFERROR(__xludf.DUMMYFUNCTION("""COMPUTED_VALUE"""),"mines-of-dalarnia")</f>
        <v>mines-of-dalarnia</v>
      </c>
      <c r="B7836" s="4" t="str">
        <f>IFERROR(__xludf.DUMMYFUNCTION("""COMPUTED_VALUE"""),"dar")</f>
        <v>dar</v>
      </c>
      <c r="C7836" s="4" t="str">
        <f>IFERROR(__xludf.DUMMYFUNCTION("""COMPUTED_VALUE"""),"Mines of Dalarnia")</f>
        <v>Mines of Dalarnia</v>
      </c>
    </row>
    <row r="7837">
      <c r="A7837" s="4" t="str">
        <f>IFERROR(__xludf.DUMMYFUNCTION("""COMPUTED_VALUE"""),"mini")</f>
        <v>mini</v>
      </c>
      <c r="B7837" s="4" t="str">
        <f>IFERROR(__xludf.DUMMYFUNCTION("""COMPUTED_VALUE"""),"mini")</f>
        <v>mini</v>
      </c>
      <c r="C7837" s="4" t="str">
        <f>IFERROR(__xludf.DUMMYFUNCTION("""COMPUTED_VALUE"""),"Mini")</f>
        <v>Mini</v>
      </c>
    </row>
    <row r="7838">
      <c r="A7838" s="4" t="str">
        <f>IFERROR(__xludf.DUMMYFUNCTION("""COMPUTED_VALUE"""),"mini-grok")</f>
        <v>mini-grok</v>
      </c>
      <c r="B7838" s="4" t="str">
        <f>IFERROR(__xludf.DUMMYFUNCTION("""COMPUTED_VALUE"""),"mini grok")</f>
        <v>mini grok</v>
      </c>
      <c r="C7838" s="4" t="str">
        <f>IFERROR(__xludf.DUMMYFUNCTION("""COMPUTED_VALUE"""),"Mini Grok (OLD)")</f>
        <v>Mini Grok (OLD)</v>
      </c>
    </row>
    <row r="7839">
      <c r="A7839" s="4" t="str">
        <f>IFERROR(__xludf.DUMMYFUNCTION("""COMPUTED_VALUE"""),"mini-grok-2")</f>
        <v>mini-grok-2</v>
      </c>
      <c r="B7839" s="4" t="str">
        <f>IFERROR(__xludf.DUMMYFUNCTION("""COMPUTED_VALUE"""),"mini grok")</f>
        <v>mini grok</v>
      </c>
      <c r="C7839" s="4" t="str">
        <f>IFERROR(__xludf.DUMMYFUNCTION("""COMPUTED_VALUE"""),"Mini Grok")</f>
        <v>Mini Grok</v>
      </c>
    </row>
    <row r="7840">
      <c r="A7840" s="4" t="str">
        <f>IFERROR(__xludf.DUMMYFUNCTION("""COMPUTED_VALUE"""),"minima")</f>
        <v>minima</v>
      </c>
      <c r="B7840" s="4" t="str">
        <f>IFERROR(__xludf.DUMMYFUNCTION("""COMPUTED_VALUE"""),"minima")</f>
        <v>minima</v>
      </c>
      <c r="C7840" s="4" t="str">
        <f>IFERROR(__xludf.DUMMYFUNCTION("""COMPUTED_VALUE"""),"Minima")</f>
        <v>Minima</v>
      </c>
    </row>
    <row r="7841">
      <c r="A7841" s="4" t="str">
        <f>IFERROR(__xludf.DUMMYFUNCTION("""COMPUTED_VALUE"""),"mini-metis")</f>
        <v>mini-metis</v>
      </c>
      <c r="B7841" s="4" t="str">
        <f>IFERROR(__xludf.DUMMYFUNCTION("""COMPUTED_VALUE"""),"minime")</f>
        <v>minime</v>
      </c>
      <c r="C7841" s="4" t="str">
        <f>IFERROR(__xludf.DUMMYFUNCTION("""COMPUTED_VALUE"""),"Mini Metis")</f>
        <v>Mini Metis</v>
      </c>
    </row>
    <row r="7842">
      <c r="A7842" s="4" t="str">
        <f>IFERROR(__xludf.DUMMYFUNCTION("""COMPUTED_VALUE"""),"minswap")</f>
        <v>minswap</v>
      </c>
      <c r="B7842" s="4" t="str">
        <f>IFERROR(__xludf.DUMMYFUNCTION("""COMPUTED_VALUE"""),"min")</f>
        <v>min</v>
      </c>
      <c r="C7842" s="4" t="str">
        <f>IFERROR(__xludf.DUMMYFUNCTION("""COMPUTED_VALUE"""),"Minswap")</f>
        <v>Minswap</v>
      </c>
    </row>
    <row r="7843">
      <c r="A7843" s="4" t="str">
        <f>IFERROR(__xludf.DUMMYFUNCTION("""COMPUTED_VALUE"""),"mint-club")</f>
        <v>mint-club</v>
      </c>
      <c r="B7843" s="4" t="str">
        <f>IFERROR(__xludf.DUMMYFUNCTION("""COMPUTED_VALUE"""),"mint")</f>
        <v>mint</v>
      </c>
      <c r="C7843" s="4" t="str">
        <f>IFERROR(__xludf.DUMMYFUNCTION("""COMPUTED_VALUE"""),"Mint Club")</f>
        <v>Mint Club</v>
      </c>
    </row>
    <row r="7844">
      <c r="A7844" s="4" t="str">
        <f>IFERROR(__xludf.DUMMYFUNCTION("""COMPUTED_VALUE"""),"mintdao")</f>
        <v>mintdao</v>
      </c>
      <c r="B7844" s="4" t="str">
        <f>IFERROR(__xludf.DUMMYFUNCTION("""COMPUTED_VALUE"""),"mint")</f>
        <v>mint</v>
      </c>
      <c r="C7844" s="4" t="str">
        <f>IFERROR(__xludf.DUMMYFUNCTION("""COMPUTED_VALUE"""),"MintDAO")</f>
        <v>MintDAO</v>
      </c>
    </row>
    <row r="7845">
      <c r="A7845" s="4" t="str">
        <f>IFERROR(__xludf.DUMMYFUNCTION("""COMPUTED_VALUE"""),"minted")</f>
        <v>minted</v>
      </c>
      <c r="B7845" s="4" t="str">
        <f>IFERROR(__xludf.DUMMYFUNCTION("""COMPUTED_VALUE"""),"mtd")</f>
        <v>mtd</v>
      </c>
      <c r="C7845" s="4" t="str">
        <f>IFERROR(__xludf.DUMMYFUNCTION("""COMPUTED_VALUE"""),"Minted")</f>
        <v>Minted</v>
      </c>
    </row>
    <row r="7846">
      <c r="A7846" s="4" t="str">
        <f>IFERROR(__xludf.DUMMYFUNCTION("""COMPUTED_VALUE"""),"mintera")</f>
        <v>mintera</v>
      </c>
      <c r="B7846" s="4" t="str">
        <f>IFERROR(__xludf.DUMMYFUNCTION("""COMPUTED_VALUE"""),"mnte")</f>
        <v>mnte</v>
      </c>
      <c r="C7846" s="4" t="str">
        <f>IFERROR(__xludf.DUMMYFUNCTION("""COMPUTED_VALUE"""),"Mintera")</f>
        <v>Mintera</v>
      </c>
    </row>
    <row r="7847">
      <c r="A7847" s="4" t="str">
        <f>IFERROR(__xludf.DUMMYFUNCTION("""COMPUTED_VALUE"""),"minterest")</f>
        <v>minterest</v>
      </c>
      <c r="B7847" s="4" t="str">
        <f>IFERROR(__xludf.DUMMYFUNCTION("""COMPUTED_VALUE"""),"minty")</f>
        <v>minty</v>
      </c>
      <c r="C7847" s="4" t="str">
        <f>IFERROR(__xludf.DUMMYFUNCTION("""COMPUTED_VALUE"""),"Minterest")</f>
        <v>Minterest</v>
      </c>
    </row>
    <row r="7848">
      <c r="A7848" s="4" t="str">
        <f>IFERROR(__xludf.DUMMYFUNCTION("""COMPUTED_VALUE"""),"minti")</f>
        <v>minti</v>
      </c>
      <c r="B7848" s="4" t="str">
        <f>IFERROR(__xludf.DUMMYFUNCTION("""COMPUTED_VALUE"""),"minti")</f>
        <v>minti</v>
      </c>
      <c r="C7848" s="4" t="str">
        <f>IFERROR(__xludf.DUMMYFUNCTION("""COMPUTED_VALUE"""),"Minti")</f>
        <v>Minti</v>
      </c>
    </row>
    <row r="7849">
      <c r="A7849" s="4" t="str">
        <f>IFERROR(__xludf.DUMMYFUNCTION("""COMPUTED_VALUE"""),"mintlayer")</f>
        <v>mintlayer</v>
      </c>
      <c r="B7849" s="4" t="str">
        <f>IFERROR(__xludf.DUMMYFUNCTION("""COMPUTED_VALUE"""),"ml")</f>
        <v>ml</v>
      </c>
      <c r="C7849" s="4" t="str">
        <f>IFERROR(__xludf.DUMMYFUNCTION("""COMPUTED_VALUE"""),"Mintlayer")</f>
        <v>Mintlayer</v>
      </c>
    </row>
    <row r="7850">
      <c r="A7850" s="4" t="str">
        <f>IFERROR(__xludf.DUMMYFUNCTION("""COMPUTED_VALUE"""),"minto")</f>
        <v>minto</v>
      </c>
      <c r="B7850" s="4" t="str">
        <f>IFERROR(__xludf.DUMMYFUNCTION("""COMPUTED_VALUE"""),"btcmt")</f>
        <v>btcmt</v>
      </c>
      <c r="C7850" s="4" t="str">
        <f>IFERROR(__xludf.DUMMYFUNCTION("""COMPUTED_VALUE"""),"Minto")</f>
        <v>Minto</v>
      </c>
    </row>
    <row r="7851">
      <c r="A7851" s="4" t="str">
        <f>IFERROR(__xludf.DUMMYFUNCTION("""COMPUTED_VALUE"""),"mintra")</f>
        <v>mintra</v>
      </c>
      <c r="B7851" s="4" t="str">
        <f>IFERROR(__xludf.DUMMYFUNCTION("""COMPUTED_VALUE"""),"mint")</f>
        <v>mint</v>
      </c>
      <c r="C7851" s="4" t="str">
        <f>IFERROR(__xludf.DUMMYFUNCTION("""COMPUTED_VALUE"""),"Mintra")</f>
        <v>Mintra</v>
      </c>
    </row>
    <row r="7852">
      <c r="A7852" s="4" t="str">
        <f>IFERROR(__xludf.DUMMYFUNCTION("""COMPUTED_VALUE"""),"minu")</f>
        <v>minu</v>
      </c>
      <c r="B7852" s="4" t="str">
        <f>IFERROR(__xludf.DUMMYFUNCTION("""COMPUTED_VALUE"""),"minu")</f>
        <v>minu</v>
      </c>
      <c r="C7852" s="4" t="str">
        <f>IFERROR(__xludf.DUMMYFUNCTION("""COMPUTED_VALUE"""),"Minu")</f>
        <v>Minu</v>
      </c>
    </row>
    <row r="7853">
      <c r="A7853" s="4" t="str">
        <f>IFERROR(__xludf.DUMMYFUNCTION("""COMPUTED_VALUE"""),"minu-the-manta")</f>
        <v>minu-the-manta</v>
      </c>
      <c r="B7853" s="4" t="str">
        <f>IFERROR(__xludf.DUMMYFUNCTION("""COMPUTED_VALUE"""),"mnu")</f>
        <v>mnu</v>
      </c>
      <c r="C7853" s="4" t="str">
        <f>IFERROR(__xludf.DUMMYFUNCTION("""COMPUTED_VALUE"""),"Minu the Manta")</f>
        <v>Minu the Manta</v>
      </c>
    </row>
    <row r="7854">
      <c r="A7854" s="4" t="str">
        <f>IFERROR(__xludf.DUMMYFUNCTION("""COMPUTED_VALUE"""),"miracle-play")</f>
        <v>miracle-play</v>
      </c>
      <c r="B7854" s="4" t="str">
        <f>IFERROR(__xludf.DUMMYFUNCTION("""COMPUTED_VALUE"""),"mpt")</f>
        <v>mpt</v>
      </c>
      <c r="C7854" s="4" t="str">
        <f>IFERROR(__xludf.DUMMYFUNCTION("""COMPUTED_VALUE"""),"Miracle Play")</f>
        <v>Miracle Play</v>
      </c>
    </row>
    <row r="7855">
      <c r="A7855" s="4" t="str">
        <f>IFERROR(__xludf.DUMMYFUNCTION("""COMPUTED_VALUE"""),"mirage-2")</f>
        <v>mirage-2</v>
      </c>
      <c r="B7855" s="4" t="str">
        <f>IFERROR(__xludf.DUMMYFUNCTION("""COMPUTED_VALUE"""),"mirage")</f>
        <v>mirage</v>
      </c>
      <c r="C7855" s="4" t="str">
        <f>IFERROR(__xludf.DUMMYFUNCTION("""COMPUTED_VALUE"""),"Mirage")</f>
        <v>Mirage</v>
      </c>
    </row>
    <row r="7856">
      <c r="A7856" s="4" t="str">
        <f>IFERROR(__xludf.DUMMYFUNCTION("""COMPUTED_VALUE"""),"miraqle")</f>
        <v>miraqle</v>
      </c>
      <c r="B7856" s="4" t="str">
        <f>IFERROR(__xludf.DUMMYFUNCTION("""COMPUTED_VALUE"""),"mql")</f>
        <v>mql</v>
      </c>
      <c r="C7856" s="4" t="str">
        <f>IFERROR(__xludf.DUMMYFUNCTION("""COMPUTED_VALUE"""),"MiraQle")</f>
        <v>MiraQle</v>
      </c>
    </row>
    <row r="7857">
      <c r="A7857" s="4" t="str">
        <f>IFERROR(__xludf.DUMMYFUNCTION("""COMPUTED_VALUE"""),"mirrored-ether")</f>
        <v>mirrored-ether</v>
      </c>
      <c r="B7857" s="4" t="str">
        <f>IFERROR(__xludf.DUMMYFUNCTION("""COMPUTED_VALUE"""),"meth")</f>
        <v>meth</v>
      </c>
      <c r="C7857" s="4" t="str">
        <f>IFERROR(__xludf.DUMMYFUNCTION("""COMPUTED_VALUE"""),"Mirrored Ether")</f>
        <v>Mirrored Ether</v>
      </c>
    </row>
    <row r="7858">
      <c r="A7858" s="4" t="str">
        <f>IFERROR(__xludf.DUMMYFUNCTION("""COMPUTED_VALUE"""),"mirror-protocol")</f>
        <v>mirror-protocol</v>
      </c>
      <c r="B7858" s="4" t="str">
        <f>IFERROR(__xludf.DUMMYFUNCTION("""COMPUTED_VALUE"""),"mir")</f>
        <v>mir</v>
      </c>
      <c r="C7858" s="4" t="str">
        <f>IFERROR(__xludf.DUMMYFUNCTION("""COMPUTED_VALUE"""),"Mirror Protocol")</f>
        <v>Mirror Protocol</v>
      </c>
    </row>
    <row r="7859">
      <c r="A7859" s="4" t="str">
        <f>IFERROR(__xludf.DUMMYFUNCTION("""COMPUTED_VALUE"""),"mir-token")</f>
        <v>mir-token</v>
      </c>
      <c r="B7859" s="4" t="str">
        <f>IFERROR(__xludf.DUMMYFUNCTION("""COMPUTED_VALUE"""),"mir")</f>
        <v>mir</v>
      </c>
      <c r="C7859" s="4" t="str">
        <f>IFERROR(__xludf.DUMMYFUNCTION("""COMPUTED_VALUE"""),"Mir Token")</f>
        <v>Mir Token</v>
      </c>
    </row>
    <row r="7860">
      <c r="A7860" s="4" t="str">
        <f>IFERROR(__xludf.DUMMYFUNCTION("""COMPUTED_VALUE"""),"misbloc")</f>
        <v>misbloc</v>
      </c>
      <c r="B7860" s="4" t="str">
        <f>IFERROR(__xludf.DUMMYFUNCTION("""COMPUTED_VALUE"""),"msb")</f>
        <v>msb</v>
      </c>
      <c r="C7860" s="4" t="str">
        <f>IFERROR(__xludf.DUMMYFUNCTION("""COMPUTED_VALUE"""),"Misbloc")</f>
        <v>Misbloc</v>
      </c>
    </row>
    <row r="7861">
      <c r="A7861" s="4" t="str">
        <f>IFERROR(__xludf.DUMMYFUNCTION("""COMPUTED_VALUE"""),"missionmars")</f>
        <v>missionmars</v>
      </c>
      <c r="B7861" s="4" t="str">
        <f>IFERROR(__xludf.DUMMYFUNCTION("""COMPUTED_VALUE"""),"mmars")</f>
        <v>mmars</v>
      </c>
      <c r="C7861" s="4" t="str">
        <f>IFERROR(__xludf.DUMMYFUNCTION("""COMPUTED_VALUE"""),"MissionMars")</f>
        <v>MissionMars</v>
      </c>
    </row>
    <row r="7862">
      <c r="A7862" s="4" t="str">
        <f>IFERROR(__xludf.DUMMYFUNCTION("""COMPUTED_VALUE"""),"mist")</f>
        <v>mist</v>
      </c>
      <c r="B7862" s="4" t="str">
        <f>IFERROR(__xludf.DUMMYFUNCTION("""COMPUTED_VALUE"""),"mist")</f>
        <v>mist</v>
      </c>
      <c r="C7862" s="4" t="str">
        <f>IFERROR(__xludf.DUMMYFUNCTION("""COMPUTED_VALUE"""),"Mist")</f>
        <v>Mist</v>
      </c>
    </row>
    <row r="7863">
      <c r="A7863" s="4" t="str">
        <f>IFERROR(__xludf.DUMMYFUNCTION("""COMPUTED_VALUE"""),"mistery")</f>
        <v>mistery</v>
      </c>
      <c r="B7863" s="4" t="str">
        <f>IFERROR(__xludf.DUMMYFUNCTION("""COMPUTED_VALUE"""),"mery")</f>
        <v>mery</v>
      </c>
      <c r="C7863" s="4" t="str">
        <f>IFERROR(__xludf.DUMMYFUNCTION("""COMPUTED_VALUE"""),"Mistery")</f>
        <v>Mistery</v>
      </c>
    </row>
    <row r="7864">
      <c r="A7864" s="4" t="str">
        <f>IFERROR(__xludf.DUMMYFUNCTION("""COMPUTED_VALUE"""),"mithril")</f>
        <v>mithril</v>
      </c>
      <c r="B7864" s="4" t="str">
        <f>IFERROR(__xludf.DUMMYFUNCTION("""COMPUTED_VALUE"""),"mith")</f>
        <v>mith</v>
      </c>
      <c r="C7864" s="4" t="str">
        <f>IFERROR(__xludf.DUMMYFUNCTION("""COMPUTED_VALUE"""),"Mithril")</f>
        <v>Mithril</v>
      </c>
    </row>
    <row r="7865">
      <c r="A7865" s="4" t="str">
        <f>IFERROR(__xludf.DUMMYFUNCTION("""COMPUTED_VALUE"""),"mithril-share")</f>
        <v>mithril-share</v>
      </c>
      <c r="B7865" s="4" t="str">
        <f>IFERROR(__xludf.DUMMYFUNCTION("""COMPUTED_VALUE"""),"mis")</f>
        <v>mis</v>
      </c>
      <c r="C7865" s="4" t="str">
        <f>IFERROR(__xludf.DUMMYFUNCTION("""COMPUTED_VALUE"""),"Mithril Share")</f>
        <v>Mithril Share</v>
      </c>
    </row>
    <row r="7866">
      <c r="A7866" s="4" t="str">
        <f>IFERROR(__xludf.DUMMYFUNCTION("""COMPUTED_VALUE"""),"mixin")</f>
        <v>mixin</v>
      </c>
      <c r="B7866" s="4" t="str">
        <f>IFERROR(__xludf.DUMMYFUNCTION("""COMPUTED_VALUE"""),"xin")</f>
        <v>xin</v>
      </c>
      <c r="C7866" s="4" t="str">
        <f>IFERROR(__xludf.DUMMYFUNCTION("""COMPUTED_VALUE"""),"Mixin")</f>
        <v>Mixin</v>
      </c>
    </row>
    <row r="7867">
      <c r="A7867" s="4" t="str">
        <f>IFERROR(__xludf.DUMMYFUNCTION("""COMPUTED_VALUE"""),"mixmarvel")</f>
        <v>mixmarvel</v>
      </c>
      <c r="B7867" s="4" t="str">
        <f>IFERROR(__xludf.DUMMYFUNCTION("""COMPUTED_VALUE"""),"mix")</f>
        <v>mix</v>
      </c>
      <c r="C7867" s="4" t="str">
        <f>IFERROR(__xludf.DUMMYFUNCTION("""COMPUTED_VALUE"""),"MixMarvel")</f>
        <v>MixMarvel</v>
      </c>
    </row>
    <row r="7868">
      <c r="A7868" s="4" t="str">
        <f>IFERROR(__xludf.DUMMYFUNCTION("""COMPUTED_VALUE"""),"mixmob")</f>
        <v>mixmob</v>
      </c>
      <c r="B7868" s="4" t="str">
        <f>IFERROR(__xludf.DUMMYFUNCTION("""COMPUTED_VALUE"""),"mxm")</f>
        <v>mxm</v>
      </c>
      <c r="C7868" s="4" t="str">
        <f>IFERROR(__xludf.DUMMYFUNCTION("""COMPUTED_VALUE"""),"MixMob")</f>
        <v>MixMob</v>
      </c>
    </row>
    <row r="7869">
      <c r="A7869" s="4" t="str">
        <f>IFERROR(__xludf.DUMMYFUNCTION("""COMPUTED_VALUE"""),"mixtoearn")</f>
        <v>mixtoearn</v>
      </c>
      <c r="B7869" s="4" t="str">
        <f>IFERROR(__xludf.DUMMYFUNCTION("""COMPUTED_VALUE"""),"mte")</f>
        <v>mte</v>
      </c>
      <c r="C7869" s="4" t="str">
        <f>IFERROR(__xludf.DUMMYFUNCTION("""COMPUTED_VALUE"""),"MixToEarn")</f>
        <v>MixToEarn</v>
      </c>
    </row>
    <row r="7870">
      <c r="A7870" s="4" t="str">
        <f>IFERROR(__xludf.DUMMYFUNCTION("""COMPUTED_VALUE"""),"mixtrust")</f>
        <v>mixtrust</v>
      </c>
      <c r="B7870" s="4" t="str">
        <f>IFERROR(__xludf.DUMMYFUNCTION("""COMPUTED_VALUE"""),"mxt")</f>
        <v>mxt</v>
      </c>
      <c r="C7870" s="4" t="str">
        <f>IFERROR(__xludf.DUMMYFUNCTION("""COMPUTED_VALUE"""),"MixTrust")</f>
        <v>MixTrust</v>
      </c>
    </row>
    <row r="7871">
      <c r="A7871" s="4" t="str">
        <f>IFERROR(__xludf.DUMMYFUNCTION("""COMPUTED_VALUE"""),"mizar")</f>
        <v>mizar</v>
      </c>
      <c r="B7871" s="4" t="str">
        <f>IFERROR(__xludf.DUMMYFUNCTION("""COMPUTED_VALUE"""),"mzr")</f>
        <v>mzr</v>
      </c>
      <c r="C7871" s="4" t="str">
        <f>IFERROR(__xludf.DUMMYFUNCTION("""COMPUTED_VALUE"""),"Mizar")</f>
        <v>Mizar</v>
      </c>
    </row>
    <row r="7872">
      <c r="A7872" s="4" t="str">
        <f>IFERROR(__xludf.DUMMYFUNCTION("""COMPUTED_VALUE"""),"mktcash")</f>
        <v>mktcash</v>
      </c>
      <c r="B7872" s="4" t="str">
        <f>IFERROR(__xludf.DUMMYFUNCTION("""COMPUTED_VALUE"""),"mch")</f>
        <v>mch</v>
      </c>
      <c r="C7872" s="4" t="str">
        <f>IFERROR(__xludf.DUMMYFUNCTION("""COMPUTED_VALUE"""),"Mktcash")</f>
        <v>Mktcash</v>
      </c>
    </row>
    <row r="7873">
      <c r="A7873" s="4" t="str">
        <f>IFERROR(__xludf.DUMMYFUNCTION("""COMPUTED_VALUE"""),"mm72")</f>
        <v>mm72</v>
      </c>
      <c r="B7873" s="4" t="str">
        <f>IFERROR(__xludf.DUMMYFUNCTION("""COMPUTED_VALUE"""),"mm72")</f>
        <v>mm72</v>
      </c>
      <c r="C7873" s="4" t="str">
        <f>IFERROR(__xludf.DUMMYFUNCTION("""COMPUTED_VALUE"""),"MM72")</f>
        <v>MM72</v>
      </c>
    </row>
    <row r="7874">
      <c r="A7874" s="4" t="str">
        <f>IFERROR(__xludf.DUMMYFUNCTION("""COMPUTED_VALUE"""),"mmfinance")</f>
        <v>mmfinance</v>
      </c>
      <c r="B7874" s="4" t="str">
        <f>IFERROR(__xludf.DUMMYFUNCTION("""COMPUTED_VALUE"""),"mmf")</f>
        <v>mmf</v>
      </c>
      <c r="C7874" s="4" t="str">
        <f>IFERROR(__xludf.DUMMYFUNCTION("""COMPUTED_VALUE"""),"MMFinance (Cronos)")</f>
        <v>MMFinance (Cronos)</v>
      </c>
    </row>
    <row r="7875">
      <c r="A7875" s="4" t="str">
        <f>IFERROR(__xludf.DUMMYFUNCTION("""COMPUTED_VALUE"""),"mmfinance-arbitrum")</f>
        <v>mmfinance-arbitrum</v>
      </c>
      <c r="B7875" s="4" t="str">
        <f>IFERROR(__xludf.DUMMYFUNCTION("""COMPUTED_VALUE"""),"mmf")</f>
        <v>mmf</v>
      </c>
      <c r="C7875" s="4" t="str">
        <f>IFERROR(__xludf.DUMMYFUNCTION("""COMPUTED_VALUE"""),"MMFinance (Arbitrum)")</f>
        <v>MMFinance (Arbitrum)</v>
      </c>
    </row>
    <row r="7876">
      <c r="A7876" s="4" t="str">
        <f>IFERROR(__xludf.DUMMYFUNCTION("""COMPUTED_VALUE"""),"mmf-money")</f>
        <v>mmf-money</v>
      </c>
      <c r="B7876" s="4" t="str">
        <f>IFERROR(__xludf.DUMMYFUNCTION("""COMPUTED_VALUE"""),"burrow")</f>
        <v>burrow</v>
      </c>
      <c r="C7876" s="4" t="str">
        <f>IFERROR(__xludf.DUMMYFUNCTION("""COMPUTED_VALUE"""),"MMF Money")</f>
        <v>MMF Money</v>
      </c>
    </row>
    <row r="7877">
      <c r="A7877" s="4" t="str">
        <f>IFERROR(__xludf.DUMMYFUNCTION("""COMPUTED_VALUE"""),"mmocoin")</f>
        <v>mmocoin</v>
      </c>
      <c r="B7877" s="4" t="str">
        <f>IFERROR(__xludf.DUMMYFUNCTION("""COMPUTED_VALUE"""),"mmo")</f>
        <v>mmo</v>
      </c>
      <c r="C7877" s="4" t="str">
        <f>IFERROR(__xludf.DUMMYFUNCTION("""COMPUTED_VALUE"""),"MMOCoin")</f>
        <v>MMOCoin</v>
      </c>
    </row>
    <row r="7878">
      <c r="A7878" s="4" t="str">
        <f>IFERROR(__xludf.DUMMYFUNCTION("""COMPUTED_VALUE"""),"mms-cash")</f>
        <v>mms-cash</v>
      </c>
      <c r="B7878" s="4" t="str">
        <f>IFERROR(__xludf.DUMMYFUNCTION("""COMPUTED_VALUE"""),"mcash")</f>
        <v>mcash</v>
      </c>
      <c r="C7878" s="4" t="str">
        <f>IFERROR(__xludf.DUMMYFUNCTION("""COMPUTED_VALUE"""),"MMS Cash")</f>
        <v>MMS Cash</v>
      </c>
    </row>
    <row r="7879">
      <c r="A7879" s="4" t="str">
        <f>IFERROR(__xludf.DUMMYFUNCTION("""COMPUTED_VALUE"""),"mms-coin")</f>
        <v>mms-coin</v>
      </c>
      <c r="B7879" s="4" t="str">
        <f>IFERROR(__xludf.DUMMYFUNCTION("""COMPUTED_VALUE"""),"mmsc")</f>
        <v>mmsc</v>
      </c>
      <c r="C7879" s="4" t="str">
        <f>IFERROR(__xludf.DUMMYFUNCTION("""COMPUTED_VALUE"""),"MMS Coin")</f>
        <v>MMS Coin</v>
      </c>
    </row>
    <row r="7880">
      <c r="A7880" s="4" t="str">
        <f>IFERROR(__xludf.DUMMYFUNCTION("""COMPUTED_VALUE"""),"mmss")</f>
        <v>mmss</v>
      </c>
      <c r="B7880" s="4" t="str">
        <f>IFERROR(__xludf.DUMMYFUNCTION("""COMPUTED_VALUE"""),"mmss")</f>
        <v>mmss</v>
      </c>
      <c r="C7880" s="4" t="str">
        <f>IFERROR(__xludf.DUMMYFUNCTION("""COMPUTED_VALUE"""),"MMSS (Ordinals)")</f>
        <v>MMSS (Ordinals)</v>
      </c>
    </row>
    <row r="7881">
      <c r="A7881" s="4" t="str">
        <f>IFERROR(__xludf.DUMMYFUNCTION("""COMPUTED_VALUE"""),"mn-bridge")</f>
        <v>mn-bridge</v>
      </c>
      <c r="B7881" s="4" t="str">
        <f>IFERROR(__xludf.DUMMYFUNCTION("""COMPUTED_VALUE"""),"mnb")</f>
        <v>mnb</v>
      </c>
      <c r="C7881" s="4" t="str">
        <f>IFERROR(__xludf.DUMMYFUNCTION("""COMPUTED_VALUE"""),"MN Bridge")</f>
        <v>MN Bridge</v>
      </c>
    </row>
    <row r="7882">
      <c r="A7882" s="4" t="str">
        <f>IFERROR(__xludf.DUMMYFUNCTION("""COMPUTED_VALUE"""),"mnet-continuum")</f>
        <v>mnet-continuum</v>
      </c>
      <c r="B7882" s="4" t="str">
        <f>IFERROR(__xludf.DUMMYFUNCTION("""COMPUTED_VALUE"""),"nuum")</f>
        <v>nuum</v>
      </c>
      <c r="C7882" s="4" t="str">
        <f>IFERROR(__xludf.DUMMYFUNCTION("""COMPUTED_VALUE"""),"MNet Continuum")</f>
        <v>MNet Continuum</v>
      </c>
    </row>
    <row r="7883">
      <c r="A7883" s="4" t="str">
        <f>IFERROR(__xludf.DUMMYFUNCTION("""COMPUTED_VALUE"""),"mnicorp")</f>
        <v>mnicorp</v>
      </c>
      <c r="B7883" s="4" t="str">
        <f>IFERROR(__xludf.DUMMYFUNCTION("""COMPUTED_VALUE"""),"mni")</f>
        <v>mni</v>
      </c>
      <c r="C7883" s="4" t="str">
        <f>IFERROR(__xludf.DUMMYFUNCTION("""COMPUTED_VALUE"""),"MnICorp")</f>
        <v>MnICorp</v>
      </c>
    </row>
    <row r="7884">
      <c r="A7884" s="4" t="str">
        <f>IFERROR(__xludf.DUMMYFUNCTION("""COMPUTED_VALUE"""),"moai")</f>
        <v>moai</v>
      </c>
      <c r="B7884" s="4" t="str">
        <f>IFERROR(__xludf.DUMMYFUNCTION("""COMPUTED_VALUE"""),"moai")</f>
        <v>moai</v>
      </c>
      <c r="C7884" s="4" t="str">
        <f>IFERROR(__xludf.DUMMYFUNCTION("""COMPUTED_VALUE"""),"MOAI")</f>
        <v>MOAI</v>
      </c>
    </row>
    <row r="7885">
      <c r="A7885" s="4" t="str">
        <f>IFERROR(__xludf.DUMMYFUNCTION("""COMPUTED_VALUE"""),"mobifi")</f>
        <v>mobifi</v>
      </c>
      <c r="B7885" s="4" t="str">
        <f>IFERROR(__xludf.DUMMYFUNCTION("""COMPUTED_VALUE"""),"mofi")</f>
        <v>mofi</v>
      </c>
      <c r="C7885" s="4" t="str">
        <f>IFERROR(__xludf.DUMMYFUNCTION("""COMPUTED_VALUE"""),"MobiFi")</f>
        <v>MobiFi</v>
      </c>
    </row>
    <row r="7886">
      <c r="A7886" s="4" t="str">
        <f>IFERROR(__xludf.DUMMYFUNCTION("""COMPUTED_VALUE"""),"mobilecoin")</f>
        <v>mobilecoin</v>
      </c>
      <c r="B7886" s="4" t="str">
        <f>IFERROR(__xludf.DUMMYFUNCTION("""COMPUTED_VALUE"""),"mob")</f>
        <v>mob</v>
      </c>
      <c r="C7886" s="4" t="str">
        <f>IFERROR(__xludf.DUMMYFUNCTION("""COMPUTED_VALUE"""),"MobileCoin")</f>
        <v>MobileCoin</v>
      </c>
    </row>
    <row r="7887">
      <c r="A7887" s="4" t="str">
        <f>IFERROR(__xludf.DUMMYFUNCTION("""COMPUTED_VALUE"""),"mobile-crypto-pay-coin")</f>
        <v>mobile-crypto-pay-coin</v>
      </c>
      <c r="B7887" s="4" t="str">
        <f>IFERROR(__xludf.DUMMYFUNCTION("""COMPUTED_VALUE"""),"mcpc")</f>
        <v>mcpc</v>
      </c>
      <c r="C7887" s="4" t="str">
        <f>IFERROR(__xludf.DUMMYFUNCTION("""COMPUTED_VALUE"""),"Mobile Crypto Pay Coin")</f>
        <v>Mobile Crypto Pay Coin</v>
      </c>
    </row>
    <row r="7888">
      <c r="A7888" s="4" t="str">
        <f>IFERROR(__xludf.DUMMYFUNCTION("""COMPUTED_VALUE"""),"mobility-coin")</f>
        <v>mobility-coin</v>
      </c>
      <c r="B7888" s="4" t="str">
        <f>IFERROR(__xludf.DUMMYFUNCTION("""COMPUTED_VALUE"""),"mobic")</f>
        <v>mobic</v>
      </c>
      <c r="C7888" s="4" t="str">
        <f>IFERROR(__xludf.DUMMYFUNCTION("""COMPUTED_VALUE"""),"Mobility Coin")</f>
        <v>Mobility Coin</v>
      </c>
    </row>
    <row r="7889">
      <c r="A7889" s="4" t="str">
        <f>IFERROR(__xludf.DUMMYFUNCTION("""COMPUTED_VALUE"""),"mobipad")</f>
        <v>mobipad</v>
      </c>
      <c r="B7889" s="4" t="str">
        <f>IFERROR(__xludf.DUMMYFUNCTION("""COMPUTED_VALUE"""),"mbp")</f>
        <v>mbp</v>
      </c>
      <c r="C7889" s="4" t="str">
        <f>IFERROR(__xludf.DUMMYFUNCTION("""COMPUTED_VALUE"""),"Mobipad")</f>
        <v>Mobipad</v>
      </c>
    </row>
    <row r="7890">
      <c r="A7890" s="4" t="str">
        <f>IFERROR(__xludf.DUMMYFUNCTION("""COMPUTED_VALUE"""),"mobist")</f>
        <v>mobist</v>
      </c>
      <c r="B7890" s="4" t="str">
        <f>IFERROR(__xludf.DUMMYFUNCTION("""COMPUTED_VALUE"""),"mitx")</f>
        <v>mitx</v>
      </c>
      <c r="C7890" s="4" t="str">
        <f>IFERROR(__xludf.DUMMYFUNCTION("""COMPUTED_VALUE"""),"Mobist")</f>
        <v>Mobist</v>
      </c>
    </row>
    <row r="7891">
      <c r="A7891" s="4" t="str">
        <f>IFERROR(__xludf.DUMMYFUNCTION("""COMPUTED_VALUE"""),"mobius")</f>
        <v>mobius</v>
      </c>
      <c r="B7891" s="4" t="str">
        <f>IFERROR(__xludf.DUMMYFUNCTION("""COMPUTED_VALUE"""),"mobi")</f>
        <v>mobi</v>
      </c>
      <c r="C7891" s="4" t="str">
        <f>IFERROR(__xludf.DUMMYFUNCTION("""COMPUTED_VALUE"""),"Mobius")</f>
        <v>Mobius</v>
      </c>
    </row>
    <row r="7892">
      <c r="A7892" s="4" t="str">
        <f>IFERROR(__xludf.DUMMYFUNCTION("""COMPUTED_VALUE"""),"mobius-finance")</f>
        <v>mobius-finance</v>
      </c>
      <c r="B7892" s="4" t="str">
        <f>IFERROR(__xludf.DUMMYFUNCTION("""COMPUTED_VALUE"""),"mot")</f>
        <v>mot</v>
      </c>
      <c r="C7892" s="4" t="str">
        <f>IFERROR(__xludf.DUMMYFUNCTION("""COMPUTED_VALUE"""),"Mobius Finance")</f>
        <v>Mobius Finance</v>
      </c>
    </row>
    <row r="7893">
      <c r="A7893" s="4" t="str">
        <f>IFERROR(__xludf.DUMMYFUNCTION("""COMPUTED_VALUE"""),"mobius-money")</f>
        <v>mobius-money</v>
      </c>
      <c r="B7893" s="4" t="str">
        <f>IFERROR(__xludf.DUMMYFUNCTION("""COMPUTED_VALUE"""),"mobi")</f>
        <v>mobi</v>
      </c>
      <c r="C7893" s="4" t="str">
        <f>IFERROR(__xludf.DUMMYFUNCTION("""COMPUTED_VALUE"""),"Mobius Money")</f>
        <v>Mobius Money</v>
      </c>
    </row>
    <row r="7894">
      <c r="A7894" s="4" t="str">
        <f>IFERROR(__xludf.DUMMYFUNCTION("""COMPUTED_VALUE"""),"mobix")</f>
        <v>mobix</v>
      </c>
      <c r="B7894" s="4" t="str">
        <f>IFERROR(__xludf.DUMMYFUNCTION("""COMPUTED_VALUE"""),"mobx")</f>
        <v>mobx</v>
      </c>
      <c r="C7894" s="4" t="str">
        <f>IFERROR(__xludf.DUMMYFUNCTION("""COMPUTED_VALUE"""),"MOBIX")</f>
        <v>MOBIX</v>
      </c>
    </row>
    <row r="7895">
      <c r="A7895" s="4" t="str">
        <f>IFERROR(__xludf.DUMMYFUNCTION("""COMPUTED_VALUE"""),"mobox")</f>
        <v>mobox</v>
      </c>
      <c r="B7895" s="4" t="str">
        <f>IFERROR(__xludf.DUMMYFUNCTION("""COMPUTED_VALUE"""),"mbox")</f>
        <v>mbox</v>
      </c>
      <c r="C7895" s="4" t="str">
        <f>IFERROR(__xludf.DUMMYFUNCTION("""COMPUTED_VALUE"""),"Mobox")</f>
        <v>Mobox</v>
      </c>
    </row>
    <row r="7896">
      <c r="A7896" s="4" t="str">
        <f>IFERROR(__xludf.DUMMYFUNCTION("""COMPUTED_VALUE"""),"mobster")</f>
        <v>mobster</v>
      </c>
      <c r="B7896" s="4" t="str">
        <f>IFERROR(__xludf.DUMMYFUNCTION("""COMPUTED_VALUE"""),"mob")</f>
        <v>mob</v>
      </c>
      <c r="C7896" s="4" t="str">
        <f>IFERROR(__xludf.DUMMYFUNCTION("""COMPUTED_VALUE"""),"Mobster")</f>
        <v>Mobster</v>
      </c>
    </row>
    <row r="7897">
      <c r="A7897" s="4" t="str">
        <f>IFERROR(__xludf.DUMMYFUNCTION("""COMPUTED_VALUE"""),"moby")</f>
        <v>moby</v>
      </c>
      <c r="B7897" s="4" t="str">
        <f>IFERROR(__xludf.DUMMYFUNCTION("""COMPUTED_VALUE"""),"moby")</f>
        <v>moby</v>
      </c>
      <c r="C7897" s="4" t="str">
        <f>IFERROR(__xludf.DUMMYFUNCTION("""COMPUTED_VALUE"""),"Moby")</f>
        <v>Moby</v>
      </c>
    </row>
    <row r="7898">
      <c r="A7898" s="4" t="str">
        <f>IFERROR(__xludf.DUMMYFUNCTION("""COMPUTED_VALUE"""),"mochadcoin")</f>
        <v>mochadcoin</v>
      </c>
      <c r="B7898" s="4" t="str">
        <f>IFERROR(__xludf.DUMMYFUNCTION("""COMPUTED_VALUE"""),"mochad")</f>
        <v>mochad</v>
      </c>
      <c r="C7898" s="4" t="str">
        <f>IFERROR(__xludf.DUMMYFUNCTION("""COMPUTED_VALUE"""),"MoChadCoin")</f>
        <v>MoChadCoin</v>
      </c>
    </row>
    <row r="7899">
      <c r="A7899" s="4" t="str">
        <f>IFERROR(__xludf.DUMMYFUNCTION("""COMPUTED_VALUE"""),"mochi")</f>
        <v>mochi</v>
      </c>
      <c r="B7899" s="4" t="str">
        <f>IFERROR(__xludf.DUMMYFUNCTION("""COMPUTED_VALUE"""),"mochi")</f>
        <v>mochi</v>
      </c>
      <c r="C7899" s="4" t="str">
        <f>IFERROR(__xludf.DUMMYFUNCTION("""COMPUTED_VALUE"""),"Mochi")</f>
        <v>Mochi</v>
      </c>
    </row>
    <row r="7900">
      <c r="A7900" s="4" t="str">
        <f>IFERROR(__xludf.DUMMYFUNCTION("""COMPUTED_VALUE"""),"mochicat")</f>
        <v>mochicat</v>
      </c>
      <c r="B7900" s="4" t="str">
        <f>IFERROR(__xludf.DUMMYFUNCTION("""COMPUTED_VALUE"""),"mochicat")</f>
        <v>mochicat</v>
      </c>
      <c r="C7900" s="4" t="str">
        <f>IFERROR(__xludf.DUMMYFUNCTION("""COMPUTED_VALUE"""),"MOCHICAT")</f>
        <v>MOCHICAT</v>
      </c>
    </row>
    <row r="7901">
      <c r="A7901" s="4" t="str">
        <f>IFERROR(__xludf.DUMMYFUNCTION("""COMPUTED_VALUE"""),"mochi-market")</f>
        <v>mochi-market</v>
      </c>
      <c r="B7901" s="4" t="str">
        <f>IFERROR(__xludf.DUMMYFUNCTION("""COMPUTED_VALUE"""),"moma")</f>
        <v>moma</v>
      </c>
      <c r="C7901" s="4" t="str">
        <f>IFERROR(__xludf.DUMMYFUNCTION("""COMPUTED_VALUE"""),"Mochi Market")</f>
        <v>Mochi Market</v>
      </c>
    </row>
    <row r="7902">
      <c r="A7902" s="4" t="str">
        <f>IFERROR(__xludf.DUMMYFUNCTION("""COMPUTED_VALUE"""),"mochi-thecatcoin")</f>
        <v>mochi-thecatcoin</v>
      </c>
      <c r="B7902" s="4" t="str">
        <f>IFERROR(__xludf.DUMMYFUNCTION("""COMPUTED_VALUE"""),"mochi")</f>
        <v>mochi</v>
      </c>
      <c r="C7902" s="4" t="str">
        <f>IFERROR(__xludf.DUMMYFUNCTION("""COMPUTED_VALUE"""),"Mochi")</f>
        <v>Mochi</v>
      </c>
    </row>
    <row r="7903">
      <c r="A7903" s="4" t="str">
        <f>IFERROR(__xludf.DUMMYFUNCTION("""COMPUTED_VALUE"""),"mockjup")</f>
        <v>mockjup</v>
      </c>
      <c r="B7903" s="4" t="str">
        <f>IFERROR(__xludf.DUMMYFUNCTION("""COMPUTED_VALUE"""),"mockjup")</f>
        <v>mockjup</v>
      </c>
      <c r="C7903" s="4" t="str">
        <f>IFERROR(__xludf.DUMMYFUNCTION("""COMPUTED_VALUE"""),"mockJUP")</f>
        <v>mockJUP</v>
      </c>
    </row>
    <row r="7904">
      <c r="A7904" s="4" t="str">
        <f>IFERROR(__xludf.DUMMYFUNCTION("""COMPUTED_VALUE"""),"mocossi-planet")</f>
        <v>mocossi-planet</v>
      </c>
      <c r="B7904" s="4" t="str">
        <f>IFERROR(__xludf.DUMMYFUNCTION("""COMPUTED_VALUE"""),"mcos")</f>
        <v>mcos</v>
      </c>
      <c r="C7904" s="4" t="str">
        <f>IFERROR(__xludf.DUMMYFUNCTION("""COMPUTED_VALUE"""),"Mocossi Planet")</f>
        <v>Mocossi Planet</v>
      </c>
    </row>
    <row r="7905">
      <c r="A7905" s="4" t="str">
        <f>IFERROR(__xludf.DUMMYFUNCTION("""COMPUTED_VALUE"""),"moda-dao")</f>
        <v>moda-dao</v>
      </c>
      <c r="B7905" s="4" t="str">
        <f>IFERROR(__xludf.DUMMYFUNCTION("""COMPUTED_VALUE"""),"moda")</f>
        <v>moda</v>
      </c>
      <c r="C7905" s="4" t="str">
        <f>IFERROR(__xludf.DUMMYFUNCTION("""COMPUTED_VALUE"""),"MODA DAO")</f>
        <v>MODA DAO</v>
      </c>
    </row>
    <row r="7906">
      <c r="A7906" s="4" t="str">
        <f>IFERROR(__xludf.DUMMYFUNCTION("""COMPUTED_VALUE"""),"modai")</f>
        <v>modai</v>
      </c>
      <c r="B7906" s="4" t="str">
        <f>IFERROR(__xludf.DUMMYFUNCTION("""COMPUTED_VALUE"""),"modai")</f>
        <v>modai</v>
      </c>
      <c r="C7906" s="4" t="str">
        <f>IFERROR(__xludf.DUMMYFUNCTION("""COMPUTED_VALUE"""),"MODAI")</f>
        <v>MODAI</v>
      </c>
    </row>
    <row r="7907">
      <c r="A7907" s="4" t="str">
        <f>IFERROR(__xludf.DUMMYFUNCTION("""COMPUTED_VALUE"""),"modclub")</f>
        <v>modclub</v>
      </c>
      <c r="B7907" s="4" t="str">
        <f>IFERROR(__xludf.DUMMYFUNCTION("""COMPUTED_VALUE"""),"mod")</f>
        <v>mod</v>
      </c>
      <c r="C7907" s="4" t="str">
        <f>IFERROR(__xludf.DUMMYFUNCTION("""COMPUTED_VALUE"""),"Modclub")</f>
        <v>Modclub</v>
      </c>
    </row>
    <row r="7908">
      <c r="A7908" s="4" t="str">
        <f>IFERROR(__xludf.DUMMYFUNCTION("""COMPUTED_VALUE"""),"mode")</f>
        <v>mode</v>
      </c>
      <c r="B7908" s="4" t="str">
        <f>IFERROR(__xludf.DUMMYFUNCTION("""COMPUTED_VALUE"""),"mode")</f>
        <v>mode</v>
      </c>
      <c r="C7908" s="4" t="str">
        <f>IFERROR(__xludf.DUMMYFUNCTION("""COMPUTED_VALUE"""),"Mode")</f>
        <v>Mode</v>
      </c>
    </row>
    <row r="7909">
      <c r="A7909" s="4" t="str">
        <f>IFERROR(__xludf.DUMMYFUNCTION("""COMPUTED_VALUE"""),"mode-bridged-usdc-mode")</f>
        <v>mode-bridged-usdc-mode</v>
      </c>
      <c r="B7909" s="4" t="str">
        <f>IFERROR(__xludf.DUMMYFUNCTION("""COMPUTED_VALUE"""),"usdc")</f>
        <v>usdc</v>
      </c>
      <c r="C7909" s="4" t="str">
        <f>IFERROR(__xludf.DUMMYFUNCTION("""COMPUTED_VALUE"""),"Mode Bridged USDC (Mode)")</f>
        <v>Mode Bridged USDC (Mode)</v>
      </c>
    </row>
    <row r="7910">
      <c r="A7910" s="4" t="str">
        <f>IFERROR(__xludf.DUMMYFUNCTION("""COMPUTED_VALUE"""),"mode-bridged-usdt-mode")</f>
        <v>mode-bridged-usdt-mode</v>
      </c>
      <c r="B7910" s="4" t="str">
        <f>IFERROR(__xludf.DUMMYFUNCTION("""COMPUTED_VALUE"""),"usdt")</f>
        <v>usdt</v>
      </c>
      <c r="C7910" s="4" t="str">
        <f>IFERROR(__xludf.DUMMYFUNCTION("""COMPUTED_VALUE"""),"Mode Bridged USDT (Mode)")</f>
        <v>Mode Bridged USDT (Mode)</v>
      </c>
    </row>
    <row r="7911">
      <c r="A7911" s="4" t="str">
        <f>IFERROR(__xludf.DUMMYFUNCTION("""COMPUTED_VALUE"""),"mode-bridged-wbtc-mode")</f>
        <v>mode-bridged-wbtc-mode</v>
      </c>
      <c r="B7911" s="4" t="str">
        <f>IFERROR(__xludf.DUMMYFUNCTION("""COMPUTED_VALUE"""),"wbtc")</f>
        <v>wbtc</v>
      </c>
      <c r="C7911" s="4" t="str">
        <f>IFERROR(__xludf.DUMMYFUNCTION("""COMPUTED_VALUE"""),"Mode Bridged WBTC (Mode)")</f>
        <v>Mode Bridged WBTC (Mode)</v>
      </c>
    </row>
    <row r="7912">
      <c r="A7912" s="4" t="str">
        <f>IFERROR(__xludf.DUMMYFUNCTION("""COMPUTED_VALUE"""),"modefi")</f>
        <v>modefi</v>
      </c>
      <c r="B7912" s="4" t="str">
        <f>IFERROR(__xludf.DUMMYFUNCTION("""COMPUTED_VALUE"""),"mod")</f>
        <v>mod</v>
      </c>
      <c r="C7912" s="4" t="str">
        <f>IFERROR(__xludf.DUMMYFUNCTION("""COMPUTED_VALUE"""),"Modefi")</f>
        <v>Modefi</v>
      </c>
    </row>
    <row r="7913">
      <c r="A7913" s="4" t="str">
        <f>IFERROR(__xludf.DUMMYFUNCTION("""COMPUTED_VALUE"""),"model-labs")</f>
        <v>model-labs</v>
      </c>
      <c r="B7913" s="4" t="str">
        <f>IFERROR(__xludf.DUMMYFUNCTION("""COMPUTED_VALUE"""),"model")</f>
        <v>model</v>
      </c>
      <c r="C7913" s="4" t="str">
        <f>IFERROR(__xludf.DUMMYFUNCTION("""COMPUTED_VALUE"""),"Model Labs")</f>
        <v>Model Labs</v>
      </c>
    </row>
    <row r="7914">
      <c r="A7914" s="4" t="str">
        <f>IFERROR(__xludf.DUMMYFUNCTION("""COMPUTED_VALUE"""),"modex")</f>
        <v>modex</v>
      </c>
      <c r="B7914" s="4" t="str">
        <f>IFERROR(__xludf.DUMMYFUNCTION("""COMPUTED_VALUE"""),"modex")</f>
        <v>modex</v>
      </c>
      <c r="C7914" s="4" t="str">
        <f>IFERROR(__xludf.DUMMYFUNCTION("""COMPUTED_VALUE"""),"Modex")</f>
        <v>Modex</v>
      </c>
    </row>
    <row r="7915">
      <c r="A7915" s="4" t="str">
        <f>IFERROR(__xludf.DUMMYFUNCTION("""COMPUTED_VALUE"""),"modular-wallet")</f>
        <v>modular-wallet</v>
      </c>
      <c r="B7915" s="4" t="str">
        <f>IFERROR(__xludf.DUMMYFUNCTION("""COMPUTED_VALUE"""),"mod")</f>
        <v>mod</v>
      </c>
      <c r="C7915" s="4" t="str">
        <f>IFERROR(__xludf.DUMMYFUNCTION("""COMPUTED_VALUE"""),"Modular Wallet")</f>
        <v>Modular Wallet</v>
      </c>
    </row>
    <row r="7916">
      <c r="A7916" s="4" t="str">
        <f>IFERROR(__xludf.DUMMYFUNCTION("""COMPUTED_VALUE"""),"modulus-domains-service")</f>
        <v>modulus-domains-service</v>
      </c>
      <c r="B7916" s="4" t="str">
        <f>IFERROR(__xludf.DUMMYFUNCTION("""COMPUTED_VALUE"""),"mods")</f>
        <v>mods</v>
      </c>
      <c r="C7916" s="4" t="str">
        <f>IFERROR(__xludf.DUMMYFUNCTION("""COMPUTED_VALUE"""),"Modulus Domain Service")</f>
        <v>Modulus Domain Service</v>
      </c>
    </row>
    <row r="7917">
      <c r="A7917" s="4" t="str">
        <f>IFERROR(__xludf.DUMMYFUNCTION("""COMPUTED_VALUE"""),"moe")</f>
        <v>moe</v>
      </c>
      <c r="B7917" s="4" t="str">
        <f>IFERROR(__xludf.DUMMYFUNCTION("""COMPUTED_VALUE"""),"moe")</f>
        <v>moe</v>
      </c>
      <c r="C7917" s="4" t="str">
        <f>IFERROR(__xludf.DUMMYFUNCTION("""COMPUTED_VALUE"""),"MOE")</f>
        <v>MOE</v>
      </c>
    </row>
    <row r="7918">
      <c r="A7918" s="4" t="str">
        <f>IFERROR(__xludf.DUMMYFUNCTION("""COMPUTED_VALUE"""),"moe-2")</f>
        <v>moe-2</v>
      </c>
      <c r="B7918" s="4" t="str">
        <f>IFERROR(__xludf.DUMMYFUNCTION("""COMPUTED_VALUE"""),"moe")</f>
        <v>moe</v>
      </c>
      <c r="C7918" s="4" t="str">
        <f>IFERROR(__xludf.DUMMYFUNCTION("""COMPUTED_VALUE"""),"Moe")</f>
        <v>Moe</v>
      </c>
    </row>
    <row r="7919">
      <c r="A7919" s="4" t="str">
        <f>IFERROR(__xludf.DUMMYFUNCTION("""COMPUTED_VALUE"""),"moe-3")</f>
        <v>moe-3</v>
      </c>
      <c r="B7919" s="4" t="str">
        <f>IFERROR(__xludf.DUMMYFUNCTION("""COMPUTED_VALUE"""),"moe")</f>
        <v>moe</v>
      </c>
      <c r="C7919" s="4" t="str">
        <f>IFERROR(__xludf.DUMMYFUNCTION("""COMPUTED_VALUE"""),"MOE")</f>
        <v>MOE</v>
      </c>
    </row>
    <row r="7920">
      <c r="A7920" s="4" t="str">
        <f>IFERROR(__xludf.DUMMYFUNCTION("""COMPUTED_VALUE"""),"moeda-loyalty-points")</f>
        <v>moeda-loyalty-points</v>
      </c>
      <c r="B7920" s="4" t="str">
        <f>IFERROR(__xludf.DUMMYFUNCTION("""COMPUTED_VALUE"""),"mda")</f>
        <v>mda</v>
      </c>
      <c r="C7920" s="4" t="str">
        <f>IFERROR(__xludf.DUMMYFUNCTION("""COMPUTED_VALUE"""),"Moeda Loyalty Points")</f>
        <v>Moeda Loyalty Points</v>
      </c>
    </row>
    <row r="7921">
      <c r="A7921" s="4" t="str">
        <f>IFERROR(__xludf.DUMMYFUNCTION("""COMPUTED_VALUE"""),"moeta")</f>
        <v>moeta</v>
      </c>
      <c r="B7921" s="4" t="str">
        <f>IFERROR(__xludf.DUMMYFUNCTION("""COMPUTED_VALUE"""),"moeta")</f>
        <v>moeta</v>
      </c>
      <c r="C7921" s="4" t="str">
        <f>IFERROR(__xludf.DUMMYFUNCTION("""COMPUTED_VALUE"""),"Moeta")</f>
        <v>Moeta</v>
      </c>
    </row>
    <row r="7922">
      <c r="A7922" s="4" t="str">
        <f>IFERROR(__xludf.DUMMYFUNCTION("""COMPUTED_VALUE"""),"moew")</f>
        <v>moew</v>
      </c>
      <c r="B7922" s="4" t="str">
        <f>IFERROR(__xludf.DUMMYFUNCTION("""COMPUTED_VALUE"""),"moew")</f>
        <v>moew</v>
      </c>
      <c r="C7922" s="4" t="str">
        <f>IFERROR(__xludf.DUMMYFUNCTION("""COMPUTED_VALUE"""),"MOEW")</f>
        <v>MOEW</v>
      </c>
    </row>
    <row r="7923">
      <c r="A7923" s="4" t="str">
        <f>IFERROR(__xludf.DUMMYFUNCTION("""COMPUTED_VALUE"""),"mog")</f>
        <v>mog</v>
      </c>
      <c r="B7923" s="4" t="str">
        <f>IFERROR(__xludf.DUMMYFUNCTION("""COMPUTED_VALUE"""),"mog")</f>
        <v>mog</v>
      </c>
      <c r="C7923" s="4" t="str">
        <f>IFERROR(__xludf.DUMMYFUNCTION("""COMPUTED_VALUE"""),"MOG")</f>
        <v>MOG</v>
      </c>
    </row>
    <row r="7924">
      <c r="A7924" s="4" t="str">
        <f>IFERROR(__xludf.DUMMYFUNCTION("""COMPUTED_VALUE"""),"mog-2")</f>
        <v>mog-2</v>
      </c>
      <c r="B7924" s="4" t="str">
        <f>IFERROR(__xludf.DUMMYFUNCTION("""COMPUTED_VALUE"""),"mog")</f>
        <v>mog</v>
      </c>
      <c r="C7924" s="4" t="str">
        <f>IFERROR(__xludf.DUMMYFUNCTION("""COMPUTED_VALUE"""),"Mog")</f>
        <v>Mog</v>
      </c>
    </row>
    <row r="7925">
      <c r="A7925" s="4" t="str">
        <f>IFERROR(__xludf.DUMMYFUNCTION("""COMPUTED_VALUE"""),"mog-coin")</f>
        <v>mog-coin</v>
      </c>
      <c r="B7925" s="4" t="str">
        <f>IFERROR(__xludf.DUMMYFUNCTION("""COMPUTED_VALUE"""),"mog")</f>
        <v>mog</v>
      </c>
      <c r="C7925" s="4" t="str">
        <f>IFERROR(__xludf.DUMMYFUNCTION("""COMPUTED_VALUE"""),"Mog Coin")</f>
        <v>Mog Coin</v>
      </c>
    </row>
    <row r="7926">
      <c r="A7926" s="4" t="str">
        <f>IFERROR(__xludf.DUMMYFUNCTION("""COMPUTED_VALUE"""),"moggo")</f>
        <v>moggo</v>
      </c>
      <c r="B7926" s="4" t="str">
        <f>IFERROR(__xludf.DUMMYFUNCTION("""COMPUTED_VALUE"""),"moggo")</f>
        <v>moggo</v>
      </c>
      <c r="C7926" s="4" t="str">
        <f>IFERROR(__xludf.DUMMYFUNCTION("""COMPUTED_VALUE"""),"MOGGO")</f>
        <v>MOGGO</v>
      </c>
    </row>
    <row r="7927">
      <c r="A7927" s="4" t="str">
        <f>IFERROR(__xludf.DUMMYFUNCTION("""COMPUTED_VALUE"""),"mogul-productions")</f>
        <v>mogul-productions</v>
      </c>
      <c r="B7927" s="4" t="str">
        <f>IFERROR(__xludf.DUMMYFUNCTION("""COMPUTED_VALUE"""),"stars")</f>
        <v>stars</v>
      </c>
      <c r="C7927" s="4" t="str">
        <f>IFERROR(__xludf.DUMMYFUNCTION("""COMPUTED_VALUE"""),"Mogul Productions")</f>
        <v>Mogul Productions</v>
      </c>
    </row>
    <row r="7928">
      <c r="A7928" s="4" t="str">
        <f>IFERROR(__xludf.DUMMYFUNCTION("""COMPUTED_VALUE"""),"mojito")</f>
        <v>mojito</v>
      </c>
      <c r="B7928" s="4" t="str">
        <f>IFERROR(__xludf.DUMMYFUNCTION("""COMPUTED_VALUE"""),"mojo")</f>
        <v>mojo</v>
      </c>
      <c r="C7928" s="4" t="str">
        <f>IFERROR(__xludf.DUMMYFUNCTION("""COMPUTED_VALUE"""),"Mojito")</f>
        <v>Mojito</v>
      </c>
    </row>
    <row r="7929">
      <c r="A7929" s="4" t="str">
        <f>IFERROR(__xludf.DUMMYFUNCTION("""COMPUTED_VALUE"""),"mojitoswap")</f>
        <v>mojitoswap</v>
      </c>
      <c r="B7929" s="4" t="str">
        <f>IFERROR(__xludf.DUMMYFUNCTION("""COMPUTED_VALUE"""),"mjt")</f>
        <v>mjt</v>
      </c>
      <c r="C7929" s="4" t="str">
        <f>IFERROR(__xludf.DUMMYFUNCTION("""COMPUTED_VALUE"""),"MojitoSwap")</f>
        <v>MojitoSwap</v>
      </c>
    </row>
    <row r="7930">
      <c r="A7930" s="4" t="str">
        <f>IFERROR(__xludf.DUMMYFUNCTION("""COMPUTED_VALUE"""),"molecules-of-korolchuk-ip-nft")</f>
        <v>molecules-of-korolchuk-ip-nft</v>
      </c>
      <c r="B7930" s="4" t="str">
        <f>IFERROR(__xludf.DUMMYFUNCTION("""COMPUTED_VALUE"""),"vita-fast")</f>
        <v>vita-fast</v>
      </c>
      <c r="C7930" s="4" t="str">
        <f>IFERROR(__xludf.DUMMYFUNCTION("""COMPUTED_VALUE"""),"Molecules of Korolchuk IP-NFT")</f>
        <v>Molecules of Korolchuk IP-NFT</v>
      </c>
    </row>
    <row r="7931">
      <c r="A7931" s="4" t="str">
        <f>IFERROR(__xludf.DUMMYFUNCTION("""COMPUTED_VALUE"""),"molly-ai")</f>
        <v>molly-ai</v>
      </c>
      <c r="B7931" s="4" t="str">
        <f>IFERROR(__xludf.DUMMYFUNCTION("""COMPUTED_VALUE"""),"molly")</f>
        <v>molly</v>
      </c>
      <c r="C7931" s="4" t="str">
        <f>IFERROR(__xludf.DUMMYFUNCTION("""COMPUTED_VALUE"""),"Molly AI")</f>
        <v>Molly AI</v>
      </c>
    </row>
    <row r="7932">
      <c r="A7932" s="4" t="str">
        <f>IFERROR(__xludf.DUMMYFUNCTION("""COMPUTED_VALUE"""),"molly-gateway")</f>
        <v>molly-gateway</v>
      </c>
      <c r="B7932" s="4" t="str">
        <f>IFERROR(__xludf.DUMMYFUNCTION("""COMPUTED_VALUE"""),"molly")</f>
        <v>molly</v>
      </c>
      <c r="C7932" s="4" t="str">
        <f>IFERROR(__xludf.DUMMYFUNCTION("""COMPUTED_VALUE"""),"Molly")</f>
        <v>Molly</v>
      </c>
    </row>
    <row r="7933">
      <c r="A7933" s="4" t="str">
        <f>IFERROR(__xludf.DUMMYFUNCTION("""COMPUTED_VALUE"""),"molten-2")</f>
        <v>molten-2</v>
      </c>
      <c r="B7933" s="4" t="str">
        <f>IFERROR(__xludf.DUMMYFUNCTION("""COMPUTED_VALUE"""),"molten")</f>
        <v>molten</v>
      </c>
      <c r="C7933" s="4" t="str">
        <f>IFERROR(__xludf.DUMMYFUNCTION("""COMPUTED_VALUE"""),"Molten")</f>
        <v>Molten</v>
      </c>
    </row>
    <row r="7934">
      <c r="A7934" s="4" t="str">
        <f>IFERROR(__xludf.DUMMYFUNCTION("""COMPUTED_VALUE"""),"moments")</f>
        <v>moments</v>
      </c>
      <c r="B7934" s="4" t="str">
        <f>IFERROR(__xludf.DUMMYFUNCTION("""COMPUTED_VALUE"""),"mmt")</f>
        <v>mmt</v>
      </c>
      <c r="C7934" s="4" t="str">
        <f>IFERROR(__xludf.DUMMYFUNCTION("""COMPUTED_VALUE"""),"Moments Market")</f>
        <v>Moments Market</v>
      </c>
    </row>
    <row r="7935">
      <c r="A7935" s="4" t="str">
        <f>IFERROR(__xludf.DUMMYFUNCTION("""COMPUTED_VALUE"""),"mommy-doge")</f>
        <v>mommy-doge</v>
      </c>
      <c r="B7935" s="4" t="str">
        <f>IFERROR(__xludf.DUMMYFUNCTION("""COMPUTED_VALUE"""),"mommydoge")</f>
        <v>mommydoge</v>
      </c>
      <c r="C7935" s="4" t="str">
        <f>IFERROR(__xludf.DUMMYFUNCTION("""COMPUTED_VALUE"""),"Mommy Doge")</f>
        <v>Mommy Doge</v>
      </c>
    </row>
    <row r="7936">
      <c r="A7936" s="4" t="str">
        <f>IFERROR(__xludf.DUMMYFUNCTION("""COMPUTED_VALUE"""),"momoji")</f>
        <v>momoji</v>
      </c>
      <c r="B7936" s="4" t="str">
        <f>IFERROR(__xludf.DUMMYFUNCTION("""COMPUTED_VALUE"""),"emoji")</f>
        <v>emoji</v>
      </c>
      <c r="C7936" s="4" t="str">
        <f>IFERROR(__xludf.DUMMYFUNCTION("""COMPUTED_VALUE"""),"MOMOJI")</f>
        <v>MOMOJI</v>
      </c>
    </row>
    <row r="7937">
      <c r="A7937" s="4" t="str">
        <f>IFERROR(__xludf.DUMMYFUNCTION("""COMPUTED_VALUE"""),"momo-key")</f>
        <v>momo-key</v>
      </c>
      <c r="B7937" s="4" t="str">
        <f>IFERROR(__xludf.DUMMYFUNCTION("""COMPUTED_VALUE"""),"key")</f>
        <v>key</v>
      </c>
      <c r="C7937" s="4" t="str">
        <f>IFERROR(__xludf.DUMMYFUNCTION("""COMPUTED_VALUE"""),"MoMo Key")</f>
        <v>MoMo Key</v>
      </c>
    </row>
    <row r="7938">
      <c r="A7938" s="4" t="str">
        <f>IFERROR(__xludf.DUMMYFUNCTION("""COMPUTED_VALUE"""),"momo-v2")</f>
        <v>momo-v2</v>
      </c>
      <c r="B7938" s="4" t="str">
        <f>IFERROR(__xludf.DUMMYFUNCTION("""COMPUTED_VALUE"""),"momo v2")</f>
        <v>momo v2</v>
      </c>
      <c r="C7938" s="4" t="str">
        <f>IFERROR(__xludf.DUMMYFUNCTION("""COMPUTED_VALUE"""),"Momo v2")</f>
        <v>Momo v2</v>
      </c>
    </row>
    <row r="7939">
      <c r="A7939" s="4" t="str">
        <f>IFERROR(__xludf.DUMMYFUNCTION("""COMPUTED_VALUE"""),"mona")</f>
        <v>mona</v>
      </c>
      <c r="B7939" s="4" t="str">
        <f>IFERROR(__xludf.DUMMYFUNCTION("""COMPUTED_VALUE"""),"mona")</f>
        <v>mona</v>
      </c>
      <c r="C7939" s="4" t="str">
        <f>IFERROR(__xludf.DUMMYFUNCTION("""COMPUTED_VALUE"""),"Monaco Planet")</f>
        <v>Monaco Planet</v>
      </c>
    </row>
    <row r="7940">
      <c r="A7940" s="4" t="str">
        <f>IFERROR(__xludf.DUMMYFUNCTION("""COMPUTED_VALUE"""),"monaco")</f>
        <v>monaco</v>
      </c>
      <c r="B7940" s="4" t="str">
        <f>IFERROR(__xludf.DUMMYFUNCTION("""COMPUTED_VALUE"""),"mco")</f>
        <v>mco</v>
      </c>
      <c r="C7940" s="4" t="str">
        <f>IFERROR(__xludf.DUMMYFUNCTION("""COMPUTED_VALUE"""),"MCO")</f>
        <v>MCO</v>
      </c>
    </row>
    <row r="7941">
      <c r="A7941" s="4" t="str">
        <f>IFERROR(__xludf.DUMMYFUNCTION("""COMPUTED_VALUE"""),"monacoin")</f>
        <v>monacoin</v>
      </c>
      <c r="B7941" s="4" t="str">
        <f>IFERROR(__xludf.DUMMYFUNCTION("""COMPUTED_VALUE"""),"mona")</f>
        <v>mona</v>
      </c>
      <c r="C7941" s="4" t="str">
        <f>IFERROR(__xludf.DUMMYFUNCTION("""COMPUTED_VALUE"""),"MonaCoin")</f>
        <v>MonaCoin</v>
      </c>
    </row>
    <row r="7942">
      <c r="A7942" s="4" t="str">
        <f>IFERROR(__xludf.DUMMYFUNCTION("""COMPUTED_VALUE"""),"monai")</f>
        <v>monai</v>
      </c>
      <c r="B7942" s="4" t="str">
        <f>IFERROR(__xludf.DUMMYFUNCTION("""COMPUTED_VALUE"""),"monai")</f>
        <v>monai</v>
      </c>
      <c r="C7942" s="4" t="str">
        <f>IFERROR(__xludf.DUMMYFUNCTION("""COMPUTED_VALUE"""),"Monai")</f>
        <v>Monai</v>
      </c>
    </row>
    <row r="7943">
      <c r="A7943" s="4" t="str">
        <f>IFERROR(__xludf.DUMMYFUNCTION("""COMPUTED_VALUE"""),"monaki")</f>
        <v>monaki</v>
      </c>
      <c r="B7943" s="4" t="str">
        <f>IFERROR(__xludf.DUMMYFUNCTION("""COMPUTED_VALUE"""),"monk")</f>
        <v>monk</v>
      </c>
      <c r="C7943" s="4" t="str">
        <f>IFERROR(__xludf.DUMMYFUNCTION("""COMPUTED_VALUE"""),"Monaki")</f>
        <v>Monaki</v>
      </c>
    </row>
    <row r="7944">
      <c r="A7944" s="4" t="str">
        <f>IFERROR(__xludf.DUMMYFUNCTION("""COMPUTED_VALUE"""),"monarch")</f>
        <v>monarch</v>
      </c>
      <c r="B7944" s="4" t="str">
        <f>IFERROR(__xludf.DUMMYFUNCTION("""COMPUTED_VALUE"""),"mnrch")</f>
        <v>mnrch</v>
      </c>
      <c r="C7944" s="4" t="str">
        <f>IFERROR(__xludf.DUMMYFUNCTION("""COMPUTED_VALUE"""),"Monarch")</f>
        <v>Monarch</v>
      </c>
    </row>
    <row r="7945">
      <c r="A7945" s="4" t="str">
        <f>IFERROR(__xludf.DUMMYFUNCTION("""COMPUTED_VALUE"""),"monat-money")</f>
        <v>monat-money</v>
      </c>
      <c r="B7945" s="4" t="str">
        <f>IFERROR(__xludf.DUMMYFUNCTION("""COMPUTED_VALUE"""),"monat")</f>
        <v>monat</v>
      </c>
      <c r="C7945" s="4" t="str">
        <f>IFERROR(__xludf.DUMMYFUNCTION("""COMPUTED_VALUE"""),"Monat Money")</f>
        <v>Monat Money</v>
      </c>
    </row>
    <row r="7946">
      <c r="A7946" s="4" t="str">
        <f>IFERROR(__xludf.DUMMYFUNCTION("""COMPUTED_VALUE"""),"mona-token")</f>
        <v>mona-token</v>
      </c>
      <c r="B7946" s="4" t="str">
        <f>IFERROR(__xludf.DUMMYFUNCTION("""COMPUTED_VALUE"""),"lisa")</f>
        <v>lisa</v>
      </c>
      <c r="C7946" s="4" t="str">
        <f>IFERROR(__xludf.DUMMYFUNCTION("""COMPUTED_VALUE"""),"Mona Token")</f>
        <v>Mona Token</v>
      </c>
    </row>
    <row r="7947">
      <c r="A7947" s="4" t="str">
        <f>IFERROR(__xludf.DUMMYFUNCTION("""COMPUTED_VALUE"""),"monavale")</f>
        <v>monavale</v>
      </c>
      <c r="B7947" s="4" t="str">
        <f>IFERROR(__xludf.DUMMYFUNCTION("""COMPUTED_VALUE"""),"mona")</f>
        <v>mona</v>
      </c>
      <c r="C7947" s="4" t="str">
        <f>IFERROR(__xludf.DUMMYFUNCTION("""COMPUTED_VALUE"""),"Monavale")</f>
        <v>Monavale</v>
      </c>
    </row>
    <row r="7948">
      <c r="A7948" s="4" t="str">
        <f>IFERROR(__xludf.DUMMYFUNCTION("""COMPUTED_VALUE"""),"monbasecoin")</f>
        <v>monbasecoin</v>
      </c>
      <c r="B7948" s="4" t="str">
        <f>IFERROR(__xludf.DUMMYFUNCTION("""COMPUTED_VALUE"""),"mbc")</f>
        <v>mbc</v>
      </c>
      <c r="C7948" s="4" t="str">
        <f>IFERROR(__xludf.DUMMYFUNCTION("""COMPUTED_VALUE"""),"MonbaseCoin")</f>
        <v>MonbaseCoin</v>
      </c>
    </row>
    <row r="7949">
      <c r="A7949" s="4" t="str">
        <f>IFERROR(__xludf.DUMMYFUNCTION("""COMPUTED_VALUE"""),"mondo-community-coin")</f>
        <v>mondo-community-coin</v>
      </c>
      <c r="B7949" s="4" t="str">
        <f>IFERROR(__xludf.DUMMYFUNCTION("""COMPUTED_VALUE"""),"mndcc")</f>
        <v>mndcc</v>
      </c>
      <c r="C7949" s="4" t="str">
        <f>IFERROR(__xludf.DUMMYFUNCTION("""COMPUTED_VALUE"""),"Mondo Community Coin")</f>
        <v>Mondo Community Coin</v>
      </c>
    </row>
    <row r="7950">
      <c r="A7950" s="4" t="str">
        <f>IFERROR(__xludf.DUMMYFUNCTION("""COMPUTED_VALUE"""),"mone-coin")</f>
        <v>mone-coin</v>
      </c>
      <c r="B7950" s="4" t="str">
        <f>IFERROR(__xludf.DUMMYFUNCTION("""COMPUTED_VALUE"""),"mone")</f>
        <v>mone</v>
      </c>
      <c r="C7950" s="4" t="str">
        <f>IFERROR(__xludf.DUMMYFUNCTION("""COMPUTED_VALUE"""),"Mone Coin")</f>
        <v>Mone Coin</v>
      </c>
    </row>
    <row r="7951">
      <c r="A7951" s="4" t="str">
        <f>IFERROR(__xludf.DUMMYFUNCTION("""COMPUTED_VALUE"""),"monerium-eur-money")</f>
        <v>monerium-eur-money</v>
      </c>
      <c r="B7951" s="4" t="str">
        <f>IFERROR(__xludf.DUMMYFUNCTION("""COMPUTED_VALUE"""),"eure")</f>
        <v>eure</v>
      </c>
      <c r="C7951" s="4" t="str">
        <f>IFERROR(__xludf.DUMMYFUNCTION("""COMPUTED_VALUE"""),"Monerium EUR emoney")</f>
        <v>Monerium EUR emoney</v>
      </c>
    </row>
    <row r="7952">
      <c r="A7952" s="4" t="str">
        <f>IFERROR(__xludf.DUMMYFUNCTION("""COMPUTED_VALUE"""),"monero")</f>
        <v>monero</v>
      </c>
      <c r="B7952" s="4" t="str">
        <f>IFERROR(__xludf.DUMMYFUNCTION("""COMPUTED_VALUE"""),"xmr")</f>
        <v>xmr</v>
      </c>
      <c r="C7952" s="4" t="str">
        <f>IFERROR(__xludf.DUMMYFUNCTION("""COMPUTED_VALUE"""),"Monero")</f>
        <v>Monero</v>
      </c>
    </row>
    <row r="7953">
      <c r="A7953" s="4" t="str">
        <f>IFERROR(__xludf.DUMMYFUNCTION("""COMPUTED_VALUE"""),"monero-classic-xmc")</f>
        <v>monero-classic-xmc</v>
      </c>
      <c r="B7953" s="4" t="str">
        <f>IFERROR(__xludf.DUMMYFUNCTION("""COMPUTED_VALUE"""),"xmc")</f>
        <v>xmc</v>
      </c>
      <c r="C7953" s="4" t="str">
        <f>IFERROR(__xludf.DUMMYFUNCTION("""COMPUTED_VALUE"""),"Monero-Classic")</f>
        <v>Monero-Classic</v>
      </c>
    </row>
    <row r="7954">
      <c r="A7954" s="4" t="str">
        <f>IFERROR(__xludf.DUMMYFUNCTION("""COMPUTED_VALUE"""),"monerov")</f>
        <v>monerov</v>
      </c>
      <c r="B7954" s="4" t="str">
        <f>IFERROR(__xludf.DUMMYFUNCTION("""COMPUTED_VALUE"""),"xmv")</f>
        <v>xmv</v>
      </c>
      <c r="C7954" s="4" t="str">
        <f>IFERROR(__xludf.DUMMYFUNCTION("""COMPUTED_VALUE"""),"MoneroV")</f>
        <v>MoneroV</v>
      </c>
    </row>
    <row r="7955">
      <c r="A7955" s="4" t="str">
        <f>IFERROR(__xludf.DUMMYFUNCTION("""COMPUTED_VALUE"""),"monetas")</f>
        <v>monetas</v>
      </c>
      <c r="B7955" s="4" t="str">
        <f>IFERROR(__xludf.DUMMYFUNCTION("""COMPUTED_VALUE"""),"mntg")</f>
        <v>mntg</v>
      </c>
      <c r="C7955" s="4" t="str">
        <f>IFERROR(__xludf.DUMMYFUNCTION("""COMPUTED_VALUE"""),"Monetas [OLD]")</f>
        <v>Monetas [OLD]</v>
      </c>
    </row>
    <row r="7956">
      <c r="A7956" s="4" t="str">
        <f>IFERROR(__xludf.DUMMYFUNCTION("""COMPUTED_VALUE"""),"monetas-2")</f>
        <v>monetas-2</v>
      </c>
      <c r="B7956" s="4" t="str">
        <f>IFERROR(__xludf.DUMMYFUNCTION("""COMPUTED_VALUE"""),"mntg")</f>
        <v>mntg</v>
      </c>
      <c r="C7956" s="4" t="str">
        <f>IFERROR(__xludf.DUMMYFUNCTION("""COMPUTED_VALUE"""),"Monetas")</f>
        <v>Monetas</v>
      </c>
    </row>
    <row r="7957">
      <c r="A7957" s="4" t="str">
        <f>IFERROR(__xludf.DUMMYFUNCTION("""COMPUTED_VALUE"""),"monetha")</f>
        <v>monetha</v>
      </c>
      <c r="B7957" s="4" t="str">
        <f>IFERROR(__xludf.DUMMYFUNCTION("""COMPUTED_VALUE"""),"mth")</f>
        <v>mth</v>
      </c>
      <c r="C7957" s="4" t="str">
        <f>IFERROR(__xludf.DUMMYFUNCTION("""COMPUTED_VALUE"""),"Monetha")</f>
        <v>Monetha</v>
      </c>
    </row>
    <row r="7958">
      <c r="A7958" s="4" t="str">
        <f>IFERROR(__xludf.DUMMYFUNCTION("""COMPUTED_VALUE"""),"monet-society")</f>
        <v>monet-society</v>
      </c>
      <c r="B7958" s="4" t="str">
        <f>IFERROR(__xludf.DUMMYFUNCTION("""COMPUTED_VALUE"""),"monet")</f>
        <v>monet</v>
      </c>
      <c r="C7958" s="4" t="str">
        <f>IFERROR(__xludf.DUMMYFUNCTION("""COMPUTED_VALUE"""),"Monet Society")</f>
        <v>Monet Society</v>
      </c>
    </row>
    <row r="7959">
      <c r="A7959" s="4" t="str">
        <f>IFERROR(__xludf.DUMMYFUNCTION("""COMPUTED_VALUE"""),"moneyark")</f>
        <v>moneyark</v>
      </c>
      <c r="B7959" s="4" t="str">
        <f>IFERROR(__xludf.DUMMYFUNCTION("""COMPUTED_VALUE"""),"mark")</f>
        <v>mark</v>
      </c>
      <c r="C7959" s="4" t="str">
        <f>IFERROR(__xludf.DUMMYFUNCTION("""COMPUTED_VALUE"""),"MoneyArk")</f>
        <v>MoneyArk</v>
      </c>
    </row>
    <row r="7960">
      <c r="A7960" s="4" t="str">
        <f>IFERROR(__xludf.DUMMYFUNCTION("""COMPUTED_VALUE"""),"moneybrain-bips")</f>
        <v>moneybrain-bips</v>
      </c>
      <c r="B7960" s="4" t="str">
        <f>IFERROR(__xludf.DUMMYFUNCTION("""COMPUTED_VALUE"""),"bips")</f>
        <v>bips</v>
      </c>
      <c r="C7960" s="4" t="str">
        <f>IFERROR(__xludf.DUMMYFUNCTION("""COMPUTED_VALUE"""),"Moneybrain BiPS")</f>
        <v>Moneybrain BiPS</v>
      </c>
    </row>
    <row r="7961">
      <c r="A7961" s="4" t="str">
        <f>IFERROR(__xludf.DUMMYFUNCTION("""COMPUTED_VALUE"""),"moneybyte")</f>
        <v>moneybyte</v>
      </c>
      <c r="B7961" s="4" t="str">
        <f>IFERROR(__xludf.DUMMYFUNCTION("""COMPUTED_VALUE"""),"mon")</f>
        <v>mon</v>
      </c>
      <c r="C7961" s="4" t="str">
        <f>IFERROR(__xludf.DUMMYFUNCTION("""COMPUTED_VALUE"""),"Moneybyte")</f>
        <v>Moneybyte</v>
      </c>
    </row>
    <row r="7962">
      <c r="A7962" s="4" t="str">
        <f>IFERROR(__xludf.DUMMYFUNCTION("""COMPUTED_VALUE"""),"moneyhero")</f>
        <v>moneyhero</v>
      </c>
      <c r="B7962" s="4" t="str">
        <f>IFERROR(__xludf.DUMMYFUNCTION("""COMPUTED_VALUE"""),"myh")</f>
        <v>myh</v>
      </c>
      <c r="C7962" s="4" t="str">
        <f>IFERROR(__xludf.DUMMYFUNCTION("""COMPUTED_VALUE"""),"Moneyhero")</f>
        <v>Moneyhero</v>
      </c>
    </row>
    <row r="7963">
      <c r="A7963" s="4" t="str">
        <f>IFERROR(__xludf.DUMMYFUNCTION("""COMPUTED_VALUE"""),"money-laundering-protocol")</f>
        <v>money-laundering-protocol</v>
      </c>
      <c r="B7963" s="4" t="str">
        <f>IFERROR(__xludf.DUMMYFUNCTION("""COMPUTED_VALUE"""),"mlp")</f>
        <v>mlp</v>
      </c>
      <c r="C7963" s="4" t="str">
        <f>IFERROR(__xludf.DUMMYFUNCTION("""COMPUTED_VALUE"""),"Money Laundering Protocol")</f>
        <v>Money Laundering Protocol</v>
      </c>
    </row>
    <row r="7964">
      <c r="A7964" s="4" t="str">
        <f>IFERROR(__xludf.DUMMYFUNCTION("""COMPUTED_VALUE"""),"money-on-chain")</f>
        <v>money-on-chain</v>
      </c>
      <c r="B7964" s="4" t="str">
        <f>IFERROR(__xludf.DUMMYFUNCTION("""COMPUTED_VALUE"""),"moc")</f>
        <v>moc</v>
      </c>
      <c r="C7964" s="4" t="str">
        <f>IFERROR(__xludf.DUMMYFUNCTION("""COMPUTED_VALUE"""),"Money On Chain")</f>
        <v>Money On Chain</v>
      </c>
    </row>
    <row r="7965">
      <c r="A7965" s="4" t="str">
        <f>IFERROR(__xludf.DUMMYFUNCTION("""COMPUTED_VALUE"""),"moneyswap")</f>
        <v>moneyswap</v>
      </c>
      <c r="B7965" s="4" t="str">
        <f>IFERROR(__xludf.DUMMYFUNCTION("""COMPUTED_VALUE"""),"mswap")</f>
        <v>mswap</v>
      </c>
      <c r="C7965" s="4" t="str">
        <f>IFERROR(__xludf.DUMMYFUNCTION("""COMPUTED_VALUE"""),"MoneySwap")</f>
        <v>MoneySwap</v>
      </c>
    </row>
    <row r="7966">
      <c r="A7966" s="4" t="str">
        <f>IFERROR(__xludf.DUMMYFUNCTION("""COMPUTED_VALUE"""),"mongcoin")</f>
        <v>mongcoin</v>
      </c>
      <c r="B7966" s="4" t="str">
        <f>IFERROR(__xludf.DUMMYFUNCTION("""COMPUTED_VALUE"""),"mong")</f>
        <v>mong</v>
      </c>
      <c r="C7966" s="4" t="str">
        <f>IFERROR(__xludf.DUMMYFUNCTION("""COMPUTED_VALUE"""),"MongCoin")</f>
        <v>MongCoin</v>
      </c>
    </row>
    <row r="7967">
      <c r="A7967" s="4" t="str">
        <f>IFERROR(__xludf.DUMMYFUNCTION("""COMPUTED_VALUE"""),"mongol-nft")</f>
        <v>mongol-nft</v>
      </c>
      <c r="B7967" s="4" t="str">
        <f>IFERROR(__xludf.DUMMYFUNCTION("""COMPUTED_VALUE"""),"mnft")</f>
        <v>mnft</v>
      </c>
      <c r="C7967" s="4" t="str">
        <f>IFERROR(__xludf.DUMMYFUNCTION("""COMPUTED_VALUE"""),"Mongol NFT")</f>
        <v>Mongol NFT</v>
      </c>
    </row>
    <row r="7968">
      <c r="A7968" s="4" t="str">
        <f>IFERROR(__xludf.DUMMYFUNCTION("""COMPUTED_VALUE"""),"mongoose")</f>
        <v>mongoose</v>
      </c>
      <c r="B7968" s="4" t="str">
        <f>IFERROR(__xludf.DUMMYFUNCTION("""COMPUTED_VALUE"""),"mongoose")</f>
        <v>mongoose</v>
      </c>
      <c r="C7968" s="4" t="str">
        <f>IFERROR(__xludf.DUMMYFUNCTION("""COMPUTED_VALUE"""),"Mongoose")</f>
        <v>Mongoose</v>
      </c>
    </row>
    <row r="7969">
      <c r="A7969" s="4" t="str">
        <f>IFERROR(__xludf.DUMMYFUNCTION("""COMPUTED_VALUE"""),"monk")</f>
        <v>monk</v>
      </c>
      <c r="B7969" s="4" t="str">
        <f>IFERROR(__xludf.DUMMYFUNCTION("""COMPUTED_VALUE"""),"monk")</f>
        <v>monk</v>
      </c>
      <c r="C7969" s="4" t="str">
        <f>IFERROR(__xludf.DUMMYFUNCTION("""COMPUTED_VALUE"""),"Monk")</f>
        <v>Monk</v>
      </c>
    </row>
    <row r="7970">
      <c r="A7970" s="4" t="str">
        <f>IFERROR(__xludf.DUMMYFUNCTION("""COMPUTED_VALUE"""),"monkcoin")</f>
        <v>monkcoin</v>
      </c>
      <c r="B7970" s="4" t="str">
        <f>IFERROR(__xludf.DUMMYFUNCTION("""COMPUTED_VALUE"""),"monk")</f>
        <v>monk</v>
      </c>
      <c r="C7970" s="4" t="str">
        <f>IFERROR(__xludf.DUMMYFUNCTION("""COMPUTED_VALUE"""),"MonkCoin")</f>
        <v>MonkCoin</v>
      </c>
    </row>
    <row r="7971">
      <c r="A7971" s="4" t="str">
        <f>IFERROR(__xludf.DUMMYFUNCTION("""COMPUTED_VALUE"""),"monke")</f>
        <v>monke</v>
      </c>
      <c r="B7971" s="4" t="str">
        <f>IFERROR(__xludf.DUMMYFUNCTION("""COMPUTED_VALUE"""),"monke")</f>
        <v>monke</v>
      </c>
      <c r="C7971" s="4" t="str">
        <f>IFERROR(__xludf.DUMMYFUNCTION("""COMPUTED_VALUE"""),"Monke")</f>
        <v>Monke</v>
      </c>
    </row>
    <row r="7972">
      <c r="A7972" s="4" t="str">
        <f>IFERROR(__xludf.DUMMYFUNCTION("""COMPUTED_VALUE"""),"monkecoin")</f>
        <v>monkecoin</v>
      </c>
      <c r="B7972" s="4" t="str">
        <f>IFERROR(__xludf.DUMMYFUNCTION("""COMPUTED_VALUE"""),"monke")</f>
        <v>monke</v>
      </c>
      <c r="C7972" s="4" t="str">
        <f>IFERROR(__xludf.DUMMYFUNCTION("""COMPUTED_VALUE"""),"Monkecoin")</f>
        <v>Monkecoin</v>
      </c>
    </row>
    <row r="7973">
      <c r="A7973" s="4" t="str">
        <f>IFERROR(__xludf.DUMMYFUNCTION("""COMPUTED_VALUE"""),"monke-coin")</f>
        <v>monke-coin</v>
      </c>
      <c r="B7973" s="4" t="str">
        <f>IFERROR(__xludf.DUMMYFUNCTION("""COMPUTED_VALUE"""),"monke")</f>
        <v>monke</v>
      </c>
      <c r="C7973" s="4" t="str">
        <f>IFERROR(__xludf.DUMMYFUNCTION("""COMPUTED_VALUE"""),"Monke")</f>
        <v>Monke</v>
      </c>
    </row>
    <row r="7974">
      <c r="A7974" s="4" t="str">
        <f>IFERROR(__xludf.DUMMYFUNCTION("""COMPUTED_VALUE"""),"monked")</f>
        <v>monked</v>
      </c>
      <c r="B7974" s="4" t="str">
        <f>IFERROR(__xludf.DUMMYFUNCTION("""COMPUTED_VALUE"""),"monked")</f>
        <v>monked</v>
      </c>
      <c r="C7974" s="4" t="str">
        <f>IFERROR(__xludf.DUMMYFUNCTION("""COMPUTED_VALUE"""),"MONKED")</f>
        <v>MONKED</v>
      </c>
    </row>
    <row r="7975">
      <c r="A7975" s="4" t="str">
        <f>IFERROR(__xludf.DUMMYFUNCTION("""COMPUTED_VALUE"""),"monkex")</f>
        <v>monkex</v>
      </c>
      <c r="B7975" s="4" t="str">
        <f>IFERROR(__xludf.DUMMYFUNCTION("""COMPUTED_VALUE"""),"monkex")</f>
        <v>monkex</v>
      </c>
      <c r="C7975" s="4" t="str">
        <f>IFERROR(__xludf.DUMMYFUNCTION("""COMPUTED_VALUE"""),"Monkex")</f>
        <v>Monkex</v>
      </c>
    </row>
    <row r="7976">
      <c r="A7976" s="4" t="str">
        <f>IFERROR(__xludf.DUMMYFUNCTION("""COMPUTED_VALUE"""),"monkey")</f>
        <v>monkey</v>
      </c>
      <c r="B7976" s="4" t="str">
        <f>IFERROR(__xludf.DUMMYFUNCTION("""COMPUTED_VALUE"""),"monkey")</f>
        <v>monkey</v>
      </c>
      <c r="C7976" s="4" t="str">
        <f>IFERROR(__xludf.DUMMYFUNCTION("""COMPUTED_VALUE"""),"MONKEY")</f>
        <v>MONKEY</v>
      </c>
    </row>
    <row r="7977">
      <c r="A7977" s="4" t="str">
        <f>IFERROR(__xludf.DUMMYFUNCTION("""COMPUTED_VALUE"""),"monkey-2")</f>
        <v>monkey-2</v>
      </c>
      <c r="B7977" s="4" t="str">
        <f>IFERROR(__xludf.DUMMYFUNCTION("""COMPUTED_VALUE"""),"monkey")</f>
        <v>monkey</v>
      </c>
      <c r="C7977" s="4" t="str">
        <f>IFERROR(__xludf.DUMMYFUNCTION("""COMPUTED_VALUE"""),"Monkey")</f>
        <v>Monkey</v>
      </c>
    </row>
    <row r="7978">
      <c r="A7978" s="4" t="str">
        <f>IFERROR(__xludf.DUMMYFUNCTION("""COMPUTED_VALUE"""),"monkeyball")</f>
        <v>monkeyball</v>
      </c>
      <c r="B7978" s="4" t="str">
        <f>IFERROR(__xludf.DUMMYFUNCTION("""COMPUTED_VALUE"""),"mbs")</f>
        <v>mbs</v>
      </c>
      <c r="C7978" s="4" t="str">
        <f>IFERROR(__xludf.DUMMYFUNCTION("""COMPUTED_VALUE"""),"UNKJD")</f>
        <v>UNKJD</v>
      </c>
    </row>
    <row r="7979">
      <c r="A7979" s="4" t="str">
        <f>IFERROR(__xludf.DUMMYFUNCTION("""COMPUTED_VALUE"""),"monkeycoin")</f>
        <v>monkeycoin</v>
      </c>
      <c r="B7979" s="4" t="str">
        <f>IFERROR(__xludf.DUMMYFUNCTION("""COMPUTED_VALUE"""),"mkc")</f>
        <v>mkc</v>
      </c>
      <c r="C7979" s="4" t="str">
        <f>IFERROR(__xludf.DUMMYFUNCTION("""COMPUTED_VALUE"""),"MonkeyCoin")</f>
        <v>MonkeyCoin</v>
      </c>
    </row>
    <row r="7980">
      <c r="A7980" s="4" t="str">
        <f>IFERROR(__xludf.DUMMYFUNCTION("""COMPUTED_VALUE"""),"monkeyhaircut")</f>
        <v>monkeyhaircut</v>
      </c>
      <c r="B7980" s="4" t="str">
        <f>IFERROR(__xludf.DUMMYFUNCTION("""COMPUTED_VALUE"""),"monk")</f>
        <v>monk</v>
      </c>
      <c r="C7980" s="4" t="str">
        <f>IFERROR(__xludf.DUMMYFUNCTION("""COMPUTED_VALUE"""),"monkeyhaircut")</f>
        <v>monkeyhaircut</v>
      </c>
    </row>
    <row r="7981">
      <c r="A7981" s="4" t="str">
        <f>IFERROR(__xludf.DUMMYFUNCTION("""COMPUTED_VALUE"""),"monkey-puppet")</f>
        <v>monkey-puppet</v>
      </c>
      <c r="B7981" s="4" t="str">
        <f>IFERROR(__xludf.DUMMYFUNCTION("""COMPUTED_VALUE"""),"mpm")</f>
        <v>mpm</v>
      </c>
      <c r="C7981" s="4" t="str">
        <f>IFERROR(__xludf.DUMMYFUNCTION("""COMPUTED_VALUE"""),"Monkey Puppet")</f>
        <v>Monkey Puppet</v>
      </c>
    </row>
    <row r="7982">
      <c r="A7982" s="4" t="str">
        <f>IFERROR(__xludf.DUMMYFUNCTION("""COMPUTED_VALUE"""),"monkeys")</f>
        <v>monkeys</v>
      </c>
      <c r="B7982" s="4" t="str">
        <f>IFERROR(__xludf.DUMMYFUNCTION("""COMPUTED_VALUE"""),"monkeys")</f>
        <v>monkeys</v>
      </c>
      <c r="C7982" s="4" t="str">
        <f>IFERROR(__xludf.DUMMYFUNCTION("""COMPUTED_VALUE"""),"Monkeys")</f>
        <v>Monkeys</v>
      </c>
    </row>
    <row r="7983">
      <c r="A7983" s="4" t="str">
        <f>IFERROR(__xludf.DUMMYFUNCTION("""COMPUTED_VALUE"""),"monkeys-token")</f>
        <v>monkeys-token</v>
      </c>
      <c r="B7983" s="4" t="str">
        <f>IFERROR(__xludf.DUMMYFUNCTION("""COMPUTED_VALUE"""),"monkeys")</f>
        <v>monkeys</v>
      </c>
      <c r="C7983" s="4" t="str">
        <f>IFERROR(__xludf.DUMMYFUNCTION("""COMPUTED_VALUE"""),"Monkeys Token")</f>
        <v>Monkeys Token</v>
      </c>
    </row>
    <row r="7984">
      <c r="A7984" s="4" t="str">
        <f>IFERROR(__xludf.DUMMYFUNCTION("""COMPUTED_VALUE"""),"monk-gg")</f>
        <v>monk-gg</v>
      </c>
      <c r="B7984" s="4" t="str">
        <f>IFERROR(__xludf.DUMMYFUNCTION("""COMPUTED_VALUE"""),"monkgg")</f>
        <v>monkgg</v>
      </c>
      <c r="C7984" s="5" t="str">
        <f>IFERROR(__xludf.DUMMYFUNCTION("""COMPUTED_VALUE"""),"Monk.gg")</f>
        <v>Monk.gg</v>
      </c>
    </row>
    <row r="7985">
      <c r="A7985" s="4" t="str">
        <f>IFERROR(__xludf.DUMMYFUNCTION("""COMPUTED_VALUE"""),"monkie")</f>
        <v>monkie</v>
      </c>
      <c r="B7985" s="4" t="str">
        <f>IFERROR(__xludf.DUMMYFUNCTION("""COMPUTED_VALUE"""),"monkie")</f>
        <v>monkie</v>
      </c>
      <c r="C7985" s="4" t="str">
        <f>IFERROR(__xludf.DUMMYFUNCTION("""COMPUTED_VALUE"""),"MONKIE")</f>
        <v>MONKIE</v>
      </c>
    </row>
    <row r="7986">
      <c r="A7986" s="4" t="str">
        <f>IFERROR(__xludf.DUMMYFUNCTION("""COMPUTED_VALUE"""),"monnos")</f>
        <v>monnos</v>
      </c>
      <c r="B7986" s="4" t="str">
        <f>IFERROR(__xludf.DUMMYFUNCTION("""COMPUTED_VALUE"""),"mns")</f>
        <v>mns</v>
      </c>
      <c r="C7986" s="4" t="str">
        <f>IFERROR(__xludf.DUMMYFUNCTION("""COMPUTED_VALUE"""),"Monnos")</f>
        <v>Monnos</v>
      </c>
    </row>
    <row r="7987">
      <c r="A7987" s="4" t="str">
        <f>IFERROR(__xludf.DUMMYFUNCTION("""COMPUTED_VALUE"""),"monolend")</f>
        <v>monolend</v>
      </c>
      <c r="B7987" s="4" t="str">
        <f>IFERROR(__xludf.DUMMYFUNCTION("""COMPUTED_VALUE"""),"mld")</f>
        <v>mld</v>
      </c>
      <c r="C7987" s="4" t="str">
        <f>IFERROR(__xludf.DUMMYFUNCTION("""COMPUTED_VALUE"""),"MonoLend")</f>
        <v>MonoLend</v>
      </c>
    </row>
    <row r="7988">
      <c r="A7988" s="4" t="str">
        <f>IFERROR(__xludf.DUMMYFUNCTION("""COMPUTED_VALUE"""),"monomoney")</f>
        <v>monomoney</v>
      </c>
      <c r="B7988" s="4" t="str">
        <f>IFERROR(__xludf.DUMMYFUNCTION("""COMPUTED_VALUE"""),"mono")</f>
        <v>mono</v>
      </c>
      <c r="C7988" s="4" t="str">
        <f>IFERROR(__xludf.DUMMYFUNCTION("""COMPUTED_VALUE"""),"MonoMoney")</f>
        <v>MonoMoney</v>
      </c>
    </row>
    <row r="7989">
      <c r="A7989" s="4" t="str">
        <f>IFERROR(__xludf.DUMMYFUNCTION("""COMPUTED_VALUE"""),"mononoke-inu")</f>
        <v>mononoke-inu</v>
      </c>
      <c r="B7989" s="4" t="str">
        <f>IFERROR(__xludf.DUMMYFUNCTION("""COMPUTED_VALUE"""),"mononoke-inu")</f>
        <v>mononoke-inu</v>
      </c>
      <c r="C7989" s="4" t="str">
        <f>IFERROR(__xludf.DUMMYFUNCTION("""COMPUTED_VALUE"""),"Mononoke Inu")</f>
        <v>Mononoke Inu</v>
      </c>
    </row>
    <row r="7990">
      <c r="A7990" s="4" t="str">
        <f>IFERROR(__xludf.DUMMYFUNCTION("""COMPUTED_VALUE"""),"monopoly-layer2-duo")</f>
        <v>monopoly-layer2-duo</v>
      </c>
      <c r="B7990" s="4" t="str">
        <f>IFERROR(__xludf.DUMMYFUNCTION("""COMPUTED_VALUE"""),"duo")</f>
        <v>duo</v>
      </c>
      <c r="C7990" s="4" t="str">
        <f>IFERROR(__xludf.DUMMYFUNCTION("""COMPUTED_VALUE"""),"Monopoly Layer2 DUO")</f>
        <v>Monopoly Layer2 DUO</v>
      </c>
    </row>
    <row r="7991">
      <c r="A7991" s="4" t="str">
        <f>IFERROR(__xludf.DUMMYFUNCTION("""COMPUTED_VALUE"""),"monopoly-layer-3-poly")</f>
        <v>monopoly-layer-3-poly</v>
      </c>
      <c r="B7991" s="4" t="str">
        <f>IFERROR(__xludf.DUMMYFUNCTION("""COMPUTED_VALUE"""),"poly")</f>
        <v>poly</v>
      </c>
      <c r="C7991" s="4" t="str">
        <f>IFERROR(__xludf.DUMMYFUNCTION("""COMPUTED_VALUE"""),"Monopoly Layer 3 POLY")</f>
        <v>Monopoly Layer 3 POLY</v>
      </c>
    </row>
    <row r="7992">
      <c r="A7992" s="4" t="str">
        <f>IFERROR(__xludf.DUMMYFUNCTION("""COMPUTED_VALUE"""),"monopoly-millionaire-control")</f>
        <v>monopoly-millionaire-control</v>
      </c>
      <c r="B7992" s="4" t="str">
        <f>IFERROR(__xludf.DUMMYFUNCTION("""COMPUTED_VALUE"""),"mmc")</f>
        <v>mmc</v>
      </c>
      <c r="C7992" s="4" t="str">
        <f>IFERROR(__xludf.DUMMYFUNCTION("""COMPUTED_VALUE"""),"Monopoly Millionaire Control")</f>
        <v>Monopoly Millionaire Control</v>
      </c>
    </row>
    <row r="7993">
      <c r="A7993" s="4" t="str">
        <f>IFERROR(__xludf.DUMMYFUNCTION("""COMPUTED_VALUE"""),"monox")</f>
        <v>monox</v>
      </c>
      <c r="B7993" s="4" t="str">
        <f>IFERROR(__xludf.DUMMYFUNCTION("""COMPUTED_VALUE"""),"mono")</f>
        <v>mono</v>
      </c>
      <c r="C7993" s="4" t="str">
        <f>IFERROR(__xludf.DUMMYFUNCTION("""COMPUTED_VALUE"""),"MonoX")</f>
        <v>MonoX</v>
      </c>
    </row>
    <row r="7994">
      <c r="A7994" s="4" t="str">
        <f>IFERROR(__xludf.DUMMYFUNCTION("""COMPUTED_VALUE"""),"monsoon-finance")</f>
        <v>monsoon-finance</v>
      </c>
      <c r="B7994" s="4" t="str">
        <f>IFERROR(__xludf.DUMMYFUNCTION("""COMPUTED_VALUE"""),"mcash")</f>
        <v>mcash</v>
      </c>
      <c r="C7994" s="4" t="str">
        <f>IFERROR(__xludf.DUMMYFUNCTION("""COMPUTED_VALUE"""),"Monsoon Finance")</f>
        <v>Monsoon Finance</v>
      </c>
    </row>
    <row r="7995">
      <c r="A7995" s="4" t="str">
        <f>IFERROR(__xludf.DUMMYFUNCTION("""COMPUTED_VALUE"""),"monsta-infinite")</f>
        <v>monsta-infinite</v>
      </c>
      <c r="B7995" s="4" t="str">
        <f>IFERROR(__xludf.DUMMYFUNCTION("""COMPUTED_VALUE"""),"moni")</f>
        <v>moni</v>
      </c>
      <c r="C7995" s="4" t="str">
        <f>IFERROR(__xludf.DUMMYFUNCTION("""COMPUTED_VALUE"""),"Monsta Infinite")</f>
        <v>Monsta Infinite</v>
      </c>
    </row>
    <row r="7996">
      <c r="A7996" s="4" t="str">
        <f>IFERROR(__xludf.DUMMYFUNCTION("""COMPUTED_VALUE"""),"monster-ball")</f>
        <v>monster-ball</v>
      </c>
      <c r="B7996" s="4" t="str">
        <f>IFERROR(__xludf.DUMMYFUNCTION("""COMPUTED_VALUE"""),"mfb")</f>
        <v>mfb</v>
      </c>
      <c r="C7996" s="4" t="str">
        <f>IFERROR(__xludf.DUMMYFUNCTION("""COMPUTED_VALUE"""),"Monster Ball")</f>
        <v>Monster Ball</v>
      </c>
    </row>
    <row r="7997">
      <c r="A7997" s="4" t="str">
        <f>IFERROR(__xludf.DUMMYFUNCTION("""COMPUTED_VALUE"""),"monster-galaxy")</f>
        <v>monster-galaxy</v>
      </c>
      <c r="B7997" s="4" t="str">
        <f>IFERROR(__xludf.DUMMYFUNCTION("""COMPUTED_VALUE"""),"ggm")</f>
        <v>ggm</v>
      </c>
      <c r="C7997" s="4" t="str">
        <f>IFERROR(__xludf.DUMMYFUNCTION("""COMPUTED_VALUE"""),"Monster Galaxy")</f>
        <v>Monster Galaxy</v>
      </c>
    </row>
    <row r="7998">
      <c r="A7998" s="4" t="str">
        <f>IFERROR(__xludf.DUMMYFUNCTION("""COMPUTED_VALUE"""),"monsterra")</f>
        <v>monsterra</v>
      </c>
      <c r="B7998" s="4" t="str">
        <f>IFERROR(__xludf.DUMMYFUNCTION("""COMPUTED_VALUE"""),"mstr")</f>
        <v>mstr</v>
      </c>
      <c r="C7998" s="4" t="str">
        <f>IFERROR(__xludf.DUMMYFUNCTION("""COMPUTED_VALUE"""),"Monsterra")</f>
        <v>Monsterra</v>
      </c>
    </row>
    <row r="7999">
      <c r="A7999" s="4" t="str">
        <f>IFERROR(__xludf.DUMMYFUNCTION("""COMPUTED_VALUE"""),"monsterra-mag")</f>
        <v>monsterra-mag</v>
      </c>
      <c r="B7999" s="4" t="str">
        <f>IFERROR(__xludf.DUMMYFUNCTION("""COMPUTED_VALUE"""),"mag")</f>
        <v>mag</v>
      </c>
      <c r="C7999" s="4" t="str">
        <f>IFERROR(__xludf.DUMMYFUNCTION("""COMPUTED_VALUE"""),"Monsterra MAG")</f>
        <v>Monsterra MAG</v>
      </c>
    </row>
    <row r="8000">
      <c r="A8000" s="4" t="str">
        <f>IFERROR(__xludf.DUMMYFUNCTION("""COMPUTED_VALUE"""),"monstock")</f>
        <v>monstock</v>
      </c>
      <c r="B8000" s="4" t="str">
        <f>IFERROR(__xludf.DUMMYFUNCTION("""COMPUTED_VALUE"""),"mon")</f>
        <v>mon</v>
      </c>
      <c r="C8000" s="4" t="str">
        <f>IFERROR(__xludf.DUMMYFUNCTION("""COMPUTED_VALUE"""),"Monstock")</f>
        <v>Monstock</v>
      </c>
    </row>
    <row r="8001">
      <c r="A8001" s="4" t="str">
        <f>IFERROR(__xludf.DUMMYFUNCTION("""COMPUTED_VALUE"""),"moochii")</f>
        <v>moochii</v>
      </c>
      <c r="B8001" s="4" t="str">
        <f>IFERROR(__xludf.DUMMYFUNCTION("""COMPUTED_VALUE"""),"moochii")</f>
        <v>moochii</v>
      </c>
      <c r="C8001" s="4" t="str">
        <f>IFERROR(__xludf.DUMMYFUNCTION("""COMPUTED_VALUE"""),"Moochii")</f>
        <v>Moochii</v>
      </c>
    </row>
    <row r="8002">
      <c r="A8002" s="4" t="str">
        <f>IFERROR(__xludf.DUMMYFUNCTION("""COMPUTED_VALUE"""),"mooi-network")</f>
        <v>mooi-network</v>
      </c>
      <c r="B8002" s="4" t="str">
        <f>IFERROR(__xludf.DUMMYFUNCTION("""COMPUTED_VALUE"""),"mooi")</f>
        <v>mooi</v>
      </c>
      <c r="C8002" s="4" t="str">
        <f>IFERROR(__xludf.DUMMYFUNCTION("""COMPUTED_VALUE"""),"MOOI Network")</f>
        <v>MOOI Network</v>
      </c>
    </row>
    <row r="8003">
      <c r="A8003" s="4" t="str">
        <f>IFERROR(__xludf.DUMMYFUNCTION("""COMPUTED_VALUE"""),"moola-celo-dollars")</f>
        <v>moola-celo-dollars</v>
      </c>
      <c r="B8003" s="4" t="str">
        <f>IFERROR(__xludf.DUMMYFUNCTION("""COMPUTED_VALUE"""),"mcusd")</f>
        <v>mcusd</v>
      </c>
      <c r="C8003" s="4" t="str">
        <f>IFERROR(__xludf.DUMMYFUNCTION("""COMPUTED_VALUE"""),"Moola Celo Dollars")</f>
        <v>Moola Celo Dollars</v>
      </c>
    </row>
    <row r="8004">
      <c r="A8004" s="4" t="str">
        <f>IFERROR(__xludf.DUMMYFUNCTION("""COMPUTED_VALUE"""),"moolahverse")</f>
        <v>moolahverse</v>
      </c>
      <c r="B8004" s="4" t="str">
        <f>IFERROR(__xludf.DUMMYFUNCTION("""COMPUTED_VALUE"""),"mlh")</f>
        <v>mlh</v>
      </c>
      <c r="C8004" s="4" t="str">
        <f>IFERROR(__xludf.DUMMYFUNCTION("""COMPUTED_VALUE"""),"Moolahverse")</f>
        <v>Moolahverse</v>
      </c>
    </row>
    <row r="8005">
      <c r="A8005" s="4" t="str">
        <f>IFERROR(__xludf.DUMMYFUNCTION("""COMPUTED_VALUE"""),"moola-interest-bearing-creal")</f>
        <v>moola-interest-bearing-creal</v>
      </c>
      <c r="B8005" s="4" t="str">
        <f>IFERROR(__xludf.DUMMYFUNCTION("""COMPUTED_VALUE"""),"mcreal")</f>
        <v>mcreal</v>
      </c>
      <c r="C8005" s="4" t="str">
        <f>IFERROR(__xludf.DUMMYFUNCTION("""COMPUTED_VALUE"""),"Moola interest bearing CREAL")</f>
        <v>Moola interest bearing CREAL</v>
      </c>
    </row>
    <row r="8006">
      <c r="A8006" s="4" t="str">
        <f>IFERROR(__xludf.DUMMYFUNCTION("""COMPUTED_VALUE"""),"moola-market")</f>
        <v>moola-market</v>
      </c>
      <c r="B8006" s="4" t="str">
        <f>IFERROR(__xludf.DUMMYFUNCTION("""COMPUTED_VALUE"""),"moo")</f>
        <v>moo</v>
      </c>
      <c r="C8006" s="4" t="str">
        <f>IFERROR(__xludf.DUMMYFUNCTION("""COMPUTED_VALUE"""),"Moola Market")</f>
        <v>Moola Market</v>
      </c>
    </row>
    <row r="8007">
      <c r="A8007" s="4" t="str">
        <f>IFERROR(__xludf.DUMMYFUNCTION("""COMPUTED_VALUE"""),"moon")</f>
        <v>moon</v>
      </c>
      <c r="B8007" s="4" t="str">
        <f>IFERROR(__xludf.DUMMYFUNCTION("""COMPUTED_VALUE"""),"moon")</f>
        <v>moon</v>
      </c>
      <c r="C8007" s="4" t="str">
        <f>IFERROR(__xludf.DUMMYFUNCTION("""COMPUTED_VALUE"""),"r/CryptoCurrency Moons")</f>
        <v>r/CryptoCurrency Moons</v>
      </c>
    </row>
    <row r="8008">
      <c r="A8008" s="4" t="str">
        <f>IFERROR(__xludf.DUMMYFUNCTION("""COMPUTED_VALUE"""),"moonai-2")</f>
        <v>moonai-2</v>
      </c>
      <c r="B8008" s="4" t="str">
        <f>IFERROR(__xludf.DUMMYFUNCTION("""COMPUTED_VALUE"""),"moonai")</f>
        <v>moonai</v>
      </c>
      <c r="C8008" s="4" t="str">
        <f>IFERROR(__xludf.DUMMYFUNCTION("""COMPUTED_VALUE"""),"MoonAI")</f>
        <v>MoonAI</v>
      </c>
    </row>
    <row r="8009">
      <c r="A8009" s="4" t="str">
        <f>IFERROR(__xludf.DUMMYFUNCTION("""COMPUTED_VALUE"""),"moon-air")</f>
        <v>moon-air</v>
      </c>
      <c r="B8009" s="4" t="str">
        <f>IFERROR(__xludf.DUMMYFUNCTION("""COMPUTED_VALUE"""),"moonair")</f>
        <v>moonair</v>
      </c>
      <c r="C8009" s="4" t="str">
        <f>IFERROR(__xludf.DUMMYFUNCTION("""COMPUTED_VALUE"""),"Moon Air")</f>
        <v>Moon Air</v>
      </c>
    </row>
    <row r="8010">
      <c r="A8010" s="4" t="str">
        <f>IFERROR(__xludf.DUMMYFUNCTION("""COMPUTED_VALUE"""),"moon-app")</f>
        <v>moon-app</v>
      </c>
      <c r="B8010" s="4" t="str">
        <f>IFERROR(__xludf.DUMMYFUNCTION("""COMPUTED_VALUE"""),"app")</f>
        <v>app</v>
      </c>
      <c r="C8010" s="4" t="str">
        <f>IFERROR(__xludf.DUMMYFUNCTION("""COMPUTED_VALUE"""),"Moon App")</f>
        <v>Moon App</v>
      </c>
    </row>
    <row r="8011">
      <c r="A8011" s="4" t="str">
        <f>IFERROR(__xludf.DUMMYFUNCTION("""COMPUTED_VALUE"""),"moonarch")</f>
        <v>moonarch</v>
      </c>
      <c r="B8011" s="4" t="str">
        <f>IFERROR(__xludf.DUMMYFUNCTION("""COMPUTED_VALUE"""),"moonarch")</f>
        <v>moonarch</v>
      </c>
      <c r="C8011" s="4" t="str">
        <f>IFERROR(__xludf.DUMMYFUNCTION("""COMPUTED_VALUE"""),"Moonarch")</f>
        <v>Moonarch</v>
      </c>
    </row>
    <row r="8012">
      <c r="A8012" s="4" t="str">
        <f>IFERROR(__xludf.DUMMYFUNCTION("""COMPUTED_VALUE"""),"moonbase-2")</f>
        <v>moonbase-2</v>
      </c>
      <c r="B8012" s="4" t="str">
        <f>IFERROR(__xludf.DUMMYFUNCTION("""COMPUTED_VALUE"""),"moon")</f>
        <v>moon</v>
      </c>
      <c r="C8012" s="4" t="str">
        <f>IFERROR(__xludf.DUMMYFUNCTION("""COMPUTED_VALUE"""),"MoonBase")</f>
        <v>MoonBase</v>
      </c>
    </row>
    <row r="8013">
      <c r="A8013" s="4" t="str">
        <f>IFERROR(__xludf.DUMMYFUNCTION("""COMPUTED_VALUE"""),"moon-bay")</f>
        <v>moon-bay</v>
      </c>
      <c r="B8013" s="4" t="str">
        <f>IFERROR(__xludf.DUMMYFUNCTION("""COMPUTED_VALUE"""),"bay")</f>
        <v>bay</v>
      </c>
      <c r="C8013" s="4" t="str">
        <f>IFERROR(__xludf.DUMMYFUNCTION("""COMPUTED_VALUE"""),"Moon Bay")</f>
        <v>Moon Bay</v>
      </c>
    </row>
    <row r="8014">
      <c r="A8014" s="4" t="str">
        <f>IFERROR(__xludf.DUMMYFUNCTION("""COMPUTED_VALUE"""),"moonbeam")</f>
        <v>moonbeam</v>
      </c>
      <c r="B8014" s="4" t="str">
        <f>IFERROR(__xludf.DUMMYFUNCTION("""COMPUTED_VALUE"""),"glmr")</f>
        <v>glmr</v>
      </c>
      <c r="C8014" s="4" t="str">
        <f>IFERROR(__xludf.DUMMYFUNCTION("""COMPUTED_VALUE"""),"Moonbeam")</f>
        <v>Moonbeam</v>
      </c>
    </row>
    <row r="8015">
      <c r="A8015" s="4" t="str">
        <f>IFERROR(__xludf.DUMMYFUNCTION("""COMPUTED_VALUE"""),"moonbeans")</f>
        <v>moonbeans</v>
      </c>
      <c r="B8015" s="4" t="str">
        <f>IFERROR(__xludf.DUMMYFUNCTION("""COMPUTED_VALUE"""),"beans")</f>
        <v>beans</v>
      </c>
      <c r="C8015" s="4" t="str">
        <f>IFERROR(__xludf.DUMMYFUNCTION("""COMPUTED_VALUE"""),"MoonBeans")</f>
        <v>MoonBeans</v>
      </c>
    </row>
    <row r="8016">
      <c r="A8016" s="4" t="str">
        <f>IFERROR(__xludf.DUMMYFUNCTION("""COMPUTED_VALUE"""),"moonbot")</f>
        <v>moonbot</v>
      </c>
      <c r="B8016" s="4" t="str">
        <f>IFERROR(__xludf.DUMMYFUNCTION("""COMPUTED_VALUE"""),"mbot")</f>
        <v>mbot</v>
      </c>
      <c r="C8016" s="4" t="str">
        <f>IFERROR(__xludf.DUMMYFUNCTION("""COMPUTED_VALUE"""),"MoonBot")</f>
        <v>MoonBot</v>
      </c>
    </row>
    <row r="8017">
      <c r="A8017" s="4" t="str">
        <f>IFERROR(__xludf.DUMMYFUNCTION("""COMPUTED_VALUE"""),"mooncats-on-base")</f>
        <v>mooncats-on-base</v>
      </c>
      <c r="B8017" s="4" t="str">
        <f>IFERROR(__xludf.DUMMYFUNCTION("""COMPUTED_VALUE"""),"mooncats")</f>
        <v>mooncats</v>
      </c>
      <c r="C8017" s="4" t="str">
        <f>IFERROR(__xludf.DUMMYFUNCTION("""COMPUTED_VALUE"""),"Mooncats on Base")</f>
        <v>Mooncats on Base</v>
      </c>
    </row>
    <row r="8018">
      <c r="A8018" s="4" t="str">
        <f>IFERROR(__xludf.DUMMYFUNCTION("""COMPUTED_VALUE"""),"mooncat-vault-nftx")</f>
        <v>mooncat-vault-nftx</v>
      </c>
      <c r="B8018" s="4" t="str">
        <f>IFERROR(__xludf.DUMMYFUNCTION("""COMPUTED_VALUE"""),"mooncat")</f>
        <v>mooncat</v>
      </c>
      <c r="C8018" s="4" t="str">
        <f>IFERROR(__xludf.DUMMYFUNCTION("""COMPUTED_VALUE"""),"MOONCAT Vault (NFTX)")</f>
        <v>MOONCAT Vault (NFTX)</v>
      </c>
    </row>
    <row r="8019">
      <c r="A8019" s="4" t="str">
        <f>IFERROR(__xludf.DUMMYFUNCTION("""COMPUTED_VALUE"""),"moondogs")</f>
        <v>moondogs</v>
      </c>
      <c r="B8019" s="4" t="str">
        <f>IFERROR(__xludf.DUMMYFUNCTION("""COMPUTED_VALUE"""),"woof")</f>
        <v>woof</v>
      </c>
      <c r="C8019" s="4" t="str">
        <f>IFERROR(__xludf.DUMMYFUNCTION("""COMPUTED_VALUE"""),"Moondogs")</f>
        <v>Moondogs</v>
      </c>
    </row>
    <row r="8020">
      <c r="A8020" s="4" t="str">
        <f>IFERROR(__xludf.DUMMYFUNCTION("""COMPUTED_VALUE"""),"moonedge")</f>
        <v>moonedge</v>
      </c>
      <c r="B8020" s="4" t="str">
        <f>IFERROR(__xludf.DUMMYFUNCTION("""COMPUTED_VALUE"""),"mooned")</f>
        <v>mooned</v>
      </c>
      <c r="C8020" s="4" t="str">
        <f>IFERROR(__xludf.DUMMYFUNCTION("""COMPUTED_VALUE"""),"MoonEdge")</f>
        <v>MoonEdge</v>
      </c>
    </row>
    <row r="8021">
      <c r="A8021" s="4" t="str">
        <f>IFERROR(__xludf.DUMMYFUNCTION("""COMPUTED_VALUE"""),"mooner")</f>
        <v>mooner</v>
      </c>
      <c r="B8021" s="4" t="str">
        <f>IFERROR(__xludf.DUMMYFUNCTION("""COMPUTED_VALUE"""),"mnr")</f>
        <v>mnr</v>
      </c>
      <c r="C8021" s="4" t="str">
        <f>IFERROR(__xludf.DUMMYFUNCTION("""COMPUTED_VALUE"""),"Mooner")</f>
        <v>Mooner</v>
      </c>
    </row>
    <row r="8022">
      <c r="A8022" s="4" t="str">
        <f>IFERROR(__xludf.DUMMYFUNCTION("""COMPUTED_VALUE"""),"moonerium")</f>
        <v>moonerium</v>
      </c>
      <c r="B8022" s="4" t="str">
        <f>IFERROR(__xludf.DUMMYFUNCTION("""COMPUTED_VALUE"""),"moonerium")</f>
        <v>moonerium</v>
      </c>
      <c r="C8022" s="4" t="str">
        <f>IFERROR(__xludf.DUMMYFUNCTION("""COMPUTED_VALUE"""),"MOONERIUM")</f>
        <v>MOONERIUM</v>
      </c>
    </row>
    <row r="8023">
      <c r="A8023" s="4" t="str">
        <f>IFERROR(__xludf.DUMMYFUNCTION("""COMPUTED_VALUE"""),"mooney")</f>
        <v>mooney</v>
      </c>
      <c r="B8023" s="4" t="str">
        <f>IFERROR(__xludf.DUMMYFUNCTION("""COMPUTED_VALUE"""),"mooney")</f>
        <v>mooney</v>
      </c>
      <c r="C8023" s="4" t="str">
        <f>IFERROR(__xludf.DUMMYFUNCTION("""COMPUTED_VALUE"""),"Moon DAO")</f>
        <v>Moon DAO</v>
      </c>
    </row>
    <row r="8024">
      <c r="A8024" s="4" t="str">
        <f>IFERROR(__xludf.DUMMYFUNCTION("""COMPUTED_VALUE"""),"moonflow")</f>
        <v>moonflow</v>
      </c>
      <c r="B8024" s="4" t="str">
        <f>IFERROR(__xludf.DUMMYFUNCTION("""COMPUTED_VALUE"""),"moon")</f>
        <v>moon</v>
      </c>
      <c r="C8024" s="4" t="str">
        <f>IFERROR(__xludf.DUMMYFUNCTION("""COMPUTED_VALUE"""),"Moonflow")</f>
        <v>Moonflow</v>
      </c>
    </row>
    <row r="8025">
      <c r="A8025" s="4" t="str">
        <f>IFERROR(__xludf.DUMMYFUNCTION("""COMPUTED_VALUE"""),"moonft")</f>
        <v>moonft</v>
      </c>
      <c r="B8025" s="4" t="str">
        <f>IFERROR(__xludf.DUMMYFUNCTION("""COMPUTED_VALUE"""),"mtc")</f>
        <v>mtc</v>
      </c>
      <c r="C8025" s="4" t="str">
        <f>IFERROR(__xludf.DUMMYFUNCTION("""COMPUTED_VALUE"""),"Moonft")</f>
        <v>Moonft</v>
      </c>
    </row>
    <row r="8026">
      <c r="A8026" s="4" t="str">
        <f>IFERROR(__xludf.DUMMYFUNCTION("""COMPUTED_VALUE"""),"moon-inu")</f>
        <v>moon-inu</v>
      </c>
      <c r="B8026" s="4" t="str">
        <f>IFERROR(__xludf.DUMMYFUNCTION("""COMPUTED_VALUE"""),"moon")</f>
        <v>moon</v>
      </c>
      <c r="C8026" s="4" t="str">
        <f>IFERROR(__xludf.DUMMYFUNCTION("""COMPUTED_VALUE"""),"MOON INU")</f>
        <v>MOON INU</v>
      </c>
    </row>
    <row r="8027">
      <c r="A8027" s="4" t="str">
        <f>IFERROR(__xludf.DUMMYFUNCTION("""COMPUTED_VALUE"""),"moonions")</f>
        <v>moonions</v>
      </c>
      <c r="B8027" s="4" t="str">
        <f>IFERROR(__xludf.DUMMYFUNCTION("""COMPUTED_VALUE"""),"moonion")</f>
        <v>moonion</v>
      </c>
      <c r="C8027" s="4" t="str">
        <f>IFERROR(__xludf.DUMMYFUNCTION("""COMPUTED_VALUE"""),"Moonions")</f>
        <v>Moonions</v>
      </c>
    </row>
    <row r="8028">
      <c r="A8028" s="4" t="str">
        <f>IFERROR(__xludf.DUMMYFUNCTION("""COMPUTED_VALUE"""),"moonke")</f>
        <v>moonke</v>
      </c>
      <c r="B8028" s="4" t="str">
        <f>IFERROR(__xludf.DUMMYFUNCTION("""COMPUTED_VALUE"""),"moonke")</f>
        <v>moonke</v>
      </c>
      <c r="C8028" s="4" t="str">
        <f>IFERROR(__xludf.DUMMYFUNCTION("""COMPUTED_VALUE"""),"Moonke")</f>
        <v>Moonke</v>
      </c>
    </row>
    <row r="8029">
      <c r="A8029" s="4" t="str">
        <f>IFERROR(__xludf.DUMMYFUNCTION("""COMPUTED_VALUE"""),"moonkize")</f>
        <v>moonkize</v>
      </c>
      <c r="B8029" s="4" t="str">
        <f>IFERROR(__xludf.DUMMYFUNCTION("""COMPUTED_VALUE"""),"moonkize")</f>
        <v>moonkize</v>
      </c>
      <c r="C8029" s="4" t="str">
        <f>IFERROR(__xludf.DUMMYFUNCTION("""COMPUTED_VALUE"""),"MoonKize")</f>
        <v>MoonKize</v>
      </c>
    </row>
    <row r="8030">
      <c r="A8030" s="4" t="str">
        <f>IFERROR(__xludf.DUMMYFUNCTION("""COMPUTED_VALUE"""),"moonlana")</f>
        <v>moonlana</v>
      </c>
      <c r="B8030" s="4" t="str">
        <f>IFERROR(__xludf.DUMMYFUNCTION("""COMPUTED_VALUE"""),"mola")</f>
        <v>mola</v>
      </c>
      <c r="C8030" s="4" t="str">
        <f>IFERROR(__xludf.DUMMYFUNCTION("""COMPUTED_VALUE"""),"MoonLana")</f>
        <v>MoonLana</v>
      </c>
    </row>
    <row r="8031">
      <c r="A8031" s="4" t="str">
        <f>IFERROR(__xludf.DUMMYFUNCTION("""COMPUTED_VALUE"""),"moonlight-token")</f>
        <v>moonlight-token</v>
      </c>
      <c r="B8031" s="4" t="str">
        <f>IFERROR(__xludf.DUMMYFUNCTION("""COMPUTED_VALUE"""),"moonlight")</f>
        <v>moonlight</v>
      </c>
      <c r="C8031" s="4" t="str">
        <f>IFERROR(__xludf.DUMMYFUNCTION("""COMPUTED_VALUE"""),"Moonlight")</f>
        <v>Moonlight</v>
      </c>
    </row>
    <row r="8032">
      <c r="A8032" s="4" t="str">
        <f>IFERROR(__xludf.DUMMYFUNCTION("""COMPUTED_VALUE"""),"moon-maker-protocol")</f>
        <v>moon-maker-protocol</v>
      </c>
      <c r="B8032" s="4" t="str">
        <f>IFERROR(__xludf.DUMMYFUNCTION("""COMPUTED_VALUE"""),"mmp")</f>
        <v>mmp</v>
      </c>
      <c r="C8032" s="4" t="str">
        <f>IFERROR(__xludf.DUMMYFUNCTION("""COMPUTED_VALUE"""),"Moon Maker Protocol")</f>
        <v>Moon Maker Protocol</v>
      </c>
    </row>
    <row r="8033">
      <c r="A8033" s="4" t="str">
        <f>IFERROR(__xludf.DUMMYFUNCTION("""COMPUTED_VALUE"""),"moon-ordinals")</f>
        <v>moon-ordinals</v>
      </c>
      <c r="B8033" s="4" t="str">
        <f>IFERROR(__xludf.DUMMYFUNCTION("""COMPUTED_VALUE"""),"moon")</f>
        <v>moon</v>
      </c>
      <c r="C8033" s="4" t="str">
        <f>IFERROR(__xludf.DUMMYFUNCTION("""COMPUTED_VALUE"""),"MOON (Ordinals)")</f>
        <v>MOON (Ordinals)</v>
      </c>
    </row>
    <row r="8034">
      <c r="A8034" s="4" t="str">
        <f>IFERROR(__xludf.DUMMYFUNCTION("""COMPUTED_VALUE"""),"moonpot")</f>
        <v>moonpot</v>
      </c>
      <c r="B8034" s="4" t="str">
        <f>IFERROR(__xludf.DUMMYFUNCTION("""COMPUTED_VALUE"""),"pots")</f>
        <v>pots</v>
      </c>
      <c r="C8034" s="4" t="str">
        <f>IFERROR(__xludf.DUMMYFUNCTION("""COMPUTED_VALUE"""),"Moonpot")</f>
        <v>Moonpot</v>
      </c>
    </row>
    <row r="8035">
      <c r="A8035" s="4" t="str">
        <f>IFERROR(__xludf.DUMMYFUNCTION("""COMPUTED_VALUE"""),"moonpot-finance")</f>
        <v>moonpot-finance</v>
      </c>
      <c r="B8035" s="4" t="str">
        <f>IFERROR(__xludf.DUMMYFUNCTION("""COMPUTED_VALUE"""),"moonpot")</f>
        <v>moonpot</v>
      </c>
      <c r="C8035" s="4" t="str">
        <f>IFERROR(__xludf.DUMMYFUNCTION("""COMPUTED_VALUE"""),"MoonPot Finance")</f>
        <v>MoonPot Finance</v>
      </c>
    </row>
    <row r="8036">
      <c r="A8036" s="4" t="str">
        <f>IFERROR(__xludf.DUMMYFUNCTION("""COMPUTED_VALUE"""),"moon-rabbit")</f>
        <v>moon-rabbit</v>
      </c>
      <c r="B8036" s="4" t="str">
        <f>IFERROR(__xludf.DUMMYFUNCTION("""COMPUTED_VALUE"""),"aaa")</f>
        <v>aaa</v>
      </c>
      <c r="C8036" s="4" t="str">
        <f>IFERROR(__xludf.DUMMYFUNCTION("""COMPUTED_VALUE"""),"Moon Rabbit")</f>
        <v>Moon Rabbit</v>
      </c>
    </row>
    <row r="8037">
      <c r="A8037" s="4" t="str">
        <f>IFERROR(__xludf.DUMMYFUNCTION("""COMPUTED_VALUE"""),"moonriver")</f>
        <v>moonriver</v>
      </c>
      <c r="B8037" s="4" t="str">
        <f>IFERROR(__xludf.DUMMYFUNCTION("""COMPUTED_VALUE"""),"movr")</f>
        <v>movr</v>
      </c>
      <c r="C8037" s="4" t="str">
        <f>IFERROR(__xludf.DUMMYFUNCTION("""COMPUTED_VALUE"""),"Moonriver")</f>
        <v>Moonriver</v>
      </c>
    </row>
    <row r="8038">
      <c r="A8038" s="4" t="str">
        <f>IFERROR(__xludf.DUMMYFUNCTION("""COMPUTED_VALUE"""),"moonscape")</f>
        <v>moonscape</v>
      </c>
      <c r="B8038" s="4" t="str">
        <f>IFERROR(__xludf.DUMMYFUNCTION("""COMPUTED_VALUE"""),"mscp")</f>
        <v>mscp</v>
      </c>
      <c r="C8038" s="4" t="str">
        <f>IFERROR(__xludf.DUMMYFUNCTION("""COMPUTED_VALUE"""),"Moonscape")</f>
        <v>Moonscape</v>
      </c>
    </row>
    <row r="8039">
      <c r="A8039" s="4" t="str">
        <f>IFERROR(__xludf.DUMMYFUNCTION("""COMPUTED_VALUE"""),"moonsdust")</f>
        <v>moonsdust</v>
      </c>
      <c r="B8039" s="4" t="str">
        <f>IFERROR(__xludf.DUMMYFUNCTION("""COMPUTED_VALUE"""),"moond")</f>
        <v>moond</v>
      </c>
      <c r="C8039" s="4" t="str">
        <f>IFERROR(__xludf.DUMMYFUNCTION("""COMPUTED_VALUE"""),"MoonsDust")</f>
        <v>MoonsDust</v>
      </c>
    </row>
    <row r="8040">
      <c r="A8040" s="4" t="str">
        <f>IFERROR(__xludf.DUMMYFUNCTION("""COMPUTED_VALUE"""),"moonshots-farm")</f>
        <v>moonshots-farm</v>
      </c>
      <c r="B8040" s="4" t="str">
        <f>IFERROR(__xludf.DUMMYFUNCTION("""COMPUTED_VALUE"""),"bones")</f>
        <v>bones</v>
      </c>
      <c r="C8040" s="4" t="str">
        <f>IFERROR(__xludf.DUMMYFUNCTION("""COMPUTED_VALUE"""),"Moonshots Farm")</f>
        <v>Moonshots Farm</v>
      </c>
    </row>
    <row r="8041">
      <c r="A8041" s="4" t="str">
        <f>IFERROR(__xludf.DUMMYFUNCTION("""COMPUTED_VALUE"""),"moonstarter")</f>
        <v>moonstarter</v>
      </c>
      <c r="B8041" s="4" t="str">
        <f>IFERROR(__xludf.DUMMYFUNCTION("""COMPUTED_VALUE"""),"mnst")</f>
        <v>mnst</v>
      </c>
      <c r="C8041" s="4" t="str">
        <f>IFERROR(__xludf.DUMMYFUNCTION("""COMPUTED_VALUE"""),"MoonStarter")</f>
        <v>MoonStarter</v>
      </c>
    </row>
    <row r="8042">
      <c r="A8042" s="4" t="str">
        <f>IFERROR(__xludf.DUMMYFUNCTION("""COMPUTED_VALUE"""),"moon-tropica")</f>
        <v>moon-tropica</v>
      </c>
      <c r="B8042" s="4" t="str">
        <f>IFERROR(__xludf.DUMMYFUNCTION("""COMPUTED_VALUE"""),"cah")</f>
        <v>cah</v>
      </c>
      <c r="C8042" s="4" t="str">
        <f>IFERROR(__xludf.DUMMYFUNCTION("""COMPUTED_VALUE"""),"Moon Tropica")</f>
        <v>Moon Tropica</v>
      </c>
    </row>
    <row r="8043">
      <c r="A8043" s="4" t="str">
        <f>IFERROR(__xludf.DUMMYFUNCTION("""COMPUTED_VALUE"""),"moonwell")</f>
        <v>moonwell</v>
      </c>
      <c r="B8043" s="4" t="str">
        <f>IFERROR(__xludf.DUMMYFUNCTION("""COMPUTED_VALUE"""),"mfam")</f>
        <v>mfam</v>
      </c>
      <c r="C8043" s="4" t="str">
        <f>IFERROR(__xludf.DUMMYFUNCTION("""COMPUTED_VALUE"""),"Moonwell Apollo")</f>
        <v>Moonwell Apollo</v>
      </c>
    </row>
    <row r="8044">
      <c r="A8044" s="4" t="str">
        <f>IFERROR(__xludf.DUMMYFUNCTION("""COMPUTED_VALUE"""),"moonwell-artemis")</f>
        <v>moonwell-artemis</v>
      </c>
      <c r="B8044" s="4" t="str">
        <f>IFERROR(__xludf.DUMMYFUNCTION("""COMPUTED_VALUE"""),"well")</f>
        <v>well</v>
      </c>
      <c r="C8044" s="4" t="str">
        <f>IFERROR(__xludf.DUMMYFUNCTION("""COMPUTED_VALUE"""),"Moonwell")</f>
        <v>Moonwell</v>
      </c>
    </row>
    <row r="8045">
      <c r="A8045" s="4" t="str">
        <f>IFERROR(__xludf.DUMMYFUNCTION("""COMPUTED_VALUE"""),"moonwolf-io")</f>
        <v>moonwolf-io</v>
      </c>
      <c r="B8045" s="4" t="str">
        <f>IFERROR(__xludf.DUMMYFUNCTION("""COMPUTED_VALUE"""),"wolf")</f>
        <v>wolf</v>
      </c>
      <c r="C8045" s="5" t="str">
        <f>IFERROR(__xludf.DUMMYFUNCTION("""COMPUTED_VALUE"""),"moonwolf.io")</f>
        <v>moonwolf.io</v>
      </c>
    </row>
    <row r="8046">
      <c r="A8046" s="4" t="str">
        <f>IFERROR(__xludf.DUMMYFUNCTION("""COMPUTED_VALUE"""),"moove-protocol")</f>
        <v>moove-protocol</v>
      </c>
      <c r="B8046" s="4" t="str">
        <f>IFERROR(__xludf.DUMMYFUNCTION("""COMPUTED_VALUE"""),"moove")</f>
        <v>moove</v>
      </c>
      <c r="C8046" s="4" t="str">
        <f>IFERROR(__xludf.DUMMYFUNCTION("""COMPUTED_VALUE"""),"Moove Protocol")</f>
        <v>Moove Protocol</v>
      </c>
    </row>
    <row r="8047">
      <c r="A8047" s="4" t="str">
        <f>IFERROR(__xludf.DUMMYFUNCTION("""COMPUTED_VALUE"""),"mooxmoo")</f>
        <v>mooxmoo</v>
      </c>
      <c r="B8047" s="4" t="str">
        <f>IFERROR(__xludf.DUMMYFUNCTION("""COMPUTED_VALUE"""),"moox")</f>
        <v>moox</v>
      </c>
      <c r="C8047" s="4" t="str">
        <f>IFERROR(__xludf.DUMMYFUNCTION("""COMPUTED_VALUE"""),"MOOxMOO")</f>
        <v>MOOxMOO</v>
      </c>
    </row>
    <row r="8048">
      <c r="A8048" s="4" t="str">
        <f>IFERROR(__xludf.DUMMYFUNCTION("""COMPUTED_VALUE"""),"mops")</f>
        <v>mops</v>
      </c>
      <c r="B8048" s="4" t="str">
        <f>IFERROR(__xludf.DUMMYFUNCTION("""COMPUTED_VALUE"""),"mops")</f>
        <v>mops</v>
      </c>
      <c r="C8048" s="4" t="str">
        <f>IFERROR(__xludf.DUMMYFUNCTION("""COMPUTED_VALUE"""),"Mops")</f>
        <v>Mops</v>
      </c>
    </row>
    <row r="8049">
      <c r="A8049" s="4" t="str">
        <f>IFERROR(__xludf.DUMMYFUNCTION("""COMPUTED_VALUE"""),"mora")</f>
        <v>mora</v>
      </c>
      <c r="B8049" s="4" t="str">
        <f>IFERROR(__xludf.DUMMYFUNCTION("""COMPUTED_VALUE"""),"mora")</f>
        <v>mora</v>
      </c>
      <c r="C8049" s="4" t="str">
        <f>IFERROR(__xludf.DUMMYFUNCTION("""COMPUTED_VALUE"""),"Mora")</f>
        <v>Mora</v>
      </c>
    </row>
    <row r="8050">
      <c r="A8050" s="4" t="str">
        <f>IFERROR(__xludf.DUMMYFUNCTION("""COMPUTED_VALUE"""),"mora-2")</f>
        <v>mora-2</v>
      </c>
      <c r="B8050" s="4" t="str">
        <f>IFERROR(__xludf.DUMMYFUNCTION("""COMPUTED_VALUE"""),"mora")</f>
        <v>mora</v>
      </c>
      <c r="C8050" s="4" t="str">
        <f>IFERROR(__xludf.DUMMYFUNCTION("""COMPUTED_VALUE"""),"Mora")</f>
        <v>Mora</v>
      </c>
    </row>
    <row r="8051">
      <c r="A8051" s="4" t="str">
        <f>IFERROR(__xludf.DUMMYFUNCTION("""COMPUTED_VALUE"""),"moremoney-usd")</f>
        <v>moremoney-usd</v>
      </c>
      <c r="B8051" s="4" t="str">
        <f>IFERROR(__xludf.DUMMYFUNCTION("""COMPUTED_VALUE"""),"money")</f>
        <v>money</v>
      </c>
      <c r="C8051" s="4" t="str">
        <f>IFERROR(__xludf.DUMMYFUNCTION("""COMPUTED_VALUE"""),"Moremoney USD")</f>
        <v>Moremoney USD</v>
      </c>
    </row>
    <row r="8052">
      <c r="A8052" s="4" t="str">
        <f>IFERROR(__xludf.DUMMYFUNCTION("""COMPUTED_VALUE"""),"more-token")</f>
        <v>more-token</v>
      </c>
      <c r="B8052" s="4" t="str">
        <f>IFERROR(__xludf.DUMMYFUNCTION("""COMPUTED_VALUE"""),"more")</f>
        <v>more</v>
      </c>
      <c r="C8052" s="4" t="str">
        <f>IFERROR(__xludf.DUMMYFUNCTION("""COMPUTED_VALUE"""),"Moremoney Finance")</f>
        <v>Moremoney Finance</v>
      </c>
    </row>
    <row r="8053">
      <c r="A8053" s="4" t="str">
        <f>IFERROR(__xludf.DUMMYFUNCTION("""COMPUTED_VALUE"""),"mori-finance")</f>
        <v>mori-finance</v>
      </c>
      <c r="B8053" s="4" t="str">
        <f>IFERROR(__xludf.DUMMYFUNCTION("""COMPUTED_VALUE"""),"mori")</f>
        <v>mori</v>
      </c>
      <c r="C8053" s="4" t="str">
        <f>IFERROR(__xludf.DUMMYFUNCTION("""COMPUTED_VALUE"""),"Mori Finance")</f>
        <v>Mori Finance</v>
      </c>
    </row>
    <row r="8054">
      <c r="A8054" s="4" t="str">
        <f>IFERROR(__xludf.DUMMYFUNCTION("""COMPUTED_VALUE"""),"moros-net")</f>
        <v>moros-net</v>
      </c>
      <c r="B8054" s="4" t="str">
        <f>IFERROR(__xludf.DUMMYFUNCTION("""COMPUTED_VALUE"""),"moros")</f>
        <v>moros</v>
      </c>
      <c r="C8054" s="4" t="str">
        <f>IFERROR(__xludf.DUMMYFUNCTION("""COMPUTED_VALUE"""),"MOROS NET")</f>
        <v>MOROS NET</v>
      </c>
    </row>
    <row r="8055">
      <c r="A8055" s="4" t="str">
        <f>IFERROR(__xludf.DUMMYFUNCTION("""COMPUTED_VALUE"""),"morph")</f>
        <v>morph</v>
      </c>
      <c r="B8055" s="4" t="str">
        <f>IFERROR(__xludf.DUMMYFUNCTION("""COMPUTED_VALUE"""),"morph")</f>
        <v>morph</v>
      </c>
      <c r="C8055" s="4" t="str">
        <f>IFERROR(__xludf.DUMMYFUNCTION("""COMPUTED_VALUE"""),"MORPH")</f>
        <v>MORPH</v>
      </c>
    </row>
    <row r="8056">
      <c r="A8056" s="4" t="str">
        <f>IFERROR(__xludf.DUMMYFUNCTION("""COMPUTED_VALUE"""),"morpher")</f>
        <v>morpher</v>
      </c>
      <c r="B8056" s="4" t="str">
        <f>IFERROR(__xludf.DUMMYFUNCTION("""COMPUTED_VALUE"""),"mph")</f>
        <v>mph</v>
      </c>
      <c r="C8056" s="4" t="str">
        <f>IFERROR(__xludf.DUMMYFUNCTION("""COMPUTED_VALUE"""),"Morpher")</f>
        <v>Morpher</v>
      </c>
    </row>
    <row r="8057">
      <c r="A8057" s="4" t="str">
        <f>IFERROR(__xludf.DUMMYFUNCTION("""COMPUTED_VALUE"""),"morpheus-labs")</f>
        <v>morpheus-labs</v>
      </c>
      <c r="B8057" s="4" t="str">
        <f>IFERROR(__xludf.DUMMYFUNCTION("""COMPUTED_VALUE"""),"mind")</f>
        <v>mind</v>
      </c>
      <c r="C8057" s="4" t="str">
        <f>IFERROR(__xludf.DUMMYFUNCTION("""COMPUTED_VALUE"""),"Morpheus Labs")</f>
        <v>Morpheus Labs</v>
      </c>
    </row>
    <row r="8058">
      <c r="A8058" s="4" t="str">
        <f>IFERROR(__xludf.DUMMYFUNCTION("""COMPUTED_VALUE"""),"morpheus-network")</f>
        <v>morpheus-network</v>
      </c>
      <c r="B8058" s="4" t="str">
        <f>IFERROR(__xludf.DUMMYFUNCTION("""COMPUTED_VALUE"""),"mnw")</f>
        <v>mnw</v>
      </c>
      <c r="C8058" s="4" t="str">
        <f>IFERROR(__xludf.DUMMYFUNCTION("""COMPUTED_VALUE"""),"Morpheus Network")</f>
        <v>Morpheus Network</v>
      </c>
    </row>
    <row r="8059">
      <c r="A8059" s="4" t="str">
        <f>IFERROR(__xludf.DUMMYFUNCTION("""COMPUTED_VALUE"""),"morpheus-token")</f>
        <v>morpheus-token</v>
      </c>
      <c r="B8059" s="4" t="str">
        <f>IFERROR(__xludf.DUMMYFUNCTION("""COMPUTED_VALUE"""),"pills")</f>
        <v>pills</v>
      </c>
      <c r="C8059" s="4" t="str">
        <f>IFERROR(__xludf.DUMMYFUNCTION("""COMPUTED_VALUE"""),"Morpheus Swap")</f>
        <v>Morpheus Swap</v>
      </c>
    </row>
    <row r="8060">
      <c r="A8060" s="4" t="str">
        <f>IFERROR(__xludf.DUMMYFUNCTION("""COMPUTED_VALUE"""),"morpho")</f>
        <v>morpho</v>
      </c>
      <c r="B8060" s="4" t="str">
        <f>IFERROR(__xludf.DUMMYFUNCTION("""COMPUTED_VALUE"""),"morpho")</f>
        <v>morpho</v>
      </c>
      <c r="C8060" s="4" t="str">
        <f>IFERROR(__xludf.DUMMYFUNCTION("""COMPUTED_VALUE"""),"Morpho")</f>
        <v>Morpho</v>
      </c>
    </row>
    <row r="8061">
      <c r="A8061" s="4" t="str">
        <f>IFERROR(__xludf.DUMMYFUNCTION("""COMPUTED_VALUE"""),"morpho-aave-curve-dao-token")</f>
        <v>morpho-aave-curve-dao-token</v>
      </c>
      <c r="B8061" s="4" t="str">
        <f>IFERROR(__xludf.DUMMYFUNCTION("""COMPUTED_VALUE"""),"macrv")</f>
        <v>macrv</v>
      </c>
      <c r="C8061" s="4" t="str">
        <f>IFERROR(__xludf.DUMMYFUNCTION("""COMPUTED_VALUE"""),"Morpho-Aave Curve DAO Token")</f>
        <v>Morpho-Aave Curve DAO Token</v>
      </c>
    </row>
    <row r="8062">
      <c r="A8062" s="4" t="str">
        <f>IFERROR(__xludf.DUMMYFUNCTION("""COMPUTED_VALUE"""),"morpho-aave-wrapped-btc")</f>
        <v>morpho-aave-wrapped-btc</v>
      </c>
      <c r="B8062" s="4" t="str">
        <f>IFERROR(__xludf.DUMMYFUNCTION("""COMPUTED_VALUE"""),"mawbtc")</f>
        <v>mawbtc</v>
      </c>
      <c r="C8062" s="4" t="str">
        <f>IFERROR(__xludf.DUMMYFUNCTION("""COMPUTED_VALUE"""),"Morpho-Aave Wrapped BTC")</f>
        <v>Morpho-Aave Wrapped BTC</v>
      </c>
    </row>
    <row r="8063">
      <c r="A8063" s="4" t="str">
        <f>IFERROR(__xludf.DUMMYFUNCTION("""COMPUTED_VALUE"""),"morpho-aave-wrapped-ether")</f>
        <v>morpho-aave-wrapped-ether</v>
      </c>
      <c r="B8063" s="4" t="str">
        <f>IFERROR(__xludf.DUMMYFUNCTION("""COMPUTED_VALUE"""),"maweth")</f>
        <v>maweth</v>
      </c>
      <c r="C8063" s="4" t="str">
        <f>IFERROR(__xludf.DUMMYFUNCTION("""COMPUTED_VALUE"""),"Morpho-Aave Wrapped Ether")</f>
        <v>Morpho-Aave Wrapped Ether</v>
      </c>
    </row>
    <row r="8064">
      <c r="A8064" s="4" t="str">
        <f>IFERROR(__xludf.DUMMYFUNCTION("""COMPUTED_VALUE"""),"morpho-network")</f>
        <v>morpho-network</v>
      </c>
      <c r="B8064" s="4" t="str">
        <f>IFERROR(__xludf.DUMMYFUNCTION("""COMPUTED_VALUE"""),"morpho")</f>
        <v>morpho</v>
      </c>
      <c r="C8064" s="4" t="str">
        <f>IFERROR(__xludf.DUMMYFUNCTION("""COMPUTED_VALUE"""),"Morpho Network")</f>
        <v>Morpho Network</v>
      </c>
    </row>
    <row r="8065">
      <c r="A8065" s="4" t="str">
        <f>IFERROR(__xludf.DUMMYFUNCTION("""COMPUTED_VALUE"""),"morra")</f>
        <v>morra</v>
      </c>
      <c r="B8065" s="4" t="str">
        <f>IFERROR(__xludf.DUMMYFUNCTION("""COMPUTED_VALUE"""),"morra")</f>
        <v>morra</v>
      </c>
      <c r="C8065" s="4" t="str">
        <f>IFERROR(__xludf.DUMMYFUNCTION("""COMPUTED_VALUE"""),"Morra")</f>
        <v>Morra</v>
      </c>
    </row>
    <row r="8066">
      <c r="A8066" s="4" t="str">
        <f>IFERROR(__xludf.DUMMYFUNCTION("""COMPUTED_VALUE"""),"mosolid")</f>
        <v>mosolid</v>
      </c>
      <c r="B8066" s="4" t="str">
        <f>IFERROR(__xludf.DUMMYFUNCTION("""COMPUTED_VALUE"""),"mosolid")</f>
        <v>mosolid</v>
      </c>
      <c r="C8066" s="4" t="str">
        <f>IFERROR(__xludf.DUMMYFUNCTION("""COMPUTED_VALUE"""),"moSOLID")</f>
        <v>moSOLID</v>
      </c>
    </row>
    <row r="8067">
      <c r="A8067" s="4" t="str">
        <f>IFERROR(__xludf.DUMMYFUNCTION("""COMPUTED_VALUE"""),"mosquitos-finance")</f>
        <v>mosquitos-finance</v>
      </c>
      <c r="B8067" s="4" t="str">
        <f>IFERROR(__xludf.DUMMYFUNCTION("""COMPUTED_VALUE"""),"suckr")</f>
        <v>suckr</v>
      </c>
      <c r="C8067" s="4" t="str">
        <f>IFERROR(__xludf.DUMMYFUNCTION("""COMPUTED_VALUE"""),"Mosquitos Finance")</f>
        <v>Mosquitos Finance</v>
      </c>
    </row>
    <row r="8068">
      <c r="A8068" s="4" t="str">
        <f>IFERROR(__xludf.DUMMYFUNCTION("""COMPUTED_VALUE"""),"moss-carbon-credit")</f>
        <v>moss-carbon-credit</v>
      </c>
      <c r="B8068" s="4" t="str">
        <f>IFERROR(__xludf.DUMMYFUNCTION("""COMPUTED_VALUE"""),"mco2")</f>
        <v>mco2</v>
      </c>
      <c r="C8068" s="4" t="str">
        <f>IFERROR(__xludf.DUMMYFUNCTION("""COMPUTED_VALUE"""),"Moss Carbon Credit")</f>
        <v>Moss Carbon Credit</v>
      </c>
    </row>
    <row r="8069">
      <c r="A8069" s="4" t="str">
        <f>IFERROR(__xludf.DUMMYFUNCTION("""COMPUTED_VALUE"""),"mossland")</f>
        <v>mossland</v>
      </c>
      <c r="B8069" s="4" t="str">
        <f>IFERROR(__xludf.DUMMYFUNCTION("""COMPUTED_VALUE"""),"moc")</f>
        <v>moc</v>
      </c>
      <c r="C8069" s="4" t="str">
        <f>IFERROR(__xludf.DUMMYFUNCTION("""COMPUTED_VALUE"""),"Mossland")</f>
        <v>Mossland</v>
      </c>
    </row>
    <row r="8070">
      <c r="A8070" s="4" t="str">
        <f>IFERROR(__xludf.DUMMYFUNCTION("""COMPUTED_VALUE"""),"most-global")</f>
        <v>most-global</v>
      </c>
      <c r="B8070" s="4" t="str">
        <f>IFERROR(__xludf.DUMMYFUNCTION("""COMPUTED_VALUE"""),"mgp")</f>
        <v>mgp</v>
      </c>
      <c r="C8070" s="4" t="str">
        <f>IFERROR(__xludf.DUMMYFUNCTION("""COMPUTED_VALUE"""),"MOST Global")</f>
        <v>MOST Global</v>
      </c>
    </row>
    <row r="8071">
      <c r="A8071" s="4" t="str">
        <f>IFERROR(__xludf.DUMMYFUNCTION("""COMPUTED_VALUE"""),"motacoin")</f>
        <v>motacoin</v>
      </c>
      <c r="B8071" s="4" t="str">
        <f>IFERROR(__xludf.DUMMYFUNCTION("""COMPUTED_VALUE"""),"mota")</f>
        <v>mota</v>
      </c>
      <c r="C8071" s="4" t="str">
        <f>IFERROR(__xludf.DUMMYFUNCTION("""COMPUTED_VALUE"""),"MotaCoin")</f>
        <v>MotaCoin</v>
      </c>
    </row>
    <row r="8072">
      <c r="A8072" s="4" t="str">
        <f>IFERROR(__xludf.DUMMYFUNCTION("""COMPUTED_VALUE"""),"mother-earth")</f>
        <v>mother-earth</v>
      </c>
      <c r="B8072" s="4" t="str">
        <f>IFERROR(__xludf.DUMMYFUNCTION("""COMPUTED_VALUE"""),"mot")</f>
        <v>mot</v>
      </c>
      <c r="C8072" s="4" t="str">
        <f>IFERROR(__xludf.DUMMYFUNCTION("""COMPUTED_VALUE"""),"Mother Earth")</f>
        <v>Mother Earth</v>
      </c>
    </row>
    <row r="8073">
      <c r="A8073" s="4" t="str">
        <f>IFERROR(__xludf.DUMMYFUNCTION("""COMPUTED_VALUE"""),"mother-of-memes")</f>
        <v>mother-of-memes</v>
      </c>
      <c r="B8073" s="4" t="str">
        <f>IFERROR(__xludf.DUMMYFUNCTION("""COMPUTED_VALUE"""),"mom")</f>
        <v>mom</v>
      </c>
      <c r="C8073" s="4" t="str">
        <f>IFERROR(__xludf.DUMMYFUNCTION("""COMPUTED_VALUE"""),"Mother of Memes")</f>
        <v>Mother of Memes</v>
      </c>
    </row>
    <row r="8074">
      <c r="A8074" s="4" t="str">
        <f>IFERROR(__xludf.DUMMYFUNCTION("""COMPUTED_VALUE"""),"mother-of-memes-2")</f>
        <v>mother-of-memes-2</v>
      </c>
      <c r="B8074" s="4" t="str">
        <f>IFERROR(__xludf.DUMMYFUNCTION("""COMPUTED_VALUE"""),"haha")</f>
        <v>haha</v>
      </c>
      <c r="C8074" s="4" t="str">
        <f>IFERROR(__xludf.DUMMYFUNCTION("""COMPUTED_VALUE"""),"Mother of Memes")</f>
        <v>Mother of Memes</v>
      </c>
    </row>
    <row r="8075">
      <c r="A8075" s="4" t="str">
        <f>IFERROR(__xludf.DUMMYFUNCTION("""COMPUTED_VALUE"""),"motion-motn")</f>
        <v>motion-motn</v>
      </c>
      <c r="B8075" s="4" t="str">
        <f>IFERROR(__xludf.DUMMYFUNCTION("""COMPUTED_VALUE"""),"motn")</f>
        <v>motn</v>
      </c>
      <c r="C8075" s="4" t="str">
        <f>IFERROR(__xludf.DUMMYFUNCTION("""COMPUTED_VALUE"""),"MOTION")</f>
        <v>MOTION</v>
      </c>
    </row>
    <row r="8076">
      <c r="A8076" s="4" t="str">
        <f>IFERROR(__xludf.DUMMYFUNCTION("""COMPUTED_VALUE"""),"moto")</f>
        <v>moto</v>
      </c>
      <c r="B8076" s="4" t="str">
        <f>IFERROR(__xludf.DUMMYFUNCTION("""COMPUTED_VALUE"""),"moto")</f>
        <v>moto</v>
      </c>
      <c r="C8076" s="4" t="str">
        <f>IFERROR(__xludf.DUMMYFUNCTION("""COMPUTED_VALUE"""),"MOTO")</f>
        <v>MOTO</v>
      </c>
    </row>
    <row r="8077">
      <c r="A8077" s="4" t="str">
        <f>IFERROR(__xludf.DUMMYFUNCTION("""COMPUTED_VALUE"""),"motogp-fan-token")</f>
        <v>motogp-fan-token</v>
      </c>
      <c r="B8077" s="4" t="str">
        <f>IFERROR(__xludf.DUMMYFUNCTION("""COMPUTED_VALUE"""),"mgpt")</f>
        <v>mgpt</v>
      </c>
      <c r="C8077" s="4" t="str">
        <f>IFERROR(__xludf.DUMMYFUNCTION("""COMPUTED_VALUE"""),"MotoGP Fan Token")</f>
        <v>MotoGP Fan Token</v>
      </c>
    </row>
    <row r="8078">
      <c r="A8078" s="4" t="str">
        <f>IFERROR(__xludf.DUMMYFUNCTION("""COMPUTED_VALUE"""),"motorcoin")</f>
        <v>motorcoin</v>
      </c>
      <c r="B8078" s="4" t="str">
        <f>IFERROR(__xludf.DUMMYFUNCTION("""COMPUTED_VALUE"""),"mtrc")</f>
        <v>mtrc</v>
      </c>
      <c r="C8078" s="4" t="str">
        <f>IFERROR(__xludf.DUMMYFUNCTION("""COMPUTED_VALUE"""),"Motorcoin")</f>
        <v>Motorcoin</v>
      </c>
    </row>
    <row r="8079">
      <c r="A8079" s="4" t="str">
        <f>IFERROR(__xludf.DUMMYFUNCTION("""COMPUTED_VALUE"""),"mound-token")</f>
        <v>mound-token</v>
      </c>
      <c r="B8079" s="4" t="str">
        <f>IFERROR(__xludf.DUMMYFUNCTION("""COMPUTED_VALUE"""),"mnd")</f>
        <v>mnd</v>
      </c>
      <c r="C8079" s="4" t="str">
        <f>IFERROR(__xludf.DUMMYFUNCTION("""COMPUTED_VALUE"""),"Mound")</f>
        <v>Mound</v>
      </c>
    </row>
    <row r="8080">
      <c r="A8080" s="4" t="str">
        <f>IFERROR(__xludf.DUMMYFUNCTION("""COMPUTED_VALUE"""),"mountain-protocol-usdm")</f>
        <v>mountain-protocol-usdm</v>
      </c>
      <c r="B8080" s="4" t="str">
        <f>IFERROR(__xludf.DUMMYFUNCTION("""COMPUTED_VALUE"""),"usdm")</f>
        <v>usdm</v>
      </c>
      <c r="C8080" s="4" t="str">
        <f>IFERROR(__xludf.DUMMYFUNCTION("""COMPUTED_VALUE"""),"Mountain Protocol USD")</f>
        <v>Mountain Protocol USD</v>
      </c>
    </row>
    <row r="8081">
      <c r="A8081" s="4" t="str">
        <f>IFERROR(__xludf.DUMMYFUNCTION("""COMPUTED_VALUE"""),"moutai")</f>
        <v>moutai</v>
      </c>
      <c r="B8081" s="4" t="str">
        <f>IFERROR(__xludf.DUMMYFUNCTION("""COMPUTED_VALUE"""),"moutai")</f>
        <v>moutai</v>
      </c>
      <c r="C8081" s="4" t="str">
        <f>IFERROR(__xludf.DUMMYFUNCTION("""COMPUTED_VALUE"""),"Moutai")</f>
        <v>Moutai</v>
      </c>
    </row>
    <row r="8082">
      <c r="A8082" s="4" t="str">
        <f>IFERROR(__xludf.DUMMYFUNCTION("""COMPUTED_VALUE"""),"moveapp")</f>
        <v>moveapp</v>
      </c>
      <c r="B8082" s="4" t="str">
        <f>IFERROR(__xludf.DUMMYFUNCTION("""COMPUTED_VALUE"""),"move")</f>
        <v>move</v>
      </c>
      <c r="C8082" s="4" t="str">
        <f>IFERROR(__xludf.DUMMYFUNCTION("""COMPUTED_VALUE"""),"MoveApp")</f>
        <v>MoveApp</v>
      </c>
    </row>
    <row r="8083">
      <c r="A8083" s="4" t="str">
        <f>IFERROR(__xludf.DUMMYFUNCTION("""COMPUTED_VALUE"""),"movecash")</f>
        <v>movecash</v>
      </c>
      <c r="B8083" s="4" t="str">
        <f>IFERROR(__xludf.DUMMYFUNCTION("""COMPUTED_VALUE"""),"mca")</f>
        <v>mca</v>
      </c>
      <c r="C8083" s="4" t="str">
        <f>IFERROR(__xludf.DUMMYFUNCTION("""COMPUTED_VALUE"""),"MoveCash")</f>
        <v>MoveCash</v>
      </c>
    </row>
    <row r="8084">
      <c r="A8084" s="4" t="str">
        <f>IFERROR(__xludf.DUMMYFUNCTION("""COMPUTED_VALUE"""),"move-dollar")</f>
        <v>move-dollar</v>
      </c>
      <c r="B8084" s="4" t="str">
        <f>IFERROR(__xludf.DUMMYFUNCTION("""COMPUTED_VALUE"""),"mod")</f>
        <v>mod</v>
      </c>
      <c r="C8084" s="4" t="str">
        <f>IFERROR(__xludf.DUMMYFUNCTION("""COMPUTED_VALUE"""),"Move Dollar")</f>
        <v>Move Dollar</v>
      </c>
    </row>
    <row r="8085">
      <c r="A8085" s="4" t="str">
        <f>IFERROR(__xludf.DUMMYFUNCTION("""COMPUTED_VALUE"""),"mover-xyz")</f>
        <v>mover-xyz</v>
      </c>
      <c r="B8085" s="4" t="str">
        <f>IFERROR(__xludf.DUMMYFUNCTION("""COMPUTED_VALUE"""),"mover")</f>
        <v>mover</v>
      </c>
      <c r="C8085" s="4" t="str">
        <f>IFERROR(__xludf.DUMMYFUNCTION("""COMPUTED_VALUE"""),"Mover.xyz")</f>
        <v>Mover.xyz</v>
      </c>
    </row>
    <row r="8086">
      <c r="A8086" s="4" t="str">
        <f>IFERROR(__xludf.DUMMYFUNCTION("""COMPUTED_VALUE"""),"movex-token")</f>
        <v>movex-token</v>
      </c>
      <c r="B8086" s="4" t="str">
        <f>IFERROR(__xludf.DUMMYFUNCTION("""COMPUTED_VALUE"""),"movex")</f>
        <v>movex</v>
      </c>
      <c r="C8086" s="4" t="str">
        <f>IFERROR(__xludf.DUMMYFUNCTION("""COMPUTED_VALUE"""),"Movex Token")</f>
        <v>Movex Token</v>
      </c>
    </row>
    <row r="8087">
      <c r="A8087" s="4" t="str">
        <f>IFERROR(__xludf.DUMMYFUNCTION("""COMPUTED_VALUE"""),"movez")</f>
        <v>movez</v>
      </c>
      <c r="B8087" s="4" t="str">
        <f>IFERROR(__xludf.DUMMYFUNCTION("""COMPUTED_VALUE"""),"movez")</f>
        <v>movez</v>
      </c>
      <c r="C8087" s="4" t="str">
        <f>IFERROR(__xludf.DUMMYFUNCTION("""COMPUTED_VALUE"""),"MoveZ")</f>
        <v>MoveZ</v>
      </c>
    </row>
    <row r="8088">
      <c r="A8088" s="4" t="str">
        <f>IFERROR(__xludf.DUMMYFUNCTION("""COMPUTED_VALUE"""),"moviebloc")</f>
        <v>moviebloc</v>
      </c>
      <c r="B8088" s="4" t="str">
        <f>IFERROR(__xludf.DUMMYFUNCTION("""COMPUTED_VALUE"""),"mbl")</f>
        <v>mbl</v>
      </c>
      <c r="C8088" s="4" t="str">
        <f>IFERROR(__xludf.DUMMYFUNCTION("""COMPUTED_VALUE"""),"MovieBloc")</f>
        <v>MovieBloc</v>
      </c>
    </row>
    <row r="8089">
      <c r="A8089" s="4" t="str">
        <f>IFERROR(__xludf.DUMMYFUNCTION("""COMPUTED_VALUE"""),"movo-smart-chain")</f>
        <v>movo-smart-chain</v>
      </c>
      <c r="B8089" s="4" t="str">
        <f>IFERROR(__xludf.DUMMYFUNCTION("""COMPUTED_VALUE"""),"movo")</f>
        <v>movo</v>
      </c>
      <c r="C8089" s="4" t="str">
        <f>IFERROR(__xludf.DUMMYFUNCTION("""COMPUTED_VALUE"""),"Movo Smart Chain")</f>
        <v>Movo Smart Chain</v>
      </c>
    </row>
    <row r="8090">
      <c r="A8090" s="4" t="str">
        <f>IFERROR(__xludf.DUMMYFUNCTION("""COMPUTED_VALUE"""),"mozaic")</f>
        <v>mozaic</v>
      </c>
      <c r="B8090" s="4" t="str">
        <f>IFERROR(__xludf.DUMMYFUNCTION("""COMPUTED_VALUE"""),"moz")</f>
        <v>moz</v>
      </c>
      <c r="C8090" s="4" t="str">
        <f>IFERROR(__xludf.DUMMYFUNCTION("""COMPUTED_VALUE"""),"Mozaic")</f>
        <v>Mozaic</v>
      </c>
    </row>
    <row r="8091">
      <c r="A8091" s="4" t="str">
        <f>IFERROR(__xludf.DUMMYFUNCTION("""COMPUTED_VALUE"""),"mozfire")</f>
        <v>mozfire</v>
      </c>
      <c r="B8091" s="4" t="str">
        <f>IFERROR(__xludf.DUMMYFUNCTION("""COMPUTED_VALUE"""),"moz")</f>
        <v>moz</v>
      </c>
      <c r="C8091" s="4" t="str">
        <f>IFERROR(__xludf.DUMMYFUNCTION("""COMPUTED_VALUE"""),"MOZFIRE")</f>
        <v>MOZFIRE</v>
      </c>
    </row>
    <row r="8092">
      <c r="A8092" s="4" t="str">
        <f>IFERROR(__xludf.DUMMYFUNCTION("""COMPUTED_VALUE"""),"mpendle")</f>
        <v>mpendle</v>
      </c>
      <c r="B8092" s="4" t="str">
        <f>IFERROR(__xludf.DUMMYFUNCTION("""COMPUTED_VALUE"""),"mpendle")</f>
        <v>mpendle</v>
      </c>
      <c r="C8092" s="4" t="str">
        <f>IFERROR(__xludf.DUMMYFUNCTION("""COMPUTED_VALUE"""),"mPendle")</f>
        <v>mPendle</v>
      </c>
    </row>
    <row r="8093">
      <c r="A8093" s="4" t="str">
        <f>IFERROR(__xludf.DUMMYFUNCTION("""COMPUTED_VALUE"""),"mpeth")</f>
        <v>mpeth</v>
      </c>
      <c r="B8093" s="4" t="str">
        <f>IFERROR(__xludf.DUMMYFUNCTION("""COMPUTED_VALUE"""),"mpeth")</f>
        <v>mpeth</v>
      </c>
      <c r="C8093" s="4" t="str">
        <f>IFERROR(__xludf.DUMMYFUNCTION("""COMPUTED_VALUE"""),"mpETH")</f>
        <v>mpETH</v>
      </c>
    </row>
    <row r="8094">
      <c r="A8094" s="4" t="str">
        <f>IFERROR(__xludf.DUMMYFUNCTION("""COMPUTED_VALUE"""),"mpro-lab")</f>
        <v>mpro-lab</v>
      </c>
      <c r="B8094" s="4" t="str">
        <f>IFERROR(__xludf.DUMMYFUNCTION("""COMPUTED_VALUE"""),"mpro")</f>
        <v>mpro</v>
      </c>
      <c r="C8094" s="4" t="str">
        <f>IFERROR(__xludf.DUMMYFUNCTION("""COMPUTED_VALUE"""),"MPRO Lab")</f>
        <v>MPRO Lab</v>
      </c>
    </row>
    <row r="8095">
      <c r="A8095" s="4" t="str">
        <f>IFERROR(__xludf.DUMMYFUNCTION("""COMPUTED_VALUE"""),"mpx")</f>
        <v>mpx</v>
      </c>
      <c r="B8095" s="4" t="str">
        <f>IFERROR(__xludf.DUMMYFUNCTION("""COMPUTED_VALUE"""),"mpx")</f>
        <v>mpx</v>
      </c>
      <c r="C8095" s="4" t="str">
        <f>IFERROR(__xludf.DUMMYFUNCTION("""COMPUTED_VALUE"""),"Morphex")</f>
        <v>Morphex</v>
      </c>
    </row>
    <row r="8096">
      <c r="A8096" s="4" t="str">
        <f>IFERROR(__xludf.DUMMYFUNCTION("""COMPUTED_VALUE"""),"mr-beast-dog")</f>
        <v>mr-beast-dog</v>
      </c>
      <c r="B8096" s="4" t="str">
        <f>IFERROR(__xludf.DUMMYFUNCTION("""COMPUTED_VALUE"""),"pinky")</f>
        <v>pinky</v>
      </c>
      <c r="C8096" s="4" t="str">
        <f>IFERROR(__xludf.DUMMYFUNCTION("""COMPUTED_VALUE"""),"Mr.Beast Dog")</f>
        <v>Mr.Beast Dog</v>
      </c>
    </row>
    <row r="8097">
      <c r="A8097" s="4" t="str">
        <f>IFERROR(__xludf.DUMMYFUNCTION("""COMPUTED_VALUE"""),"mr-mint")</f>
        <v>mr-mint</v>
      </c>
      <c r="B8097" s="4" t="str">
        <f>IFERROR(__xludf.DUMMYFUNCTION("""COMPUTED_VALUE"""),"mnt")</f>
        <v>mnt</v>
      </c>
      <c r="C8097" s="4" t="str">
        <f>IFERROR(__xludf.DUMMYFUNCTION("""COMPUTED_VALUE"""),"Mr. Mint")</f>
        <v>Mr. Mint</v>
      </c>
    </row>
    <row r="8098">
      <c r="A8098" s="4" t="str">
        <f>IFERROR(__xludf.DUMMYFUNCTION("""COMPUTED_VALUE"""),"mr-rabbit-coin")</f>
        <v>mr-rabbit-coin</v>
      </c>
      <c r="B8098" s="4" t="str">
        <f>IFERROR(__xludf.DUMMYFUNCTION("""COMPUTED_VALUE"""),"mrabbit")</f>
        <v>mrabbit</v>
      </c>
      <c r="C8098" s="4" t="str">
        <f>IFERROR(__xludf.DUMMYFUNCTION("""COMPUTED_VALUE"""),"Mr Rabbit Coin")</f>
        <v>Mr Rabbit Coin</v>
      </c>
    </row>
    <row r="8099">
      <c r="A8099" s="4" t="str">
        <f>IFERROR(__xludf.DUMMYFUNCTION("""COMPUTED_VALUE"""),"mrspepe")</f>
        <v>mrspepe</v>
      </c>
      <c r="B8099" s="4" t="str">
        <f>IFERROR(__xludf.DUMMYFUNCTION("""COMPUTED_VALUE"""),"mrspepe")</f>
        <v>mrspepe</v>
      </c>
      <c r="C8099" s="4" t="str">
        <f>IFERROR(__xludf.DUMMYFUNCTION("""COMPUTED_VALUE"""),"MrsPepe")</f>
        <v>MrsPepe</v>
      </c>
    </row>
    <row r="8100">
      <c r="A8100" s="4" t="str">
        <f>IFERROR(__xludf.DUMMYFUNCTION("""COMPUTED_VALUE"""),"mrweb-finance-2")</f>
        <v>mrweb-finance-2</v>
      </c>
      <c r="B8100" s="4" t="str">
        <f>IFERROR(__xludf.DUMMYFUNCTION("""COMPUTED_VALUE"""),"ama")</f>
        <v>ama</v>
      </c>
      <c r="C8100" s="4" t="str">
        <f>IFERROR(__xludf.DUMMYFUNCTION("""COMPUTED_VALUE"""),"MrWeb Finance")</f>
        <v>MrWeb Finance</v>
      </c>
    </row>
    <row r="8101">
      <c r="A8101" s="4" t="str">
        <f>IFERROR(__xludf.DUMMYFUNCTION("""COMPUTED_VALUE"""),"msol")</f>
        <v>msol</v>
      </c>
      <c r="B8101" s="4" t="str">
        <f>IFERROR(__xludf.DUMMYFUNCTION("""COMPUTED_VALUE"""),"msol")</f>
        <v>msol</v>
      </c>
      <c r="C8101" s="4" t="str">
        <f>IFERROR(__xludf.DUMMYFUNCTION("""COMPUTED_VALUE"""),"Marinade staked SOL")</f>
        <v>Marinade staked SOL</v>
      </c>
    </row>
    <row r="8102">
      <c r="A8102" s="4" t="str">
        <f>IFERROR(__xludf.DUMMYFUNCTION("""COMPUTED_VALUE"""),"ms-paint")</f>
        <v>ms-paint</v>
      </c>
      <c r="B8102" s="4" t="str">
        <f>IFERROR(__xludf.DUMMYFUNCTION("""COMPUTED_VALUE"""),"paint")</f>
        <v>paint</v>
      </c>
      <c r="C8102" s="4" t="str">
        <f>IFERROR(__xludf.DUMMYFUNCTION("""COMPUTED_VALUE"""),"MS Paint")</f>
        <v>MS Paint</v>
      </c>
    </row>
    <row r="8103">
      <c r="A8103" s="4" t="str">
        <f>IFERROR(__xludf.DUMMYFUNCTION("""COMPUTED_VALUE"""),"msquare-global")</f>
        <v>msquare-global</v>
      </c>
      <c r="B8103" s="4" t="str">
        <f>IFERROR(__xludf.DUMMYFUNCTION("""COMPUTED_VALUE"""),"msq")</f>
        <v>msq</v>
      </c>
      <c r="C8103" s="4" t="str">
        <f>IFERROR(__xludf.DUMMYFUNCTION("""COMPUTED_VALUE"""),"MSquare Global")</f>
        <v>MSquare Global</v>
      </c>
    </row>
    <row r="8104">
      <c r="A8104" s="4" t="str">
        <f>IFERROR(__xludf.DUMMYFUNCTION("""COMPUTED_VALUE"""),"mtfi")</f>
        <v>mtfi</v>
      </c>
      <c r="B8104" s="4" t="str">
        <f>IFERROR(__xludf.DUMMYFUNCTION("""COMPUTED_VALUE"""),"mtfi")</f>
        <v>mtfi</v>
      </c>
      <c r="C8104" s="4" t="str">
        <f>IFERROR(__xludf.DUMMYFUNCTION("""COMPUTED_VALUE"""),"MTFi")</f>
        <v>MTFi</v>
      </c>
    </row>
    <row r="8105">
      <c r="A8105" s="4" t="str">
        <f>IFERROR(__xludf.DUMMYFUNCTION("""COMPUTED_VALUE"""),"mtg-token")</f>
        <v>mtg-token</v>
      </c>
      <c r="B8105" s="4" t="str">
        <f>IFERROR(__xludf.DUMMYFUNCTION("""COMPUTED_VALUE"""),"mtg")</f>
        <v>mtg</v>
      </c>
      <c r="C8105" s="4" t="str">
        <f>IFERROR(__xludf.DUMMYFUNCTION("""COMPUTED_VALUE"""),"MTG Token")</f>
        <v>MTG Token</v>
      </c>
    </row>
    <row r="8106">
      <c r="A8106" s="4" t="str">
        <f>IFERROR(__xludf.DUMMYFUNCTION("""COMPUTED_VALUE"""),"mt-pelerin-shares")</f>
        <v>mt-pelerin-shares</v>
      </c>
      <c r="B8106" s="4" t="str">
        <f>IFERROR(__xludf.DUMMYFUNCTION("""COMPUTED_VALUE"""),"mps")</f>
        <v>mps</v>
      </c>
      <c r="C8106" s="4" t="str">
        <f>IFERROR(__xludf.DUMMYFUNCTION("""COMPUTED_VALUE"""),"Mt Pelerin Shares")</f>
        <v>Mt Pelerin Shares</v>
      </c>
    </row>
    <row r="8107">
      <c r="A8107" s="4" t="str">
        <f>IFERROR(__xludf.DUMMYFUNCTION("""COMPUTED_VALUE"""),"mt-token")</f>
        <v>mt-token</v>
      </c>
      <c r="B8107" s="4" t="str">
        <f>IFERROR(__xludf.DUMMYFUNCTION("""COMPUTED_VALUE"""),"mt")</f>
        <v>mt</v>
      </c>
      <c r="C8107" s="4" t="str">
        <f>IFERROR(__xludf.DUMMYFUNCTION("""COMPUTED_VALUE"""),"MT Tower")</f>
        <v>MT Tower</v>
      </c>
    </row>
    <row r="8108">
      <c r="A8108" s="4" t="str">
        <f>IFERROR(__xludf.DUMMYFUNCTION("""COMPUTED_VALUE"""),"mu-coin")</f>
        <v>mu-coin</v>
      </c>
      <c r="B8108" s="4" t="str">
        <f>IFERROR(__xludf.DUMMYFUNCTION("""COMPUTED_VALUE"""),"mu")</f>
        <v>mu</v>
      </c>
      <c r="C8108" s="4" t="str">
        <f>IFERROR(__xludf.DUMMYFUNCTION("""COMPUTED_VALUE"""),"Mu Coin")</f>
        <v>Mu Coin</v>
      </c>
    </row>
    <row r="8109">
      <c r="A8109" s="4" t="str">
        <f>IFERROR(__xludf.DUMMYFUNCTION("""COMPUTED_VALUE"""),"mudra-exchange")</f>
        <v>mudra-exchange</v>
      </c>
      <c r="B8109" s="4" t="str">
        <f>IFERROR(__xludf.DUMMYFUNCTION("""COMPUTED_VALUE"""),"mudra")</f>
        <v>mudra</v>
      </c>
      <c r="C8109" s="4" t="str">
        <f>IFERROR(__xludf.DUMMYFUNCTION("""COMPUTED_VALUE"""),"Mudra")</f>
        <v>Mudra</v>
      </c>
    </row>
    <row r="8110">
      <c r="A8110" s="4" t="str">
        <f>IFERROR(__xludf.DUMMYFUNCTION("""COMPUTED_VALUE"""),"mudra-mdr")</f>
        <v>mudra-mdr</v>
      </c>
      <c r="B8110" s="4" t="str">
        <f>IFERROR(__xludf.DUMMYFUNCTION("""COMPUTED_VALUE"""),"mdr")</f>
        <v>mdr</v>
      </c>
      <c r="C8110" s="4" t="str">
        <f>IFERROR(__xludf.DUMMYFUNCTION("""COMPUTED_VALUE"""),"Mudra MDR")</f>
        <v>Mudra MDR</v>
      </c>
    </row>
    <row r="8111">
      <c r="A8111" s="4" t="str">
        <f>IFERROR(__xludf.DUMMYFUNCTION("""COMPUTED_VALUE"""),"muesliswap-milk")</f>
        <v>muesliswap-milk</v>
      </c>
      <c r="B8111" s="4" t="str">
        <f>IFERROR(__xludf.DUMMYFUNCTION("""COMPUTED_VALUE"""),"milk")</f>
        <v>milk</v>
      </c>
      <c r="C8111" s="4" t="str">
        <f>IFERROR(__xludf.DUMMYFUNCTION("""COMPUTED_VALUE"""),"MuesliSwap MILK")</f>
        <v>MuesliSwap MILK</v>
      </c>
    </row>
    <row r="8112">
      <c r="A8112" s="4" t="str">
        <f>IFERROR(__xludf.DUMMYFUNCTION("""COMPUTED_VALUE"""),"muesliswap-yield-token")</f>
        <v>muesliswap-yield-token</v>
      </c>
      <c r="B8112" s="4" t="str">
        <f>IFERROR(__xludf.DUMMYFUNCTION("""COMPUTED_VALUE"""),"myield")</f>
        <v>myield</v>
      </c>
      <c r="C8112" s="4" t="str">
        <f>IFERROR(__xludf.DUMMYFUNCTION("""COMPUTED_VALUE"""),"MuesliSwap Yield")</f>
        <v>MuesliSwap Yield</v>
      </c>
    </row>
    <row r="8113">
      <c r="A8113" s="4" t="str">
        <f>IFERROR(__xludf.DUMMYFUNCTION("""COMPUTED_VALUE"""),"muito-finance")</f>
        <v>muito-finance</v>
      </c>
      <c r="B8113" s="4" t="str">
        <f>IFERROR(__xludf.DUMMYFUNCTION("""COMPUTED_VALUE"""),"muto")</f>
        <v>muto</v>
      </c>
      <c r="C8113" s="4" t="str">
        <f>IFERROR(__xludf.DUMMYFUNCTION("""COMPUTED_VALUE"""),"Muito Finance")</f>
        <v>Muito Finance</v>
      </c>
    </row>
    <row r="8114">
      <c r="A8114" s="4" t="str">
        <f>IFERROR(__xludf.DUMMYFUNCTION("""COMPUTED_VALUE"""),"multi-ai")</f>
        <v>multi-ai</v>
      </c>
      <c r="B8114" s="4" t="str">
        <f>IFERROR(__xludf.DUMMYFUNCTION("""COMPUTED_VALUE"""),"mai")</f>
        <v>mai</v>
      </c>
      <c r="C8114" s="4" t="str">
        <f>IFERROR(__xludf.DUMMYFUNCTION("""COMPUTED_VALUE"""),"Multi AI")</f>
        <v>Multi AI</v>
      </c>
    </row>
    <row r="8115">
      <c r="A8115" s="4" t="str">
        <f>IFERROR(__xludf.DUMMYFUNCTION("""COMPUTED_VALUE"""),"multibit")</f>
        <v>multibit</v>
      </c>
      <c r="B8115" s="4" t="str">
        <f>IFERROR(__xludf.DUMMYFUNCTION("""COMPUTED_VALUE"""),"mubi")</f>
        <v>mubi</v>
      </c>
      <c r="C8115" s="4" t="str">
        <f>IFERROR(__xludf.DUMMYFUNCTION("""COMPUTED_VALUE"""),"Multibit")</f>
        <v>Multibit</v>
      </c>
    </row>
    <row r="8116">
      <c r="A8116" s="4" t="str">
        <f>IFERROR(__xludf.DUMMYFUNCTION("""COMPUTED_VALUE"""),"multichain")</f>
        <v>multichain</v>
      </c>
      <c r="B8116" s="4" t="str">
        <f>IFERROR(__xludf.DUMMYFUNCTION("""COMPUTED_VALUE"""),"multi")</f>
        <v>multi</v>
      </c>
      <c r="C8116" s="4" t="str">
        <f>IFERROR(__xludf.DUMMYFUNCTION("""COMPUTED_VALUE"""),"Multichain")</f>
        <v>Multichain</v>
      </c>
    </row>
    <row r="8117">
      <c r="A8117" s="4" t="str">
        <f>IFERROR(__xludf.DUMMYFUNCTION("""COMPUTED_VALUE"""),"multichain-bridged-busd-moonriver")</f>
        <v>multichain-bridged-busd-moonriver</v>
      </c>
      <c r="B8117" s="4" t="str">
        <f>IFERROR(__xludf.DUMMYFUNCTION("""COMPUTED_VALUE"""),"busd")</f>
        <v>busd</v>
      </c>
      <c r="C8117" s="4" t="str">
        <f>IFERROR(__xludf.DUMMYFUNCTION("""COMPUTED_VALUE"""),"Multichain Bridged BUSD (Moonriver)")</f>
        <v>Multichain Bridged BUSD (Moonriver)</v>
      </c>
    </row>
    <row r="8118">
      <c r="A8118" s="4" t="str">
        <f>IFERROR(__xludf.DUMMYFUNCTION("""COMPUTED_VALUE"""),"multichain-bridged-busd-okt-chain")</f>
        <v>multichain-bridged-busd-okt-chain</v>
      </c>
      <c r="B8118" s="4" t="str">
        <f>IFERROR(__xludf.DUMMYFUNCTION("""COMPUTED_VALUE"""),"busd")</f>
        <v>busd</v>
      </c>
      <c r="C8118" s="4" t="str">
        <f>IFERROR(__xludf.DUMMYFUNCTION("""COMPUTED_VALUE"""),"Multichain Bridged BUSD (OKT Chain)")</f>
        <v>Multichain Bridged BUSD (OKT Chain)</v>
      </c>
    </row>
    <row r="8119">
      <c r="A8119" s="4" t="str">
        <f>IFERROR(__xludf.DUMMYFUNCTION("""COMPUTED_VALUE"""),"multichain-bridged-usdc-dogechain")</f>
        <v>multichain-bridged-usdc-dogechain</v>
      </c>
      <c r="B8119" s="4" t="str">
        <f>IFERROR(__xludf.DUMMYFUNCTION("""COMPUTED_VALUE"""),"usdc")</f>
        <v>usdc</v>
      </c>
      <c r="C8119" s="4" t="str">
        <f>IFERROR(__xludf.DUMMYFUNCTION("""COMPUTED_VALUE"""),"Multichain Bridged USDC (Dogechain)")</f>
        <v>Multichain Bridged USDC (Dogechain)</v>
      </c>
    </row>
    <row r="8120">
      <c r="A8120" s="4" t="str">
        <f>IFERROR(__xludf.DUMMYFUNCTION("""COMPUTED_VALUE"""),"multichain-bridged-usdc-fantom")</f>
        <v>multichain-bridged-usdc-fantom</v>
      </c>
      <c r="B8120" s="4" t="str">
        <f>IFERROR(__xludf.DUMMYFUNCTION("""COMPUTED_VALUE"""),"usdc")</f>
        <v>usdc</v>
      </c>
      <c r="C8120" s="4" t="str">
        <f>IFERROR(__xludf.DUMMYFUNCTION("""COMPUTED_VALUE"""),"Multichain Bridged USDC (Fantom)")</f>
        <v>Multichain Bridged USDC (Fantom)</v>
      </c>
    </row>
    <row r="8121">
      <c r="A8121" s="4" t="str">
        <f>IFERROR(__xludf.DUMMYFUNCTION("""COMPUTED_VALUE"""),"multichain-bridged-usdc-kardiachain")</f>
        <v>multichain-bridged-usdc-kardiachain</v>
      </c>
      <c r="B8121" s="4" t="str">
        <f>IFERROR(__xludf.DUMMYFUNCTION("""COMPUTED_VALUE"""),"usdc")</f>
        <v>usdc</v>
      </c>
      <c r="C8121" s="4" t="str">
        <f>IFERROR(__xludf.DUMMYFUNCTION("""COMPUTED_VALUE"""),"Multichain Bridged USDC (KardiaChain)")</f>
        <v>Multichain Bridged USDC (KardiaChain)</v>
      </c>
    </row>
    <row r="8122">
      <c r="A8122" s="4" t="str">
        <f>IFERROR(__xludf.DUMMYFUNCTION("""COMPUTED_VALUE"""),"multichain-bridged-usdc-kava")</f>
        <v>multichain-bridged-usdc-kava</v>
      </c>
      <c r="B8122" s="4" t="str">
        <f>IFERROR(__xludf.DUMMYFUNCTION("""COMPUTED_VALUE"""),"usdc")</f>
        <v>usdc</v>
      </c>
      <c r="C8122" s="4" t="str">
        <f>IFERROR(__xludf.DUMMYFUNCTION("""COMPUTED_VALUE"""),"Multichain Bridged USDC (Kava)")</f>
        <v>Multichain Bridged USDC (Kava)</v>
      </c>
    </row>
    <row r="8123">
      <c r="A8123" s="4" t="str">
        <f>IFERROR(__xludf.DUMMYFUNCTION("""COMPUTED_VALUE"""),"multichain-bridged-usdc-moonbeam")</f>
        <v>multichain-bridged-usdc-moonbeam</v>
      </c>
      <c r="B8123" s="4" t="str">
        <f>IFERROR(__xludf.DUMMYFUNCTION("""COMPUTED_VALUE"""),"usdc")</f>
        <v>usdc</v>
      </c>
      <c r="C8123" s="4" t="str">
        <f>IFERROR(__xludf.DUMMYFUNCTION("""COMPUTED_VALUE"""),"Multichain Bridged USDC (Moonbeam)")</f>
        <v>Multichain Bridged USDC (Moonbeam)</v>
      </c>
    </row>
    <row r="8124">
      <c r="A8124" s="4" t="str">
        <f>IFERROR(__xludf.DUMMYFUNCTION("""COMPUTED_VALUE"""),"multichain-bridged-usdc-syscoin")</f>
        <v>multichain-bridged-usdc-syscoin</v>
      </c>
      <c r="B8124" s="4" t="str">
        <f>IFERROR(__xludf.DUMMYFUNCTION("""COMPUTED_VALUE"""),"usdc")</f>
        <v>usdc</v>
      </c>
      <c r="C8124" s="4" t="str">
        <f>IFERROR(__xludf.DUMMYFUNCTION("""COMPUTED_VALUE"""),"Multichain Bridged USDC (Syscoin)")</f>
        <v>Multichain Bridged USDC (Syscoin)</v>
      </c>
    </row>
    <row r="8125">
      <c r="A8125" s="4" t="str">
        <f>IFERROR(__xludf.DUMMYFUNCTION("""COMPUTED_VALUE"""),"multichain-bridged-usdc-telos")</f>
        <v>multichain-bridged-usdc-telos</v>
      </c>
      <c r="B8125" s="4" t="str">
        <f>IFERROR(__xludf.DUMMYFUNCTION("""COMPUTED_VALUE"""),"usdc")</f>
        <v>usdc</v>
      </c>
      <c r="C8125" s="4" t="str">
        <f>IFERROR(__xludf.DUMMYFUNCTION("""COMPUTED_VALUE"""),"Multichain Bridged USDC (Telos)")</f>
        <v>Multichain Bridged USDC (Telos)</v>
      </c>
    </row>
    <row r="8126">
      <c r="A8126" s="4" t="str">
        <f>IFERROR(__xludf.DUMMYFUNCTION("""COMPUTED_VALUE"""),"multichain-bridged-usdt-bittorrent")</f>
        <v>multichain-bridged-usdt-bittorrent</v>
      </c>
      <c r="B8126" s="4" t="str">
        <f>IFERROR(__xludf.DUMMYFUNCTION("""COMPUTED_VALUE"""),"usdt_t")</f>
        <v>usdt_t</v>
      </c>
      <c r="C8126" s="4" t="str">
        <f>IFERROR(__xludf.DUMMYFUNCTION("""COMPUTED_VALUE"""),"Multichain Bridged USDT (BitTorrent)")</f>
        <v>Multichain Bridged USDT (BitTorrent)</v>
      </c>
    </row>
    <row r="8127">
      <c r="A8127" s="4" t="str">
        <f>IFERROR(__xludf.DUMMYFUNCTION("""COMPUTED_VALUE"""),"multichain-bridged-usdt-moonbeam")</f>
        <v>multichain-bridged-usdt-moonbeam</v>
      </c>
      <c r="B8127" s="4" t="str">
        <f>IFERROR(__xludf.DUMMYFUNCTION("""COMPUTED_VALUE"""),"usdt")</f>
        <v>usdt</v>
      </c>
      <c r="C8127" s="4" t="str">
        <f>IFERROR(__xludf.DUMMYFUNCTION("""COMPUTED_VALUE"""),"Multichain Bridged USDT (Moonbeam)")</f>
        <v>Multichain Bridged USDT (Moonbeam)</v>
      </c>
    </row>
    <row r="8128">
      <c r="A8128" s="4" t="str">
        <f>IFERROR(__xludf.DUMMYFUNCTION("""COMPUTED_VALUE"""),"multichain-bridged-usdt-moonriver")</f>
        <v>multichain-bridged-usdt-moonriver</v>
      </c>
      <c r="B8128" s="4" t="str">
        <f>IFERROR(__xludf.DUMMYFUNCTION("""COMPUTED_VALUE"""),"usdt")</f>
        <v>usdt</v>
      </c>
      <c r="C8128" s="4" t="str">
        <f>IFERROR(__xludf.DUMMYFUNCTION("""COMPUTED_VALUE"""),"Multichain Bridged USDT (Moonriver)")</f>
        <v>Multichain Bridged USDT (Moonriver)</v>
      </c>
    </row>
    <row r="8129">
      <c r="A8129" s="4" t="str">
        <f>IFERROR(__xludf.DUMMYFUNCTION("""COMPUTED_VALUE"""),"multichain-bridged-usdt-syscoin")</f>
        <v>multichain-bridged-usdt-syscoin</v>
      </c>
      <c r="B8129" s="4" t="str">
        <f>IFERROR(__xludf.DUMMYFUNCTION("""COMPUTED_VALUE"""),"usdt")</f>
        <v>usdt</v>
      </c>
      <c r="C8129" s="4" t="str">
        <f>IFERROR(__xludf.DUMMYFUNCTION("""COMPUTED_VALUE"""),"Multichain Bridged USDT (Syscoin)")</f>
        <v>Multichain Bridged USDT (Syscoin)</v>
      </c>
    </row>
    <row r="8130">
      <c r="A8130" s="4" t="str">
        <f>IFERROR(__xludf.DUMMYFUNCTION("""COMPUTED_VALUE"""),"multichain-bridged-usdt-telos")</f>
        <v>multichain-bridged-usdt-telos</v>
      </c>
      <c r="B8130" s="4" t="str">
        <f>IFERROR(__xludf.DUMMYFUNCTION("""COMPUTED_VALUE"""),"usdt")</f>
        <v>usdt</v>
      </c>
      <c r="C8130" s="4" t="str">
        <f>IFERROR(__xludf.DUMMYFUNCTION("""COMPUTED_VALUE"""),"Multichain Bridged USDT (Telos)")</f>
        <v>Multichain Bridged USDT (Telos)</v>
      </c>
    </row>
    <row r="8131">
      <c r="A8131" s="4" t="str">
        <f>IFERROR(__xludf.DUMMYFUNCTION("""COMPUTED_VALUE"""),"multidex-ai")</f>
        <v>multidex-ai</v>
      </c>
      <c r="B8131" s="4" t="str">
        <f>IFERROR(__xludf.DUMMYFUNCTION("""COMPUTED_VALUE"""),"mdx")</f>
        <v>mdx</v>
      </c>
      <c r="C8131" s="4" t="str">
        <f>IFERROR(__xludf.DUMMYFUNCTION("""COMPUTED_VALUE"""),"MultiDEX AI")</f>
        <v>MultiDEX AI</v>
      </c>
    </row>
    <row r="8132">
      <c r="A8132" s="4" t="str">
        <f>IFERROR(__xludf.DUMMYFUNCTION("""COMPUTED_VALUE"""),"multimoney-global")</f>
        <v>multimoney-global</v>
      </c>
      <c r="B8132" s="4" t="str">
        <f>IFERROR(__xludf.DUMMYFUNCTION("""COMPUTED_VALUE"""),"mmgt")</f>
        <v>mmgt</v>
      </c>
      <c r="C8132" s="4" t="str">
        <f>IFERROR(__xludf.DUMMYFUNCTION("""COMPUTED_VALUE"""),"MultiMoney.Global")</f>
        <v>MultiMoney.Global</v>
      </c>
    </row>
    <row r="8133">
      <c r="A8133" s="4" t="str">
        <f>IFERROR(__xludf.DUMMYFUNCTION("""COMPUTED_VALUE"""),"multipad")</f>
        <v>multipad</v>
      </c>
      <c r="B8133" s="4" t="str">
        <f>IFERROR(__xludf.DUMMYFUNCTION("""COMPUTED_VALUE"""),"mpad")</f>
        <v>mpad</v>
      </c>
      <c r="C8133" s="4" t="str">
        <f>IFERROR(__xludf.DUMMYFUNCTION("""COMPUTED_VALUE"""),"MultiPad")</f>
        <v>MultiPad</v>
      </c>
    </row>
    <row r="8134">
      <c r="A8134" s="4" t="str">
        <f>IFERROR(__xludf.DUMMYFUNCTION("""COMPUTED_VALUE"""),"multiplanetary-inus")</f>
        <v>multiplanetary-inus</v>
      </c>
      <c r="B8134" s="4" t="str">
        <f>IFERROR(__xludf.DUMMYFUNCTION("""COMPUTED_VALUE"""),"inus")</f>
        <v>inus</v>
      </c>
      <c r="C8134" s="4" t="str">
        <f>IFERROR(__xludf.DUMMYFUNCTION("""COMPUTED_VALUE"""),"MultiPlanetary Inus")</f>
        <v>MultiPlanetary Inus</v>
      </c>
    </row>
    <row r="8135">
      <c r="A8135" s="4" t="str">
        <f>IFERROR(__xludf.DUMMYFUNCTION("""COMPUTED_VALUE"""),"multiport")</f>
        <v>multiport</v>
      </c>
      <c r="B8135" s="4" t="str">
        <f>IFERROR(__xludf.DUMMYFUNCTION("""COMPUTED_VALUE"""),"port")</f>
        <v>port</v>
      </c>
      <c r="C8135" s="4" t="str">
        <f>IFERROR(__xludf.DUMMYFUNCTION("""COMPUTED_VALUE"""),"Multiport")</f>
        <v>Multiport</v>
      </c>
    </row>
    <row r="8136">
      <c r="A8136" s="4" t="str">
        <f>IFERROR(__xludf.DUMMYFUNCTION("""COMPUTED_VALUE"""),"multisys")</f>
        <v>multisys</v>
      </c>
      <c r="B8136" s="4" t="str">
        <f>IFERROR(__xludf.DUMMYFUNCTION("""COMPUTED_VALUE"""),"myus")</f>
        <v>myus</v>
      </c>
      <c r="C8136" s="4" t="str">
        <f>IFERROR(__xludf.DUMMYFUNCTION("""COMPUTED_VALUE"""),"Multisys")</f>
        <v>Multisys</v>
      </c>
    </row>
    <row r="8137">
      <c r="A8137" s="4" t="str">
        <f>IFERROR(__xludf.DUMMYFUNCTION("""COMPUTED_VALUE"""),"multivac")</f>
        <v>multivac</v>
      </c>
      <c r="B8137" s="4" t="str">
        <f>IFERROR(__xludf.DUMMYFUNCTION("""COMPUTED_VALUE"""),"mtv")</f>
        <v>mtv</v>
      </c>
      <c r="C8137" s="4" t="str">
        <f>IFERROR(__xludf.DUMMYFUNCTION("""COMPUTED_VALUE"""),"MultiVAC")</f>
        <v>MultiVAC</v>
      </c>
    </row>
    <row r="8138">
      <c r="A8138" s="4" t="str">
        <f>IFERROR(__xludf.DUMMYFUNCTION("""COMPUTED_VALUE"""),"multiverse")</f>
        <v>multiverse</v>
      </c>
      <c r="B8138" s="4" t="str">
        <f>IFERROR(__xludf.DUMMYFUNCTION("""COMPUTED_VALUE"""),"ai")</f>
        <v>ai</v>
      </c>
      <c r="C8138" s="4" t="str">
        <f>IFERROR(__xludf.DUMMYFUNCTION("""COMPUTED_VALUE"""),"Multiverse")</f>
        <v>Multiverse</v>
      </c>
    </row>
    <row r="8139">
      <c r="A8139" s="4" t="str">
        <f>IFERROR(__xludf.DUMMYFUNCTION("""COMPUTED_VALUE"""),"multiverse-capital")</f>
        <v>multiverse-capital</v>
      </c>
      <c r="B8139" s="4" t="str">
        <f>IFERROR(__xludf.DUMMYFUNCTION("""COMPUTED_VALUE"""),"mvc")</f>
        <v>mvc</v>
      </c>
      <c r="C8139" s="4" t="str">
        <f>IFERROR(__xludf.DUMMYFUNCTION("""COMPUTED_VALUE"""),"Multiverse Capital")</f>
        <v>Multiverse Capital</v>
      </c>
    </row>
    <row r="8140">
      <c r="A8140" s="4" t="str">
        <f>IFERROR(__xludf.DUMMYFUNCTION("""COMPUTED_VALUE"""),"mumba")</f>
        <v>mumba</v>
      </c>
      <c r="B8140" s="4" t="str">
        <f>IFERROR(__xludf.DUMMYFUNCTION("""COMPUTED_VALUE"""),"mumba")</f>
        <v>mumba</v>
      </c>
      <c r="C8140" s="4" t="str">
        <f>IFERROR(__xludf.DUMMYFUNCTION("""COMPUTED_VALUE"""),"Mumba")</f>
        <v>Mumba</v>
      </c>
    </row>
    <row r="8141">
      <c r="A8141" s="4" t="str">
        <f>IFERROR(__xludf.DUMMYFUNCTION("""COMPUTED_VALUE"""),"mu-meme")</f>
        <v>mu-meme</v>
      </c>
      <c r="B8141" s="4" t="str">
        <f>IFERROR(__xludf.DUMMYFUNCTION("""COMPUTED_VALUE"""),"mume")</f>
        <v>mume</v>
      </c>
      <c r="C8141" s="4" t="str">
        <f>IFERROR(__xludf.DUMMYFUNCTION("""COMPUTED_VALUE"""),"Mu Meme")</f>
        <v>Mu Meme</v>
      </c>
    </row>
    <row r="8142">
      <c r="A8142" s="4" t="str">
        <f>IFERROR(__xludf.DUMMYFUNCTION("""COMPUTED_VALUE"""),"mummy-finance")</f>
        <v>mummy-finance</v>
      </c>
      <c r="B8142" s="4" t="str">
        <f>IFERROR(__xludf.DUMMYFUNCTION("""COMPUTED_VALUE"""),"mmy")</f>
        <v>mmy</v>
      </c>
      <c r="C8142" s="4" t="str">
        <f>IFERROR(__xludf.DUMMYFUNCTION("""COMPUTED_VALUE"""),"Mummy Finance")</f>
        <v>Mummy Finance</v>
      </c>
    </row>
    <row r="8143">
      <c r="A8143" s="4" t="str">
        <f>IFERROR(__xludf.DUMMYFUNCTION("""COMPUTED_VALUE"""),"mumu")</f>
        <v>mumu</v>
      </c>
      <c r="B8143" s="4" t="str">
        <f>IFERROR(__xludf.DUMMYFUNCTION("""COMPUTED_VALUE"""),"mumu")</f>
        <v>mumu</v>
      </c>
      <c r="C8143" s="4" t="str">
        <f>IFERROR(__xludf.DUMMYFUNCTION("""COMPUTED_VALUE"""),"Mumu")</f>
        <v>Mumu</v>
      </c>
    </row>
    <row r="8144">
      <c r="A8144" s="4" t="str">
        <f>IFERROR(__xludf.DUMMYFUNCTION("""COMPUTED_VALUE"""),"mumu-the-bull-2")</f>
        <v>mumu-the-bull-2</v>
      </c>
      <c r="B8144" s="4" t="str">
        <f>IFERROR(__xludf.DUMMYFUNCTION("""COMPUTED_VALUE"""),"bull")</f>
        <v>bull</v>
      </c>
      <c r="C8144" s="4" t="str">
        <f>IFERROR(__xludf.DUMMYFUNCTION("""COMPUTED_VALUE"""),"Mumu the Bull")</f>
        <v>Mumu the Bull</v>
      </c>
    </row>
    <row r="8145">
      <c r="A8145" s="4" t="str">
        <f>IFERROR(__xludf.DUMMYFUNCTION("""COMPUTED_VALUE"""),"mumu-the-bull-3")</f>
        <v>mumu-the-bull-3</v>
      </c>
      <c r="B8145" s="4" t="str">
        <f>IFERROR(__xludf.DUMMYFUNCTION("""COMPUTED_VALUE"""),"mumu")</f>
        <v>mumu</v>
      </c>
      <c r="C8145" s="4" t="str">
        <f>IFERROR(__xludf.DUMMYFUNCTION("""COMPUTED_VALUE"""),"MUMU THE BULL")</f>
        <v>MUMU THE BULL</v>
      </c>
    </row>
    <row r="8146">
      <c r="A8146" s="4" t="str">
        <f>IFERROR(__xludf.DUMMYFUNCTION("""COMPUTED_VALUE"""),"munch")</f>
        <v>munch</v>
      </c>
      <c r="B8146" s="4" t="str">
        <f>IFERROR(__xludf.DUMMYFUNCTION("""COMPUTED_VALUE"""),"munch")</f>
        <v>munch</v>
      </c>
      <c r="C8146" s="4" t="str">
        <f>IFERROR(__xludf.DUMMYFUNCTION("""COMPUTED_VALUE"""),"Munch")</f>
        <v>Munch</v>
      </c>
    </row>
    <row r="8147">
      <c r="A8147" s="4" t="str">
        <f>IFERROR(__xludf.DUMMYFUNCTION("""COMPUTED_VALUE"""),"mundocrypto")</f>
        <v>mundocrypto</v>
      </c>
      <c r="B8147" s="4" t="str">
        <f>IFERROR(__xludf.DUMMYFUNCTION("""COMPUTED_VALUE"""),"mct")</f>
        <v>mct</v>
      </c>
      <c r="C8147" s="4" t="str">
        <f>IFERROR(__xludf.DUMMYFUNCTION("""COMPUTED_VALUE"""),"Mundocrypto")</f>
        <v>Mundocrypto</v>
      </c>
    </row>
    <row r="8148">
      <c r="A8148" s="4" t="str">
        <f>IFERROR(__xludf.DUMMYFUNCTION("""COMPUTED_VALUE"""),"murasaki")</f>
        <v>murasaki</v>
      </c>
      <c r="B8148" s="4" t="str">
        <f>IFERROR(__xludf.DUMMYFUNCTION("""COMPUTED_VALUE"""),"mura")</f>
        <v>mura</v>
      </c>
      <c r="C8148" s="4" t="str">
        <f>IFERROR(__xludf.DUMMYFUNCTION("""COMPUTED_VALUE"""),"Murasaki")</f>
        <v>Murasaki</v>
      </c>
    </row>
    <row r="8149">
      <c r="A8149" s="4" t="str">
        <f>IFERROR(__xludf.DUMMYFUNCTION("""COMPUTED_VALUE"""),"muratiai")</f>
        <v>muratiai</v>
      </c>
      <c r="B8149" s="4" t="str">
        <f>IFERROR(__xludf.DUMMYFUNCTION("""COMPUTED_VALUE"""),"muratiai")</f>
        <v>muratiai</v>
      </c>
      <c r="C8149" s="4" t="str">
        <f>IFERROR(__xludf.DUMMYFUNCTION("""COMPUTED_VALUE"""),"MuratiAI")</f>
        <v>MuratiAI</v>
      </c>
    </row>
    <row r="8150">
      <c r="A8150" s="4" t="str">
        <f>IFERROR(__xludf.DUMMYFUNCTION("""COMPUTED_VALUE"""),"musd")</f>
        <v>musd</v>
      </c>
      <c r="B8150" s="4" t="str">
        <f>IFERROR(__xludf.DUMMYFUNCTION("""COMPUTED_VALUE"""),"musd")</f>
        <v>musd</v>
      </c>
      <c r="C8150" s="4" t="str">
        <f>IFERROR(__xludf.DUMMYFUNCTION("""COMPUTED_VALUE"""),"mStable USD")</f>
        <v>mStable USD</v>
      </c>
    </row>
    <row r="8151">
      <c r="A8151" s="4" t="str">
        <f>IFERROR(__xludf.DUMMYFUNCTION("""COMPUTED_VALUE"""),"muse-2")</f>
        <v>muse-2</v>
      </c>
      <c r="B8151" s="4" t="str">
        <f>IFERROR(__xludf.DUMMYFUNCTION("""COMPUTED_VALUE"""),"muse")</f>
        <v>muse</v>
      </c>
      <c r="C8151" s="4" t="str">
        <f>IFERROR(__xludf.DUMMYFUNCTION("""COMPUTED_VALUE"""),"Muse DAO")</f>
        <v>Muse DAO</v>
      </c>
    </row>
    <row r="8152">
      <c r="A8152" s="4" t="str">
        <f>IFERROR(__xludf.DUMMYFUNCTION("""COMPUTED_VALUE"""),"muse-ent-nft")</f>
        <v>muse-ent-nft</v>
      </c>
      <c r="B8152" s="4" t="str">
        <f>IFERROR(__xludf.DUMMYFUNCTION("""COMPUTED_VALUE"""),"msct")</f>
        <v>msct</v>
      </c>
      <c r="C8152" s="4" t="str">
        <f>IFERROR(__xludf.DUMMYFUNCTION("""COMPUTED_VALUE"""),"Muse ENT NFT")</f>
        <v>Muse ENT NFT</v>
      </c>
    </row>
    <row r="8153">
      <c r="A8153" s="4" t="str">
        <f>IFERROR(__xludf.DUMMYFUNCTION("""COMPUTED_VALUE"""),"museum-of-crypto-art")</f>
        <v>museum-of-crypto-art</v>
      </c>
      <c r="B8153" s="4" t="str">
        <f>IFERROR(__xludf.DUMMYFUNCTION("""COMPUTED_VALUE"""),"moca")</f>
        <v>moca</v>
      </c>
      <c r="C8153" s="4" t="str">
        <f>IFERROR(__xludf.DUMMYFUNCTION("""COMPUTED_VALUE"""),"Museum of Crypto Art")</f>
        <v>Museum of Crypto Art</v>
      </c>
    </row>
    <row r="8154">
      <c r="A8154" s="4" t="str">
        <f>IFERROR(__xludf.DUMMYFUNCTION("""COMPUTED_VALUE"""),"musicn")</f>
        <v>musicn</v>
      </c>
      <c r="B8154" s="4" t="str">
        <f>IFERROR(__xludf.DUMMYFUNCTION("""COMPUTED_VALUE"""),"mint")</f>
        <v>mint</v>
      </c>
      <c r="C8154" s="4" t="str">
        <f>IFERROR(__xludf.DUMMYFUNCTION("""COMPUTED_VALUE"""),"MusicN")</f>
        <v>MusicN</v>
      </c>
    </row>
    <row r="8155">
      <c r="A8155" s="4" t="str">
        <f>IFERROR(__xludf.DUMMYFUNCTION("""COMPUTED_VALUE"""),"musk-dao")</f>
        <v>musk-dao</v>
      </c>
      <c r="B8155" s="4" t="str">
        <f>IFERROR(__xludf.DUMMYFUNCTION("""COMPUTED_VALUE"""),"musk")</f>
        <v>musk</v>
      </c>
      <c r="C8155" s="4" t="str">
        <f>IFERROR(__xludf.DUMMYFUNCTION("""COMPUTED_VALUE"""),"MUSK DAO")</f>
        <v>MUSK DAO</v>
      </c>
    </row>
    <row r="8156">
      <c r="A8156" s="4" t="str">
        <f>IFERROR(__xludf.DUMMYFUNCTION("""COMPUTED_VALUE"""),"musk-gold")</f>
        <v>musk-gold</v>
      </c>
      <c r="B8156" s="4" t="str">
        <f>IFERROR(__xludf.DUMMYFUNCTION("""COMPUTED_VALUE"""),"musk")</f>
        <v>musk</v>
      </c>
      <c r="C8156" s="4" t="str">
        <f>IFERROR(__xludf.DUMMYFUNCTION("""COMPUTED_VALUE"""),"MUSK Gold")</f>
        <v>MUSK Gold</v>
      </c>
    </row>
    <row r="8157">
      <c r="A8157" s="4" t="str">
        <f>IFERROR(__xludf.DUMMYFUNCTION("""COMPUTED_VALUE"""),"musk-meme")</f>
        <v>musk-meme</v>
      </c>
      <c r="B8157" s="4" t="str">
        <f>IFERROR(__xludf.DUMMYFUNCTION("""COMPUTED_VALUE"""),"muskmeme")</f>
        <v>muskmeme</v>
      </c>
      <c r="C8157" s="4" t="str">
        <f>IFERROR(__xludf.DUMMYFUNCTION("""COMPUTED_VALUE"""),"MUSK MEME")</f>
        <v>MUSK MEME</v>
      </c>
    </row>
    <row r="8158">
      <c r="A8158" s="4" t="str">
        <f>IFERROR(__xludf.DUMMYFUNCTION("""COMPUTED_VALUE"""),"muskx")</f>
        <v>muskx</v>
      </c>
      <c r="B8158" s="4" t="str">
        <f>IFERROR(__xludf.DUMMYFUNCTION("""COMPUTED_VALUE"""),"muskx")</f>
        <v>muskx</v>
      </c>
      <c r="C8158" s="4" t="str">
        <f>IFERROR(__xludf.DUMMYFUNCTION("""COMPUTED_VALUE"""),"MuskX")</f>
        <v>MuskX</v>
      </c>
    </row>
    <row r="8159">
      <c r="A8159" s="4" t="str">
        <f>IFERROR(__xludf.DUMMYFUNCTION("""COMPUTED_VALUE"""),"must")</f>
        <v>must</v>
      </c>
      <c r="B8159" s="4" t="str">
        <f>IFERROR(__xludf.DUMMYFUNCTION("""COMPUTED_VALUE"""),"must")</f>
        <v>must</v>
      </c>
      <c r="C8159" s="4" t="str">
        <f>IFERROR(__xludf.DUMMYFUNCTION("""COMPUTED_VALUE"""),"Must")</f>
        <v>Must</v>
      </c>
    </row>
    <row r="8160">
      <c r="A8160" s="4" t="str">
        <f>IFERROR(__xludf.DUMMYFUNCTION("""COMPUTED_VALUE"""),"mustafa")</f>
        <v>mustafa</v>
      </c>
      <c r="B8160" s="4" t="str">
        <f>IFERROR(__xludf.DUMMYFUNCTION("""COMPUTED_VALUE"""),"must")</f>
        <v>must</v>
      </c>
      <c r="C8160" s="4" t="str">
        <f>IFERROR(__xludf.DUMMYFUNCTION("""COMPUTED_VALUE"""),"Mustafa")</f>
        <v>Mustafa</v>
      </c>
    </row>
    <row r="8161">
      <c r="A8161" s="4" t="str">
        <f>IFERROR(__xludf.DUMMYFUNCTION("""COMPUTED_VALUE"""),"mutant-pepe")</f>
        <v>mutant-pepe</v>
      </c>
      <c r="B8161" s="4" t="str">
        <f>IFERROR(__xludf.DUMMYFUNCTION("""COMPUTED_VALUE"""),"mutant")</f>
        <v>mutant</v>
      </c>
      <c r="C8161" s="4" t="str">
        <f>IFERROR(__xludf.DUMMYFUNCTION("""COMPUTED_VALUE"""),"Mutant Pepe")</f>
        <v>Mutant Pepe</v>
      </c>
    </row>
    <row r="8162">
      <c r="A8162" s="4" t="str">
        <f>IFERROR(__xludf.DUMMYFUNCTION("""COMPUTED_VALUE"""),"mutatio-flies")</f>
        <v>mutatio-flies</v>
      </c>
      <c r="B8162" s="4" t="str">
        <f>IFERROR(__xludf.DUMMYFUNCTION("""COMPUTED_VALUE"""),"flies")</f>
        <v>flies</v>
      </c>
      <c r="C8162" s="4" t="str">
        <f>IFERROR(__xludf.DUMMYFUNCTION("""COMPUTED_VALUE"""),"MUTATIO FLIES")</f>
        <v>MUTATIO FLIES</v>
      </c>
    </row>
    <row r="8163">
      <c r="A8163" s="4" t="str">
        <f>IFERROR(__xludf.DUMMYFUNCTION("""COMPUTED_VALUE"""),"mutatio-xcopyflies")</f>
        <v>mutatio-xcopyflies</v>
      </c>
      <c r="B8163" s="4" t="str">
        <f>IFERROR(__xludf.DUMMYFUNCTION("""COMPUTED_VALUE"""),"flies")</f>
        <v>flies</v>
      </c>
      <c r="C8163" s="4" t="str">
        <f>IFERROR(__xludf.DUMMYFUNCTION("""COMPUTED_VALUE"""),"MUTATIO XCOPYFLIES")</f>
        <v>MUTATIO XCOPYFLIES</v>
      </c>
    </row>
    <row r="8164">
      <c r="A8164" s="4" t="str">
        <f>IFERROR(__xludf.DUMMYFUNCTION("""COMPUTED_VALUE"""),"mute")</f>
        <v>mute</v>
      </c>
      <c r="B8164" s="4" t="str">
        <f>IFERROR(__xludf.DUMMYFUNCTION("""COMPUTED_VALUE"""),"mute")</f>
        <v>mute</v>
      </c>
      <c r="C8164" s="4" t="str">
        <f>IFERROR(__xludf.DUMMYFUNCTION("""COMPUTED_VALUE"""),"Mute")</f>
        <v>Mute</v>
      </c>
    </row>
    <row r="8165">
      <c r="A8165" s="4" t="str">
        <f>IFERROR(__xludf.DUMMYFUNCTION("""COMPUTED_VALUE"""),"muttski")</f>
        <v>muttski</v>
      </c>
      <c r="B8165" s="4" t="str">
        <f>IFERROR(__xludf.DUMMYFUNCTION("""COMPUTED_VALUE"""),"muttski")</f>
        <v>muttski</v>
      </c>
      <c r="C8165" s="4" t="str">
        <f>IFERROR(__xludf.DUMMYFUNCTION("""COMPUTED_VALUE"""),"Muttski")</f>
        <v>Muttski</v>
      </c>
    </row>
    <row r="8166">
      <c r="A8166" s="4" t="str">
        <f>IFERROR(__xludf.DUMMYFUNCTION("""COMPUTED_VALUE"""),"muu-inu")</f>
        <v>muu-inu</v>
      </c>
      <c r="B8166" s="4" t="str">
        <f>IFERROR(__xludf.DUMMYFUNCTION("""COMPUTED_VALUE"""),"$muu")</f>
        <v>$muu</v>
      </c>
      <c r="C8166" s="4" t="str">
        <f>IFERROR(__xludf.DUMMYFUNCTION("""COMPUTED_VALUE"""),"MUU")</f>
        <v>MUU</v>
      </c>
    </row>
    <row r="8167">
      <c r="A8167" s="4" t="str">
        <f>IFERROR(__xludf.DUMMYFUNCTION("""COMPUTED_VALUE"""),"muuu")</f>
        <v>muuu</v>
      </c>
      <c r="B8167" s="4" t="str">
        <f>IFERROR(__xludf.DUMMYFUNCTION("""COMPUTED_VALUE"""),"muuu")</f>
        <v>muuu</v>
      </c>
      <c r="C8167" s="4" t="str">
        <f>IFERROR(__xludf.DUMMYFUNCTION("""COMPUTED_VALUE"""),"Muuu Finance")</f>
        <v>Muuu Finance</v>
      </c>
    </row>
    <row r="8168">
      <c r="A8168" s="4" t="str">
        <f>IFERROR(__xludf.DUMMYFUNCTION("""COMPUTED_VALUE"""),"muverse")</f>
        <v>muverse</v>
      </c>
      <c r="B8168" s="4" t="str">
        <f>IFERROR(__xludf.DUMMYFUNCTION("""COMPUTED_VALUE"""),"mu")</f>
        <v>mu</v>
      </c>
      <c r="C8168" s="4" t="str">
        <f>IFERROR(__xludf.DUMMYFUNCTION("""COMPUTED_VALUE"""),"Muverse")</f>
        <v>Muverse</v>
      </c>
    </row>
    <row r="8169">
      <c r="A8169" s="4" t="str">
        <f>IFERROR(__xludf.DUMMYFUNCTION("""COMPUTED_VALUE"""),"muzzle")</f>
        <v>muzzle</v>
      </c>
      <c r="B8169" s="4" t="str">
        <f>IFERROR(__xludf.DUMMYFUNCTION("""COMPUTED_VALUE"""),"muzz")</f>
        <v>muzz</v>
      </c>
      <c r="C8169" s="4" t="str">
        <f>IFERROR(__xludf.DUMMYFUNCTION("""COMPUTED_VALUE"""),"MUZZLE")</f>
        <v>MUZZLE</v>
      </c>
    </row>
    <row r="8170">
      <c r="A8170" s="4" t="str">
        <f>IFERROR(__xludf.DUMMYFUNCTION("""COMPUTED_VALUE"""),"mvcswap")</f>
        <v>mvcswap</v>
      </c>
      <c r="B8170" s="4" t="str">
        <f>IFERROR(__xludf.DUMMYFUNCTION("""COMPUTED_VALUE"""),"msp")</f>
        <v>msp</v>
      </c>
      <c r="C8170" s="4" t="str">
        <f>IFERROR(__xludf.DUMMYFUNCTION("""COMPUTED_VALUE"""),"MvcSwap")</f>
        <v>MvcSwap</v>
      </c>
    </row>
    <row r="8171">
      <c r="A8171" s="4" t="str">
        <f>IFERROR(__xludf.DUMMYFUNCTION("""COMPUTED_VALUE"""),"mvs-multiverse")</f>
        <v>mvs-multiverse</v>
      </c>
      <c r="B8171" s="4" t="str">
        <f>IFERROR(__xludf.DUMMYFUNCTION("""COMPUTED_VALUE"""),"mvs")</f>
        <v>mvs</v>
      </c>
      <c r="C8171" s="4" t="str">
        <f>IFERROR(__xludf.DUMMYFUNCTION("""COMPUTED_VALUE"""),"MVS Multiverse")</f>
        <v>MVS Multiverse</v>
      </c>
    </row>
    <row r="8172">
      <c r="A8172" s="4" t="str">
        <f>IFERROR(__xludf.DUMMYFUNCTION("""COMPUTED_VALUE"""),"mwcc-ordinals")</f>
        <v>mwcc-ordinals</v>
      </c>
      <c r="B8172" s="4" t="str">
        <f>IFERROR(__xludf.DUMMYFUNCTION("""COMPUTED_VALUE"""),"mwcc")</f>
        <v>mwcc</v>
      </c>
      <c r="C8172" s="4" t="str">
        <f>IFERROR(__xludf.DUMMYFUNCTION("""COMPUTED_VALUE"""),"MWCC (Ordinals)")</f>
        <v>MWCC (Ordinals)</v>
      </c>
    </row>
    <row r="8173">
      <c r="A8173" s="4" t="str">
        <f>IFERROR(__xludf.DUMMYFUNCTION("""COMPUTED_VALUE"""),"mxc")</f>
        <v>mxc</v>
      </c>
      <c r="B8173" s="4" t="str">
        <f>IFERROR(__xludf.DUMMYFUNCTION("""COMPUTED_VALUE"""),"mxc")</f>
        <v>mxc</v>
      </c>
      <c r="C8173" s="4" t="str">
        <f>IFERROR(__xludf.DUMMYFUNCTION("""COMPUTED_VALUE"""),"Moonchain")</f>
        <v>Moonchain</v>
      </c>
    </row>
    <row r="8174">
      <c r="A8174" s="4" t="str">
        <f>IFERROR(__xludf.DUMMYFUNCTION("""COMPUTED_VALUE"""),"mxgp-fan-token")</f>
        <v>mxgp-fan-token</v>
      </c>
      <c r="B8174" s="4" t="str">
        <f>IFERROR(__xludf.DUMMYFUNCTION("""COMPUTED_VALUE"""),"mxgp")</f>
        <v>mxgp</v>
      </c>
      <c r="C8174" s="4" t="str">
        <f>IFERROR(__xludf.DUMMYFUNCTION("""COMPUTED_VALUE"""),"MXGP Fan Token")</f>
        <v>MXGP Fan Token</v>
      </c>
    </row>
    <row r="8175">
      <c r="A8175" s="4" t="str">
        <f>IFERROR(__xludf.DUMMYFUNCTION("""COMPUTED_VALUE"""),"mxmboxceus-token")</f>
        <v>mxmboxceus-token</v>
      </c>
      <c r="B8175" s="4" t="str">
        <f>IFERROR(__xludf.DUMMYFUNCTION("""COMPUTED_VALUE"""),"mbe")</f>
        <v>mbe</v>
      </c>
      <c r="C8175" s="4" t="str">
        <f>IFERROR(__xludf.DUMMYFUNCTION("""COMPUTED_VALUE"""),"MxmBoxcEus Token")</f>
        <v>MxmBoxcEus Token</v>
      </c>
    </row>
    <row r="8176">
      <c r="A8176" s="4" t="str">
        <f>IFERROR(__xludf.DUMMYFUNCTION("""COMPUTED_VALUE"""),"mx-million-metaverse-dao")</f>
        <v>mx-million-metaverse-dao</v>
      </c>
      <c r="B8176" s="4" t="str">
        <f>IFERROR(__xludf.DUMMYFUNCTION("""COMPUTED_VALUE"""),"mxmdao")</f>
        <v>mxmdao</v>
      </c>
      <c r="C8176" s="4" t="str">
        <f>IFERROR(__xludf.DUMMYFUNCTION("""COMPUTED_VALUE"""),"Mx Million Metaverse DAO")</f>
        <v>Mx Million Metaverse DAO</v>
      </c>
    </row>
    <row r="8177">
      <c r="A8177" s="4" t="str">
        <f>IFERROR(__xludf.DUMMYFUNCTION("""COMPUTED_VALUE"""),"mx-token")</f>
        <v>mx-token</v>
      </c>
      <c r="B8177" s="4" t="str">
        <f>IFERROR(__xludf.DUMMYFUNCTION("""COMPUTED_VALUE"""),"mx")</f>
        <v>mx</v>
      </c>
      <c r="C8177" s="4" t="str">
        <f>IFERROR(__xludf.DUMMYFUNCTION("""COMPUTED_VALUE"""),"MX")</f>
        <v>MX</v>
      </c>
    </row>
    <row r="8178">
      <c r="A8178" s="4" t="str">
        <f>IFERROR(__xludf.DUMMYFUNCTION("""COMPUTED_VALUE"""),"mx-token-2")</f>
        <v>mx-token-2</v>
      </c>
      <c r="B8178" s="4" t="str">
        <f>IFERROR(__xludf.DUMMYFUNCTION("""COMPUTED_VALUE"""),"mxt")</f>
        <v>mxt</v>
      </c>
      <c r="C8178" s="4" t="str">
        <f>IFERROR(__xludf.DUMMYFUNCTION("""COMPUTED_VALUE"""),"MX TOKEN")</f>
        <v>MX TOKEN</v>
      </c>
    </row>
    <row r="8179">
      <c r="A8179" s="4" t="str">
        <f>IFERROR(__xludf.DUMMYFUNCTION("""COMPUTED_VALUE"""),"mybid")</f>
        <v>mybid</v>
      </c>
      <c r="B8179" s="4" t="str">
        <f>IFERROR(__xludf.DUMMYFUNCTION("""COMPUTED_VALUE"""),"mbid")</f>
        <v>mbid</v>
      </c>
      <c r="C8179" s="4" t="str">
        <f>IFERROR(__xludf.DUMMYFUNCTION("""COMPUTED_VALUE"""),"myBID")</f>
        <v>myBID</v>
      </c>
    </row>
    <row r="8180">
      <c r="A8180" s="4" t="str">
        <f>IFERROR(__xludf.DUMMYFUNCTION("""COMPUTED_VALUE"""),"mybit-token")</f>
        <v>mybit-token</v>
      </c>
      <c r="B8180" s="4" t="str">
        <f>IFERROR(__xludf.DUMMYFUNCTION("""COMPUTED_VALUE"""),"myb")</f>
        <v>myb</v>
      </c>
      <c r="C8180" s="4" t="str">
        <f>IFERROR(__xludf.DUMMYFUNCTION("""COMPUTED_VALUE"""),"MyBit")</f>
        <v>MyBit</v>
      </c>
    </row>
    <row r="8181">
      <c r="A8181" s="4" t="str">
        <f>IFERROR(__xludf.DUMMYFUNCTION("""COMPUTED_VALUE"""),"mybricks")</f>
        <v>mybricks</v>
      </c>
      <c r="B8181" s="4" t="str">
        <f>IFERROR(__xludf.DUMMYFUNCTION("""COMPUTED_VALUE"""),"bricks")</f>
        <v>bricks</v>
      </c>
      <c r="C8181" s="4" t="str">
        <f>IFERROR(__xludf.DUMMYFUNCTION("""COMPUTED_VALUE"""),"MyBricks")</f>
        <v>MyBricks</v>
      </c>
    </row>
    <row r="8182">
      <c r="A8182" s="4" t="str">
        <f>IFERROR(__xludf.DUMMYFUNCTION("""COMPUTED_VALUE"""),"myce")</f>
        <v>myce</v>
      </c>
      <c r="B8182" s="4" t="str">
        <f>IFERROR(__xludf.DUMMYFUNCTION("""COMPUTED_VALUE"""),"yce")</f>
        <v>yce</v>
      </c>
      <c r="C8182" s="4" t="str">
        <f>IFERROR(__xludf.DUMMYFUNCTION("""COMPUTED_VALUE"""),"MYCE")</f>
        <v>MYCE</v>
      </c>
    </row>
    <row r="8183">
      <c r="A8183" s="4" t="str">
        <f>IFERROR(__xludf.DUMMYFUNCTION("""COMPUTED_VALUE"""),"mycelium")</f>
        <v>mycelium</v>
      </c>
      <c r="B8183" s="4" t="str">
        <f>IFERROR(__xludf.DUMMYFUNCTION("""COMPUTED_VALUE"""),"myc")</f>
        <v>myc</v>
      </c>
      <c r="C8183" s="4" t="str">
        <f>IFERROR(__xludf.DUMMYFUNCTION("""COMPUTED_VALUE"""),"Mycelium")</f>
        <v>Mycelium</v>
      </c>
    </row>
    <row r="8184">
      <c r="A8184" s="4" t="str">
        <f>IFERROR(__xludf.DUMMYFUNCTION("""COMPUTED_VALUE"""),"my-defi-legends")</f>
        <v>my-defi-legends</v>
      </c>
      <c r="B8184" s="4" t="str">
        <f>IFERROR(__xludf.DUMMYFUNCTION("""COMPUTED_VALUE"""),"dlegends")</f>
        <v>dlegends</v>
      </c>
      <c r="C8184" s="4" t="str">
        <f>IFERROR(__xludf.DUMMYFUNCTION("""COMPUTED_VALUE"""),"My DeFi Legends")</f>
        <v>My DeFi Legends</v>
      </c>
    </row>
    <row r="8185">
      <c r="A8185" s="4" t="str">
        <f>IFERROR(__xludf.DUMMYFUNCTION("""COMPUTED_VALUE"""),"my-defi-pet")</f>
        <v>my-defi-pet</v>
      </c>
      <c r="B8185" s="4" t="str">
        <f>IFERROR(__xludf.DUMMYFUNCTION("""COMPUTED_VALUE"""),"dpet")</f>
        <v>dpet</v>
      </c>
      <c r="C8185" s="4" t="str">
        <f>IFERROR(__xludf.DUMMYFUNCTION("""COMPUTED_VALUE"""),"My DeFi Pet")</f>
        <v>My DeFi Pet</v>
      </c>
    </row>
    <row r="8186">
      <c r="A8186" s="4" t="str">
        <f>IFERROR(__xludf.DUMMYFUNCTION("""COMPUTED_VALUE"""),"my-master-war")</f>
        <v>my-master-war</v>
      </c>
      <c r="B8186" s="4" t="str">
        <f>IFERROR(__xludf.DUMMYFUNCTION("""COMPUTED_VALUE"""),"mat")</f>
        <v>mat</v>
      </c>
      <c r="C8186" s="4" t="str">
        <f>IFERROR(__xludf.DUMMYFUNCTION("""COMPUTED_VALUE"""),"My Master War")</f>
        <v>My Master War</v>
      </c>
    </row>
    <row r="8187">
      <c r="A8187" s="4" t="str">
        <f>IFERROR(__xludf.DUMMYFUNCTION("""COMPUTED_VALUE"""),"my-metatrader")</f>
        <v>my-metatrader</v>
      </c>
      <c r="B8187" s="4" t="str">
        <f>IFERROR(__xludf.DUMMYFUNCTION("""COMPUTED_VALUE"""),"mmt")</f>
        <v>mmt</v>
      </c>
      <c r="C8187" s="4" t="str">
        <f>IFERROR(__xludf.DUMMYFUNCTION("""COMPUTED_VALUE"""),"My MetaTrader")</f>
        <v>My MetaTrader</v>
      </c>
    </row>
    <row r="8188">
      <c r="A8188" s="4" t="str">
        <f>IFERROR(__xludf.DUMMYFUNCTION("""COMPUTED_VALUE"""),"my-mom")</f>
        <v>my-mom</v>
      </c>
      <c r="B8188" s="4" t="str">
        <f>IFERROR(__xludf.DUMMYFUNCTION("""COMPUTED_VALUE"""),"mom")</f>
        <v>mom</v>
      </c>
      <c r="C8188" s="4" t="str">
        <f>IFERROR(__xludf.DUMMYFUNCTION("""COMPUTED_VALUE"""),"My MOM")</f>
        <v>My MOM</v>
      </c>
    </row>
    <row r="8189">
      <c r="A8189" s="4" t="str">
        <f>IFERROR(__xludf.DUMMYFUNCTION("""COMPUTED_VALUE"""),"my-neighbor-alice")</f>
        <v>my-neighbor-alice</v>
      </c>
      <c r="B8189" s="4" t="str">
        <f>IFERROR(__xludf.DUMMYFUNCTION("""COMPUTED_VALUE"""),"alice")</f>
        <v>alice</v>
      </c>
      <c r="C8189" s="4" t="str">
        <f>IFERROR(__xludf.DUMMYFUNCTION("""COMPUTED_VALUE"""),"My Neighbor Alice")</f>
        <v>My Neighbor Alice</v>
      </c>
    </row>
    <row r="8190">
      <c r="A8190" s="4" t="str">
        <f>IFERROR(__xludf.DUMMYFUNCTION("""COMPUTED_VALUE"""),"myntpay")</f>
        <v>myntpay</v>
      </c>
      <c r="B8190" s="4" t="str">
        <f>IFERROR(__xludf.DUMMYFUNCTION("""COMPUTED_VALUE"""),"mynt")</f>
        <v>mynt</v>
      </c>
      <c r="C8190" s="4" t="str">
        <f>IFERROR(__xludf.DUMMYFUNCTION("""COMPUTED_VALUE"""),"MyntPay")</f>
        <v>MyntPay</v>
      </c>
    </row>
    <row r="8191">
      <c r="A8191" s="4" t="str">
        <f>IFERROR(__xludf.DUMMYFUNCTION("""COMPUTED_VALUE"""),"mypiggiesbank")</f>
        <v>mypiggiesbank</v>
      </c>
      <c r="B8191" s="4" t="str">
        <f>IFERROR(__xludf.DUMMYFUNCTION("""COMPUTED_VALUE"""),"piggie")</f>
        <v>piggie</v>
      </c>
      <c r="C8191" s="4" t="str">
        <f>IFERROR(__xludf.DUMMYFUNCTION("""COMPUTED_VALUE"""),"MyPiggiesBank")</f>
        <v>MyPiggiesBank</v>
      </c>
    </row>
    <row r="8192">
      <c r="A8192" s="4" t="str">
        <f>IFERROR(__xludf.DUMMYFUNCTION("""COMPUTED_VALUE"""),"myra")</f>
        <v>myra</v>
      </c>
      <c r="B8192" s="4" t="str">
        <f>IFERROR(__xludf.DUMMYFUNCTION("""COMPUTED_VALUE"""),"myra")</f>
        <v>myra</v>
      </c>
      <c r="C8192" s="4" t="str">
        <f>IFERROR(__xludf.DUMMYFUNCTION("""COMPUTED_VALUE"""),"Myra")</f>
        <v>Myra</v>
      </c>
    </row>
    <row r="8193">
      <c r="A8193" s="4" t="str">
        <f>IFERROR(__xludf.DUMMYFUNCTION("""COMPUTED_VALUE"""),"myra-token")</f>
        <v>myra-token</v>
      </c>
      <c r="B8193" s="4" t="str">
        <f>IFERROR(__xludf.DUMMYFUNCTION("""COMPUTED_VALUE"""),"myr")</f>
        <v>myr</v>
      </c>
      <c r="C8193" s="4" t="str">
        <f>IFERROR(__xludf.DUMMYFUNCTION("""COMPUTED_VALUE"""),"Myra Token")</f>
        <v>Myra Token</v>
      </c>
    </row>
    <row r="8194">
      <c r="A8194" s="4" t="str">
        <f>IFERROR(__xludf.DUMMYFUNCTION("""COMPUTED_VALUE"""),"myre-the-dog")</f>
        <v>myre-the-dog</v>
      </c>
      <c r="B8194" s="4" t="str">
        <f>IFERROR(__xludf.DUMMYFUNCTION("""COMPUTED_VALUE"""),"$myre")</f>
        <v>$myre</v>
      </c>
      <c r="C8194" s="4" t="str">
        <f>IFERROR(__xludf.DUMMYFUNCTION("""COMPUTED_VALUE"""),"Myre The Dog")</f>
        <v>Myre The Dog</v>
      </c>
    </row>
    <row r="8195">
      <c r="A8195" s="4" t="str">
        <f>IFERROR(__xludf.DUMMYFUNCTION("""COMPUTED_VALUE"""),"myria")</f>
        <v>myria</v>
      </c>
      <c r="B8195" s="4" t="str">
        <f>IFERROR(__xludf.DUMMYFUNCTION("""COMPUTED_VALUE"""),"myria")</f>
        <v>myria</v>
      </c>
      <c r="C8195" s="4" t="str">
        <f>IFERROR(__xludf.DUMMYFUNCTION("""COMPUTED_VALUE"""),"Myria")</f>
        <v>Myria</v>
      </c>
    </row>
    <row r="8196">
      <c r="A8196" s="4" t="str">
        <f>IFERROR(__xludf.DUMMYFUNCTION("""COMPUTED_VALUE"""),"myriadcoin")</f>
        <v>myriadcoin</v>
      </c>
      <c r="B8196" s="4" t="str">
        <f>IFERROR(__xludf.DUMMYFUNCTION("""COMPUTED_VALUE"""),"xmy")</f>
        <v>xmy</v>
      </c>
      <c r="C8196" s="4" t="str">
        <f>IFERROR(__xludf.DUMMYFUNCTION("""COMPUTED_VALUE"""),"Myriad")</f>
        <v>Myriad</v>
      </c>
    </row>
    <row r="8197">
      <c r="A8197" s="4" t="str">
        <f>IFERROR(__xludf.DUMMYFUNCTION("""COMPUTED_VALUE"""),"myriad-social")</f>
        <v>myriad-social</v>
      </c>
      <c r="B8197" s="4" t="str">
        <f>IFERROR(__xludf.DUMMYFUNCTION("""COMPUTED_VALUE"""),"myria")</f>
        <v>myria</v>
      </c>
      <c r="C8197" s="4" t="str">
        <f>IFERROR(__xludf.DUMMYFUNCTION("""COMPUTED_VALUE"""),"Myriad Social")</f>
        <v>Myriad Social</v>
      </c>
    </row>
    <row r="8198">
      <c r="A8198" s="4" t="str">
        <f>IFERROR(__xludf.DUMMYFUNCTION("""COMPUTED_VALUE"""),"myro")</f>
        <v>myro</v>
      </c>
      <c r="B8198" s="4" t="str">
        <f>IFERROR(__xludf.DUMMYFUNCTION("""COMPUTED_VALUE"""),"$myro")</f>
        <v>$myro</v>
      </c>
      <c r="C8198" s="4" t="str">
        <f>IFERROR(__xludf.DUMMYFUNCTION("""COMPUTED_VALUE"""),"Myro")</f>
        <v>Myro</v>
      </c>
    </row>
    <row r="8199">
      <c r="A8199" s="4" t="str">
        <f>IFERROR(__xludf.DUMMYFUNCTION("""COMPUTED_VALUE"""),"myro-2-0")</f>
        <v>myro-2-0</v>
      </c>
      <c r="B8199" s="4" t="str">
        <f>IFERROR(__xludf.DUMMYFUNCTION("""COMPUTED_VALUE"""),"myro2.0")</f>
        <v>myro2.0</v>
      </c>
      <c r="C8199" s="4" t="str">
        <f>IFERROR(__xludf.DUMMYFUNCTION("""COMPUTED_VALUE"""),"MYRO 2.0")</f>
        <v>MYRO 2.0</v>
      </c>
    </row>
    <row r="8200">
      <c r="A8200" s="4" t="str">
        <f>IFERROR(__xludf.DUMMYFUNCTION("""COMPUTED_VALUE"""),"myro-floki-ceo")</f>
        <v>myro-floki-ceo</v>
      </c>
      <c r="B8200" s="4" t="str">
        <f>IFERROR(__xludf.DUMMYFUNCTION("""COMPUTED_VALUE"""),"myrofloki")</f>
        <v>myrofloki</v>
      </c>
      <c r="C8200" s="4" t="str">
        <f>IFERROR(__xludf.DUMMYFUNCTION("""COMPUTED_VALUE"""),"Myro Floki CEO")</f>
        <v>Myro Floki CEO</v>
      </c>
    </row>
    <row r="8201">
      <c r="A8201" s="4" t="str">
        <f>IFERROR(__xludf.DUMMYFUNCTION("""COMPUTED_VALUE"""),"myrowif")</f>
        <v>myrowif</v>
      </c>
      <c r="B8201" s="4" t="str">
        <f>IFERROR(__xludf.DUMMYFUNCTION("""COMPUTED_VALUE"""),"myrowif")</f>
        <v>myrowif</v>
      </c>
      <c r="C8201" s="4" t="str">
        <f>IFERROR(__xludf.DUMMYFUNCTION("""COMPUTED_VALUE"""),"MYROWIF")</f>
        <v>MYROWIF</v>
      </c>
    </row>
    <row r="8202">
      <c r="A8202" s="4" t="str">
        <f>IFERROR(__xludf.DUMMYFUNCTION("""COMPUTED_VALUE"""),"myrowifhat")</f>
        <v>myrowifhat</v>
      </c>
      <c r="B8202" s="4" t="str">
        <f>IFERROR(__xludf.DUMMYFUNCTION("""COMPUTED_VALUE"""),"mif")</f>
        <v>mif</v>
      </c>
      <c r="C8202" s="4" t="str">
        <f>IFERROR(__xludf.DUMMYFUNCTION("""COMPUTED_VALUE"""),"MyroWifHat")</f>
        <v>MyroWifHat</v>
      </c>
    </row>
    <row r="8203">
      <c r="A8203" s="4" t="str">
        <f>IFERROR(__xludf.DUMMYFUNCTION("""COMPUTED_VALUE"""),"mystcl")</f>
        <v>mystcl</v>
      </c>
      <c r="B8203" s="4" t="str">
        <f>IFERROR(__xludf.DUMMYFUNCTION("""COMPUTED_VALUE"""),"myst")</f>
        <v>myst</v>
      </c>
      <c r="C8203" s="4" t="str">
        <f>IFERROR(__xludf.DUMMYFUNCTION("""COMPUTED_VALUE"""),"MYSTCL")</f>
        <v>MYSTCL</v>
      </c>
    </row>
    <row r="8204">
      <c r="A8204" s="4" t="str">
        <f>IFERROR(__xludf.DUMMYFUNCTION("""COMPUTED_VALUE"""),"mysterium")</f>
        <v>mysterium</v>
      </c>
      <c r="B8204" s="4" t="str">
        <f>IFERROR(__xludf.DUMMYFUNCTION("""COMPUTED_VALUE"""),"myst")</f>
        <v>myst</v>
      </c>
      <c r="C8204" s="4" t="str">
        <f>IFERROR(__xludf.DUMMYFUNCTION("""COMPUTED_VALUE"""),"Mysterium")</f>
        <v>Mysterium</v>
      </c>
    </row>
    <row r="8205">
      <c r="A8205" s="4" t="str">
        <f>IFERROR(__xludf.DUMMYFUNCTION("""COMPUTED_VALUE"""),"mystic-treasure")</f>
        <v>mystic-treasure</v>
      </c>
      <c r="B8205" s="4" t="str">
        <f>IFERROR(__xludf.DUMMYFUNCTION("""COMPUTED_VALUE"""),"myt")</f>
        <v>myt</v>
      </c>
      <c r="C8205" s="4" t="str">
        <f>IFERROR(__xludf.DUMMYFUNCTION("""COMPUTED_VALUE"""),"Mystic Treasure")</f>
        <v>Mystic Treasure</v>
      </c>
    </row>
    <row r="8206">
      <c r="A8206" s="4" t="str">
        <f>IFERROR(__xludf.DUMMYFUNCTION("""COMPUTED_VALUE"""),"myteamcoin")</f>
        <v>myteamcoin</v>
      </c>
      <c r="B8206" s="4" t="str">
        <f>IFERROR(__xludf.DUMMYFUNCTION("""COMPUTED_VALUE"""),"myc")</f>
        <v>myc</v>
      </c>
      <c r="C8206" s="4" t="str">
        <f>IFERROR(__xludf.DUMMYFUNCTION("""COMPUTED_VALUE"""),"Myteamcoin")</f>
        <v>Myteamcoin</v>
      </c>
    </row>
    <row r="8207">
      <c r="A8207" s="4" t="str">
        <f>IFERROR(__xludf.DUMMYFUNCTION("""COMPUTED_VALUE"""),"mytheria")</f>
        <v>mytheria</v>
      </c>
      <c r="B8207" s="4" t="str">
        <f>IFERROR(__xludf.DUMMYFUNCTION("""COMPUTED_VALUE"""),"myra")</f>
        <v>myra</v>
      </c>
      <c r="C8207" s="4" t="str">
        <f>IFERROR(__xludf.DUMMYFUNCTION("""COMPUTED_VALUE"""),"Mytheria")</f>
        <v>Mytheria</v>
      </c>
    </row>
    <row r="8208">
      <c r="A8208" s="4" t="str">
        <f>IFERROR(__xludf.DUMMYFUNCTION("""COMPUTED_VALUE"""),"mythic-ore")</f>
        <v>mythic-ore</v>
      </c>
      <c r="B8208" s="4" t="str">
        <f>IFERROR(__xludf.DUMMYFUNCTION("""COMPUTED_VALUE"""),"more")</f>
        <v>more</v>
      </c>
      <c r="C8208" s="4" t="str">
        <f>IFERROR(__xludf.DUMMYFUNCTION("""COMPUTED_VALUE"""),"Mythic Ore")</f>
        <v>Mythic Ore</v>
      </c>
    </row>
    <row r="8209">
      <c r="A8209" s="4" t="str">
        <f>IFERROR(__xludf.DUMMYFUNCTION("""COMPUTED_VALUE"""),"mythos")</f>
        <v>mythos</v>
      </c>
      <c r="B8209" s="4" t="str">
        <f>IFERROR(__xludf.DUMMYFUNCTION("""COMPUTED_VALUE"""),"myth")</f>
        <v>myth</v>
      </c>
      <c r="C8209" s="4" t="str">
        <f>IFERROR(__xludf.DUMMYFUNCTION("""COMPUTED_VALUE"""),"Mythos")</f>
        <v>Mythos</v>
      </c>
    </row>
    <row r="8210">
      <c r="A8210" s="4" t="str">
        <f>IFERROR(__xludf.DUMMYFUNCTION("""COMPUTED_VALUE"""),"mytoken")</f>
        <v>mytoken</v>
      </c>
      <c r="B8210" s="4" t="str">
        <f>IFERROR(__xludf.DUMMYFUNCTION("""COMPUTED_VALUE"""),"mt")</f>
        <v>mt</v>
      </c>
      <c r="C8210" s="4" t="str">
        <f>IFERROR(__xludf.DUMMYFUNCTION("""COMPUTED_VALUE"""),"MyToken")</f>
        <v>MyToken</v>
      </c>
    </row>
    <row r="8211">
      <c r="A8211" s="4" t="str">
        <f>IFERROR(__xludf.DUMMYFUNCTION("""COMPUTED_VALUE"""),"nabox")</f>
        <v>nabox</v>
      </c>
      <c r="B8211" s="4" t="str">
        <f>IFERROR(__xludf.DUMMYFUNCTION("""COMPUTED_VALUE"""),"nabox")</f>
        <v>nabox</v>
      </c>
      <c r="C8211" s="4" t="str">
        <f>IFERROR(__xludf.DUMMYFUNCTION("""COMPUTED_VALUE"""),"Nabox")</f>
        <v>Nabox</v>
      </c>
    </row>
    <row r="8212">
      <c r="A8212" s="4" t="str">
        <f>IFERROR(__xludf.DUMMYFUNCTION("""COMPUTED_VALUE"""),"nacho-finance")</f>
        <v>nacho-finance</v>
      </c>
      <c r="B8212" s="4" t="str">
        <f>IFERROR(__xludf.DUMMYFUNCTION("""COMPUTED_VALUE"""),"nacho")</f>
        <v>nacho</v>
      </c>
      <c r="C8212" s="4" t="str">
        <f>IFERROR(__xludf.DUMMYFUNCTION("""COMPUTED_VALUE"""),"Nacho Finance")</f>
        <v>Nacho Finance</v>
      </c>
    </row>
    <row r="8213">
      <c r="A8213" s="4" t="str">
        <f>IFERROR(__xludf.DUMMYFUNCTION("""COMPUTED_VALUE"""),"nada-protocol-token")</f>
        <v>nada-protocol-token</v>
      </c>
      <c r="B8213" s="4" t="str">
        <f>IFERROR(__xludf.DUMMYFUNCTION("""COMPUTED_VALUE"""),"nada")</f>
        <v>nada</v>
      </c>
      <c r="C8213" s="4" t="str">
        <f>IFERROR(__xludf.DUMMYFUNCTION("""COMPUTED_VALUE"""),"NADA Protocol Token")</f>
        <v>NADA Protocol Token</v>
      </c>
    </row>
    <row r="8214">
      <c r="A8214" s="4" t="str">
        <f>IFERROR(__xludf.DUMMYFUNCTION("""COMPUTED_VALUE"""),"nafter")</f>
        <v>nafter</v>
      </c>
      <c r="B8214" s="4" t="str">
        <f>IFERROR(__xludf.DUMMYFUNCTION("""COMPUTED_VALUE"""),"naft")</f>
        <v>naft</v>
      </c>
      <c r="C8214" s="4" t="str">
        <f>IFERROR(__xludf.DUMMYFUNCTION("""COMPUTED_VALUE"""),"Nafter")</f>
        <v>Nafter</v>
      </c>
    </row>
    <row r="8215">
      <c r="A8215" s="4" t="str">
        <f>IFERROR(__xludf.DUMMYFUNCTION("""COMPUTED_VALUE"""),"naga")</f>
        <v>naga</v>
      </c>
      <c r="B8215" s="4" t="str">
        <f>IFERROR(__xludf.DUMMYFUNCTION("""COMPUTED_VALUE"""),"ngc")</f>
        <v>ngc</v>
      </c>
      <c r="C8215" s="4" t="str">
        <f>IFERROR(__xludf.DUMMYFUNCTION("""COMPUTED_VALUE"""),"NAGA")</f>
        <v>NAGA</v>
      </c>
    </row>
    <row r="8216">
      <c r="A8216" s="4" t="str">
        <f>IFERROR(__xludf.DUMMYFUNCTION("""COMPUTED_VALUE"""),"nagaya")</f>
        <v>nagaya</v>
      </c>
      <c r="B8216" s="4" t="str">
        <f>IFERROR(__xludf.DUMMYFUNCTION("""COMPUTED_VALUE"""),"ngy")</f>
        <v>ngy</v>
      </c>
      <c r="C8216" s="4" t="str">
        <f>IFERROR(__xludf.DUMMYFUNCTION("""COMPUTED_VALUE"""),"NAGAYA")</f>
        <v>NAGAYA</v>
      </c>
    </row>
    <row r="8217">
      <c r="A8217" s="4" t="str">
        <f>IFERROR(__xludf.DUMMYFUNCTION("""COMPUTED_VALUE"""),"nahmii")</f>
        <v>nahmii</v>
      </c>
      <c r="B8217" s="4" t="str">
        <f>IFERROR(__xludf.DUMMYFUNCTION("""COMPUTED_VALUE"""),"nii")</f>
        <v>nii</v>
      </c>
      <c r="C8217" s="4" t="str">
        <f>IFERROR(__xludf.DUMMYFUNCTION("""COMPUTED_VALUE"""),"Nahmii")</f>
        <v>Nahmii</v>
      </c>
    </row>
    <row r="8218">
      <c r="A8218" s="4" t="str">
        <f>IFERROR(__xludf.DUMMYFUNCTION("""COMPUTED_VALUE"""),"naka-bodhi-token")</f>
        <v>naka-bodhi-token</v>
      </c>
      <c r="B8218" s="4" t="str">
        <f>IFERROR(__xludf.DUMMYFUNCTION("""COMPUTED_VALUE"""),"nbot")</f>
        <v>nbot</v>
      </c>
      <c r="C8218" s="4" t="str">
        <f>IFERROR(__xludf.DUMMYFUNCTION("""COMPUTED_VALUE"""),"Naka Bodhi")</f>
        <v>Naka Bodhi</v>
      </c>
    </row>
    <row r="8219">
      <c r="A8219" s="4" t="str">
        <f>IFERROR(__xludf.DUMMYFUNCTION("""COMPUTED_VALUE"""),"nakachain")</f>
        <v>nakachain</v>
      </c>
      <c r="B8219" s="4" t="str">
        <f>IFERROR(__xludf.DUMMYFUNCTION("""COMPUTED_VALUE"""),"naka")</f>
        <v>naka</v>
      </c>
      <c r="C8219" s="4" t="str">
        <f>IFERROR(__xludf.DUMMYFUNCTION("""COMPUTED_VALUE"""),"NakaChain")</f>
        <v>NakaChain</v>
      </c>
    </row>
    <row r="8220">
      <c r="A8220" s="4" t="str">
        <f>IFERROR(__xludf.DUMMYFUNCTION("""COMPUTED_VALUE"""),"nakamoto-games")</f>
        <v>nakamoto-games</v>
      </c>
      <c r="B8220" s="4" t="str">
        <f>IFERROR(__xludf.DUMMYFUNCTION("""COMPUTED_VALUE"""),"naka")</f>
        <v>naka</v>
      </c>
      <c r="C8220" s="4" t="str">
        <f>IFERROR(__xludf.DUMMYFUNCTION("""COMPUTED_VALUE"""),"Nakamoto Games")</f>
        <v>Nakamoto Games</v>
      </c>
    </row>
    <row r="8221">
      <c r="A8221" s="4" t="str">
        <f>IFERROR(__xludf.DUMMYFUNCTION("""COMPUTED_VALUE"""),"nals")</f>
        <v>nals</v>
      </c>
      <c r="B8221" s="4" t="str">
        <f>IFERROR(__xludf.DUMMYFUNCTION("""COMPUTED_VALUE"""),"nals")</f>
        <v>nals</v>
      </c>
      <c r="C8221" s="4" t="str">
        <f>IFERROR(__xludf.DUMMYFUNCTION("""COMPUTED_VALUE"""),"NALS")</f>
        <v>NALS</v>
      </c>
    </row>
    <row r="8222">
      <c r="A8222" s="4" t="str">
        <f>IFERROR(__xludf.DUMMYFUNCTION("""COMPUTED_VALUE"""),"namecoin")</f>
        <v>namecoin</v>
      </c>
      <c r="B8222" s="4" t="str">
        <f>IFERROR(__xludf.DUMMYFUNCTION("""COMPUTED_VALUE"""),"nmc")</f>
        <v>nmc</v>
      </c>
      <c r="C8222" s="4" t="str">
        <f>IFERROR(__xludf.DUMMYFUNCTION("""COMPUTED_VALUE"""),"Namecoin")</f>
        <v>Namecoin</v>
      </c>
    </row>
    <row r="8223">
      <c r="A8223" s="4" t="str">
        <f>IFERROR(__xludf.DUMMYFUNCTION("""COMPUTED_VALUE"""),"nami-frame-futures")</f>
        <v>nami-frame-futures</v>
      </c>
      <c r="B8223" s="4" t="str">
        <f>IFERROR(__xludf.DUMMYFUNCTION("""COMPUTED_VALUE"""),"nao")</f>
        <v>nao</v>
      </c>
      <c r="C8223" s="4" t="str">
        <f>IFERROR(__xludf.DUMMYFUNCTION("""COMPUTED_VALUE"""),"Nami Frame Futures")</f>
        <v>Nami Frame Futures</v>
      </c>
    </row>
    <row r="8224">
      <c r="A8224" s="4" t="str">
        <f>IFERROR(__xludf.DUMMYFUNCTION("""COMPUTED_VALUE"""),"namx")</f>
        <v>namx</v>
      </c>
      <c r="B8224" s="4" t="str">
        <f>IFERROR(__xludf.DUMMYFUNCTION("""COMPUTED_VALUE"""),"namx")</f>
        <v>namx</v>
      </c>
      <c r="C8224" s="4" t="str">
        <f>IFERROR(__xludf.DUMMYFUNCTION("""COMPUTED_VALUE"""),"Namx")</f>
        <v>Namx</v>
      </c>
    </row>
    <row r="8225">
      <c r="A8225" s="4" t="str">
        <f>IFERROR(__xludf.DUMMYFUNCTION("""COMPUTED_VALUE"""),"nana-token")</f>
        <v>nana-token</v>
      </c>
      <c r="B8225" s="4" t="str">
        <f>IFERROR(__xludf.DUMMYFUNCTION("""COMPUTED_VALUE"""),"nana")</f>
        <v>nana</v>
      </c>
      <c r="C8225" s="4" t="str">
        <f>IFERROR(__xludf.DUMMYFUNCTION("""COMPUTED_VALUE"""),"NANA Token")</f>
        <v>NANA Token</v>
      </c>
    </row>
    <row r="8226">
      <c r="A8226" s="4" t="str">
        <f>IFERROR(__xludf.DUMMYFUNCTION("""COMPUTED_VALUE"""),"nano")</f>
        <v>nano</v>
      </c>
      <c r="B8226" s="4" t="str">
        <f>IFERROR(__xludf.DUMMYFUNCTION("""COMPUTED_VALUE"""),"xno")</f>
        <v>xno</v>
      </c>
      <c r="C8226" s="4" t="str">
        <f>IFERROR(__xludf.DUMMYFUNCTION("""COMPUTED_VALUE"""),"Nano")</f>
        <v>Nano</v>
      </c>
    </row>
    <row r="8227">
      <c r="A8227" s="4" t="str">
        <f>IFERROR(__xludf.DUMMYFUNCTION("""COMPUTED_VALUE"""),"nanobyte")</f>
        <v>nanobyte</v>
      </c>
      <c r="B8227" s="4" t="str">
        <f>IFERROR(__xludf.DUMMYFUNCTION("""COMPUTED_VALUE"""),"nbt")</f>
        <v>nbt</v>
      </c>
      <c r="C8227" s="4" t="str">
        <f>IFERROR(__xludf.DUMMYFUNCTION("""COMPUTED_VALUE"""),"NanoByte")</f>
        <v>NanoByte</v>
      </c>
    </row>
    <row r="8228">
      <c r="A8228" s="4" t="str">
        <f>IFERROR(__xludf.DUMMYFUNCTION("""COMPUTED_VALUE"""),"nano-dogecoin")</f>
        <v>nano-dogecoin</v>
      </c>
      <c r="B8228" s="4" t="str">
        <f>IFERROR(__xludf.DUMMYFUNCTION("""COMPUTED_VALUE"""),"indc")</f>
        <v>indc</v>
      </c>
      <c r="C8228" s="4" t="str">
        <f>IFERROR(__xludf.DUMMYFUNCTION("""COMPUTED_VALUE"""),"Nano Dogecoin")</f>
        <v>Nano Dogecoin</v>
      </c>
    </row>
    <row r="8229">
      <c r="A8229" s="4" t="str">
        <f>IFERROR(__xludf.DUMMYFUNCTION("""COMPUTED_VALUE"""),"nanomatic")</f>
        <v>nanomatic</v>
      </c>
      <c r="B8229" s="4" t="str">
        <f>IFERROR(__xludf.DUMMYFUNCTION("""COMPUTED_VALUE"""),"nano")</f>
        <v>nano</v>
      </c>
      <c r="C8229" s="4" t="str">
        <f>IFERROR(__xludf.DUMMYFUNCTION("""COMPUTED_VALUE"""),"Nanomatic")</f>
        <v>Nanomatic</v>
      </c>
    </row>
    <row r="8230">
      <c r="A8230" s="4" t="str">
        <f>IFERROR(__xludf.DUMMYFUNCTION("""COMPUTED_VALUE"""),"nanometer-bitcoin")</f>
        <v>nanometer-bitcoin</v>
      </c>
      <c r="B8230" s="4" t="str">
        <f>IFERROR(__xludf.DUMMYFUNCTION("""COMPUTED_VALUE"""),"nmbtc")</f>
        <v>nmbtc</v>
      </c>
      <c r="C8230" s="4" t="str">
        <f>IFERROR(__xludf.DUMMYFUNCTION("""COMPUTED_VALUE"""),"NanoMeter Bitcoin")</f>
        <v>NanoMeter Bitcoin</v>
      </c>
    </row>
    <row r="8231">
      <c r="A8231" s="4" t="str">
        <f>IFERROR(__xludf.DUMMYFUNCTION("""COMPUTED_VALUE"""),"naos-finance")</f>
        <v>naos-finance</v>
      </c>
      <c r="B8231" s="4" t="str">
        <f>IFERROR(__xludf.DUMMYFUNCTION("""COMPUTED_VALUE"""),"naos")</f>
        <v>naos</v>
      </c>
      <c r="C8231" s="4" t="str">
        <f>IFERROR(__xludf.DUMMYFUNCTION("""COMPUTED_VALUE"""),"NAOS Finance")</f>
        <v>NAOS Finance</v>
      </c>
    </row>
    <row r="8232">
      <c r="A8232" s="4" t="str">
        <f>IFERROR(__xludf.DUMMYFUNCTION("""COMPUTED_VALUE"""),"napoleon-x")</f>
        <v>napoleon-x</v>
      </c>
      <c r="B8232" s="4" t="str">
        <f>IFERROR(__xludf.DUMMYFUNCTION("""COMPUTED_VALUE"""),"npx")</f>
        <v>npx</v>
      </c>
      <c r="C8232" s="4" t="str">
        <f>IFERROR(__xludf.DUMMYFUNCTION("""COMPUTED_VALUE"""),"Napoleon X")</f>
        <v>Napoleon X</v>
      </c>
    </row>
    <row r="8233">
      <c r="A8233" s="4" t="str">
        <f>IFERROR(__xludf.DUMMYFUNCTION("""COMPUTED_VALUE"""),"napoli-fan-token")</f>
        <v>napoli-fan-token</v>
      </c>
      <c r="B8233" s="4" t="str">
        <f>IFERROR(__xludf.DUMMYFUNCTION("""COMPUTED_VALUE"""),"nap")</f>
        <v>nap</v>
      </c>
      <c r="C8233" s="4" t="str">
        <f>IFERROR(__xludf.DUMMYFUNCTION("""COMPUTED_VALUE"""),"Napoli Fan Token")</f>
        <v>Napoli Fan Token</v>
      </c>
    </row>
    <row r="8234">
      <c r="A8234" s="4" t="str">
        <f>IFERROR(__xludf.DUMMYFUNCTION("""COMPUTED_VALUE"""),"naruto")</f>
        <v>naruto</v>
      </c>
      <c r="B8234" s="4" t="str">
        <f>IFERROR(__xludf.DUMMYFUNCTION("""COMPUTED_VALUE"""),"naruto")</f>
        <v>naruto</v>
      </c>
      <c r="C8234" s="4" t="str">
        <f>IFERROR(__xludf.DUMMYFUNCTION("""COMPUTED_VALUE"""),"Naruto")</f>
        <v>Naruto</v>
      </c>
    </row>
    <row r="8235">
      <c r="A8235" s="4" t="str">
        <f>IFERROR(__xludf.DUMMYFUNCTION("""COMPUTED_VALUE"""),"nasdex-token")</f>
        <v>nasdex-token</v>
      </c>
      <c r="B8235" s="4" t="str">
        <f>IFERROR(__xludf.DUMMYFUNCTION("""COMPUTED_VALUE"""),"nsdx")</f>
        <v>nsdx</v>
      </c>
      <c r="C8235" s="4" t="str">
        <f>IFERROR(__xludf.DUMMYFUNCTION("""COMPUTED_VALUE"""),"NASDEX")</f>
        <v>NASDEX</v>
      </c>
    </row>
    <row r="8236">
      <c r="A8236" s="4" t="str">
        <f>IFERROR(__xludf.DUMMYFUNCTION("""COMPUTED_VALUE"""),"nation3")</f>
        <v>nation3</v>
      </c>
      <c r="B8236" s="4" t="str">
        <f>IFERROR(__xludf.DUMMYFUNCTION("""COMPUTED_VALUE"""),"nation")</f>
        <v>nation</v>
      </c>
      <c r="C8236" s="4" t="str">
        <f>IFERROR(__xludf.DUMMYFUNCTION("""COMPUTED_VALUE"""),"Nation3")</f>
        <v>Nation3</v>
      </c>
    </row>
    <row r="8237">
      <c r="A8237" s="4" t="str">
        <f>IFERROR(__xludf.DUMMYFUNCTION("""COMPUTED_VALUE"""),"naturesgold")</f>
        <v>naturesgold</v>
      </c>
      <c r="B8237" s="4" t="str">
        <f>IFERROR(__xludf.DUMMYFUNCTION("""COMPUTED_VALUE"""),"ngold")</f>
        <v>ngold</v>
      </c>
      <c r="C8237" s="4" t="str">
        <f>IFERROR(__xludf.DUMMYFUNCTION("""COMPUTED_VALUE"""),"NaturesGold")</f>
        <v>NaturesGold</v>
      </c>
    </row>
    <row r="8238">
      <c r="A8238" s="4" t="str">
        <f>IFERROR(__xludf.DUMMYFUNCTION("""COMPUTED_VALUE"""),"natus-vincere-fan-token")</f>
        <v>natus-vincere-fan-token</v>
      </c>
      <c r="B8238" s="4" t="str">
        <f>IFERROR(__xludf.DUMMYFUNCTION("""COMPUTED_VALUE"""),"navi")</f>
        <v>navi</v>
      </c>
      <c r="C8238" s="4" t="str">
        <f>IFERROR(__xludf.DUMMYFUNCTION("""COMPUTED_VALUE"""),"Natus Vincere Fan Token")</f>
        <v>Natus Vincere Fan Token</v>
      </c>
    </row>
    <row r="8239">
      <c r="A8239" s="4" t="str">
        <f>IFERROR(__xludf.DUMMYFUNCTION("""COMPUTED_VALUE"""),"nautilus-network")</f>
        <v>nautilus-network</v>
      </c>
      <c r="B8239" s="4" t="str">
        <f>IFERROR(__xludf.DUMMYFUNCTION("""COMPUTED_VALUE"""),"ntl")</f>
        <v>ntl</v>
      </c>
      <c r="C8239" s="4" t="str">
        <f>IFERROR(__xludf.DUMMYFUNCTION("""COMPUTED_VALUE"""),"Nautilus Network")</f>
        <v>Nautilus Network</v>
      </c>
    </row>
    <row r="8240">
      <c r="A8240" s="4" t="str">
        <f>IFERROR(__xludf.DUMMYFUNCTION("""COMPUTED_VALUE"""),"nav-coin")</f>
        <v>nav-coin</v>
      </c>
      <c r="B8240" s="4" t="str">
        <f>IFERROR(__xludf.DUMMYFUNCTION("""COMPUTED_VALUE"""),"nav")</f>
        <v>nav</v>
      </c>
      <c r="C8240" s="4" t="str">
        <f>IFERROR(__xludf.DUMMYFUNCTION("""COMPUTED_VALUE"""),"Navcoin")</f>
        <v>Navcoin</v>
      </c>
    </row>
    <row r="8241">
      <c r="A8241" s="4" t="str">
        <f>IFERROR(__xludf.DUMMYFUNCTION("""COMPUTED_VALUE"""),"navi")</f>
        <v>navi</v>
      </c>
      <c r="B8241" s="4" t="str">
        <f>IFERROR(__xludf.DUMMYFUNCTION("""COMPUTED_VALUE"""),"navx")</f>
        <v>navx</v>
      </c>
      <c r="C8241" s="4" t="str">
        <f>IFERROR(__xludf.DUMMYFUNCTION("""COMPUTED_VALUE"""),"NAVI Protocol")</f>
        <v>NAVI Protocol</v>
      </c>
    </row>
    <row r="8242">
      <c r="A8242" s="4" t="str">
        <f>IFERROR(__xludf.DUMMYFUNCTION("""COMPUTED_VALUE"""),"navis")</f>
        <v>navis</v>
      </c>
      <c r="B8242" s="4" t="str">
        <f>IFERROR(__xludf.DUMMYFUNCTION("""COMPUTED_VALUE"""),"nvs")</f>
        <v>nvs</v>
      </c>
      <c r="C8242" s="4" t="str">
        <f>IFERROR(__xludf.DUMMYFUNCTION("""COMPUTED_VALUE"""),"Navis")</f>
        <v>Navis</v>
      </c>
    </row>
    <row r="8243">
      <c r="A8243" s="4" t="str">
        <f>IFERROR(__xludf.DUMMYFUNCTION("""COMPUTED_VALUE"""),"navist")</f>
        <v>navist</v>
      </c>
      <c r="B8243" s="4" t="str">
        <f>IFERROR(__xludf.DUMMYFUNCTION("""COMPUTED_VALUE"""),"navist")</f>
        <v>navist</v>
      </c>
      <c r="C8243" s="4" t="str">
        <f>IFERROR(__xludf.DUMMYFUNCTION("""COMPUTED_VALUE"""),"Navist")</f>
        <v>Navist</v>
      </c>
    </row>
    <row r="8244">
      <c r="A8244" s="4" t="str">
        <f>IFERROR(__xludf.DUMMYFUNCTION("""COMPUTED_VALUE"""),"navy-seal")</f>
        <v>navy-seal</v>
      </c>
      <c r="B8244" s="4" t="str">
        <f>IFERROR(__xludf.DUMMYFUNCTION("""COMPUTED_VALUE"""),"navyseal")</f>
        <v>navyseal</v>
      </c>
      <c r="C8244" s="4" t="str">
        <f>IFERROR(__xludf.DUMMYFUNCTION("""COMPUTED_VALUE"""),"Navy seal")</f>
        <v>Navy seal</v>
      </c>
    </row>
    <row r="8245">
      <c r="A8245" s="4" t="str">
        <f>IFERROR(__xludf.DUMMYFUNCTION("""COMPUTED_VALUE"""),"naxar")</f>
        <v>naxar</v>
      </c>
      <c r="B8245" s="4" t="str">
        <f>IFERROR(__xludf.DUMMYFUNCTION("""COMPUTED_VALUE"""),"naxar")</f>
        <v>naxar</v>
      </c>
      <c r="C8245" s="4" t="str">
        <f>IFERROR(__xludf.DUMMYFUNCTION("""COMPUTED_VALUE"""),"Naxar")</f>
        <v>Naxar</v>
      </c>
    </row>
    <row r="8246">
      <c r="A8246" s="4" t="str">
        <f>IFERROR(__xludf.DUMMYFUNCTION("""COMPUTED_VALUE"""),"naxion")</f>
        <v>naxion</v>
      </c>
      <c r="B8246" s="4" t="str">
        <f>IFERROR(__xludf.DUMMYFUNCTION("""COMPUTED_VALUE"""),"nxn")</f>
        <v>nxn</v>
      </c>
      <c r="C8246" s="4" t="str">
        <f>IFERROR(__xludf.DUMMYFUNCTION("""COMPUTED_VALUE"""),"Naxion")</f>
        <v>Naxion</v>
      </c>
    </row>
    <row r="8247">
      <c r="A8247" s="4" t="str">
        <f>IFERROR(__xludf.DUMMYFUNCTION("""COMPUTED_VALUE"""),"nbl")</f>
        <v>nbl</v>
      </c>
      <c r="B8247" s="4" t="str">
        <f>IFERROR(__xludf.DUMMYFUNCTION("""COMPUTED_VALUE"""),"nbl")</f>
        <v>nbl</v>
      </c>
      <c r="C8247" s="4" t="str">
        <f>IFERROR(__xludf.DUMMYFUNCTION("""COMPUTED_VALUE"""),"NBL")</f>
        <v>NBL</v>
      </c>
    </row>
    <row r="8248">
      <c r="A8248" s="4" t="str">
        <f>IFERROR(__xludf.DUMMYFUNCTION("""COMPUTED_VALUE"""),"nchart")</f>
        <v>nchart</v>
      </c>
      <c r="B8248" s="4" t="str">
        <f>IFERROR(__xludf.DUMMYFUNCTION("""COMPUTED_VALUE"""),"chart")</f>
        <v>chart</v>
      </c>
      <c r="C8248" s="4" t="str">
        <f>IFERROR(__xludf.DUMMYFUNCTION("""COMPUTED_VALUE"""),"Nchart Token")</f>
        <v>Nchart Token</v>
      </c>
    </row>
    <row r="8249">
      <c r="A8249" s="4" t="str">
        <f>IFERROR(__xludf.DUMMYFUNCTION("""COMPUTED_VALUE"""),"ndb")</f>
        <v>ndb</v>
      </c>
      <c r="B8249" s="4" t="str">
        <f>IFERROR(__xludf.DUMMYFUNCTION("""COMPUTED_VALUE"""),"ndb")</f>
        <v>ndb</v>
      </c>
      <c r="C8249" s="4" t="str">
        <f>IFERROR(__xludf.DUMMYFUNCTION("""COMPUTED_VALUE"""),"NDB")</f>
        <v>NDB</v>
      </c>
    </row>
    <row r="8250">
      <c r="A8250" s="4" t="str">
        <f>IFERROR(__xludf.DUMMYFUNCTION("""COMPUTED_VALUE"""),"near")</f>
        <v>near</v>
      </c>
      <c r="B8250" s="4" t="str">
        <f>IFERROR(__xludf.DUMMYFUNCTION("""COMPUTED_VALUE"""),"near")</f>
        <v>near</v>
      </c>
      <c r="C8250" s="4" t="str">
        <f>IFERROR(__xludf.DUMMYFUNCTION("""COMPUTED_VALUE"""),"NEAR Protocol")</f>
        <v>NEAR Protocol</v>
      </c>
    </row>
    <row r="8251">
      <c r="A8251" s="4" t="str">
        <f>IFERROR(__xludf.DUMMYFUNCTION("""COMPUTED_VALUE"""),"nearlend-dao")</f>
        <v>nearlend-dao</v>
      </c>
      <c r="B8251" s="4" t="str">
        <f>IFERROR(__xludf.DUMMYFUNCTION("""COMPUTED_VALUE"""),"neld")</f>
        <v>neld</v>
      </c>
      <c r="C8251" s="4" t="str">
        <f>IFERROR(__xludf.DUMMYFUNCTION("""COMPUTED_VALUE"""),"Nearlend DAO")</f>
        <v>Nearlend DAO</v>
      </c>
    </row>
    <row r="8252">
      <c r="A8252" s="4" t="str">
        <f>IFERROR(__xludf.DUMMYFUNCTION("""COMPUTED_VALUE"""),"nearpad")</f>
        <v>nearpad</v>
      </c>
      <c r="B8252" s="4" t="str">
        <f>IFERROR(__xludf.DUMMYFUNCTION("""COMPUTED_VALUE"""),"pad")</f>
        <v>pad</v>
      </c>
      <c r="C8252" s="5" t="str">
        <f>IFERROR(__xludf.DUMMYFUNCTION("""COMPUTED_VALUE"""),"Pad.Fi")</f>
        <v>Pad.Fi</v>
      </c>
    </row>
    <row r="8253">
      <c r="A8253" s="4" t="str">
        <f>IFERROR(__xludf.DUMMYFUNCTION("""COMPUTED_VALUE"""),"nearstarter")</f>
        <v>nearstarter</v>
      </c>
      <c r="B8253" s="4" t="str">
        <f>IFERROR(__xludf.DUMMYFUNCTION("""COMPUTED_VALUE"""),"nstart")</f>
        <v>nstart</v>
      </c>
      <c r="C8253" s="4" t="str">
        <f>IFERROR(__xludf.DUMMYFUNCTION("""COMPUTED_VALUE"""),"NEARStarter")</f>
        <v>NEARStarter</v>
      </c>
    </row>
    <row r="8254">
      <c r="A8254" s="4" t="str">
        <f>IFERROR(__xludf.DUMMYFUNCTION("""COMPUTED_VALUE"""),"near-tinker-union-gear")</f>
        <v>near-tinker-union-gear</v>
      </c>
      <c r="B8254" s="4" t="str">
        <f>IFERROR(__xludf.DUMMYFUNCTION("""COMPUTED_VALUE"""),"gear")</f>
        <v>gear</v>
      </c>
      <c r="C8254" s="4" t="str">
        <f>IFERROR(__xludf.DUMMYFUNCTION("""COMPUTED_VALUE"""),"Near Tinker Union GEAR")</f>
        <v>Near Tinker Union GEAR</v>
      </c>
    </row>
    <row r="8255">
      <c r="A8255" s="4" t="str">
        <f>IFERROR(__xludf.DUMMYFUNCTION("""COMPUTED_VALUE"""),"neat")</f>
        <v>neat</v>
      </c>
      <c r="B8255" s="4" t="str">
        <f>IFERROR(__xludf.DUMMYFUNCTION("""COMPUTED_VALUE"""),"neat")</f>
        <v>neat</v>
      </c>
      <c r="C8255" s="4" t="str">
        <f>IFERROR(__xludf.DUMMYFUNCTION("""COMPUTED_VALUE"""),"NEAT")</f>
        <v>NEAT</v>
      </c>
    </row>
    <row r="8256">
      <c r="A8256" s="4" t="str">
        <f>IFERROR(__xludf.DUMMYFUNCTION("""COMPUTED_VALUE"""),"neblio")</f>
        <v>neblio</v>
      </c>
      <c r="B8256" s="4" t="str">
        <f>IFERROR(__xludf.DUMMYFUNCTION("""COMPUTED_VALUE"""),"nebl")</f>
        <v>nebl</v>
      </c>
      <c r="C8256" s="4" t="str">
        <f>IFERROR(__xludf.DUMMYFUNCTION("""COMPUTED_VALUE"""),"Neblio")</f>
        <v>Neblio</v>
      </c>
    </row>
    <row r="8257">
      <c r="A8257" s="4" t="str">
        <f>IFERROR(__xludf.DUMMYFUNCTION("""COMPUTED_VALUE"""),"nebula-2")</f>
        <v>nebula-2</v>
      </c>
      <c r="B8257" s="4" t="str">
        <f>IFERROR(__xludf.DUMMYFUNCTION("""COMPUTED_VALUE"""),"nebula")</f>
        <v>nebula</v>
      </c>
      <c r="C8257" s="4" t="str">
        <f>IFERROR(__xludf.DUMMYFUNCTION("""COMPUTED_VALUE"""),"Nebula")</f>
        <v>Nebula</v>
      </c>
    </row>
    <row r="8258">
      <c r="A8258" s="4" t="str">
        <f>IFERROR(__xludf.DUMMYFUNCTION("""COMPUTED_VALUE"""),"nebula-project")</f>
        <v>nebula-project</v>
      </c>
      <c r="B8258" s="4" t="str">
        <f>IFERROR(__xludf.DUMMYFUNCTION("""COMPUTED_VALUE"""),"nbla")</f>
        <v>nbla</v>
      </c>
      <c r="C8258" s="4" t="str">
        <f>IFERROR(__xludf.DUMMYFUNCTION("""COMPUTED_VALUE"""),"Nebula Project")</f>
        <v>Nebula Project</v>
      </c>
    </row>
    <row r="8259">
      <c r="A8259" s="4" t="str">
        <f>IFERROR(__xludf.DUMMYFUNCTION("""COMPUTED_VALUE"""),"nebulas")</f>
        <v>nebulas</v>
      </c>
      <c r="B8259" s="4" t="str">
        <f>IFERROR(__xludf.DUMMYFUNCTION("""COMPUTED_VALUE"""),"nas")</f>
        <v>nas</v>
      </c>
      <c r="C8259" s="4" t="str">
        <f>IFERROR(__xludf.DUMMYFUNCTION("""COMPUTED_VALUE"""),"Nebulas")</f>
        <v>Nebulas</v>
      </c>
    </row>
    <row r="8260">
      <c r="A8260" s="4" t="str">
        <f>IFERROR(__xludf.DUMMYFUNCTION("""COMPUTED_VALUE"""),"ned")</f>
        <v>ned</v>
      </c>
      <c r="B8260" s="4" t="str">
        <f>IFERROR(__xludf.DUMMYFUNCTION("""COMPUTED_VALUE"""),"ned")</f>
        <v>ned</v>
      </c>
      <c r="C8260" s="4" t="str">
        <f>IFERROR(__xludf.DUMMYFUNCTION("""COMPUTED_VALUE"""),"NED")</f>
        <v>NED</v>
      </c>
    </row>
    <row r="8261">
      <c r="A8261" s="4" t="str">
        <f>IFERROR(__xludf.DUMMYFUNCTION("""COMPUTED_VALUE"""),"nefty")</f>
        <v>nefty</v>
      </c>
      <c r="B8261" s="4" t="str">
        <f>IFERROR(__xludf.DUMMYFUNCTION("""COMPUTED_VALUE"""),"nefty")</f>
        <v>nefty</v>
      </c>
      <c r="C8261" s="4" t="str">
        <f>IFERROR(__xludf.DUMMYFUNCTION("""COMPUTED_VALUE"""),"NeftyBlocks")</f>
        <v>NeftyBlocks</v>
      </c>
    </row>
    <row r="8262">
      <c r="A8262" s="4" t="str">
        <f>IFERROR(__xludf.DUMMYFUNCTION("""COMPUTED_VALUE"""),"neged")</f>
        <v>neged</v>
      </c>
      <c r="B8262" s="4" t="str">
        <f>IFERROR(__xludf.DUMMYFUNCTION("""COMPUTED_VALUE"""),"neged")</f>
        <v>neged</v>
      </c>
      <c r="C8262" s="4" t="str">
        <f>IFERROR(__xludf.DUMMYFUNCTION("""COMPUTED_VALUE"""),"Neged")</f>
        <v>Neged</v>
      </c>
    </row>
    <row r="8263">
      <c r="A8263" s="4" t="str">
        <f>IFERROR(__xludf.DUMMYFUNCTION("""COMPUTED_VALUE"""),"neighbourhoods")</f>
        <v>neighbourhoods</v>
      </c>
      <c r="B8263" s="4" t="str">
        <f>IFERROR(__xludf.DUMMYFUNCTION("""COMPUTED_VALUE"""),"nht")</f>
        <v>nht</v>
      </c>
      <c r="C8263" s="4" t="str">
        <f>IFERROR(__xludf.DUMMYFUNCTION("""COMPUTED_VALUE"""),"Neighbourhoods")</f>
        <v>Neighbourhoods</v>
      </c>
    </row>
    <row r="8264">
      <c r="A8264" s="4" t="str">
        <f>IFERROR(__xludf.DUMMYFUNCTION("""COMPUTED_VALUE"""),"neko")</f>
        <v>neko</v>
      </c>
      <c r="B8264" s="4" t="str">
        <f>IFERROR(__xludf.DUMMYFUNCTION("""COMPUTED_VALUE"""),"neko")</f>
        <v>neko</v>
      </c>
      <c r="C8264" s="4" t="str">
        <f>IFERROR(__xludf.DUMMYFUNCTION("""COMPUTED_VALUE"""),"NEKO")</f>
        <v>NEKO</v>
      </c>
    </row>
    <row r="8265">
      <c r="A8265" s="4" t="str">
        <f>IFERROR(__xludf.DUMMYFUNCTION("""COMPUTED_VALUE"""),"nekoverse-city-of-greed-anima-spirit-gem")</f>
        <v>nekoverse-city-of-greed-anima-spirit-gem</v>
      </c>
      <c r="B8265" s="4" t="str">
        <f>IFERROR(__xludf.DUMMYFUNCTION("""COMPUTED_VALUE"""),"asg")</f>
        <v>asg</v>
      </c>
      <c r="C8265" s="4" t="str">
        <f>IFERROR(__xludf.DUMMYFUNCTION("""COMPUTED_VALUE"""),"Nekoverse: City of Greed Anima Spirit Gem")</f>
        <v>Nekoverse: City of Greed Anima Spirit Gem</v>
      </c>
    </row>
    <row r="8266">
      <c r="A8266" s="4" t="str">
        <f>IFERROR(__xludf.DUMMYFUNCTION("""COMPUTED_VALUE"""),"nelore-coin")</f>
        <v>nelore-coin</v>
      </c>
      <c r="B8266" s="4" t="str">
        <f>IFERROR(__xludf.DUMMYFUNCTION("""COMPUTED_VALUE"""),"nlc")</f>
        <v>nlc</v>
      </c>
      <c r="C8266" s="4" t="str">
        <f>IFERROR(__xludf.DUMMYFUNCTION("""COMPUTED_VALUE"""),"Nelore Coin")</f>
        <v>Nelore Coin</v>
      </c>
    </row>
    <row r="8267">
      <c r="A8267" s="4" t="str">
        <f>IFERROR(__xludf.DUMMYFUNCTION("""COMPUTED_VALUE"""),"nem")</f>
        <v>nem</v>
      </c>
      <c r="B8267" s="4" t="str">
        <f>IFERROR(__xludf.DUMMYFUNCTION("""COMPUTED_VALUE"""),"xem")</f>
        <v>xem</v>
      </c>
      <c r="C8267" s="4" t="str">
        <f>IFERROR(__xludf.DUMMYFUNCTION("""COMPUTED_VALUE"""),"NEM")</f>
        <v>NEM</v>
      </c>
    </row>
    <row r="8268">
      <c r="A8268" s="4" t="str">
        <f>IFERROR(__xludf.DUMMYFUNCTION("""COMPUTED_VALUE"""),"nemesis-downfall")</f>
        <v>nemesis-downfall</v>
      </c>
      <c r="B8268" s="4" t="str">
        <f>IFERROR(__xludf.DUMMYFUNCTION("""COMPUTED_VALUE"""),"nd")</f>
        <v>nd</v>
      </c>
      <c r="C8268" s="4" t="str">
        <f>IFERROR(__xludf.DUMMYFUNCTION("""COMPUTED_VALUE"""),"Nemesis Downfall")</f>
        <v>Nemesis Downfall</v>
      </c>
    </row>
    <row r="8269">
      <c r="A8269" s="4" t="str">
        <f>IFERROR(__xludf.DUMMYFUNCTION("""COMPUTED_VALUE"""),"nemgame")</f>
        <v>nemgame</v>
      </c>
      <c r="B8269" s="4" t="str">
        <f>IFERROR(__xludf.DUMMYFUNCTION("""COMPUTED_VALUE"""),"nem")</f>
        <v>nem</v>
      </c>
      <c r="C8269" s="4" t="str">
        <f>IFERROR(__xludf.DUMMYFUNCTION("""COMPUTED_VALUE"""),"NemGame")</f>
        <v>NemGame</v>
      </c>
    </row>
    <row r="8270">
      <c r="A8270" s="4" t="str">
        <f>IFERROR(__xludf.DUMMYFUNCTION("""COMPUTED_VALUE"""),"nemo")</f>
        <v>nemo</v>
      </c>
      <c r="B8270" s="4" t="str">
        <f>IFERROR(__xludf.DUMMYFUNCTION("""COMPUTED_VALUE"""),"nemo")</f>
        <v>nemo</v>
      </c>
      <c r="C8270" s="4" t="str">
        <f>IFERROR(__xludf.DUMMYFUNCTION("""COMPUTED_VALUE"""),"NEMO")</f>
        <v>NEMO</v>
      </c>
    </row>
    <row r="8271">
      <c r="A8271" s="4" t="str">
        <f>IFERROR(__xludf.DUMMYFUNCTION("""COMPUTED_VALUE"""),"nengcoin")</f>
        <v>nengcoin</v>
      </c>
      <c r="B8271" s="4" t="str">
        <f>IFERROR(__xludf.DUMMYFUNCTION("""COMPUTED_VALUE"""),"neng")</f>
        <v>neng</v>
      </c>
      <c r="C8271" s="4" t="str">
        <f>IFERROR(__xludf.DUMMYFUNCTION("""COMPUTED_VALUE"""),"Nengcoin")</f>
        <v>Nengcoin</v>
      </c>
    </row>
    <row r="8272">
      <c r="A8272" s="4" t="str">
        <f>IFERROR(__xludf.DUMMYFUNCTION("""COMPUTED_VALUE"""),"neo")</f>
        <v>neo</v>
      </c>
      <c r="B8272" s="4" t="str">
        <f>IFERROR(__xludf.DUMMYFUNCTION("""COMPUTED_VALUE"""),"neo")</f>
        <v>neo</v>
      </c>
      <c r="C8272" s="4" t="str">
        <f>IFERROR(__xludf.DUMMYFUNCTION("""COMPUTED_VALUE"""),"NEO")</f>
        <v>NEO</v>
      </c>
    </row>
    <row r="8273">
      <c r="A8273" s="4" t="str">
        <f>IFERROR(__xludf.DUMMYFUNCTION("""COMPUTED_VALUE"""),"neoaudit-ai")</f>
        <v>neoaudit-ai</v>
      </c>
      <c r="B8273" s="4" t="str">
        <f>IFERROR(__xludf.DUMMYFUNCTION("""COMPUTED_VALUE"""),"naai")</f>
        <v>naai</v>
      </c>
      <c r="C8273" s="4" t="str">
        <f>IFERROR(__xludf.DUMMYFUNCTION("""COMPUTED_VALUE"""),"NeoAudit AI")</f>
        <v>NeoAudit AI</v>
      </c>
    </row>
    <row r="8274">
      <c r="A8274" s="4" t="str">
        <f>IFERROR(__xludf.DUMMYFUNCTION("""COMPUTED_VALUE"""),"neobot")</f>
        <v>neobot</v>
      </c>
      <c r="B8274" s="4" t="str">
        <f>IFERROR(__xludf.DUMMYFUNCTION("""COMPUTED_VALUE"""),"neobot")</f>
        <v>neobot</v>
      </c>
      <c r="C8274" s="4" t="str">
        <f>IFERROR(__xludf.DUMMYFUNCTION("""COMPUTED_VALUE"""),"NeoBot")</f>
        <v>NeoBot</v>
      </c>
    </row>
    <row r="8275">
      <c r="A8275" s="4" t="str">
        <f>IFERROR(__xludf.DUMMYFUNCTION("""COMPUTED_VALUE"""),"neocortexai")</f>
        <v>neocortexai</v>
      </c>
      <c r="B8275" s="4" t="str">
        <f>IFERROR(__xludf.DUMMYFUNCTION("""COMPUTED_VALUE"""),"corai")</f>
        <v>corai</v>
      </c>
      <c r="C8275" s="4" t="str">
        <f>IFERROR(__xludf.DUMMYFUNCTION("""COMPUTED_VALUE"""),"NeoCortexAI [OLD]")</f>
        <v>NeoCortexAI [OLD]</v>
      </c>
    </row>
    <row r="8276">
      <c r="A8276" s="4" t="str">
        <f>IFERROR(__xludf.DUMMYFUNCTION("""COMPUTED_VALUE"""),"neocortexai-2")</f>
        <v>neocortexai-2</v>
      </c>
      <c r="B8276" s="4" t="str">
        <f>IFERROR(__xludf.DUMMYFUNCTION("""COMPUTED_VALUE"""),"ncorai")</f>
        <v>ncorai</v>
      </c>
      <c r="C8276" s="4" t="str">
        <f>IFERROR(__xludf.DUMMYFUNCTION("""COMPUTED_VALUE"""),"NeoCortexAI")</f>
        <v>NeoCortexAI</v>
      </c>
    </row>
    <row r="8277">
      <c r="A8277" s="4" t="str">
        <f>IFERROR(__xludf.DUMMYFUNCTION("""COMPUTED_VALUE"""),"neon")</f>
        <v>neon</v>
      </c>
      <c r="B8277" s="4" t="str">
        <f>IFERROR(__xludf.DUMMYFUNCTION("""COMPUTED_VALUE"""),"neon")</f>
        <v>neon</v>
      </c>
      <c r="C8277" s="4" t="str">
        <f>IFERROR(__xludf.DUMMYFUNCTION("""COMPUTED_VALUE"""),"Neon")</f>
        <v>Neon</v>
      </c>
    </row>
    <row r="8278">
      <c r="A8278" s="4" t="str">
        <f>IFERROR(__xludf.DUMMYFUNCTION("""COMPUTED_VALUE"""),"neonai")</f>
        <v>neonai</v>
      </c>
      <c r="B8278" s="4" t="str">
        <f>IFERROR(__xludf.DUMMYFUNCTION("""COMPUTED_VALUE"""),"neonai")</f>
        <v>neonai</v>
      </c>
      <c r="C8278" s="4" t="str">
        <f>IFERROR(__xludf.DUMMYFUNCTION("""COMPUTED_VALUE"""),"NeonAI")</f>
        <v>NeonAI</v>
      </c>
    </row>
    <row r="8279">
      <c r="A8279" s="4" t="str">
        <f>IFERROR(__xludf.DUMMYFUNCTION("""COMPUTED_VALUE"""),"neon-exchange")</f>
        <v>neon-exchange</v>
      </c>
      <c r="B8279" s="4" t="str">
        <f>IFERROR(__xludf.DUMMYFUNCTION("""COMPUTED_VALUE"""),"nex")</f>
        <v>nex</v>
      </c>
      <c r="C8279" s="4" t="str">
        <f>IFERROR(__xludf.DUMMYFUNCTION("""COMPUTED_VALUE"""),"Nash")</f>
        <v>Nash</v>
      </c>
    </row>
    <row r="8280">
      <c r="A8280" s="4" t="str">
        <f>IFERROR(__xludf.DUMMYFUNCTION("""COMPUTED_VALUE"""),"neonpass-bridged-usdc-neon")</f>
        <v>neonpass-bridged-usdc-neon</v>
      </c>
      <c r="B8280" s="4" t="str">
        <f>IFERROR(__xludf.DUMMYFUNCTION("""COMPUTED_VALUE"""),"usdc")</f>
        <v>usdc</v>
      </c>
      <c r="C8280" s="4" t="str">
        <f>IFERROR(__xludf.DUMMYFUNCTION("""COMPUTED_VALUE"""),"NeonPass Bridged USDC (Neon)")</f>
        <v>NeonPass Bridged USDC (Neon)</v>
      </c>
    </row>
    <row r="8281">
      <c r="A8281" s="4" t="str">
        <f>IFERROR(__xludf.DUMMYFUNCTION("""COMPUTED_VALUE"""),"neonpass-bridged-usdt-neon")</f>
        <v>neonpass-bridged-usdt-neon</v>
      </c>
      <c r="B8281" s="4" t="str">
        <f>IFERROR(__xludf.DUMMYFUNCTION("""COMPUTED_VALUE"""),"usdt")</f>
        <v>usdt</v>
      </c>
      <c r="C8281" s="4" t="str">
        <f>IFERROR(__xludf.DUMMYFUNCTION("""COMPUTED_VALUE"""),"Neonpass Bridged USDT (Neon)")</f>
        <v>Neonpass Bridged USDT (Neon)</v>
      </c>
    </row>
    <row r="8282">
      <c r="A8282" s="4" t="str">
        <f>IFERROR(__xludf.DUMMYFUNCTION("""COMPUTED_VALUE"""),"neopepe")</f>
        <v>neopepe</v>
      </c>
      <c r="B8282" s="4" t="str">
        <f>IFERROR(__xludf.DUMMYFUNCTION("""COMPUTED_VALUE"""),"neop")</f>
        <v>neop</v>
      </c>
      <c r="C8282" s="4" t="str">
        <f>IFERROR(__xludf.DUMMYFUNCTION("""COMPUTED_VALUE"""),"NeoPepe")</f>
        <v>NeoPepe</v>
      </c>
    </row>
    <row r="8283">
      <c r="A8283" s="4" t="str">
        <f>IFERROR(__xludf.DUMMYFUNCTION("""COMPUTED_VALUE"""),"neo-pepe")</f>
        <v>neo-pepe</v>
      </c>
      <c r="B8283" s="4" t="str">
        <f>IFERROR(__xludf.DUMMYFUNCTION("""COMPUTED_VALUE"""),"nepe")</f>
        <v>nepe</v>
      </c>
      <c r="C8283" s="4" t="str">
        <f>IFERROR(__xludf.DUMMYFUNCTION("""COMPUTED_VALUE"""),"NEO PEPE")</f>
        <v>NEO PEPE</v>
      </c>
    </row>
    <row r="8284">
      <c r="A8284" s="4" t="str">
        <f>IFERROR(__xludf.DUMMYFUNCTION("""COMPUTED_VALUE"""),"neopin")</f>
        <v>neopin</v>
      </c>
      <c r="B8284" s="4" t="str">
        <f>IFERROR(__xludf.DUMMYFUNCTION("""COMPUTED_VALUE"""),"npt")</f>
        <v>npt</v>
      </c>
      <c r="C8284" s="4" t="str">
        <f>IFERROR(__xludf.DUMMYFUNCTION("""COMPUTED_VALUE"""),"Neopin")</f>
        <v>Neopin</v>
      </c>
    </row>
    <row r="8285">
      <c r="A8285" s="4" t="str">
        <f>IFERROR(__xludf.DUMMYFUNCTION("""COMPUTED_VALUE"""),"neorbit")</f>
        <v>neorbit</v>
      </c>
      <c r="B8285" s="4" t="str">
        <f>IFERROR(__xludf.DUMMYFUNCTION("""COMPUTED_VALUE"""),"safo")</f>
        <v>safo</v>
      </c>
      <c r="C8285" s="4" t="str">
        <f>IFERROR(__xludf.DUMMYFUNCTION("""COMPUTED_VALUE"""),"SAFEONE CHAIN")</f>
        <v>SAFEONE CHAIN</v>
      </c>
    </row>
    <row r="8286">
      <c r="A8286" s="4" t="str">
        <f>IFERROR(__xludf.DUMMYFUNCTION("""COMPUTED_VALUE"""),"neos-credits")</f>
        <v>neos-credits</v>
      </c>
      <c r="B8286" s="4" t="str">
        <f>IFERROR(__xludf.DUMMYFUNCTION("""COMPUTED_VALUE"""),"ncr")</f>
        <v>ncr</v>
      </c>
      <c r="C8286" s="4" t="str">
        <f>IFERROR(__xludf.DUMMYFUNCTION("""COMPUTED_VALUE"""),"Neos Credits")</f>
        <v>Neos Credits</v>
      </c>
    </row>
    <row r="8287">
      <c r="A8287" s="4" t="str">
        <f>IFERROR(__xludf.DUMMYFUNCTION("""COMPUTED_VALUE"""),"neo-tokyo")</f>
        <v>neo-tokyo</v>
      </c>
      <c r="B8287" s="4" t="str">
        <f>IFERROR(__xludf.DUMMYFUNCTION("""COMPUTED_VALUE"""),"bytes")</f>
        <v>bytes</v>
      </c>
      <c r="C8287" s="4" t="str">
        <f>IFERROR(__xludf.DUMMYFUNCTION("""COMPUTED_VALUE"""),"Neo Tokyo")</f>
        <v>Neo Tokyo</v>
      </c>
    </row>
    <row r="8288">
      <c r="A8288" s="4" t="str">
        <f>IFERROR(__xludf.DUMMYFUNCTION("""COMPUTED_VALUE"""),"neoxa")</f>
        <v>neoxa</v>
      </c>
      <c r="B8288" s="4" t="str">
        <f>IFERROR(__xludf.DUMMYFUNCTION("""COMPUTED_VALUE"""),"neox")</f>
        <v>neox</v>
      </c>
      <c r="C8288" s="4" t="str">
        <f>IFERROR(__xludf.DUMMYFUNCTION("""COMPUTED_VALUE"""),"Neoxa")</f>
        <v>Neoxa</v>
      </c>
    </row>
    <row r="8289">
      <c r="A8289" s="4" t="str">
        <f>IFERROR(__xludf.DUMMYFUNCTION("""COMPUTED_VALUE"""),"neptune-mutual")</f>
        <v>neptune-mutual</v>
      </c>
      <c r="B8289" s="4" t="str">
        <f>IFERROR(__xludf.DUMMYFUNCTION("""COMPUTED_VALUE"""),"npm")</f>
        <v>npm</v>
      </c>
      <c r="C8289" s="4" t="str">
        <f>IFERROR(__xludf.DUMMYFUNCTION("""COMPUTED_VALUE"""),"Neptune Mutual")</f>
        <v>Neptune Mutual</v>
      </c>
    </row>
    <row r="8290">
      <c r="A8290" s="4" t="str">
        <f>IFERROR(__xludf.DUMMYFUNCTION("""COMPUTED_VALUE"""),"nerdbot")</f>
        <v>nerdbot</v>
      </c>
      <c r="B8290" s="4" t="str">
        <f>IFERROR(__xludf.DUMMYFUNCTION("""COMPUTED_VALUE"""),"nerd")</f>
        <v>nerd</v>
      </c>
      <c r="C8290" s="4" t="str">
        <f>IFERROR(__xludf.DUMMYFUNCTION("""COMPUTED_VALUE"""),"NerdBot")</f>
        <v>NerdBot</v>
      </c>
    </row>
    <row r="8291">
      <c r="A8291" s="4" t="str">
        <f>IFERROR(__xludf.DUMMYFUNCTION("""COMPUTED_VALUE"""),"nero")</f>
        <v>nero</v>
      </c>
      <c r="B8291" s="4" t="str">
        <f>IFERROR(__xludf.DUMMYFUNCTION("""COMPUTED_VALUE"""),"npt")</f>
        <v>npt</v>
      </c>
      <c r="C8291" s="4" t="str">
        <f>IFERROR(__xludf.DUMMYFUNCTION("""COMPUTED_VALUE"""),"Nero")</f>
        <v>Nero</v>
      </c>
    </row>
    <row r="8292">
      <c r="A8292" s="4" t="str">
        <f>IFERROR(__xludf.DUMMYFUNCTION("""COMPUTED_VALUE"""),"nero-token")</f>
        <v>nero-token</v>
      </c>
      <c r="B8292" s="4" t="str">
        <f>IFERROR(__xludf.DUMMYFUNCTION("""COMPUTED_VALUE"""),"nero")</f>
        <v>nero</v>
      </c>
      <c r="C8292" s="4" t="str">
        <f>IFERROR(__xludf.DUMMYFUNCTION("""COMPUTED_VALUE"""),"Nero Token")</f>
        <v>Nero Token</v>
      </c>
    </row>
    <row r="8293">
      <c r="A8293" s="4" t="str">
        <f>IFERROR(__xludf.DUMMYFUNCTION("""COMPUTED_VALUE"""),"nerva")</f>
        <v>nerva</v>
      </c>
      <c r="B8293" s="4" t="str">
        <f>IFERROR(__xludf.DUMMYFUNCTION("""COMPUTED_VALUE"""),"xnv")</f>
        <v>xnv</v>
      </c>
      <c r="C8293" s="4" t="str">
        <f>IFERROR(__xludf.DUMMYFUNCTION("""COMPUTED_VALUE"""),"Nerva")</f>
        <v>Nerva</v>
      </c>
    </row>
    <row r="8294">
      <c r="A8294" s="4" t="str">
        <f>IFERROR(__xludf.DUMMYFUNCTION("""COMPUTED_VALUE"""),"nerve-finance")</f>
        <v>nerve-finance</v>
      </c>
      <c r="B8294" s="4" t="str">
        <f>IFERROR(__xludf.DUMMYFUNCTION("""COMPUTED_VALUE"""),"nrv")</f>
        <v>nrv</v>
      </c>
      <c r="C8294" s="4" t="str">
        <f>IFERROR(__xludf.DUMMYFUNCTION("""COMPUTED_VALUE"""),"Nerve Finance")</f>
        <v>Nerve Finance</v>
      </c>
    </row>
    <row r="8295">
      <c r="A8295" s="4" t="str">
        <f>IFERROR(__xludf.DUMMYFUNCTION("""COMPUTED_VALUE"""),"nerveflux")</f>
        <v>nerveflux</v>
      </c>
      <c r="B8295" s="4" t="str">
        <f>IFERROR(__xludf.DUMMYFUNCTION("""COMPUTED_VALUE"""),"nerve")</f>
        <v>nerve</v>
      </c>
      <c r="C8295" s="4" t="str">
        <f>IFERROR(__xludf.DUMMYFUNCTION("""COMPUTED_VALUE"""),"NerveFlux")</f>
        <v>NerveFlux</v>
      </c>
    </row>
    <row r="8296">
      <c r="A8296" s="4" t="str">
        <f>IFERROR(__xludf.DUMMYFUNCTION("""COMPUTED_VALUE"""),"nervenetwork")</f>
        <v>nervenetwork</v>
      </c>
      <c r="B8296" s="4" t="str">
        <f>IFERROR(__xludf.DUMMYFUNCTION("""COMPUTED_VALUE"""),"nvt")</f>
        <v>nvt</v>
      </c>
      <c r="C8296" s="4" t="str">
        <f>IFERROR(__xludf.DUMMYFUNCTION("""COMPUTED_VALUE"""),"NerveNetwork")</f>
        <v>NerveNetwork</v>
      </c>
    </row>
    <row r="8297">
      <c r="A8297" s="4" t="str">
        <f>IFERROR(__xludf.DUMMYFUNCTION("""COMPUTED_VALUE"""),"nervos-network")</f>
        <v>nervos-network</v>
      </c>
      <c r="B8297" s="4" t="str">
        <f>IFERROR(__xludf.DUMMYFUNCTION("""COMPUTED_VALUE"""),"ckb")</f>
        <v>ckb</v>
      </c>
      <c r="C8297" s="4" t="str">
        <f>IFERROR(__xludf.DUMMYFUNCTION("""COMPUTED_VALUE"""),"Nervos Network")</f>
        <v>Nervos Network</v>
      </c>
    </row>
    <row r="8298">
      <c r="A8298" s="4" t="str">
        <f>IFERROR(__xludf.DUMMYFUNCTION("""COMPUTED_VALUE"""),"ness-lab")</f>
        <v>ness-lab</v>
      </c>
      <c r="B8298" s="4" t="str">
        <f>IFERROR(__xludf.DUMMYFUNCTION("""COMPUTED_VALUE"""),"ness")</f>
        <v>ness</v>
      </c>
      <c r="C8298" s="4" t="str">
        <f>IFERROR(__xludf.DUMMYFUNCTION("""COMPUTED_VALUE"""),"Ness Lab")</f>
        <v>Ness Lab</v>
      </c>
    </row>
    <row r="8299">
      <c r="A8299" s="4" t="str">
        <f>IFERROR(__xludf.DUMMYFUNCTION("""COMPUTED_VALUE"""),"nest")</f>
        <v>nest</v>
      </c>
      <c r="B8299" s="4" t="str">
        <f>IFERROR(__xludf.DUMMYFUNCTION("""COMPUTED_VALUE"""),"nest")</f>
        <v>nest</v>
      </c>
      <c r="C8299" s="4" t="str">
        <f>IFERROR(__xludf.DUMMYFUNCTION("""COMPUTED_VALUE"""),"Nest Protocol")</f>
        <v>Nest Protocol</v>
      </c>
    </row>
    <row r="8300">
      <c r="A8300" s="4" t="str">
        <f>IFERROR(__xludf.DUMMYFUNCTION("""COMPUTED_VALUE"""),"nest-arcade")</f>
        <v>nest-arcade</v>
      </c>
      <c r="B8300" s="4" t="str">
        <f>IFERROR(__xludf.DUMMYFUNCTION("""COMPUTED_VALUE"""),"nesta")</f>
        <v>nesta</v>
      </c>
      <c r="C8300" s="4" t="str">
        <f>IFERROR(__xludf.DUMMYFUNCTION("""COMPUTED_VALUE"""),"Nest Arcade")</f>
        <v>Nest Arcade</v>
      </c>
    </row>
    <row r="8301">
      <c r="A8301" s="4" t="str">
        <f>IFERROR(__xludf.DUMMYFUNCTION("""COMPUTED_VALUE"""),"nestegg-coin")</f>
        <v>nestegg-coin</v>
      </c>
      <c r="B8301" s="4" t="str">
        <f>IFERROR(__xludf.DUMMYFUNCTION("""COMPUTED_VALUE"""),"egg")</f>
        <v>egg</v>
      </c>
      <c r="C8301" s="4" t="str">
        <f>IFERROR(__xludf.DUMMYFUNCTION("""COMPUTED_VALUE"""),"NestEgg Coin")</f>
        <v>NestEgg Coin</v>
      </c>
    </row>
    <row r="8302">
      <c r="A8302" s="4" t="str">
        <f>IFERROR(__xludf.DUMMYFUNCTION("""COMPUTED_VALUE"""),"nestree")</f>
        <v>nestree</v>
      </c>
      <c r="B8302" s="4" t="str">
        <f>IFERROR(__xludf.DUMMYFUNCTION("""COMPUTED_VALUE"""),"egg")</f>
        <v>egg</v>
      </c>
      <c r="C8302" s="4" t="str">
        <f>IFERROR(__xludf.DUMMYFUNCTION("""COMPUTED_VALUE"""),"Nestree")</f>
        <v>Nestree</v>
      </c>
    </row>
    <row r="8303">
      <c r="A8303" s="4" t="str">
        <f>IFERROR(__xludf.DUMMYFUNCTION("""COMPUTED_VALUE"""),"neta")</f>
        <v>neta</v>
      </c>
      <c r="B8303" s="4" t="str">
        <f>IFERROR(__xludf.DUMMYFUNCTION("""COMPUTED_VALUE"""),"neta")</f>
        <v>neta</v>
      </c>
      <c r="C8303" s="4" t="str">
        <f>IFERROR(__xludf.DUMMYFUNCTION("""COMPUTED_VALUE"""),"NETA")</f>
        <v>NETA</v>
      </c>
    </row>
    <row r="8304">
      <c r="A8304" s="4" t="str">
        <f>IFERROR(__xludf.DUMMYFUNCTION("""COMPUTED_VALUE"""),"netflix-tokenized-stock-defichain")</f>
        <v>netflix-tokenized-stock-defichain</v>
      </c>
      <c r="B8304" s="4" t="str">
        <f>IFERROR(__xludf.DUMMYFUNCTION("""COMPUTED_VALUE"""),"dnflx")</f>
        <v>dnflx</v>
      </c>
      <c r="C8304" s="4" t="str">
        <f>IFERROR(__xludf.DUMMYFUNCTION("""COMPUTED_VALUE"""),"Netflix Tokenized Stock Defichain")</f>
        <v>Netflix Tokenized Stock Defichain</v>
      </c>
    </row>
    <row r="8305">
      <c r="A8305" s="4" t="str">
        <f>IFERROR(__xludf.DUMMYFUNCTION("""COMPUTED_VALUE"""),"nether")</f>
        <v>nether</v>
      </c>
      <c r="B8305" s="4" t="str">
        <f>IFERROR(__xludf.DUMMYFUNCTION("""COMPUTED_VALUE"""),"ntr")</f>
        <v>ntr</v>
      </c>
      <c r="C8305" s="4" t="str">
        <f>IFERROR(__xludf.DUMMYFUNCTION("""COMPUTED_VALUE"""),"Nether")</f>
        <v>Nether</v>
      </c>
    </row>
    <row r="8306">
      <c r="A8306" s="4" t="str">
        <f>IFERROR(__xludf.DUMMYFUNCTION("""COMPUTED_VALUE"""),"netherfi")</f>
        <v>netherfi</v>
      </c>
      <c r="B8306" s="4" t="str">
        <f>IFERROR(__xludf.DUMMYFUNCTION("""COMPUTED_VALUE"""),"nfi")</f>
        <v>nfi</v>
      </c>
      <c r="C8306" s="4" t="str">
        <f>IFERROR(__xludf.DUMMYFUNCTION("""COMPUTED_VALUE"""),"NetherFi")</f>
        <v>NetherFi</v>
      </c>
    </row>
    <row r="8307">
      <c r="A8307" s="4" t="str">
        <f>IFERROR(__xludf.DUMMYFUNCTION("""COMPUTED_VALUE"""),"netmind-token")</f>
        <v>netmind-token</v>
      </c>
      <c r="B8307" s="4" t="str">
        <f>IFERROR(__xludf.DUMMYFUNCTION("""COMPUTED_VALUE"""),"nmt")</f>
        <v>nmt</v>
      </c>
      <c r="C8307" s="4" t="str">
        <f>IFERROR(__xludf.DUMMYFUNCTION("""COMPUTED_VALUE"""),"NetMind Token")</f>
        <v>NetMind Token</v>
      </c>
    </row>
    <row r="8308">
      <c r="A8308" s="4" t="str">
        <f>IFERROR(__xludf.DUMMYFUNCTION("""COMPUTED_VALUE"""),"neton")</f>
        <v>neton</v>
      </c>
      <c r="B8308" s="4" t="str">
        <f>IFERROR(__xludf.DUMMYFUNCTION("""COMPUTED_VALUE"""),"nto")</f>
        <v>nto</v>
      </c>
      <c r="C8308" s="4" t="str">
        <f>IFERROR(__xludf.DUMMYFUNCTION("""COMPUTED_VALUE"""),"Neton")</f>
        <v>Neton</v>
      </c>
    </row>
    <row r="8309">
      <c r="A8309" s="4" t="str">
        <f>IFERROR(__xludf.DUMMYFUNCTION("""COMPUTED_VALUE"""),"netsis")</f>
        <v>netsis</v>
      </c>
      <c r="B8309" s="4" t="str">
        <f>IFERROR(__xludf.DUMMYFUNCTION("""COMPUTED_VALUE"""),"net")</f>
        <v>net</v>
      </c>
      <c r="C8309" s="4" t="str">
        <f>IFERROR(__xludf.DUMMYFUNCTION("""COMPUTED_VALUE"""),"Netsis")</f>
        <v>Netsis</v>
      </c>
    </row>
    <row r="8310">
      <c r="A8310" s="4" t="str">
        <f>IFERROR(__xludf.DUMMYFUNCTION("""COMPUTED_VALUE"""),"netswap")</f>
        <v>netswap</v>
      </c>
      <c r="B8310" s="4" t="str">
        <f>IFERROR(__xludf.DUMMYFUNCTION("""COMPUTED_VALUE"""),"nett")</f>
        <v>nett</v>
      </c>
      <c r="C8310" s="4" t="str">
        <f>IFERROR(__xludf.DUMMYFUNCTION("""COMPUTED_VALUE"""),"Netswap")</f>
        <v>Netswap</v>
      </c>
    </row>
    <row r="8311">
      <c r="A8311" s="4" t="str">
        <f>IFERROR(__xludf.DUMMYFUNCTION("""COMPUTED_VALUE"""),"nettensor")</f>
        <v>nettensor</v>
      </c>
      <c r="B8311" s="4" t="str">
        <f>IFERROR(__xludf.DUMMYFUNCTION("""COMPUTED_VALUE"""),"nao")</f>
        <v>nao</v>
      </c>
      <c r="C8311" s="4" t="str">
        <f>IFERROR(__xludf.DUMMYFUNCTION("""COMPUTED_VALUE"""),"Nettensor")</f>
        <v>Nettensor</v>
      </c>
    </row>
    <row r="8312">
      <c r="A8312" s="4" t="str">
        <f>IFERROR(__xludf.DUMMYFUNCTION("""COMPUTED_VALUE"""),"netvrk")</f>
        <v>netvrk</v>
      </c>
      <c r="B8312" s="4" t="str">
        <f>IFERROR(__xludf.DUMMYFUNCTION("""COMPUTED_VALUE"""),"netvr")</f>
        <v>netvr</v>
      </c>
      <c r="C8312" s="4" t="str">
        <f>IFERROR(__xludf.DUMMYFUNCTION("""COMPUTED_VALUE"""),"Netvrk")</f>
        <v>Netvrk</v>
      </c>
    </row>
    <row r="8313">
      <c r="A8313" s="4" t="str">
        <f>IFERROR(__xludf.DUMMYFUNCTION("""COMPUTED_VALUE"""),"network-capital-token")</f>
        <v>network-capital-token</v>
      </c>
      <c r="B8313" s="4" t="str">
        <f>IFERROR(__xludf.DUMMYFUNCTION("""COMPUTED_VALUE"""),"netc")</f>
        <v>netc</v>
      </c>
      <c r="C8313" s="4" t="str">
        <f>IFERROR(__xludf.DUMMYFUNCTION("""COMPUTED_VALUE"""),"Network Capital Token")</f>
        <v>Network Capital Token</v>
      </c>
    </row>
    <row r="8314">
      <c r="A8314" s="4" t="str">
        <f>IFERROR(__xludf.DUMMYFUNCTION("""COMPUTED_VALUE"""),"network-spirituality")</f>
        <v>network-spirituality</v>
      </c>
      <c r="B8314" s="4" t="str">
        <f>IFERROR(__xludf.DUMMYFUNCTION("""COMPUTED_VALUE"""),"net")</f>
        <v>net</v>
      </c>
      <c r="C8314" s="4" t="str">
        <f>IFERROR(__xludf.DUMMYFUNCTION("""COMPUTED_VALUE"""),"Network Spirituality")</f>
        <v>Network Spirituality</v>
      </c>
    </row>
    <row r="8315">
      <c r="A8315" s="4" t="str">
        <f>IFERROR(__xludf.DUMMYFUNCTION("""COMPUTED_VALUE"""),"netzero")</f>
        <v>netzero</v>
      </c>
      <c r="B8315" s="4" t="str">
        <f>IFERROR(__xludf.DUMMYFUNCTION("""COMPUTED_VALUE"""),"nzero")</f>
        <v>nzero</v>
      </c>
      <c r="C8315" s="4" t="str">
        <f>IFERROR(__xludf.DUMMYFUNCTION("""COMPUTED_VALUE"""),"NETZERO")</f>
        <v>NETZERO</v>
      </c>
    </row>
    <row r="8316">
      <c r="A8316" s="4" t="str">
        <f>IFERROR(__xludf.DUMMYFUNCTION("""COMPUTED_VALUE"""),"neurahub")</f>
        <v>neurahub</v>
      </c>
      <c r="B8316" s="4" t="str">
        <f>IFERROR(__xludf.DUMMYFUNCTION("""COMPUTED_VALUE"""),"neura")</f>
        <v>neura</v>
      </c>
      <c r="C8316" s="4" t="str">
        <f>IFERROR(__xludf.DUMMYFUNCTION("""COMPUTED_VALUE"""),"Neurahub")</f>
        <v>Neurahub</v>
      </c>
    </row>
    <row r="8317">
      <c r="A8317" s="4" t="str">
        <f>IFERROR(__xludf.DUMMYFUNCTION("""COMPUTED_VALUE"""),"neurai")</f>
        <v>neurai</v>
      </c>
      <c r="B8317" s="4" t="str">
        <f>IFERROR(__xludf.DUMMYFUNCTION("""COMPUTED_VALUE"""),"xna")</f>
        <v>xna</v>
      </c>
      <c r="C8317" s="4" t="str">
        <f>IFERROR(__xludf.DUMMYFUNCTION("""COMPUTED_VALUE"""),"Neurai")</f>
        <v>Neurai</v>
      </c>
    </row>
    <row r="8318">
      <c r="A8318" s="4" t="str">
        <f>IFERROR(__xludf.DUMMYFUNCTION("""COMPUTED_VALUE"""),"neuralai")</f>
        <v>neuralai</v>
      </c>
      <c r="B8318" s="4" t="str">
        <f>IFERROR(__xludf.DUMMYFUNCTION("""COMPUTED_VALUE"""),"neural")</f>
        <v>neural</v>
      </c>
      <c r="C8318" s="4" t="str">
        <f>IFERROR(__xludf.DUMMYFUNCTION("""COMPUTED_VALUE"""),"NEURALAI")</f>
        <v>NEURALAI</v>
      </c>
    </row>
    <row r="8319">
      <c r="A8319" s="4" t="str">
        <f>IFERROR(__xludf.DUMMYFUNCTION("""COMPUTED_VALUE"""),"neural-ai")</f>
        <v>neural-ai</v>
      </c>
      <c r="B8319" s="4" t="str">
        <f>IFERROR(__xludf.DUMMYFUNCTION("""COMPUTED_VALUE"""),"neuralai")</f>
        <v>neuralai</v>
      </c>
      <c r="C8319" s="4" t="str">
        <f>IFERROR(__xludf.DUMMYFUNCTION("""COMPUTED_VALUE"""),"Neural AI")</f>
        <v>Neural AI</v>
      </c>
    </row>
    <row r="8320">
      <c r="A8320" s="4" t="str">
        <f>IFERROR(__xludf.DUMMYFUNCTION("""COMPUTED_VALUE"""),"neuralbot")</f>
        <v>neuralbot</v>
      </c>
      <c r="B8320" s="4" t="str">
        <f>IFERROR(__xludf.DUMMYFUNCTION("""COMPUTED_VALUE"""),"$neural")</f>
        <v>$neural</v>
      </c>
      <c r="C8320" s="4" t="str">
        <f>IFERROR(__xludf.DUMMYFUNCTION("""COMPUTED_VALUE"""),"NeuralBot")</f>
        <v>NeuralBot</v>
      </c>
    </row>
    <row r="8321">
      <c r="A8321" s="4" t="str">
        <f>IFERROR(__xludf.DUMMYFUNCTION("""COMPUTED_VALUE"""),"neuralbyte")</f>
        <v>neuralbyte</v>
      </c>
      <c r="B8321" s="4" t="str">
        <f>IFERROR(__xludf.DUMMYFUNCTION("""COMPUTED_VALUE"""),"nbt")</f>
        <v>nbt</v>
      </c>
      <c r="C8321" s="4" t="str">
        <f>IFERROR(__xludf.DUMMYFUNCTION("""COMPUTED_VALUE"""),"NeuralByte")</f>
        <v>NeuralByte</v>
      </c>
    </row>
    <row r="8322">
      <c r="A8322" s="4" t="str">
        <f>IFERROR(__xludf.DUMMYFUNCTION("""COMPUTED_VALUE"""),"neural-radiance-field")</f>
        <v>neural-radiance-field</v>
      </c>
      <c r="B8322" s="4" t="str">
        <f>IFERROR(__xludf.DUMMYFUNCTION("""COMPUTED_VALUE"""),"nerf")</f>
        <v>nerf</v>
      </c>
      <c r="C8322" s="4" t="str">
        <f>IFERROR(__xludf.DUMMYFUNCTION("""COMPUTED_VALUE"""),"Neural Radiance Field")</f>
        <v>Neural Radiance Field</v>
      </c>
    </row>
    <row r="8323">
      <c r="A8323" s="4" t="str">
        <f>IFERROR(__xludf.DUMMYFUNCTION("""COMPUTED_VALUE"""),"neural-tensor-dynamics")</f>
        <v>neural-tensor-dynamics</v>
      </c>
      <c r="B8323" s="4" t="str">
        <f>IFERROR(__xludf.DUMMYFUNCTION("""COMPUTED_VALUE"""),"ntd")</f>
        <v>ntd</v>
      </c>
      <c r="C8323" s="4" t="str">
        <f>IFERROR(__xludf.DUMMYFUNCTION("""COMPUTED_VALUE"""),"Neural Tensor Dynamics")</f>
        <v>Neural Tensor Dynamics</v>
      </c>
    </row>
    <row r="8324">
      <c r="A8324" s="4" t="str">
        <f>IFERROR(__xludf.DUMMYFUNCTION("""COMPUTED_VALUE"""),"neurashi")</f>
        <v>neurashi</v>
      </c>
      <c r="B8324" s="4" t="str">
        <f>IFERROR(__xludf.DUMMYFUNCTION("""COMPUTED_VALUE"""),"nei")</f>
        <v>nei</v>
      </c>
      <c r="C8324" s="4" t="str">
        <f>IFERROR(__xludf.DUMMYFUNCTION("""COMPUTED_VALUE"""),"Neurashi")</f>
        <v>Neurashi</v>
      </c>
    </row>
    <row r="8325">
      <c r="A8325" s="4" t="str">
        <f>IFERROR(__xludf.DUMMYFUNCTION("""COMPUTED_VALUE"""),"neuroni-ai")</f>
        <v>neuroni-ai</v>
      </c>
      <c r="B8325" s="4" t="str">
        <f>IFERROR(__xludf.DUMMYFUNCTION("""COMPUTED_VALUE"""),"neuroni")</f>
        <v>neuroni</v>
      </c>
      <c r="C8325" s="4" t="str">
        <f>IFERROR(__xludf.DUMMYFUNCTION("""COMPUTED_VALUE"""),"Neuroni AI")</f>
        <v>Neuroni AI</v>
      </c>
    </row>
    <row r="8326">
      <c r="A8326" s="4" t="str">
        <f>IFERROR(__xludf.DUMMYFUNCTION("""COMPUTED_VALUE"""),"neuropulse-ai")</f>
        <v>neuropulse-ai</v>
      </c>
      <c r="B8326" s="4" t="str">
        <f>IFERROR(__xludf.DUMMYFUNCTION("""COMPUTED_VALUE"""),"npai")</f>
        <v>npai</v>
      </c>
      <c r="C8326" s="4" t="str">
        <f>IFERROR(__xludf.DUMMYFUNCTION("""COMPUTED_VALUE"""),"NeuroPulse AI")</f>
        <v>NeuroPulse AI</v>
      </c>
    </row>
    <row r="8327">
      <c r="A8327" s="4" t="str">
        <f>IFERROR(__xludf.DUMMYFUNCTION("""COMPUTED_VALUE"""),"neurowebai")</f>
        <v>neurowebai</v>
      </c>
      <c r="B8327" s="4" t="str">
        <f>IFERROR(__xludf.DUMMYFUNCTION("""COMPUTED_VALUE"""),"neuro")</f>
        <v>neuro</v>
      </c>
      <c r="C8327" s="4" t="str">
        <f>IFERROR(__xludf.DUMMYFUNCTION("""COMPUTED_VALUE"""),"NeuroWebAI")</f>
        <v>NeuroWebAI</v>
      </c>
    </row>
    <row r="8328">
      <c r="A8328" s="4" t="str">
        <f>IFERROR(__xludf.DUMMYFUNCTION("""COMPUTED_VALUE"""),"neutaro")</f>
        <v>neutaro</v>
      </c>
      <c r="B8328" s="4" t="str">
        <f>IFERROR(__xludf.DUMMYFUNCTION("""COMPUTED_VALUE"""),"ntmpi")</f>
        <v>ntmpi</v>
      </c>
      <c r="C8328" s="4" t="str">
        <f>IFERROR(__xludf.DUMMYFUNCTION("""COMPUTED_VALUE"""),"Neutaro")</f>
        <v>Neutaro</v>
      </c>
    </row>
    <row r="8329">
      <c r="A8329" s="4" t="str">
        <f>IFERROR(__xludf.DUMMYFUNCTION("""COMPUTED_VALUE"""),"neutra-finance")</f>
        <v>neutra-finance</v>
      </c>
      <c r="B8329" s="4" t="str">
        <f>IFERROR(__xludf.DUMMYFUNCTION("""COMPUTED_VALUE"""),"neu")</f>
        <v>neu</v>
      </c>
      <c r="C8329" s="4" t="str">
        <f>IFERROR(__xludf.DUMMYFUNCTION("""COMPUTED_VALUE"""),"Neutra Finance")</f>
        <v>Neutra Finance</v>
      </c>
    </row>
    <row r="8330">
      <c r="A8330" s="4" t="str">
        <f>IFERROR(__xludf.DUMMYFUNCTION("""COMPUTED_VALUE"""),"neutrino")</f>
        <v>neutrino</v>
      </c>
      <c r="B8330" s="4" t="str">
        <f>IFERROR(__xludf.DUMMYFUNCTION("""COMPUTED_VALUE"""),"xtn")</f>
        <v>xtn</v>
      </c>
      <c r="C8330" s="4" t="str">
        <f>IFERROR(__xludf.DUMMYFUNCTION("""COMPUTED_VALUE"""),"Neutrino Index Token")</f>
        <v>Neutrino Index Token</v>
      </c>
    </row>
    <row r="8331">
      <c r="A8331" s="4" t="str">
        <f>IFERROR(__xludf.DUMMYFUNCTION("""COMPUTED_VALUE"""),"neutrinos")</f>
        <v>neutrinos</v>
      </c>
      <c r="B8331" s="4" t="str">
        <f>IFERROR(__xludf.DUMMYFUNCTION("""COMPUTED_VALUE"""),"neutr")</f>
        <v>neutr</v>
      </c>
      <c r="C8331" s="4" t="str">
        <f>IFERROR(__xludf.DUMMYFUNCTION("""COMPUTED_VALUE"""),"Neutrinos")</f>
        <v>Neutrinos</v>
      </c>
    </row>
    <row r="8332">
      <c r="A8332" s="4" t="str">
        <f>IFERROR(__xludf.DUMMYFUNCTION("""COMPUTED_VALUE"""),"neutrino-system-base-token")</f>
        <v>neutrino-system-base-token</v>
      </c>
      <c r="B8332" s="4" t="str">
        <f>IFERROR(__xludf.DUMMYFUNCTION("""COMPUTED_VALUE"""),"nsbt")</f>
        <v>nsbt</v>
      </c>
      <c r="C8332" s="4" t="str">
        <f>IFERROR(__xludf.DUMMYFUNCTION("""COMPUTED_VALUE"""),"Neutrino System Base")</f>
        <v>Neutrino System Base</v>
      </c>
    </row>
    <row r="8333">
      <c r="A8333" s="4" t="str">
        <f>IFERROR(__xludf.DUMMYFUNCTION("""COMPUTED_VALUE"""),"neutron-3")</f>
        <v>neutron-3</v>
      </c>
      <c r="B8333" s="4" t="str">
        <f>IFERROR(__xludf.DUMMYFUNCTION("""COMPUTED_VALUE"""),"ntrn")</f>
        <v>ntrn</v>
      </c>
      <c r="C8333" s="4" t="str">
        <f>IFERROR(__xludf.DUMMYFUNCTION("""COMPUTED_VALUE"""),"Neutron")</f>
        <v>Neutron</v>
      </c>
    </row>
    <row r="8334">
      <c r="A8334" s="4" t="str">
        <f>IFERROR(__xludf.DUMMYFUNCTION("""COMPUTED_VALUE"""),"neutron-4")</f>
        <v>neutron-4</v>
      </c>
      <c r="B8334" s="4" t="str">
        <f>IFERROR(__xludf.DUMMYFUNCTION("""COMPUTED_VALUE"""),"neutron20")</f>
        <v>neutron20</v>
      </c>
      <c r="C8334" s="4" t="str">
        <f>IFERROR(__xludf.DUMMYFUNCTION("""COMPUTED_VALUE"""),"Neutron (ARC-20)")</f>
        <v>Neutron (ARC-20)</v>
      </c>
    </row>
    <row r="8335">
      <c r="A8335" s="4" t="str">
        <f>IFERROR(__xludf.DUMMYFUNCTION("""COMPUTED_VALUE"""),"neutroswap")</f>
        <v>neutroswap</v>
      </c>
      <c r="B8335" s="4" t="str">
        <f>IFERROR(__xludf.DUMMYFUNCTION("""COMPUTED_VALUE"""),"neutro")</f>
        <v>neutro</v>
      </c>
      <c r="C8335" s="4" t="str">
        <f>IFERROR(__xludf.DUMMYFUNCTION("""COMPUTED_VALUE"""),"Neutroswap")</f>
        <v>Neutroswap</v>
      </c>
    </row>
    <row r="8336">
      <c r="A8336" s="4" t="str">
        <f>IFERROR(__xludf.DUMMYFUNCTION("""COMPUTED_VALUE"""),"neuy")</f>
        <v>neuy</v>
      </c>
      <c r="B8336" s="4" t="str">
        <f>IFERROR(__xludf.DUMMYFUNCTION("""COMPUTED_VALUE"""),"neuy")</f>
        <v>neuy</v>
      </c>
      <c r="C8336" s="4" t="str">
        <f>IFERROR(__xludf.DUMMYFUNCTION("""COMPUTED_VALUE"""),"NEUY")</f>
        <v>NEUY</v>
      </c>
    </row>
    <row r="8337">
      <c r="A8337" s="4" t="str">
        <f>IFERROR(__xludf.DUMMYFUNCTION("""COMPUTED_VALUE"""),"nevacoin")</f>
        <v>nevacoin</v>
      </c>
      <c r="B8337" s="4" t="str">
        <f>IFERROR(__xludf.DUMMYFUNCTION("""COMPUTED_VALUE"""),"neva")</f>
        <v>neva</v>
      </c>
      <c r="C8337" s="4" t="str">
        <f>IFERROR(__xludf.DUMMYFUNCTION("""COMPUTED_VALUE"""),"NevaCoin")</f>
        <v>NevaCoin</v>
      </c>
    </row>
    <row r="8338">
      <c r="A8338" s="4" t="str">
        <f>IFERROR(__xludf.DUMMYFUNCTION("""COMPUTED_VALUE"""),"never-back-down")</f>
        <v>never-back-down</v>
      </c>
      <c r="B8338" s="4" t="str">
        <f>IFERROR(__xludf.DUMMYFUNCTION("""COMPUTED_VALUE"""),"nbd")</f>
        <v>nbd</v>
      </c>
      <c r="C8338" s="4" t="str">
        <f>IFERROR(__xludf.DUMMYFUNCTION("""COMPUTED_VALUE"""),"Never Back Down")</f>
        <v>Never Back Down</v>
      </c>
    </row>
    <row r="8339">
      <c r="A8339" s="4" t="str">
        <f>IFERROR(__xludf.DUMMYFUNCTION("""COMPUTED_VALUE"""),"neversol")</f>
        <v>neversol</v>
      </c>
      <c r="B8339" s="4" t="str">
        <f>IFERROR(__xludf.DUMMYFUNCTION("""COMPUTED_VALUE"""),"never")</f>
        <v>never</v>
      </c>
      <c r="C8339" s="4" t="str">
        <f>IFERROR(__xludf.DUMMYFUNCTION("""COMPUTED_VALUE"""),"neversol")</f>
        <v>neversol</v>
      </c>
    </row>
    <row r="8340">
      <c r="A8340" s="4" t="str">
        <f>IFERROR(__xludf.DUMMYFUNCTION("""COMPUTED_VALUE"""),"newb-farm")</f>
        <v>newb-farm</v>
      </c>
      <c r="B8340" s="4" t="str">
        <f>IFERROR(__xludf.DUMMYFUNCTION("""COMPUTED_VALUE"""),"newb")</f>
        <v>newb</v>
      </c>
      <c r="C8340" s="4" t="str">
        <f>IFERROR(__xludf.DUMMYFUNCTION("""COMPUTED_VALUE"""),"NewB.Farm")</f>
        <v>NewB.Farm</v>
      </c>
    </row>
    <row r="8341">
      <c r="A8341" s="4" t="str">
        <f>IFERROR(__xludf.DUMMYFUNCTION("""COMPUTED_VALUE"""),"new-bitshares")</f>
        <v>new-bitshares</v>
      </c>
      <c r="B8341" s="4" t="str">
        <f>IFERROR(__xludf.DUMMYFUNCTION("""COMPUTED_VALUE"""),"nbs")</f>
        <v>nbs</v>
      </c>
      <c r="C8341" s="4" t="str">
        <f>IFERROR(__xludf.DUMMYFUNCTION("""COMPUTED_VALUE"""),"New BitShares")</f>
        <v>New BitShares</v>
      </c>
    </row>
    <row r="8342">
      <c r="A8342" s="4" t="str">
        <f>IFERROR(__xludf.DUMMYFUNCTION("""COMPUTED_VALUE"""),"newm")</f>
        <v>newm</v>
      </c>
      <c r="B8342" s="4" t="str">
        <f>IFERROR(__xludf.DUMMYFUNCTION("""COMPUTED_VALUE"""),"newm")</f>
        <v>newm</v>
      </c>
      <c r="C8342" s="4" t="str">
        <f>IFERROR(__xludf.DUMMYFUNCTION("""COMPUTED_VALUE"""),"NEWM")</f>
        <v>NEWM</v>
      </c>
    </row>
    <row r="8343">
      <c r="A8343" s="4" t="str">
        <f>IFERROR(__xludf.DUMMYFUNCTION("""COMPUTED_VALUE"""),"new-order")</f>
        <v>new-order</v>
      </c>
      <c r="B8343" s="4" t="str">
        <f>IFERROR(__xludf.DUMMYFUNCTION("""COMPUTED_VALUE"""),"newo")</f>
        <v>newo</v>
      </c>
      <c r="C8343" s="4" t="str">
        <f>IFERROR(__xludf.DUMMYFUNCTION("""COMPUTED_VALUE"""),"New Order")</f>
        <v>New Order</v>
      </c>
    </row>
    <row r="8344">
      <c r="A8344" s="4" t="str">
        <f>IFERROR(__xludf.DUMMYFUNCTION("""COMPUTED_VALUE"""),"newpepe")</f>
        <v>newpepe</v>
      </c>
      <c r="B8344" s="4" t="str">
        <f>IFERROR(__xludf.DUMMYFUNCTION("""COMPUTED_VALUE"""),"pepe")</f>
        <v>pepe</v>
      </c>
      <c r="C8344" s="4" t="str">
        <f>IFERROR(__xludf.DUMMYFUNCTION("""COMPUTED_VALUE"""),"NEWPEPE")</f>
        <v>NEWPEPE</v>
      </c>
    </row>
    <row r="8345">
      <c r="A8345" s="4" t="str">
        <f>IFERROR(__xludf.DUMMYFUNCTION("""COMPUTED_VALUE"""),"newscrypto-coin")</f>
        <v>newscrypto-coin</v>
      </c>
      <c r="B8345" s="4" t="str">
        <f>IFERROR(__xludf.DUMMYFUNCTION("""COMPUTED_VALUE"""),"nwc")</f>
        <v>nwc</v>
      </c>
      <c r="C8345" s="4" t="str">
        <f>IFERROR(__xludf.DUMMYFUNCTION("""COMPUTED_VALUE"""),"Newscrypto Coin")</f>
        <v>Newscrypto Coin</v>
      </c>
    </row>
    <row r="8346">
      <c r="A8346" s="4" t="str">
        <f>IFERROR(__xludf.DUMMYFUNCTION("""COMPUTED_VALUE"""),"newsly")</f>
        <v>newsly</v>
      </c>
      <c r="B8346" s="4" t="str">
        <f>IFERROR(__xludf.DUMMYFUNCTION("""COMPUTED_VALUE"""),"news")</f>
        <v>news</v>
      </c>
      <c r="C8346" s="4" t="str">
        <f>IFERROR(__xludf.DUMMYFUNCTION("""COMPUTED_VALUE"""),"Newsly")</f>
        <v>Newsly</v>
      </c>
    </row>
    <row r="8347">
      <c r="A8347" s="4" t="str">
        <f>IFERROR(__xludf.DUMMYFUNCTION("""COMPUTED_VALUE"""),"newt")</f>
        <v>newt</v>
      </c>
      <c r="B8347" s="4" t="str">
        <f>IFERROR(__xludf.DUMMYFUNCTION("""COMPUTED_VALUE"""),"newt")</f>
        <v>newt</v>
      </c>
      <c r="C8347" s="4" t="str">
        <f>IFERROR(__xludf.DUMMYFUNCTION("""COMPUTED_VALUE"""),"Newt")</f>
        <v>Newt</v>
      </c>
    </row>
    <row r="8348">
      <c r="A8348" s="4" t="str">
        <f>IFERROR(__xludf.DUMMYFUNCTION("""COMPUTED_VALUE"""),"newthrone")</f>
        <v>newthrone</v>
      </c>
      <c r="B8348" s="4" t="str">
        <f>IFERROR(__xludf.DUMMYFUNCTION("""COMPUTED_VALUE"""),"thro")</f>
        <v>thro</v>
      </c>
      <c r="C8348" s="4" t="str">
        <f>IFERROR(__xludf.DUMMYFUNCTION("""COMPUTED_VALUE"""),"NewThrone")</f>
        <v>NewThrone</v>
      </c>
    </row>
    <row r="8349">
      <c r="A8349" s="4" t="str">
        <f>IFERROR(__xludf.DUMMYFUNCTION("""COMPUTED_VALUE"""),"newton")</f>
        <v>newton</v>
      </c>
      <c r="B8349" s="4" t="str">
        <f>IFERROR(__xludf.DUMMYFUNCTION("""COMPUTED_VALUE"""),"ntn")</f>
        <v>ntn</v>
      </c>
      <c r="C8349" s="4" t="str">
        <f>IFERROR(__xludf.DUMMYFUNCTION("""COMPUTED_VALUE"""),"Newton")</f>
        <v>Newton</v>
      </c>
    </row>
    <row r="8350">
      <c r="A8350" s="4" t="str">
        <f>IFERROR(__xludf.DUMMYFUNCTION("""COMPUTED_VALUE"""),"newton-project")</f>
        <v>newton-project</v>
      </c>
      <c r="B8350" s="4" t="str">
        <f>IFERROR(__xludf.DUMMYFUNCTION("""COMPUTED_VALUE"""),"new")</f>
        <v>new</v>
      </c>
      <c r="C8350" s="4" t="str">
        <f>IFERROR(__xludf.DUMMYFUNCTION("""COMPUTED_VALUE"""),"Newton Project")</f>
        <v>Newton Project</v>
      </c>
    </row>
    <row r="8351">
      <c r="A8351" s="4" t="str">
        <f>IFERROR(__xludf.DUMMYFUNCTION("""COMPUTED_VALUE"""),"newtowngaming")</f>
        <v>newtowngaming</v>
      </c>
      <c r="B8351" s="4" t="str">
        <f>IFERROR(__xludf.DUMMYFUNCTION("""COMPUTED_VALUE"""),"ntg")</f>
        <v>ntg</v>
      </c>
      <c r="C8351" s="4" t="str">
        <f>IFERROR(__xludf.DUMMYFUNCTION("""COMPUTED_VALUE"""),"NEWTOWNGAMING")</f>
        <v>NEWTOWNGAMING</v>
      </c>
    </row>
    <row r="8352">
      <c r="A8352" s="4" t="str">
        <f>IFERROR(__xludf.DUMMYFUNCTION("""COMPUTED_VALUE"""),"newu-ordinals")</f>
        <v>newu-ordinals</v>
      </c>
      <c r="B8352" s="4" t="str">
        <f>IFERROR(__xludf.DUMMYFUNCTION("""COMPUTED_VALUE"""),"newu")</f>
        <v>newu</v>
      </c>
      <c r="C8352" s="4" t="str">
        <f>IFERROR(__xludf.DUMMYFUNCTION("""COMPUTED_VALUE"""),"NEWU (Ordinals)")</f>
        <v>NEWU (Ordinals)</v>
      </c>
    </row>
    <row r="8353">
      <c r="A8353" s="4" t="str">
        <f>IFERROR(__xludf.DUMMYFUNCTION("""COMPUTED_VALUE"""),"new-world-order")</f>
        <v>new-world-order</v>
      </c>
      <c r="B8353" s="4" t="str">
        <f>IFERROR(__xludf.DUMMYFUNCTION("""COMPUTED_VALUE"""),"state")</f>
        <v>state</v>
      </c>
      <c r="C8353" s="4" t="str">
        <f>IFERROR(__xludf.DUMMYFUNCTION("""COMPUTED_VALUE"""),"New World Order")</f>
        <v>New World Order</v>
      </c>
    </row>
    <row r="8354">
      <c r="A8354" s="4" t="str">
        <f>IFERROR(__xludf.DUMMYFUNCTION("""COMPUTED_VALUE"""),"new-year-token")</f>
        <v>new-year-token</v>
      </c>
      <c r="B8354" s="4" t="str">
        <f>IFERROR(__xludf.DUMMYFUNCTION("""COMPUTED_VALUE"""),"nyt")</f>
        <v>nyt</v>
      </c>
      <c r="C8354" s="4" t="str">
        <f>IFERROR(__xludf.DUMMYFUNCTION("""COMPUTED_VALUE"""),"New Year")</f>
        <v>New Year</v>
      </c>
    </row>
    <row r="8355">
      <c r="A8355" s="4" t="str">
        <f>IFERROR(__xludf.DUMMYFUNCTION("""COMPUTED_VALUE"""),"newyorkcoin")</f>
        <v>newyorkcoin</v>
      </c>
      <c r="B8355" s="4" t="str">
        <f>IFERROR(__xludf.DUMMYFUNCTION("""COMPUTED_VALUE"""),"nyc")</f>
        <v>nyc</v>
      </c>
      <c r="C8355" s="4" t="str">
        <f>IFERROR(__xludf.DUMMYFUNCTION("""COMPUTED_VALUE"""),"NewYorkCoin")</f>
        <v>NewYorkCoin</v>
      </c>
    </row>
    <row r="8356">
      <c r="A8356" s="4" t="str">
        <f>IFERROR(__xludf.DUMMYFUNCTION("""COMPUTED_VALUE"""),"newyork-exchange")</f>
        <v>newyork-exchange</v>
      </c>
      <c r="B8356" s="4" t="str">
        <f>IFERROR(__xludf.DUMMYFUNCTION("""COMPUTED_VALUE"""),"nye")</f>
        <v>nye</v>
      </c>
      <c r="C8356" s="4" t="str">
        <f>IFERROR(__xludf.DUMMYFUNCTION("""COMPUTED_VALUE"""),"NewYork Exchange")</f>
        <v>NewYork Exchange</v>
      </c>
    </row>
    <row r="8357">
      <c r="A8357" s="4" t="str">
        <f>IFERROR(__xludf.DUMMYFUNCTION("""COMPUTED_VALUE"""),"nexacoin")</f>
        <v>nexacoin</v>
      </c>
      <c r="B8357" s="4" t="str">
        <f>IFERROR(__xludf.DUMMYFUNCTION("""COMPUTED_VALUE"""),"nexa")</f>
        <v>nexa</v>
      </c>
      <c r="C8357" s="4" t="str">
        <f>IFERROR(__xludf.DUMMYFUNCTION("""COMPUTED_VALUE"""),"Nexa")</f>
        <v>Nexa</v>
      </c>
    </row>
    <row r="8358">
      <c r="A8358" s="4" t="str">
        <f>IFERROR(__xludf.DUMMYFUNCTION("""COMPUTED_VALUE"""),"nexai")</f>
        <v>nexai</v>
      </c>
      <c r="B8358" s="4" t="str">
        <f>IFERROR(__xludf.DUMMYFUNCTION("""COMPUTED_VALUE"""),"nex")</f>
        <v>nex</v>
      </c>
      <c r="C8358" s="4" t="str">
        <f>IFERROR(__xludf.DUMMYFUNCTION("""COMPUTED_VALUE"""),"NexAI")</f>
        <v>NexAI</v>
      </c>
    </row>
    <row r="8359">
      <c r="A8359" s="4" t="str">
        <f>IFERROR(__xludf.DUMMYFUNCTION("""COMPUTED_VALUE"""),"nexalt")</f>
        <v>nexalt</v>
      </c>
      <c r="B8359" s="4" t="str">
        <f>IFERROR(__xludf.DUMMYFUNCTION("""COMPUTED_VALUE"""),"xlt")</f>
        <v>xlt</v>
      </c>
      <c r="C8359" s="4" t="str">
        <f>IFERROR(__xludf.DUMMYFUNCTION("""COMPUTED_VALUE"""),"Nexalt")</f>
        <v>Nexalt</v>
      </c>
    </row>
    <row r="8360">
      <c r="A8360" s="4" t="str">
        <f>IFERROR(__xludf.DUMMYFUNCTION("""COMPUTED_VALUE"""),"nexbox")</f>
        <v>nexbox</v>
      </c>
      <c r="B8360" s="4" t="str">
        <f>IFERROR(__xludf.DUMMYFUNCTION("""COMPUTED_VALUE"""),"nexbox")</f>
        <v>nexbox</v>
      </c>
      <c r="C8360" s="4" t="str">
        <f>IFERROR(__xludf.DUMMYFUNCTION("""COMPUTED_VALUE"""),"NEXBOX")</f>
        <v>NEXBOX</v>
      </c>
    </row>
    <row r="8361">
      <c r="A8361" s="4" t="str">
        <f>IFERROR(__xludf.DUMMYFUNCTION("""COMPUTED_VALUE"""),"nexdax")</f>
        <v>nexdax</v>
      </c>
      <c r="B8361" s="4" t="str">
        <f>IFERROR(__xludf.DUMMYFUNCTION("""COMPUTED_VALUE"""),"nt")</f>
        <v>nt</v>
      </c>
      <c r="C8361" s="4" t="str">
        <f>IFERROR(__xludf.DUMMYFUNCTION("""COMPUTED_VALUE"""),"NexDAX")</f>
        <v>NexDAX</v>
      </c>
    </row>
    <row r="8362">
      <c r="A8362" s="4" t="str">
        <f>IFERROR(__xludf.DUMMYFUNCTION("""COMPUTED_VALUE"""),"nexellia")</f>
        <v>nexellia</v>
      </c>
      <c r="B8362" s="4" t="str">
        <f>IFERROR(__xludf.DUMMYFUNCTION("""COMPUTED_VALUE"""),"nxl")</f>
        <v>nxl</v>
      </c>
      <c r="C8362" s="4" t="str">
        <f>IFERROR(__xludf.DUMMYFUNCTION("""COMPUTED_VALUE"""),"NEXELLIA")</f>
        <v>NEXELLIA</v>
      </c>
    </row>
    <row r="8363">
      <c r="A8363" s="4" t="str">
        <f>IFERROR(__xludf.DUMMYFUNCTION("""COMPUTED_VALUE"""),"nexo")</f>
        <v>nexo</v>
      </c>
      <c r="B8363" s="4" t="str">
        <f>IFERROR(__xludf.DUMMYFUNCTION("""COMPUTED_VALUE"""),"nexo")</f>
        <v>nexo</v>
      </c>
      <c r="C8363" s="4" t="str">
        <f>IFERROR(__xludf.DUMMYFUNCTION("""COMPUTED_VALUE"""),"NEXO")</f>
        <v>NEXO</v>
      </c>
    </row>
    <row r="8364">
      <c r="A8364" s="4" t="str">
        <f>IFERROR(__xludf.DUMMYFUNCTION("""COMPUTED_VALUE"""),"nextdao")</f>
        <v>nextdao</v>
      </c>
      <c r="B8364" s="4" t="str">
        <f>IFERROR(__xludf.DUMMYFUNCTION("""COMPUTED_VALUE"""),"nax")</f>
        <v>nax</v>
      </c>
      <c r="C8364" s="4" t="str">
        <f>IFERROR(__xludf.DUMMYFUNCTION("""COMPUTED_VALUE"""),"NextDAO")</f>
        <v>NextDAO</v>
      </c>
    </row>
    <row r="8365">
      <c r="A8365" s="4" t="str">
        <f>IFERROR(__xludf.DUMMYFUNCTION("""COMPUTED_VALUE"""),"next-earth")</f>
        <v>next-earth</v>
      </c>
      <c r="B8365" s="4" t="str">
        <f>IFERROR(__xludf.DUMMYFUNCTION("""COMPUTED_VALUE"""),"nxtt")</f>
        <v>nxtt</v>
      </c>
      <c r="C8365" s="4" t="str">
        <f>IFERROR(__xludf.DUMMYFUNCTION("""COMPUTED_VALUE"""),"Next Earth")</f>
        <v>Next Earth</v>
      </c>
    </row>
    <row r="8366">
      <c r="A8366" s="4" t="str">
        <f>IFERROR(__xludf.DUMMYFUNCTION("""COMPUTED_VALUE"""),"nextype-finance")</f>
        <v>nextype-finance</v>
      </c>
      <c r="B8366" s="4" t="str">
        <f>IFERROR(__xludf.DUMMYFUNCTION("""COMPUTED_VALUE"""),"nt")</f>
        <v>nt</v>
      </c>
      <c r="C8366" s="4" t="str">
        <f>IFERROR(__xludf.DUMMYFUNCTION("""COMPUTED_VALUE"""),"NEXTYPE Finance")</f>
        <v>NEXTYPE Finance</v>
      </c>
    </row>
    <row r="8367">
      <c r="A8367" s="4" t="str">
        <f>IFERROR(__xludf.DUMMYFUNCTION("""COMPUTED_VALUE"""),"nexum")</f>
        <v>nexum</v>
      </c>
      <c r="B8367" s="4" t="str">
        <f>IFERROR(__xludf.DUMMYFUNCTION("""COMPUTED_VALUE"""),"nexm")</f>
        <v>nexm</v>
      </c>
      <c r="C8367" s="4" t="str">
        <f>IFERROR(__xludf.DUMMYFUNCTION("""COMPUTED_VALUE"""),"Nexum")</f>
        <v>Nexum</v>
      </c>
    </row>
    <row r="8368">
      <c r="A8368" s="4" t="str">
        <f>IFERROR(__xludf.DUMMYFUNCTION("""COMPUTED_VALUE"""),"nexus")</f>
        <v>nexus</v>
      </c>
      <c r="B8368" s="4" t="str">
        <f>IFERROR(__xludf.DUMMYFUNCTION("""COMPUTED_VALUE"""),"nxs")</f>
        <v>nxs</v>
      </c>
      <c r="C8368" s="4" t="str">
        <f>IFERROR(__xludf.DUMMYFUNCTION("""COMPUTED_VALUE"""),"Nexus")</f>
        <v>Nexus</v>
      </c>
    </row>
    <row r="8369">
      <c r="A8369" s="4" t="str">
        <f>IFERROR(__xludf.DUMMYFUNCTION("""COMPUTED_VALUE"""),"nexus-2")</f>
        <v>nexus-2</v>
      </c>
      <c r="B8369" s="4" t="str">
        <f>IFERROR(__xludf.DUMMYFUNCTION("""COMPUTED_VALUE"""),"nex")</f>
        <v>nex</v>
      </c>
      <c r="C8369" s="4" t="str">
        <f>IFERROR(__xludf.DUMMYFUNCTION("""COMPUTED_VALUE"""),"NEXUS")</f>
        <v>NEXUS</v>
      </c>
    </row>
    <row r="8370">
      <c r="A8370" s="4" t="str">
        <f>IFERROR(__xludf.DUMMYFUNCTION("""COMPUTED_VALUE"""),"nexusai")</f>
        <v>nexusai</v>
      </c>
      <c r="B8370" s="4" t="str">
        <f>IFERROR(__xludf.DUMMYFUNCTION("""COMPUTED_VALUE"""),"nexusai")</f>
        <v>nexusai</v>
      </c>
      <c r="C8370" s="4" t="str">
        <f>IFERROR(__xludf.DUMMYFUNCTION("""COMPUTED_VALUE"""),"NexusAI")</f>
        <v>NexusAI</v>
      </c>
    </row>
    <row r="8371">
      <c r="A8371" s="4" t="str">
        <f>IFERROR(__xludf.DUMMYFUNCTION("""COMPUTED_VALUE"""),"nexus-asa")</f>
        <v>nexus-asa</v>
      </c>
      <c r="B8371" s="4" t="str">
        <f>IFERROR(__xludf.DUMMYFUNCTION("""COMPUTED_VALUE"""),"gp")</f>
        <v>gp</v>
      </c>
      <c r="C8371" s="4" t="str">
        <f>IFERROR(__xludf.DUMMYFUNCTION("""COMPUTED_VALUE"""),"Nexus ASA")</f>
        <v>Nexus ASA</v>
      </c>
    </row>
    <row r="8372">
      <c r="A8372" s="4" t="str">
        <f>IFERROR(__xludf.DUMMYFUNCTION("""COMPUTED_VALUE"""),"nexus-chain")</f>
        <v>nexus-chain</v>
      </c>
      <c r="B8372" s="4" t="str">
        <f>IFERROR(__xludf.DUMMYFUNCTION("""COMPUTED_VALUE"""),"wnexus")</f>
        <v>wnexus</v>
      </c>
      <c r="C8372" s="4" t="str">
        <f>IFERROR(__xludf.DUMMYFUNCTION("""COMPUTED_VALUE"""),"Nexus Chain")</f>
        <v>Nexus Chain</v>
      </c>
    </row>
    <row r="8373">
      <c r="A8373" s="4" t="str">
        <f>IFERROR(__xludf.DUMMYFUNCTION("""COMPUTED_VALUE"""),"nexus-dubai")</f>
        <v>nexus-dubai</v>
      </c>
      <c r="B8373" s="4" t="str">
        <f>IFERROR(__xludf.DUMMYFUNCTION("""COMPUTED_VALUE"""),"nxd")</f>
        <v>nxd</v>
      </c>
      <c r="C8373" s="4" t="str">
        <f>IFERROR(__xludf.DUMMYFUNCTION("""COMPUTED_VALUE"""),"Nexus Dubai")</f>
        <v>Nexus Dubai</v>
      </c>
    </row>
    <row r="8374">
      <c r="A8374" s="4" t="str">
        <f>IFERROR(__xludf.DUMMYFUNCTION("""COMPUTED_VALUE"""),"nexusmind")</f>
        <v>nexusmind</v>
      </c>
      <c r="B8374" s="4" t="str">
        <f>IFERROR(__xludf.DUMMYFUNCTION("""COMPUTED_VALUE"""),"nmd")</f>
        <v>nmd</v>
      </c>
      <c r="C8374" s="4" t="str">
        <f>IFERROR(__xludf.DUMMYFUNCTION("""COMPUTED_VALUE"""),"NexusMind")</f>
        <v>NexusMind</v>
      </c>
    </row>
    <row r="8375">
      <c r="A8375" s="4" t="str">
        <f>IFERROR(__xludf.DUMMYFUNCTION("""COMPUTED_VALUE"""),"nexuspad")</f>
        <v>nexuspad</v>
      </c>
      <c r="B8375" s="4" t="str">
        <f>IFERROR(__xludf.DUMMYFUNCTION("""COMPUTED_VALUE"""),"nexus")</f>
        <v>nexus</v>
      </c>
      <c r="C8375" s="4" t="str">
        <f>IFERROR(__xludf.DUMMYFUNCTION("""COMPUTED_VALUE"""),"Nexuspad")</f>
        <v>Nexuspad</v>
      </c>
    </row>
    <row r="8376">
      <c r="A8376" s="4" t="str">
        <f>IFERROR(__xludf.DUMMYFUNCTION("""COMPUTED_VALUE"""),"nezuko")</f>
        <v>nezuko</v>
      </c>
      <c r="B8376" s="4" t="str">
        <f>IFERROR(__xludf.DUMMYFUNCTION("""COMPUTED_VALUE"""),"nezuko")</f>
        <v>nezuko</v>
      </c>
      <c r="C8376" s="4" t="str">
        <f>IFERROR(__xludf.DUMMYFUNCTION("""COMPUTED_VALUE"""),"Nezuko")</f>
        <v>Nezuko</v>
      </c>
    </row>
    <row r="8377">
      <c r="A8377" s="4" t="str">
        <f>IFERROR(__xludf.DUMMYFUNCTION("""COMPUTED_VALUE"""),"nfprompt-token")</f>
        <v>nfprompt-token</v>
      </c>
      <c r="B8377" s="4" t="str">
        <f>IFERROR(__xludf.DUMMYFUNCTION("""COMPUTED_VALUE"""),"nfp")</f>
        <v>nfp</v>
      </c>
      <c r="C8377" s="4" t="str">
        <f>IFERROR(__xludf.DUMMYFUNCTION("""COMPUTED_VALUE"""),"NFPrompt")</f>
        <v>NFPrompt</v>
      </c>
    </row>
    <row r="8378">
      <c r="A8378" s="4" t="str">
        <f>IFERROR(__xludf.DUMMYFUNCTION("""COMPUTED_VALUE"""),"nft-art-finance")</f>
        <v>nft-art-finance</v>
      </c>
      <c r="B8378" s="4" t="str">
        <f>IFERROR(__xludf.DUMMYFUNCTION("""COMPUTED_VALUE"""),"nftart")</f>
        <v>nftart</v>
      </c>
      <c r="C8378" s="4" t="str">
        <f>IFERROR(__xludf.DUMMYFUNCTION("""COMPUTED_VALUE"""),"NFT Art Finance")</f>
        <v>NFT Art Finance</v>
      </c>
    </row>
    <row r="8379">
      <c r="A8379" s="4" t="str">
        <f>IFERROR(__xludf.DUMMYFUNCTION("""COMPUTED_VALUE"""),"nftb")</f>
        <v>nftb</v>
      </c>
      <c r="B8379" s="4" t="str">
        <f>IFERROR(__xludf.DUMMYFUNCTION("""COMPUTED_VALUE"""),"nftb")</f>
        <v>nftb</v>
      </c>
      <c r="C8379" s="4" t="str">
        <f>IFERROR(__xludf.DUMMYFUNCTION("""COMPUTED_VALUE"""),"NFTb")</f>
        <v>NFTb</v>
      </c>
    </row>
    <row r="8380">
      <c r="A8380" s="4" t="str">
        <f>IFERROR(__xludf.DUMMYFUNCTION("""COMPUTED_VALUE"""),"nftblackmarket")</f>
        <v>nftblackmarket</v>
      </c>
      <c r="B8380" s="4" t="str">
        <f>IFERROR(__xludf.DUMMYFUNCTION("""COMPUTED_VALUE"""),"nbm")</f>
        <v>nbm</v>
      </c>
      <c r="C8380" s="4" t="str">
        <f>IFERROR(__xludf.DUMMYFUNCTION("""COMPUTED_VALUE"""),"NFTBlackmarket")</f>
        <v>NFTBlackmarket</v>
      </c>
    </row>
    <row r="8381">
      <c r="A8381" s="4" t="str">
        <f>IFERROR(__xludf.DUMMYFUNCTION("""COMPUTED_VALUE"""),"nftbomb")</f>
        <v>nftbomb</v>
      </c>
      <c r="B8381" s="4" t="str">
        <f>IFERROR(__xludf.DUMMYFUNCTION("""COMPUTED_VALUE"""),"nbp")</f>
        <v>nbp</v>
      </c>
      <c r="C8381" s="4" t="str">
        <f>IFERROR(__xludf.DUMMYFUNCTION("""COMPUTED_VALUE"""),"NFTBomb")</f>
        <v>NFTBomb</v>
      </c>
    </row>
    <row r="8382">
      <c r="A8382" s="4" t="str">
        <f>IFERROR(__xludf.DUMMYFUNCTION("""COMPUTED_VALUE"""),"nftbooks")</f>
        <v>nftbooks</v>
      </c>
      <c r="B8382" s="4" t="str">
        <f>IFERROR(__xludf.DUMMYFUNCTION("""COMPUTED_VALUE"""),"nftbs")</f>
        <v>nftbs</v>
      </c>
      <c r="C8382" s="4" t="str">
        <f>IFERROR(__xludf.DUMMYFUNCTION("""COMPUTED_VALUE"""),"NFTBooks")</f>
        <v>NFTBooks</v>
      </c>
    </row>
    <row r="8383">
      <c r="A8383" s="4" t="str">
        <f>IFERROR(__xludf.DUMMYFUNCTION("""COMPUTED_VALUE"""),"nft-champions")</f>
        <v>nft-champions</v>
      </c>
      <c r="B8383" s="4" t="str">
        <f>IFERROR(__xludf.DUMMYFUNCTION("""COMPUTED_VALUE"""),"champ")</f>
        <v>champ</v>
      </c>
      <c r="C8383" s="4" t="str">
        <f>IFERROR(__xludf.DUMMYFUNCTION("""COMPUTED_VALUE"""),"NFT Champions")</f>
        <v>NFT Champions</v>
      </c>
    </row>
    <row r="8384">
      <c r="A8384" s="4" t="str">
        <f>IFERROR(__xludf.DUMMYFUNCTION("""COMPUTED_VALUE"""),"nftcloud")</f>
        <v>nftcloud</v>
      </c>
      <c r="B8384" s="4" t="str">
        <f>IFERROR(__xludf.DUMMYFUNCTION("""COMPUTED_VALUE"""),"cloud")</f>
        <v>cloud</v>
      </c>
      <c r="C8384" s="4" t="str">
        <f>IFERROR(__xludf.DUMMYFUNCTION("""COMPUTED_VALUE"""),"NFTCloud")</f>
        <v>NFTCloud</v>
      </c>
    </row>
    <row r="8385">
      <c r="A8385" s="4" t="str">
        <f>IFERROR(__xludf.DUMMYFUNCTION("""COMPUTED_VALUE"""),"nft-combining")</f>
        <v>nft-combining</v>
      </c>
      <c r="B8385" s="4" t="str">
        <f>IFERROR(__xludf.DUMMYFUNCTION("""COMPUTED_VALUE"""),"nftc")</f>
        <v>nftc</v>
      </c>
      <c r="C8385" s="4" t="str">
        <f>IFERROR(__xludf.DUMMYFUNCTION("""COMPUTED_VALUE"""),"NFT Combining")</f>
        <v>NFT Combining</v>
      </c>
    </row>
    <row r="8386">
      <c r="A8386" s="4" t="str">
        <f>IFERROR(__xludf.DUMMYFUNCTION("""COMPUTED_VALUE"""),"nftdao")</f>
        <v>nftdao</v>
      </c>
      <c r="B8386" s="4" t="str">
        <f>IFERROR(__xludf.DUMMYFUNCTION("""COMPUTED_VALUE"""),"nao")</f>
        <v>nao</v>
      </c>
      <c r="C8386" s="4" t="str">
        <f>IFERROR(__xludf.DUMMYFUNCTION("""COMPUTED_VALUE"""),"NFTDAO")</f>
        <v>NFTDAO</v>
      </c>
    </row>
    <row r="8387">
      <c r="A8387" s="4" t="str">
        <f>IFERROR(__xludf.DUMMYFUNCTION("""COMPUTED_VALUE"""),"nftdeli")</f>
        <v>nftdeli</v>
      </c>
      <c r="B8387" s="4" t="str">
        <f>IFERROR(__xludf.DUMMYFUNCTION("""COMPUTED_VALUE"""),"deli")</f>
        <v>deli</v>
      </c>
      <c r="C8387" s="4" t="str">
        <f>IFERROR(__xludf.DUMMYFUNCTION("""COMPUTED_VALUE"""),"NFTDeli")</f>
        <v>NFTDeli</v>
      </c>
    </row>
    <row r="8388">
      <c r="A8388" s="4" t="str">
        <f>IFERROR(__xludf.DUMMYFUNCTION("""COMPUTED_VALUE"""),"nfteyez")</f>
        <v>nfteyez</v>
      </c>
      <c r="B8388" s="4" t="str">
        <f>IFERROR(__xludf.DUMMYFUNCTION("""COMPUTED_VALUE"""),"eye")</f>
        <v>eye</v>
      </c>
      <c r="C8388" s="4" t="str">
        <f>IFERROR(__xludf.DUMMYFUNCTION("""COMPUTED_VALUE"""),"NftEyez")</f>
        <v>NftEyez</v>
      </c>
    </row>
    <row r="8389">
      <c r="A8389" s="4" t="str">
        <f>IFERROR(__xludf.DUMMYFUNCTION("""COMPUTED_VALUE"""),"nftfi")</f>
        <v>nftfi</v>
      </c>
      <c r="B8389" s="4" t="str">
        <f>IFERROR(__xludf.DUMMYFUNCTION("""COMPUTED_VALUE"""),"nftfi")</f>
        <v>nftfi</v>
      </c>
      <c r="C8389" s="4" t="str">
        <f>IFERROR(__xludf.DUMMYFUNCTION("""COMPUTED_VALUE"""),"NFTFI")</f>
        <v>NFTFI</v>
      </c>
    </row>
    <row r="8390">
      <c r="A8390" s="4" t="str">
        <f>IFERROR(__xludf.DUMMYFUNCTION("""COMPUTED_VALUE"""),"nftfn")</f>
        <v>nftfn</v>
      </c>
      <c r="B8390" s="4" t="str">
        <f>IFERROR(__xludf.DUMMYFUNCTION("""COMPUTED_VALUE"""),"nftfn")</f>
        <v>nftfn</v>
      </c>
      <c r="C8390" s="4" t="str">
        <f>IFERROR(__xludf.DUMMYFUNCTION("""COMPUTED_VALUE"""),"NFTFN")</f>
        <v>NFTFN</v>
      </c>
    </row>
    <row r="8391">
      <c r="A8391" s="4" t="str">
        <f>IFERROR(__xludf.DUMMYFUNCTION("""COMPUTED_VALUE"""),"nftfundart")</f>
        <v>nftfundart</v>
      </c>
      <c r="B8391" s="4" t="str">
        <f>IFERROR(__xludf.DUMMYFUNCTION("""COMPUTED_VALUE"""),"nfa")</f>
        <v>nfa</v>
      </c>
      <c r="C8391" s="4" t="str">
        <f>IFERROR(__xludf.DUMMYFUNCTION("""COMPUTED_VALUE"""),"NFTFundArt")</f>
        <v>NFTFundArt</v>
      </c>
    </row>
    <row r="8392">
      <c r="A8392" s="4" t="str">
        <f>IFERROR(__xludf.DUMMYFUNCTION("""COMPUTED_VALUE"""),"nftify")</f>
        <v>nftify</v>
      </c>
      <c r="B8392" s="4" t="str">
        <f>IFERROR(__xludf.DUMMYFUNCTION("""COMPUTED_VALUE"""),"n1")</f>
        <v>n1</v>
      </c>
      <c r="C8392" s="4" t="str">
        <f>IFERROR(__xludf.DUMMYFUNCTION("""COMPUTED_VALUE"""),"NFTify")</f>
        <v>NFTify</v>
      </c>
    </row>
    <row r="8393">
      <c r="A8393" s="4" t="str">
        <f>IFERROR(__xludf.DUMMYFUNCTION("""COMPUTED_VALUE"""),"nftlaunch")</f>
        <v>nftlaunch</v>
      </c>
      <c r="B8393" s="4" t="str">
        <f>IFERROR(__xludf.DUMMYFUNCTION("""COMPUTED_VALUE"""),"nftl")</f>
        <v>nftl</v>
      </c>
      <c r="C8393" s="4" t="str">
        <f>IFERROR(__xludf.DUMMYFUNCTION("""COMPUTED_VALUE"""),"NFTLaunch")</f>
        <v>NFTLaunch</v>
      </c>
    </row>
    <row r="8394">
      <c r="A8394" s="4" t="str">
        <f>IFERROR(__xludf.DUMMYFUNCTION("""COMPUTED_VALUE"""),"nft-maker")</f>
        <v>nft-maker</v>
      </c>
      <c r="B8394" s="4" t="str">
        <f>IFERROR(__xludf.DUMMYFUNCTION("""COMPUTED_VALUE"""),"$nmkr")</f>
        <v>$nmkr</v>
      </c>
      <c r="C8394" s="4" t="str">
        <f>IFERROR(__xludf.DUMMYFUNCTION("""COMPUTED_VALUE"""),"NMKR")</f>
        <v>NMKR</v>
      </c>
    </row>
    <row r="8395">
      <c r="A8395" s="4" t="str">
        <f>IFERROR(__xludf.DUMMYFUNCTION("""COMPUTED_VALUE"""),"nftmall")</f>
        <v>nftmall</v>
      </c>
      <c r="B8395" s="4" t="str">
        <f>IFERROR(__xludf.DUMMYFUNCTION("""COMPUTED_VALUE"""),"gem")</f>
        <v>gem</v>
      </c>
      <c r="C8395" s="4" t="str">
        <f>IFERROR(__xludf.DUMMYFUNCTION("""COMPUTED_VALUE"""),"NFTmall")</f>
        <v>NFTmall</v>
      </c>
    </row>
    <row r="8396">
      <c r="A8396" s="4" t="str">
        <f>IFERROR(__xludf.DUMMYFUNCTION("""COMPUTED_VALUE"""),"nftmart-token")</f>
        <v>nftmart-token</v>
      </c>
      <c r="B8396" s="4" t="str">
        <f>IFERROR(__xludf.DUMMYFUNCTION("""COMPUTED_VALUE"""),"nmt")</f>
        <v>nmt</v>
      </c>
      <c r="C8396" s="4" t="str">
        <f>IFERROR(__xludf.DUMMYFUNCTION("""COMPUTED_VALUE"""),"NFTMart")</f>
        <v>NFTMart</v>
      </c>
    </row>
    <row r="8397">
      <c r="A8397" s="4" t="str">
        <f>IFERROR(__xludf.DUMMYFUNCTION("""COMPUTED_VALUE"""),"nft-protocol")</f>
        <v>nft-protocol</v>
      </c>
      <c r="B8397" s="4" t="str">
        <f>IFERROR(__xludf.DUMMYFUNCTION("""COMPUTED_VALUE"""),"nft")</f>
        <v>nft</v>
      </c>
      <c r="C8397" s="4" t="str">
        <f>IFERROR(__xludf.DUMMYFUNCTION("""COMPUTED_VALUE"""),"NFT Protocol")</f>
        <v>NFT Protocol</v>
      </c>
    </row>
    <row r="8398">
      <c r="A8398" s="4" t="str">
        <f>IFERROR(__xludf.DUMMYFUNCTION("""COMPUTED_VALUE"""),"nftpunk-finance")</f>
        <v>nftpunk-finance</v>
      </c>
      <c r="B8398" s="4" t="str">
        <f>IFERROR(__xludf.DUMMYFUNCTION("""COMPUTED_VALUE"""),"nftpunk")</f>
        <v>nftpunk</v>
      </c>
      <c r="C8398" s="4" t="str">
        <f>IFERROR(__xludf.DUMMYFUNCTION("""COMPUTED_VALUE"""),"NFTPunk.Finance")</f>
        <v>NFTPunk.Finance</v>
      </c>
    </row>
    <row r="8399">
      <c r="A8399" s="4" t="str">
        <f>IFERROR(__xludf.DUMMYFUNCTION("""COMPUTED_VALUE"""),"nftrade")</f>
        <v>nftrade</v>
      </c>
      <c r="B8399" s="4" t="str">
        <f>IFERROR(__xludf.DUMMYFUNCTION("""COMPUTED_VALUE"""),"nftd")</f>
        <v>nftd</v>
      </c>
      <c r="C8399" s="4" t="str">
        <f>IFERROR(__xludf.DUMMYFUNCTION("""COMPUTED_VALUE"""),"NFTrade")</f>
        <v>NFTrade</v>
      </c>
    </row>
    <row r="8400">
      <c r="A8400" s="4" t="str">
        <f>IFERROR(__xludf.DUMMYFUNCTION("""COMPUTED_VALUE"""),"nftreasure")</f>
        <v>nftreasure</v>
      </c>
      <c r="B8400" s="4" t="str">
        <f>IFERROR(__xludf.DUMMYFUNCTION("""COMPUTED_VALUE"""),"tresr")</f>
        <v>tresr</v>
      </c>
      <c r="C8400" s="4" t="str">
        <f>IFERROR(__xludf.DUMMYFUNCTION("""COMPUTED_VALUE"""),"NFTREASURE")</f>
        <v>NFTREASURE</v>
      </c>
    </row>
    <row r="8401">
      <c r="A8401" s="4" t="str">
        <f>IFERROR(__xludf.DUMMYFUNCTION("""COMPUTED_VALUE"""),"nft-soccer-games")</f>
        <v>nft-soccer-games</v>
      </c>
      <c r="B8401" s="4" t="str">
        <f>IFERROR(__xludf.DUMMYFUNCTION("""COMPUTED_VALUE"""),"nfsg")</f>
        <v>nfsg</v>
      </c>
      <c r="C8401" s="4" t="str">
        <f>IFERROR(__xludf.DUMMYFUNCTION("""COMPUTED_VALUE"""),"NFT Soccer Games")</f>
        <v>NFT Soccer Games</v>
      </c>
    </row>
    <row r="8402">
      <c r="A8402" s="4" t="str">
        <f>IFERROR(__xludf.DUMMYFUNCTION("""COMPUTED_VALUE"""),"nft-stars")</f>
        <v>nft-stars</v>
      </c>
      <c r="B8402" s="4" t="str">
        <f>IFERROR(__xludf.DUMMYFUNCTION("""COMPUTED_VALUE"""),"nfts")</f>
        <v>nfts</v>
      </c>
      <c r="C8402" s="4" t="str">
        <f>IFERROR(__xludf.DUMMYFUNCTION("""COMPUTED_VALUE"""),"NFT Stars")</f>
        <v>NFT Stars</v>
      </c>
    </row>
    <row r="8403">
      <c r="A8403" s="4" t="str">
        <f>IFERROR(__xludf.DUMMYFUNCTION("""COMPUTED_VALUE"""),"nftstyle")</f>
        <v>nftstyle</v>
      </c>
      <c r="B8403" s="4" t="str">
        <f>IFERROR(__xludf.DUMMYFUNCTION("""COMPUTED_VALUE"""),"nftstyle")</f>
        <v>nftstyle</v>
      </c>
      <c r="C8403" s="4" t="str">
        <f>IFERROR(__xludf.DUMMYFUNCTION("""COMPUTED_VALUE"""),"NFTStyle")</f>
        <v>NFTStyle</v>
      </c>
    </row>
    <row r="8404">
      <c r="A8404" s="4" t="str">
        <f>IFERROR(__xludf.DUMMYFUNCTION("""COMPUTED_VALUE"""),"nft-track-protocol")</f>
        <v>nft-track-protocol</v>
      </c>
      <c r="B8404" s="4" t="str">
        <f>IFERROR(__xludf.DUMMYFUNCTION("""COMPUTED_VALUE"""),"ntp")</f>
        <v>ntp</v>
      </c>
      <c r="C8404" s="4" t="str">
        <f>IFERROR(__xludf.DUMMYFUNCTION("""COMPUTED_VALUE"""),"NFT Track Protocol")</f>
        <v>NFT Track Protocol</v>
      </c>
    </row>
    <row r="8405">
      <c r="A8405" s="4" t="str">
        <f>IFERROR(__xludf.DUMMYFUNCTION("""COMPUTED_VALUE"""),"nft-workx")</f>
        <v>nft-workx</v>
      </c>
      <c r="B8405" s="4" t="str">
        <f>IFERROR(__xludf.DUMMYFUNCTION("""COMPUTED_VALUE"""),"wrkx")</f>
        <v>wrkx</v>
      </c>
      <c r="C8405" s="4" t="str">
        <f>IFERROR(__xludf.DUMMYFUNCTION("""COMPUTED_VALUE"""),"NFT Workx")</f>
        <v>NFT Workx</v>
      </c>
    </row>
    <row r="8406">
      <c r="A8406" s="4" t="str">
        <f>IFERROR(__xludf.DUMMYFUNCTION("""COMPUTED_VALUE"""),"nft-worlds")</f>
        <v>nft-worlds</v>
      </c>
      <c r="B8406" s="4" t="str">
        <f>IFERROR(__xludf.DUMMYFUNCTION("""COMPUTED_VALUE"""),"wrld")</f>
        <v>wrld</v>
      </c>
      <c r="C8406" s="4" t="str">
        <f>IFERROR(__xludf.DUMMYFUNCTION("""COMPUTED_VALUE"""),"NFT Worlds")</f>
        <v>NFT Worlds</v>
      </c>
    </row>
    <row r="8407">
      <c r="A8407" s="4" t="str">
        <f>IFERROR(__xludf.DUMMYFUNCTION("""COMPUTED_VALUE"""),"nftx")</f>
        <v>nftx</v>
      </c>
      <c r="B8407" s="4" t="str">
        <f>IFERROR(__xludf.DUMMYFUNCTION("""COMPUTED_VALUE"""),"nftx")</f>
        <v>nftx</v>
      </c>
      <c r="C8407" s="4" t="str">
        <f>IFERROR(__xludf.DUMMYFUNCTION("""COMPUTED_VALUE"""),"NFTX")</f>
        <v>NFTX</v>
      </c>
    </row>
    <row r="8408">
      <c r="A8408" s="4" t="str">
        <f>IFERROR(__xludf.DUMMYFUNCTION("""COMPUTED_VALUE"""),"nfty-token")</f>
        <v>nfty-token</v>
      </c>
      <c r="B8408" s="4" t="str">
        <f>IFERROR(__xludf.DUMMYFUNCTION("""COMPUTED_VALUE"""),"nfty")</f>
        <v>nfty</v>
      </c>
      <c r="C8408" s="4" t="str">
        <f>IFERROR(__xludf.DUMMYFUNCTION("""COMPUTED_VALUE"""),"NFTY")</f>
        <v>NFTY</v>
      </c>
    </row>
    <row r="8409">
      <c r="A8409" s="4" t="str">
        <f>IFERROR(__xludf.DUMMYFUNCTION("""COMPUTED_VALUE"""),"ngatiger")</f>
        <v>ngatiger</v>
      </c>
      <c r="B8409" s="4" t="str">
        <f>IFERROR(__xludf.DUMMYFUNCTION("""COMPUTED_VALUE"""),"nga")</f>
        <v>nga</v>
      </c>
      <c r="C8409" s="4" t="str">
        <f>IFERROR(__xludf.DUMMYFUNCTION("""COMPUTED_VALUE"""),"NGATiger")</f>
        <v>NGATiger</v>
      </c>
    </row>
    <row r="8410">
      <c r="A8410" s="4" t="str">
        <f>IFERROR(__xludf.DUMMYFUNCTION("""COMPUTED_VALUE"""),"ngt")</f>
        <v>ngt</v>
      </c>
      <c r="B8410" s="4" t="str">
        <f>IFERROR(__xludf.DUMMYFUNCTION("""COMPUTED_VALUE"""),"ngt")</f>
        <v>ngt</v>
      </c>
      <c r="C8410" s="4" t="str">
        <f>IFERROR(__xludf.DUMMYFUNCTION("""COMPUTED_VALUE"""),"GoSleep NGT")</f>
        <v>GoSleep NGT</v>
      </c>
    </row>
    <row r="8411">
      <c r="A8411" s="4" t="str">
        <f>IFERROR(__xludf.DUMMYFUNCTION("""COMPUTED_VALUE"""),"nibiru")</f>
        <v>nibiru</v>
      </c>
      <c r="B8411" s="4" t="str">
        <f>IFERROR(__xludf.DUMMYFUNCTION("""COMPUTED_VALUE"""),"nibi")</f>
        <v>nibi</v>
      </c>
      <c r="C8411" s="4" t="str">
        <f>IFERROR(__xludf.DUMMYFUNCTION("""COMPUTED_VALUE"""),"Nibiru")</f>
        <v>Nibiru</v>
      </c>
    </row>
    <row r="8412">
      <c r="A8412" s="4" t="str">
        <f>IFERROR(__xludf.DUMMYFUNCTION("""COMPUTED_VALUE"""),"niccagewaluigielmo42069inu")</f>
        <v>niccagewaluigielmo42069inu</v>
      </c>
      <c r="B8412" s="4" t="str">
        <f>IFERROR(__xludf.DUMMYFUNCTION("""COMPUTED_VALUE"""),"shib")</f>
        <v>shib</v>
      </c>
      <c r="C8412" s="4" t="str">
        <f>IFERROR(__xludf.DUMMYFUNCTION("""COMPUTED_VALUE"""),"NicCageWaluigiElmo42069Inu")</f>
        <v>NicCageWaluigiElmo42069Inu</v>
      </c>
    </row>
    <row r="8413">
      <c r="A8413" s="4" t="str">
        <f>IFERROR(__xludf.DUMMYFUNCTION("""COMPUTED_VALUE"""),"niftify")</f>
        <v>niftify</v>
      </c>
      <c r="B8413" s="4" t="str">
        <f>IFERROR(__xludf.DUMMYFUNCTION("""COMPUTED_VALUE"""),"nift")</f>
        <v>nift</v>
      </c>
      <c r="C8413" s="4" t="str">
        <f>IFERROR(__xludf.DUMMYFUNCTION("""COMPUTED_VALUE"""),"Niftify")</f>
        <v>Niftify</v>
      </c>
    </row>
    <row r="8414">
      <c r="A8414" s="4" t="str">
        <f>IFERROR(__xludf.DUMMYFUNCTION("""COMPUTED_VALUE"""),"nifty-league")</f>
        <v>nifty-league</v>
      </c>
      <c r="B8414" s="4" t="str">
        <f>IFERROR(__xludf.DUMMYFUNCTION("""COMPUTED_VALUE"""),"nftl")</f>
        <v>nftl</v>
      </c>
      <c r="C8414" s="4" t="str">
        <f>IFERROR(__xludf.DUMMYFUNCTION("""COMPUTED_VALUE"""),"Nifty League")</f>
        <v>Nifty League</v>
      </c>
    </row>
    <row r="8415">
      <c r="A8415" s="4" t="str">
        <f>IFERROR(__xludf.DUMMYFUNCTION("""COMPUTED_VALUE"""),"nifty-token")</f>
        <v>nifty-token</v>
      </c>
      <c r="B8415" s="4" t="str">
        <f>IFERROR(__xludf.DUMMYFUNCTION("""COMPUTED_VALUE"""),"nfty")</f>
        <v>nfty</v>
      </c>
      <c r="C8415" s="4" t="str">
        <f>IFERROR(__xludf.DUMMYFUNCTION("""COMPUTED_VALUE"""),"NFTY DeFi Protocol")</f>
        <v>NFTY DeFi Protocol</v>
      </c>
    </row>
    <row r="8416">
      <c r="A8416" s="4" t="str">
        <f>IFERROR(__xludf.DUMMYFUNCTION("""COMPUTED_VALUE"""),"night-crows")</f>
        <v>night-crows</v>
      </c>
      <c r="B8416" s="4" t="str">
        <f>IFERROR(__xludf.DUMMYFUNCTION("""COMPUTED_VALUE"""),"crow")</f>
        <v>crow</v>
      </c>
      <c r="C8416" s="4" t="str">
        <f>IFERROR(__xludf.DUMMYFUNCTION("""COMPUTED_VALUE"""),"CROW")</f>
        <v>CROW</v>
      </c>
    </row>
    <row r="8417">
      <c r="A8417" s="4" t="str">
        <f>IFERROR(__xludf.DUMMYFUNCTION("""COMPUTED_VALUE"""),"nightingale-token")</f>
        <v>nightingale-token</v>
      </c>
      <c r="B8417" s="4" t="str">
        <f>IFERROR(__xludf.DUMMYFUNCTION("""COMPUTED_VALUE"""),"ngit")</f>
        <v>ngit</v>
      </c>
      <c r="C8417" s="4" t="str">
        <f>IFERROR(__xludf.DUMMYFUNCTION("""COMPUTED_VALUE"""),"Nightingale Token")</f>
        <v>Nightingale Token</v>
      </c>
    </row>
    <row r="8418">
      <c r="A8418" s="4" t="str">
        <f>IFERROR(__xludf.DUMMYFUNCTION("""COMPUTED_VALUE"""),"nightverse-game")</f>
        <v>nightverse-game</v>
      </c>
      <c r="B8418" s="4" t="str">
        <f>IFERROR(__xludf.DUMMYFUNCTION("""COMPUTED_VALUE"""),"nvg")</f>
        <v>nvg</v>
      </c>
      <c r="C8418" s="4" t="str">
        <f>IFERROR(__xludf.DUMMYFUNCTION("""COMPUTED_VALUE"""),"NightVerse Game")</f>
        <v>NightVerse Game</v>
      </c>
    </row>
    <row r="8419">
      <c r="A8419" s="4" t="str">
        <f>IFERROR(__xludf.DUMMYFUNCTION("""COMPUTED_VALUE"""),"nihao")</f>
        <v>nihao</v>
      </c>
      <c r="B8419" s="4" t="str">
        <f>IFERROR(__xludf.DUMMYFUNCTION("""COMPUTED_VALUE"""),"nihao")</f>
        <v>nihao</v>
      </c>
      <c r="C8419" s="4" t="str">
        <f>IFERROR(__xludf.DUMMYFUNCTION("""COMPUTED_VALUE"""),"Nihao")</f>
        <v>Nihao</v>
      </c>
    </row>
    <row r="8420">
      <c r="A8420" s="4" t="str">
        <f>IFERROR(__xludf.DUMMYFUNCTION("""COMPUTED_VALUE"""),"niifi")</f>
        <v>niifi</v>
      </c>
      <c r="B8420" s="4" t="str">
        <f>IFERROR(__xludf.DUMMYFUNCTION("""COMPUTED_VALUE"""),"niifi")</f>
        <v>niifi</v>
      </c>
      <c r="C8420" s="4" t="str">
        <f>IFERROR(__xludf.DUMMYFUNCTION("""COMPUTED_VALUE"""),"NiiFi")</f>
        <v>NiiFi</v>
      </c>
    </row>
    <row r="8421">
      <c r="A8421" s="4" t="str">
        <f>IFERROR(__xludf.DUMMYFUNCTION("""COMPUTED_VALUE"""),"niko-2")</f>
        <v>niko-2</v>
      </c>
      <c r="B8421" s="4" t="str">
        <f>IFERROR(__xludf.DUMMYFUNCTION("""COMPUTED_VALUE"""),"nko")</f>
        <v>nko</v>
      </c>
      <c r="C8421" s="4" t="str">
        <f>IFERROR(__xludf.DUMMYFUNCTION("""COMPUTED_VALUE"""),"Niko")</f>
        <v>Niko</v>
      </c>
    </row>
    <row r="8422">
      <c r="A8422" s="4" t="str">
        <f>IFERROR(__xludf.DUMMYFUNCTION("""COMPUTED_VALUE"""),"nikssa")</f>
        <v>nikssa</v>
      </c>
      <c r="B8422" s="4" t="str">
        <f>IFERROR(__xludf.DUMMYFUNCTION("""COMPUTED_VALUE"""),"nks")</f>
        <v>nks</v>
      </c>
      <c r="C8422" s="4" t="str">
        <f>IFERROR(__xludf.DUMMYFUNCTION("""COMPUTED_VALUE"""),"Nikssa")</f>
        <v>Nikssa</v>
      </c>
    </row>
    <row r="8423">
      <c r="A8423" s="4" t="str">
        <f>IFERROR(__xludf.DUMMYFUNCTION("""COMPUTED_VALUE"""),"nile")</f>
        <v>nile</v>
      </c>
      <c r="B8423" s="4" t="str">
        <f>IFERROR(__xludf.DUMMYFUNCTION("""COMPUTED_VALUE"""),"nile")</f>
        <v>nile</v>
      </c>
      <c r="C8423" s="4" t="str">
        <f>IFERROR(__xludf.DUMMYFUNCTION("""COMPUTED_VALUE"""),"Nile")</f>
        <v>Nile</v>
      </c>
    </row>
    <row r="8424">
      <c r="A8424" s="4" t="str">
        <f>IFERROR(__xludf.DUMMYFUNCTION("""COMPUTED_VALUE"""),"nimbus-platform-gnimb")</f>
        <v>nimbus-platform-gnimb</v>
      </c>
      <c r="B8424" s="4" t="str">
        <f>IFERROR(__xludf.DUMMYFUNCTION("""COMPUTED_VALUE"""),"gnimb")</f>
        <v>gnimb</v>
      </c>
      <c r="C8424" s="4" t="str">
        <f>IFERROR(__xludf.DUMMYFUNCTION("""COMPUTED_VALUE"""),"Nimbus Platform GNIMB")</f>
        <v>Nimbus Platform GNIMB</v>
      </c>
    </row>
    <row r="8425">
      <c r="A8425" s="4" t="str">
        <f>IFERROR(__xludf.DUMMYFUNCTION("""COMPUTED_VALUE"""),"nimbus-utility")</f>
        <v>nimbus-utility</v>
      </c>
      <c r="B8425" s="4" t="str">
        <f>IFERROR(__xludf.DUMMYFUNCTION("""COMPUTED_VALUE"""),"nimb")</f>
        <v>nimb</v>
      </c>
      <c r="C8425" s="4" t="str">
        <f>IFERROR(__xludf.DUMMYFUNCTION("""COMPUTED_VALUE"""),"Nimbus Utility")</f>
        <v>Nimbus Utility</v>
      </c>
    </row>
    <row r="8426">
      <c r="A8426" s="4" t="str">
        <f>IFERROR(__xludf.DUMMYFUNCTION("""COMPUTED_VALUE"""),"nimiq-2")</f>
        <v>nimiq-2</v>
      </c>
      <c r="B8426" s="4" t="str">
        <f>IFERROR(__xludf.DUMMYFUNCTION("""COMPUTED_VALUE"""),"nim")</f>
        <v>nim</v>
      </c>
      <c r="C8426" s="4" t="str">
        <f>IFERROR(__xludf.DUMMYFUNCTION("""COMPUTED_VALUE"""),"Nimiq")</f>
        <v>Nimiq</v>
      </c>
    </row>
    <row r="8427">
      <c r="A8427" s="4" t="str">
        <f>IFERROR(__xludf.DUMMYFUNCTION("""COMPUTED_VALUE"""),"ninapumps")</f>
        <v>ninapumps</v>
      </c>
      <c r="B8427" s="4" t="str">
        <f>IFERROR(__xludf.DUMMYFUNCTION("""COMPUTED_VALUE"""),"nina")</f>
        <v>nina</v>
      </c>
      <c r="C8427" s="4" t="str">
        <f>IFERROR(__xludf.DUMMYFUNCTION("""COMPUTED_VALUE"""),"NinaPumps")</f>
        <v>NinaPumps</v>
      </c>
    </row>
    <row r="8428">
      <c r="A8428" s="4" t="str">
        <f>IFERROR(__xludf.DUMMYFUNCTION("""COMPUTED_VALUE"""),"ninja404")</f>
        <v>ninja404</v>
      </c>
      <c r="B8428" s="4" t="str">
        <f>IFERROR(__xludf.DUMMYFUNCTION("""COMPUTED_VALUE"""),"ninja")</f>
        <v>ninja</v>
      </c>
      <c r="C8428" s="4" t="str">
        <f>IFERROR(__xludf.DUMMYFUNCTION("""COMPUTED_VALUE"""),"Ninja404")</f>
        <v>Ninja404</v>
      </c>
    </row>
    <row r="8429">
      <c r="A8429" s="4" t="str">
        <f>IFERROR(__xludf.DUMMYFUNCTION("""COMPUTED_VALUE"""),"ninjapepe")</f>
        <v>ninjapepe</v>
      </c>
      <c r="B8429" s="4" t="str">
        <f>IFERROR(__xludf.DUMMYFUNCTION("""COMPUTED_VALUE"""),"ninjapepe")</f>
        <v>ninjapepe</v>
      </c>
      <c r="C8429" s="4" t="str">
        <f>IFERROR(__xludf.DUMMYFUNCTION("""COMPUTED_VALUE"""),"NinjaPepe")</f>
        <v>NinjaPepe</v>
      </c>
    </row>
    <row r="8430">
      <c r="A8430" s="4" t="str">
        <f>IFERROR(__xludf.DUMMYFUNCTION("""COMPUTED_VALUE"""),"ninja-protocol")</f>
        <v>ninja-protocol</v>
      </c>
      <c r="B8430" s="4" t="str">
        <f>IFERROR(__xludf.DUMMYFUNCTION("""COMPUTED_VALUE"""),"ninja")</f>
        <v>ninja</v>
      </c>
      <c r="C8430" s="4" t="str">
        <f>IFERROR(__xludf.DUMMYFUNCTION("""COMPUTED_VALUE"""),"Ninja Protocol")</f>
        <v>Ninja Protocol</v>
      </c>
    </row>
    <row r="8431">
      <c r="A8431" s="4" t="str">
        <f>IFERROR(__xludf.DUMMYFUNCTION("""COMPUTED_VALUE"""),"ninjaroll")</f>
        <v>ninjaroll</v>
      </c>
      <c r="B8431" s="4" t="str">
        <f>IFERROR(__xludf.DUMMYFUNCTION("""COMPUTED_VALUE"""),"roll")</f>
        <v>roll</v>
      </c>
      <c r="C8431" s="4" t="str">
        <f>IFERROR(__xludf.DUMMYFUNCTION("""COMPUTED_VALUE"""),"NinjaRoll")</f>
        <v>NinjaRoll</v>
      </c>
    </row>
    <row r="8432">
      <c r="A8432" s="4" t="str">
        <f>IFERROR(__xludf.DUMMYFUNCTION("""COMPUTED_VALUE"""),"ninja-squad")</f>
        <v>ninja-squad</v>
      </c>
      <c r="B8432" s="4" t="str">
        <f>IFERROR(__xludf.DUMMYFUNCTION("""COMPUTED_VALUE"""),"nst")</f>
        <v>nst</v>
      </c>
      <c r="C8432" s="4" t="str">
        <f>IFERROR(__xludf.DUMMYFUNCTION("""COMPUTED_VALUE"""),"Ninja Squad")</f>
        <v>Ninja Squad</v>
      </c>
    </row>
    <row r="8433">
      <c r="A8433" s="4" t="str">
        <f>IFERROR(__xludf.DUMMYFUNCTION("""COMPUTED_VALUE"""),"ninja-turtles")</f>
        <v>ninja-turtles</v>
      </c>
      <c r="B8433" s="4" t="str">
        <f>IFERROR(__xludf.DUMMYFUNCTION("""COMPUTED_VALUE"""),"$ninja")</f>
        <v>$ninja</v>
      </c>
      <c r="C8433" s="4" t="str">
        <f>IFERROR(__xludf.DUMMYFUNCTION("""COMPUTED_VALUE"""),"NINJA TURTLES")</f>
        <v>NINJA TURTLES</v>
      </c>
    </row>
    <row r="8434">
      <c r="A8434" s="4" t="str">
        <f>IFERROR(__xludf.DUMMYFUNCTION("""COMPUTED_VALUE"""),"ninja-warriors")</f>
        <v>ninja-warriors</v>
      </c>
      <c r="B8434" s="4" t="str">
        <f>IFERROR(__xludf.DUMMYFUNCTION("""COMPUTED_VALUE"""),"nwt")</f>
        <v>nwt</v>
      </c>
      <c r="C8434" s="4" t="str">
        <f>IFERROR(__xludf.DUMMYFUNCTION("""COMPUTED_VALUE"""),"Ninja Warriors")</f>
        <v>Ninja Warriors</v>
      </c>
    </row>
    <row r="8435">
      <c r="A8435" s="4" t="str">
        <f>IFERROR(__xludf.DUMMYFUNCTION("""COMPUTED_VALUE"""),"niob")</f>
        <v>niob</v>
      </c>
      <c r="B8435" s="4" t="str">
        <f>IFERROR(__xludf.DUMMYFUNCTION("""COMPUTED_VALUE"""),"niob")</f>
        <v>niob</v>
      </c>
      <c r="C8435" s="4" t="str">
        <f>IFERROR(__xludf.DUMMYFUNCTION("""COMPUTED_VALUE"""),"NIOB")</f>
        <v>NIOB</v>
      </c>
    </row>
    <row r="8436">
      <c r="A8436" s="4" t="str">
        <f>IFERROR(__xludf.DUMMYFUNCTION("""COMPUTED_VALUE"""),"niobio-cash")</f>
        <v>niobio-cash</v>
      </c>
      <c r="B8436" s="4" t="str">
        <f>IFERROR(__xludf.DUMMYFUNCTION("""COMPUTED_VALUE"""),"nbr")</f>
        <v>nbr</v>
      </c>
      <c r="C8436" s="4" t="str">
        <f>IFERROR(__xludf.DUMMYFUNCTION("""COMPUTED_VALUE"""),"Niobio")</f>
        <v>Niobio</v>
      </c>
    </row>
    <row r="8437">
      <c r="A8437" s="4" t="str">
        <f>IFERROR(__xludf.DUMMYFUNCTION("""COMPUTED_VALUE"""),"nioctib")</f>
        <v>nioctib</v>
      </c>
      <c r="B8437" s="4" t="str">
        <f>IFERROR(__xludf.DUMMYFUNCTION("""COMPUTED_VALUE"""),"nioctib")</f>
        <v>nioctib</v>
      </c>
      <c r="C8437" s="4" t="str">
        <f>IFERROR(__xludf.DUMMYFUNCTION("""COMPUTED_VALUE"""),"nioctiB")</f>
        <v>nioctiB</v>
      </c>
    </row>
    <row r="8438">
      <c r="A8438" s="4" t="str">
        <f>IFERROR(__xludf.DUMMYFUNCTION("""COMPUTED_VALUE"""),"nirvana-ana")</f>
        <v>nirvana-ana</v>
      </c>
      <c r="B8438" s="4" t="str">
        <f>IFERROR(__xludf.DUMMYFUNCTION("""COMPUTED_VALUE"""),"ana")</f>
        <v>ana</v>
      </c>
      <c r="C8438" s="4" t="str">
        <f>IFERROR(__xludf.DUMMYFUNCTION("""COMPUTED_VALUE"""),"Nirvana ANA")</f>
        <v>Nirvana ANA</v>
      </c>
    </row>
    <row r="8439">
      <c r="A8439" s="4" t="str">
        <f>IFERROR(__xludf.DUMMYFUNCTION("""COMPUTED_VALUE"""),"nirvana-chain")</f>
        <v>nirvana-chain</v>
      </c>
      <c r="B8439" s="4" t="str">
        <f>IFERROR(__xludf.DUMMYFUNCTION("""COMPUTED_VALUE"""),"nac")</f>
        <v>nac</v>
      </c>
      <c r="C8439" s="4" t="str">
        <f>IFERROR(__xludf.DUMMYFUNCTION("""COMPUTED_VALUE"""),"Nirvana Chain")</f>
        <v>Nirvana Chain</v>
      </c>
    </row>
    <row r="8440">
      <c r="A8440" s="4" t="str">
        <f>IFERROR(__xludf.DUMMYFUNCTION("""COMPUTED_VALUE"""),"nirvana-meta-mnu-chain")</f>
        <v>nirvana-meta-mnu-chain</v>
      </c>
      <c r="B8440" s="4" t="str">
        <f>IFERROR(__xludf.DUMMYFUNCTION("""COMPUTED_VALUE"""),"mnu")</f>
        <v>mnu</v>
      </c>
      <c r="C8440" s="4" t="str">
        <f>IFERROR(__xludf.DUMMYFUNCTION("""COMPUTED_VALUE"""),"Nirvana Meta MNU Chain")</f>
        <v>Nirvana Meta MNU Chain</v>
      </c>
    </row>
    <row r="8441">
      <c r="A8441" s="4" t="str">
        <f>IFERROR(__xludf.DUMMYFUNCTION("""COMPUTED_VALUE"""),"nirvana-prana")</f>
        <v>nirvana-prana</v>
      </c>
      <c r="B8441" s="4" t="str">
        <f>IFERROR(__xludf.DUMMYFUNCTION("""COMPUTED_VALUE"""),"prana")</f>
        <v>prana</v>
      </c>
      <c r="C8441" s="4" t="str">
        <f>IFERROR(__xludf.DUMMYFUNCTION("""COMPUTED_VALUE"""),"Nirvana prANA")</f>
        <v>Nirvana prANA</v>
      </c>
    </row>
    <row r="8442">
      <c r="A8442" s="4" t="str">
        <f>IFERROR(__xludf.DUMMYFUNCTION("""COMPUTED_VALUE"""),"nitrobots")</f>
        <v>nitrobots</v>
      </c>
      <c r="B8442" s="4" t="str">
        <f>IFERROR(__xludf.DUMMYFUNCTION("""COMPUTED_VALUE"""),"nitro")</f>
        <v>nitro</v>
      </c>
      <c r="C8442" s="4" t="str">
        <f>IFERROR(__xludf.DUMMYFUNCTION("""COMPUTED_VALUE"""),"NitroBots")</f>
        <v>NitroBots</v>
      </c>
    </row>
    <row r="8443">
      <c r="A8443" s="4" t="str">
        <f>IFERROR(__xludf.DUMMYFUNCTION("""COMPUTED_VALUE"""),"nitro-cartel")</f>
        <v>nitro-cartel</v>
      </c>
      <c r="B8443" s="4" t="str">
        <f>IFERROR(__xludf.DUMMYFUNCTION("""COMPUTED_VALUE"""),"trove")</f>
        <v>trove</v>
      </c>
      <c r="C8443" s="4" t="str">
        <f>IFERROR(__xludf.DUMMYFUNCTION("""COMPUTED_VALUE"""),"Arbitrove Governance Token")</f>
        <v>Arbitrove Governance Token</v>
      </c>
    </row>
    <row r="8444">
      <c r="A8444" s="4" t="str">
        <f>IFERROR(__xludf.DUMMYFUNCTION("""COMPUTED_VALUE"""),"nitroex")</f>
        <v>nitroex</v>
      </c>
      <c r="B8444" s="4" t="str">
        <f>IFERROR(__xludf.DUMMYFUNCTION("""COMPUTED_VALUE"""),"ntx")</f>
        <v>ntx</v>
      </c>
      <c r="C8444" s="4" t="str">
        <f>IFERROR(__xludf.DUMMYFUNCTION("""COMPUTED_VALUE"""),"NitroEX")</f>
        <v>NitroEX</v>
      </c>
    </row>
    <row r="8445">
      <c r="A8445" s="4" t="str">
        <f>IFERROR(__xludf.DUMMYFUNCTION("""COMPUTED_VALUE"""),"nitroken")</f>
        <v>nitroken</v>
      </c>
      <c r="B8445" s="4" t="str">
        <f>IFERROR(__xludf.DUMMYFUNCTION("""COMPUTED_VALUE"""),"nito")</f>
        <v>nito</v>
      </c>
      <c r="C8445" s="4" t="str">
        <f>IFERROR(__xludf.DUMMYFUNCTION("""COMPUTED_VALUE"""),"Nitroken")</f>
        <v>Nitroken</v>
      </c>
    </row>
    <row r="8446">
      <c r="A8446" s="4" t="str">
        <f>IFERROR(__xludf.DUMMYFUNCTION("""COMPUTED_VALUE"""),"nitro-league")</f>
        <v>nitro-league</v>
      </c>
      <c r="B8446" s="4" t="str">
        <f>IFERROR(__xludf.DUMMYFUNCTION("""COMPUTED_VALUE"""),"nitro")</f>
        <v>nitro</v>
      </c>
      <c r="C8446" s="4" t="str">
        <f>IFERROR(__xludf.DUMMYFUNCTION("""COMPUTED_VALUE"""),"Nitro League")</f>
        <v>Nitro League</v>
      </c>
    </row>
    <row r="8447">
      <c r="A8447" s="4" t="str">
        <f>IFERROR(__xludf.DUMMYFUNCTION("""COMPUTED_VALUE"""),"nitro-network")</f>
        <v>nitro-network</v>
      </c>
      <c r="B8447" s="4" t="str">
        <f>IFERROR(__xludf.DUMMYFUNCTION("""COMPUTED_VALUE"""),"ncash")</f>
        <v>ncash</v>
      </c>
      <c r="C8447" s="4" t="str">
        <f>IFERROR(__xludf.DUMMYFUNCTION("""COMPUTED_VALUE"""),"Nitro Network")</f>
        <v>Nitro Network</v>
      </c>
    </row>
    <row r="8448">
      <c r="A8448" s="4" t="str">
        <f>IFERROR(__xludf.DUMMYFUNCTION("""COMPUTED_VALUE"""),"nitroshiba")</f>
        <v>nitroshiba</v>
      </c>
      <c r="B8448" s="4" t="str">
        <f>IFERROR(__xludf.DUMMYFUNCTION("""COMPUTED_VALUE"""),"nishib")</f>
        <v>nishib</v>
      </c>
      <c r="C8448" s="4" t="str">
        <f>IFERROR(__xludf.DUMMYFUNCTION("""COMPUTED_VALUE"""),"NitroShiba")</f>
        <v>NitroShiba</v>
      </c>
    </row>
    <row r="8449">
      <c r="A8449" s="4" t="str">
        <f>IFERROR(__xludf.DUMMYFUNCTION("""COMPUTED_VALUE"""),"nix")</f>
        <v>nix</v>
      </c>
      <c r="B8449" s="4" t="str">
        <f>IFERROR(__xludf.DUMMYFUNCTION("""COMPUTED_VALUE"""),"nix")</f>
        <v>nix</v>
      </c>
      <c r="C8449" s="4" t="str">
        <f>IFERROR(__xludf.DUMMYFUNCTION("""COMPUTED_VALUE"""),"NIX")</f>
        <v>NIX</v>
      </c>
    </row>
    <row r="8450">
      <c r="A8450" s="4" t="str">
        <f>IFERROR(__xludf.DUMMYFUNCTION("""COMPUTED_VALUE"""),"nix-bridge-token")</f>
        <v>nix-bridge-token</v>
      </c>
      <c r="B8450" s="4" t="str">
        <f>IFERROR(__xludf.DUMMYFUNCTION("""COMPUTED_VALUE"""),"voice")</f>
        <v>voice</v>
      </c>
      <c r="C8450" s="4" t="str">
        <f>IFERROR(__xludf.DUMMYFUNCTION("""COMPUTED_VALUE"""),"Voice")</f>
        <v>Voice</v>
      </c>
    </row>
    <row r="8451">
      <c r="A8451" s="4" t="str">
        <f>IFERROR(__xludf.DUMMYFUNCTION("""COMPUTED_VALUE"""),"niza-global")</f>
        <v>niza-global</v>
      </c>
      <c r="B8451" s="4" t="str">
        <f>IFERROR(__xludf.DUMMYFUNCTION("""COMPUTED_VALUE"""),"niza")</f>
        <v>niza</v>
      </c>
      <c r="C8451" s="4" t="str">
        <f>IFERROR(__xludf.DUMMYFUNCTION("""COMPUTED_VALUE"""),"Niza Global")</f>
        <v>Niza Global</v>
      </c>
    </row>
    <row r="8452">
      <c r="A8452" s="4" t="str">
        <f>IFERROR(__xludf.DUMMYFUNCTION("""COMPUTED_VALUE"""),"nkcl-classic")</f>
        <v>nkcl-classic</v>
      </c>
      <c r="B8452" s="4" t="str">
        <f>IFERROR(__xludf.DUMMYFUNCTION("""COMPUTED_VALUE"""),"nkclc")</f>
        <v>nkclc</v>
      </c>
      <c r="C8452" s="4" t="str">
        <f>IFERROR(__xludf.DUMMYFUNCTION("""COMPUTED_VALUE"""),"NKCL Classic")</f>
        <v>NKCL Classic</v>
      </c>
    </row>
    <row r="8453">
      <c r="A8453" s="4" t="str">
        <f>IFERROR(__xludf.DUMMYFUNCTION("""COMPUTED_VALUE"""),"nkn")</f>
        <v>nkn</v>
      </c>
      <c r="B8453" s="4" t="str">
        <f>IFERROR(__xludf.DUMMYFUNCTION("""COMPUTED_VALUE"""),"nkn")</f>
        <v>nkn</v>
      </c>
      <c r="C8453" s="4" t="str">
        <f>IFERROR(__xludf.DUMMYFUNCTION("""COMPUTED_VALUE"""),"NKN")</f>
        <v>NKN</v>
      </c>
    </row>
    <row r="8454">
      <c r="A8454" s="4" t="str">
        <f>IFERROR(__xludf.DUMMYFUNCTION("""COMPUTED_VALUE"""),"nkyc-token")</f>
        <v>nkyc-token</v>
      </c>
      <c r="B8454" s="4" t="str">
        <f>IFERROR(__xludf.DUMMYFUNCTION("""COMPUTED_VALUE"""),"nkyc")</f>
        <v>nkyc</v>
      </c>
      <c r="C8454" s="4" t="str">
        <f>IFERROR(__xludf.DUMMYFUNCTION("""COMPUTED_VALUE"""),"NKYC Token")</f>
        <v>NKYC Token</v>
      </c>
    </row>
    <row r="8455">
      <c r="A8455" s="4" t="str">
        <f>IFERROR(__xludf.DUMMYFUNCTION("""COMPUTED_VALUE"""),"noahswap")</f>
        <v>noahswap</v>
      </c>
      <c r="B8455" s="4" t="str">
        <f>IFERROR(__xludf.DUMMYFUNCTION("""COMPUTED_VALUE"""),"noah")</f>
        <v>noah</v>
      </c>
      <c r="C8455" s="4" t="str">
        <f>IFERROR(__xludf.DUMMYFUNCTION("""COMPUTED_VALUE"""),"NoahSwap")</f>
        <v>NoahSwap</v>
      </c>
    </row>
    <row r="8456">
      <c r="A8456" s="4" t="str">
        <f>IFERROR(__xludf.DUMMYFUNCTION("""COMPUTED_VALUE"""),"noa-play")</f>
        <v>noa-play</v>
      </c>
      <c r="B8456" s="4" t="str">
        <f>IFERROR(__xludf.DUMMYFUNCTION("""COMPUTED_VALUE"""),"noa")</f>
        <v>noa</v>
      </c>
      <c r="C8456" s="4" t="str">
        <f>IFERROR(__xludf.DUMMYFUNCTION("""COMPUTED_VALUE"""),"NOA PLAY")</f>
        <v>NOA PLAY</v>
      </c>
    </row>
    <row r="8457">
      <c r="A8457" s="4" t="str">
        <f>IFERROR(__xludf.DUMMYFUNCTION("""COMPUTED_VALUE"""),"nobby-game")</f>
        <v>nobby-game</v>
      </c>
      <c r="B8457" s="4" t="str">
        <f>IFERROR(__xludf.DUMMYFUNCTION("""COMPUTED_VALUE"""),"sox")</f>
        <v>sox</v>
      </c>
      <c r="C8457" s="4" t="str">
        <f>IFERROR(__xludf.DUMMYFUNCTION("""COMPUTED_VALUE"""),"Nobby Game")</f>
        <v>Nobby Game</v>
      </c>
    </row>
    <row r="8458">
      <c r="A8458" s="4" t="str">
        <f>IFERROR(__xludf.DUMMYFUNCTION("""COMPUTED_VALUE"""),"nobiko-coin")</f>
        <v>nobiko-coin</v>
      </c>
      <c r="B8458" s="4" t="str">
        <f>IFERROR(__xludf.DUMMYFUNCTION("""COMPUTED_VALUE"""),"long")</f>
        <v>long</v>
      </c>
      <c r="C8458" s="4" t="str">
        <f>IFERROR(__xludf.DUMMYFUNCTION("""COMPUTED_VALUE"""),"Nobiko Coin")</f>
        <v>Nobiko Coin</v>
      </c>
    </row>
    <row r="8459">
      <c r="A8459" s="4" t="str">
        <f>IFERROR(__xludf.DUMMYFUNCTION("""COMPUTED_VALUE"""),"nobility")</f>
        <v>nobility</v>
      </c>
      <c r="B8459" s="4" t="str">
        <f>IFERROR(__xludf.DUMMYFUNCTION("""COMPUTED_VALUE"""),"nbl")</f>
        <v>nbl</v>
      </c>
      <c r="C8459" s="4" t="str">
        <f>IFERROR(__xludf.DUMMYFUNCTION("""COMPUTED_VALUE"""),"Nobility")</f>
        <v>Nobility</v>
      </c>
    </row>
    <row r="8460">
      <c r="A8460" s="4" t="str">
        <f>IFERROR(__xludf.DUMMYFUNCTION("""COMPUTED_VALUE"""),"node420")</f>
        <v>node420</v>
      </c>
      <c r="B8460" s="4" t="str">
        <f>IFERROR(__xludf.DUMMYFUNCTION("""COMPUTED_VALUE"""),"node")</f>
        <v>node</v>
      </c>
      <c r="C8460" s="4" t="str">
        <f>IFERROR(__xludf.DUMMYFUNCTION("""COMPUTED_VALUE"""),"Node420")</f>
        <v>Node420</v>
      </c>
    </row>
    <row r="8461">
      <c r="A8461" s="4" t="str">
        <f>IFERROR(__xludf.DUMMYFUNCTION("""COMPUTED_VALUE"""),"nodeai")</f>
        <v>nodeai</v>
      </c>
      <c r="B8461" s="4" t="str">
        <f>IFERROR(__xludf.DUMMYFUNCTION("""COMPUTED_VALUE"""),"gpu")</f>
        <v>gpu</v>
      </c>
      <c r="C8461" s="4" t="str">
        <f>IFERROR(__xludf.DUMMYFUNCTION("""COMPUTED_VALUE"""),"NodeAI")</f>
        <v>NodeAI</v>
      </c>
    </row>
    <row r="8462">
      <c r="A8462" s="4" t="str">
        <f>IFERROR(__xludf.DUMMYFUNCTION("""COMPUTED_VALUE"""),"nodebet")</f>
        <v>nodebet</v>
      </c>
      <c r="B8462" s="4" t="str">
        <f>IFERROR(__xludf.DUMMYFUNCTION("""COMPUTED_VALUE"""),"nbet")</f>
        <v>nbet</v>
      </c>
      <c r="C8462" s="4" t="str">
        <f>IFERROR(__xludf.DUMMYFUNCTION("""COMPUTED_VALUE"""),"Nodebet")</f>
        <v>Nodebet</v>
      </c>
    </row>
    <row r="8463">
      <c r="A8463" s="4" t="str">
        <f>IFERROR(__xludf.DUMMYFUNCTION("""COMPUTED_VALUE"""),"no-decimal")</f>
        <v>no-decimal</v>
      </c>
      <c r="B8463" s="4" t="str">
        <f>IFERROR(__xludf.DUMMYFUNCTION("""COMPUTED_VALUE"""),"scarce")</f>
        <v>scarce</v>
      </c>
      <c r="C8463" s="4" t="str">
        <f>IFERROR(__xludf.DUMMYFUNCTION("""COMPUTED_VALUE"""),"No Decimal")</f>
        <v>No Decimal</v>
      </c>
    </row>
    <row r="8464">
      <c r="A8464" s="4" t="str">
        <f>IFERROR(__xludf.DUMMYFUNCTION("""COMPUTED_VALUE"""),"nodehub")</f>
        <v>nodehub</v>
      </c>
      <c r="B8464" s="4" t="str">
        <f>IFERROR(__xludf.DUMMYFUNCTION("""COMPUTED_VALUE"""),"nhub")</f>
        <v>nhub</v>
      </c>
      <c r="C8464" s="4" t="str">
        <f>IFERROR(__xludf.DUMMYFUNCTION("""COMPUTED_VALUE"""),"NodeHUB")</f>
        <v>NodeHUB</v>
      </c>
    </row>
    <row r="8465">
      <c r="A8465" s="4" t="str">
        <f>IFERROR(__xludf.DUMMYFUNCTION("""COMPUTED_VALUE"""),"nodes-reward-coin")</f>
        <v>nodes-reward-coin</v>
      </c>
      <c r="B8465" s="4" t="str">
        <f>IFERROR(__xludf.DUMMYFUNCTION("""COMPUTED_VALUE"""),"nrc")</f>
        <v>nrc</v>
      </c>
      <c r="C8465" s="4" t="str">
        <f>IFERROR(__xludf.DUMMYFUNCTION("""COMPUTED_VALUE"""),"Nodes Reward Coin")</f>
        <v>Nodes Reward Coin</v>
      </c>
    </row>
    <row r="8466">
      <c r="A8466" s="4" t="str">
        <f>IFERROR(__xludf.DUMMYFUNCTION("""COMPUTED_VALUE"""),"nodestats")</f>
        <v>nodestats</v>
      </c>
      <c r="B8466" s="4" t="str">
        <f>IFERROR(__xludf.DUMMYFUNCTION("""COMPUTED_VALUE"""),"ns")</f>
        <v>ns</v>
      </c>
      <c r="C8466" s="4" t="str">
        <f>IFERROR(__xludf.DUMMYFUNCTION("""COMPUTED_VALUE"""),"Nodestats")</f>
        <v>Nodestats</v>
      </c>
    </row>
    <row r="8467">
      <c r="A8467" s="4" t="str">
        <f>IFERROR(__xludf.DUMMYFUNCTION("""COMPUTED_VALUE"""),"nodesynapse")</f>
        <v>nodesynapse</v>
      </c>
      <c r="B8467" s="4" t="str">
        <f>IFERROR(__xludf.DUMMYFUNCTION("""COMPUTED_VALUE"""),"ns")</f>
        <v>ns</v>
      </c>
      <c r="C8467" s="4" t="str">
        <f>IFERROR(__xludf.DUMMYFUNCTION("""COMPUTED_VALUE"""),"NodeSynapse")</f>
        <v>NodeSynapse</v>
      </c>
    </row>
    <row r="8468">
      <c r="A8468" s="4" t="str">
        <f>IFERROR(__xludf.DUMMYFUNCTION("""COMPUTED_VALUE"""),"nodetrade")</f>
        <v>nodetrade</v>
      </c>
      <c r="B8468" s="4" t="str">
        <f>IFERROR(__xludf.DUMMYFUNCTION("""COMPUTED_VALUE"""),"mnx")</f>
        <v>mnx</v>
      </c>
      <c r="C8468" s="4" t="str">
        <f>IFERROR(__xludf.DUMMYFUNCTION("""COMPUTED_VALUE"""),"Nodetrade")</f>
        <v>Nodetrade</v>
      </c>
    </row>
    <row r="8469">
      <c r="A8469" s="4" t="str">
        <f>IFERROR(__xludf.DUMMYFUNCTION("""COMPUTED_VALUE"""),"nodewaves")</f>
        <v>nodewaves</v>
      </c>
      <c r="B8469" s="4" t="str">
        <f>IFERROR(__xludf.DUMMYFUNCTION("""COMPUTED_VALUE"""),"nws")</f>
        <v>nws</v>
      </c>
      <c r="C8469" s="4" t="str">
        <f>IFERROR(__xludf.DUMMYFUNCTION("""COMPUTED_VALUE"""),"Nodewaves")</f>
        <v>Nodewaves</v>
      </c>
    </row>
    <row r="8470">
      <c r="A8470" s="4" t="str">
        <f>IFERROR(__xludf.DUMMYFUNCTION("""COMPUTED_VALUE"""),"nodifiai")</f>
        <v>nodifiai</v>
      </c>
      <c r="B8470" s="4" t="str">
        <f>IFERROR(__xludf.DUMMYFUNCTION("""COMPUTED_VALUE"""),"nodifi")</f>
        <v>nodifi</v>
      </c>
      <c r="C8470" s="4" t="str">
        <f>IFERROR(__xludf.DUMMYFUNCTION("""COMPUTED_VALUE"""),"NodifiAI")</f>
        <v>NodifiAI</v>
      </c>
    </row>
    <row r="8471">
      <c r="A8471" s="4" t="str">
        <f>IFERROR(__xludf.DUMMYFUNCTION("""COMPUTED_VALUE"""),"nodle-network")</f>
        <v>nodle-network</v>
      </c>
      <c r="B8471" s="4" t="str">
        <f>IFERROR(__xludf.DUMMYFUNCTION("""COMPUTED_VALUE"""),"nodl")</f>
        <v>nodl</v>
      </c>
      <c r="C8471" s="4" t="str">
        <f>IFERROR(__xludf.DUMMYFUNCTION("""COMPUTED_VALUE"""),"Nodle Network")</f>
        <v>Nodle Network</v>
      </c>
    </row>
    <row r="8472">
      <c r="A8472" s="4" t="str">
        <f>IFERROR(__xludf.DUMMYFUNCTION("""COMPUTED_VALUE"""),"nogas")</f>
        <v>nogas</v>
      </c>
      <c r="B8472" s="4" t="str">
        <f>IFERROR(__xludf.DUMMYFUNCTION("""COMPUTED_VALUE"""),"ngs")</f>
        <v>ngs</v>
      </c>
      <c r="C8472" s="4" t="str">
        <f>IFERROR(__xludf.DUMMYFUNCTION("""COMPUTED_VALUE"""),"NoGas")</f>
        <v>NoGas</v>
      </c>
    </row>
    <row r="8473">
      <c r="A8473" s="4" t="str">
        <f>IFERROR(__xludf.DUMMYFUNCTION("""COMPUTED_VALUE"""),"noia-network")</f>
        <v>noia-network</v>
      </c>
      <c r="B8473" s="4" t="str">
        <f>IFERROR(__xludf.DUMMYFUNCTION("""COMPUTED_VALUE"""),"noia")</f>
        <v>noia</v>
      </c>
      <c r="C8473" s="4" t="str">
        <f>IFERROR(__xludf.DUMMYFUNCTION("""COMPUTED_VALUE"""),"Syntropy")</f>
        <v>Syntropy</v>
      </c>
    </row>
    <row r="8474">
      <c r="A8474" s="4" t="str">
        <f>IFERROR(__xludf.DUMMYFUNCTION("""COMPUTED_VALUE"""),"noike")</f>
        <v>noike</v>
      </c>
      <c r="B8474" s="4" t="str">
        <f>IFERROR(__xludf.DUMMYFUNCTION("""COMPUTED_VALUE"""),"woosh")</f>
        <v>woosh</v>
      </c>
      <c r="C8474" s="4" t="str">
        <f>IFERROR(__xludf.DUMMYFUNCTION("""COMPUTED_VALUE"""),"Noike")</f>
        <v>Noike</v>
      </c>
    </row>
    <row r="8475">
      <c r="A8475" s="4" t="str">
        <f>IFERROR(__xludf.DUMMYFUNCTION("""COMPUTED_VALUE"""),"noir-phygital")</f>
        <v>noir-phygital</v>
      </c>
      <c r="B8475" s="4" t="str">
        <f>IFERROR(__xludf.DUMMYFUNCTION("""COMPUTED_VALUE"""),"noir")</f>
        <v>noir</v>
      </c>
      <c r="C8475" s="4" t="str">
        <f>IFERROR(__xludf.DUMMYFUNCTION("""COMPUTED_VALUE"""),"Noir Phygital")</f>
        <v>Noir Phygital</v>
      </c>
    </row>
    <row r="8476">
      <c r="A8476" s="4" t="str">
        <f>IFERROR(__xludf.DUMMYFUNCTION("""COMPUTED_VALUE"""),"nois")</f>
        <v>nois</v>
      </c>
      <c r="B8476" s="4" t="str">
        <f>IFERROR(__xludf.DUMMYFUNCTION("""COMPUTED_VALUE"""),"nois")</f>
        <v>nois</v>
      </c>
      <c r="C8476" s="4" t="str">
        <f>IFERROR(__xludf.DUMMYFUNCTION("""COMPUTED_VALUE"""),"Nois")</f>
        <v>Nois</v>
      </c>
    </row>
    <row r="8477">
      <c r="A8477" s="4" t="str">
        <f>IFERROR(__xludf.DUMMYFUNCTION("""COMPUTED_VALUE"""),"noisegpt")</f>
        <v>noisegpt</v>
      </c>
      <c r="B8477" s="4" t="str">
        <f>IFERROR(__xludf.DUMMYFUNCTION("""COMPUTED_VALUE"""),"enqai")</f>
        <v>enqai</v>
      </c>
      <c r="C8477" s="4" t="str">
        <f>IFERROR(__xludf.DUMMYFUNCTION("""COMPUTED_VALUE"""),"enqAI")</f>
        <v>enqAI</v>
      </c>
    </row>
    <row r="8478">
      <c r="A8478" s="4" t="str">
        <f>IFERROR(__xludf.DUMMYFUNCTION("""COMPUTED_VALUE"""),"noka-solana-a")</f>
        <v>noka-solana-a</v>
      </c>
      <c r="B8478" s="4" t="str">
        <f>IFERROR(__xludf.DUMMYFUNCTION("""COMPUTED_VALUE"""),"noka")</f>
        <v>noka</v>
      </c>
      <c r="C8478" s="4" t="str">
        <f>IFERROR(__xludf.DUMMYFUNCTION("""COMPUTED_VALUE"""),"Noka Solana A")</f>
        <v>Noka Solana A</v>
      </c>
    </row>
    <row r="8479">
      <c r="A8479" s="4" t="str">
        <f>IFERROR(__xludf.DUMMYFUNCTION("""COMPUTED_VALUE"""),"nola")</f>
        <v>nola</v>
      </c>
      <c r="B8479" s="4" t="str">
        <f>IFERROR(__xludf.DUMMYFUNCTION("""COMPUTED_VALUE"""),"nola")</f>
        <v>nola</v>
      </c>
      <c r="C8479" s="4" t="str">
        <f>IFERROR(__xludf.DUMMYFUNCTION("""COMPUTED_VALUE"""),"Nola")</f>
        <v>Nola</v>
      </c>
    </row>
    <row r="8480">
      <c r="A8480" s="4" t="str">
        <f>IFERROR(__xludf.DUMMYFUNCTION("""COMPUTED_VALUE"""),"nole-inu")</f>
        <v>nole-inu</v>
      </c>
      <c r="B8480" s="4" t="str">
        <f>IFERROR(__xludf.DUMMYFUNCTION("""COMPUTED_VALUE"""),"n0le")</f>
        <v>n0le</v>
      </c>
      <c r="C8480" s="4" t="str">
        <f>IFERROR(__xludf.DUMMYFUNCTION("""COMPUTED_VALUE"""),"Nole Inu")</f>
        <v>Nole Inu</v>
      </c>
    </row>
    <row r="8481">
      <c r="A8481" s="4" t="str">
        <f>IFERROR(__xludf.DUMMYFUNCTION("""COMPUTED_VALUE"""),"nolimitcoin")</f>
        <v>nolimitcoin</v>
      </c>
      <c r="B8481" s="4" t="str">
        <f>IFERROR(__xludf.DUMMYFUNCTION("""COMPUTED_VALUE"""),"nlc")</f>
        <v>nlc</v>
      </c>
      <c r="C8481" s="4" t="str">
        <f>IFERROR(__xludf.DUMMYFUNCTION("""COMPUTED_VALUE"""),"NoLimitCoin")</f>
        <v>NoLimitCoin</v>
      </c>
    </row>
    <row r="8482">
      <c r="A8482" s="4" t="str">
        <f>IFERROR(__xludf.DUMMYFUNCTION("""COMPUTED_VALUE"""),"nolus")</f>
        <v>nolus</v>
      </c>
      <c r="B8482" s="4" t="str">
        <f>IFERROR(__xludf.DUMMYFUNCTION("""COMPUTED_VALUE"""),"nls")</f>
        <v>nls</v>
      </c>
      <c r="C8482" s="4" t="str">
        <f>IFERROR(__xludf.DUMMYFUNCTION("""COMPUTED_VALUE"""),"Nolus")</f>
        <v>Nolus</v>
      </c>
    </row>
    <row r="8483">
      <c r="A8483" s="4" t="str">
        <f>IFERROR(__xludf.DUMMYFUNCTION("""COMPUTED_VALUE"""),"nomad-bridged-usdc-evmos")</f>
        <v>nomad-bridged-usdc-evmos</v>
      </c>
      <c r="B8483" s="4" t="str">
        <f>IFERROR(__xludf.DUMMYFUNCTION("""COMPUTED_VALUE"""),"usdc")</f>
        <v>usdc</v>
      </c>
      <c r="C8483" s="4" t="str">
        <f>IFERROR(__xludf.DUMMYFUNCTION("""COMPUTED_VALUE"""),"Nomad Bridged USDC (Evmos)")</f>
        <v>Nomad Bridged USDC (Evmos)</v>
      </c>
    </row>
    <row r="8484">
      <c r="A8484" s="4" t="str">
        <f>IFERROR(__xludf.DUMMYFUNCTION("""COMPUTED_VALUE"""),"nomad-bridged-usdc-moonbeam")</f>
        <v>nomad-bridged-usdc-moonbeam</v>
      </c>
      <c r="B8484" s="4" t="str">
        <f>IFERROR(__xludf.DUMMYFUNCTION("""COMPUTED_VALUE"""),"usdc")</f>
        <v>usdc</v>
      </c>
      <c r="C8484" s="4" t="str">
        <f>IFERROR(__xludf.DUMMYFUNCTION("""COMPUTED_VALUE"""),"Nomad Bridged USDC (Moonbeam)")</f>
        <v>Nomad Bridged USDC (Moonbeam)</v>
      </c>
    </row>
    <row r="8485">
      <c r="A8485" s="4" t="str">
        <f>IFERROR(__xludf.DUMMYFUNCTION("""COMPUTED_VALUE"""),"nomad-exiles")</f>
        <v>nomad-exiles</v>
      </c>
      <c r="B8485" s="4" t="str">
        <f>IFERROR(__xludf.DUMMYFUNCTION("""COMPUTED_VALUE"""),"pride")</f>
        <v>pride</v>
      </c>
      <c r="C8485" s="4" t="str">
        <f>IFERROR(__xludf.DUMMYFUNCTION("""COMPUTED_VALUE"""),"Nomad Exiles")</f>
        <v>Nomad Exiles</v>
      </c>
    </row>
    <row r="8486">
      <c r="A8486" s="4" t="str">
        <f>IFERROR(__xludf.DUMMYFUNCTION("""COMPUTED_VALUE"""),"nomads")</f>
        <v>nomads</v>
      </c>
      <c r="B8486" s="4" t="str">
        <f>IFERROR(__xludf.DUMMYFUNCTION("""COMPUTED_VALUE"""),"nomads")</f>
        <v>nomads</v>
      </c>
      <c r="C8486" s="4" t="str">
        <f>IFERROR(__xludf.DUMMYFUNCTION("""COMPUTED_VALUE"""),"NOMADS")</f>
        <v>NOMADS</v>
      </c>
    </row>
    <row r="8487">
      <c r="A8487" s="4" t="str">
        <f>IFERROR(__xludf.DUMMYFUNCTION("""COMPUTED_VALUE"""),"nominex")</f>
        <v>nominex</v>
      </c>
      <c r="B8487" s="4" t="str">
        <f>IFERROR(__xludf.DUMMYFUNCTION("""COMPUTED_VALUE"""),"nmx")</f>
        <v>nmx</v>
      </c>
      <c r="C8487" s="4" t="str">
        <f>IFERROR(__xludf.DUMMYFUNCTION("""COMPUTED_VALUE"""),"Nominex")</f>
        <v>Nominex</v>
      </c>
    </row>
    <row r="8488">
      <c r="A8488" s="4" t="str">
        <f>IFERROR(__xludf.DUMMYFUNCTION("""COMPUTED_VALUE"""),"none-trading")</f>
        <v>none-trading</v>
      </c>
      <c r="B8488" s="4" t="str">
        <f>IFERROR(__xludf.DUMMYFUNCTION("""COMPUTED_VALUE"""),"none")</f>
        <v>none</v>
      </c>
      <c r="C8488" s="4" t="str">
        <f>IFERROR(__xludf.DUMMYFUNCTION("""COMPUTED_VALUE"""),"None Trading")</f>
        <v>None Trading</v>
      </c>
    </row>
    <row r="8489">
      <c r="A8489" s="4" t="str">
        <f>IFERROR(__xludf.DUMMYFUNCTION("""COMPUTED_VALUE"""),"non-fungible-fungi")</f>
        <v>non-fungible-fungi</v>
      </c>
      <c r="B8489" s="4" t="str">
        <f>IFERROR(__xludf.DUMMYFUNCTION("""COMPUTED_VALUE"""),"spores")</f>
        <v>spores</v>
      </c>
      <c r="C8489" s="4" t="str">
        <f>IFERROR(__xludf.DUMMYFUNCTION("""COMPUTED_VALUE"""),"Non-Fungible Fungi")</f>
        <v>Non-Fungible Fungi</v>
      </c>
    </row>
    <row r="8490">
      <c r="A8490" s="4" t="str">
        <f>IFERROR(__xludf.DUMMYFUNCTION("""COMPUTED_VALUE"""),"non-playable-coin")</f>
        <v>non-playable-coin</v>
      </c>
      <c r="B8490" s="4" t="str">
        <f>IFERROR(__xludf.DUMMYFUNCTION("""COMPUTED_VALUE"""),"npc")</f>
        <v>npc</v>
      </c>
      <c r="C8490" s="4" t="str">
        <f>IFERROR(__xludf.DUMMYFUNCTION("""COMPUTED_VALUE"""),"Non-Playable Coin")</f>
        <v>Non-Playable Coin</v>
      </c>
    </row>
    <row r="8491">
      <c r="A8491" s="4" t="str">
        <f>IFERROR(__xludf.DUMMYFUNCTION("""COMPUTED_VALUE"""),"no-one")</f>
        <v>no-one</v>
      </c>
      <c r="B8491" s="4" t="str">
        <f>IFERROR(__xludf.DUMMYFUNCTION("""COMPUTED_VALUE"""),"noone")</f>
        <v>noone</v>
      </c>
      <c r="C8491" s="4" t="str">
        <f>IFERROR(__xludf.DUMMYFUNCTION("""COMPUTED_VALUE"""),"No One")</f>
        <v>No One</v>
      </c>
    </row>
    <row r="8492">
      <c r="A8492" s="4" t="str">
        <f>IFERROR(__xludf.DUMMYFUNCTION("""COMPUTED_VALUE"""),"noot")</f>
        <v>noot</v>
      </c>
      <c r="B8492" s="4" t="str">
        <f>IFERROR(__xludf.DUMMYFUNCTION("""COMPUTED_VALUE"""),"noot")</f>
        <v>noot</v>
      </c>
      <c r="C8492" s="4" t="str">
        <f>IFERROR(__xludf.DUMMYFUNCTION("""COMPUTED_VALUE"""),"NOOT")</f>
        <v>NOOT</v>
      </c>
    </row>
    <row r="8493">
      <c r="A8493" s="4" t="str">
        <f>IFERROR(__xludf.DUMMYFUNCTION("""COMPUTED_VALUE"""),"noot-ordinals")</f>
        <v>noot-ordinals</v>
      </c>
      <c r="B8493" s="4" t="str">
        <f>IFERROR(__xludf.DUMMYFUNCTION("""COMPUTED_VALUE"""),"noot")</f>
        <v>noot</v>
      </c>
      <c r="C8493" s="4" t="str">
        <f>IFERROR(__xludf.DUMMYFUNCTION("""COMPUTED_VALUE"""),"NOOT (Ordinals)")</f>
        <v>NOOT (Ordinals)</v>
      </c>
    </row>
    <row r="8494">
      <c r="A8494" s="4" t="str">
        <f>IFERROR(__xludf.DUMMYFUNCTION("""COMPUTED_VALUE"""),"noot-sol")</f>
        <v>noot-sol</v>
      </c>
      <c r="B8494" s="4" t="str">
        <f>IFERROR(__xludf.DUMMYFUNCTION("""COMPUTED_VALUE"""),"noot")</f>
        <v>noot</v>
      </c>
      <c r="C8494" s="4" t="str">
        <f>IFERROR(__xludf.DUMMYFUNCTION("""COMPUTED_VALUE"""),"Noot Sol")</f>
        <v>Noot Sol</v>
      </c>
    </row>
    <row r="8495">
      <c r="A8495" s="4" t="str">
        <f>IFERROR(__xludf.DUMMYFUNCTION("""COMPUTED_VALUE"""),"nop-app")</f>
        <v>nop-app</v>
      </c>
      <c r="B8495" s="4" t="str">
        <f>IFERROR(__xludf.DUMMYFUNCTION("""COMPUTED_VALUE"""),"nop")</f>
        <v>nop</v>
      </c>
      <c r="C8495" s="4" t="str">
        <f>IFERROR(__xludf.DUMMYFUNCTION("""COMPUTED_VALUE"""),"Nop App")</f>
        <v>Nop App</v>
      </c>
    </row>
    <row r="8496">
      <c r="A8496" s="4" t="str">
        <f>IFERROR(__xludf.DUMMYFUNCTION("""COMPUTED_VALUE"""),"nordek")</f>
        <v>nordek</v>
      </c>
      <c r="B8496" s="4" t="str">
        <f>IFERROR(__xludf.DUMMYFUNCTION("""COMPUTED_VALUE"""),"nrk")</f>
        <v>nrk</v>
      </c>
      <c r="C8496" s="4" t="str">
        <f>IFERROR(__xludf.DUMMYFUNCTION("""COMPUTED_VALUE"""),"Nordek")</f>
        <v>Nordek</v>
      </c>
    </row>
    <row r="8497">
      <c r="A8497" s="4" t="str">
        <f>IFERROR(__xludf.DUMMYFUNCTION("""COMPUTED_VALUE"""),"nord-finance")</f>
        <v>nord-finance</v>
      </c>
      <c r="B8497" s="4" t="str">
        <f>IFERROR(__xludf.DUMMYFUNCTION("""COMPUTED_VALUE"""),"nord")</f>
        <v>nord</v>
      </c>
      <c r="C8497" s="4" t="str">
        <f>IFERROR(__xludf.DUMMYFUNCTION("""COMPUTED_VALUE"""),"Nord Finance")</f>
        <v>Nord Finance</v>
      </c>
    </row>
    <row r="8498">
      <c r="A8498" s="4" t="str">
        <f>IFERROR(__xludf.DUMMYFUNCTION("""COMPUTED_VALUE"""),"nordic-ai")</f>
        <v>nordic-ai</v>
      </c>
      <c r="B8498" s="4" t="str">
        <f>IFERROR(__xludf.DUMMYFUNCTION("""COMPUTED_VALUE"""),"nrdc")</f>
        <v>nrdc</v>
      </c>
      <c r="C8498" s="4" t="str">
        <f>IFERROR(__xludf.DUMMYFUNCTION("""COMPUTED_VALUE"""),"Nordic Ai")</f>
        <v>Nordic Ai</v>
      </c>
    </row>
    <row r="8499">
      <c r="A8499" s="4" t="str">
        <f>IFERROR(__xludf.DUMMYFUNCTION("""COMPUTED_VALUE"""),"norigo")</f>
        <v>norigo</v>
      </c>
      <c r="B8499" s="4" t="str">
        <f>IFERROR(__xludf.DUMMYFUNCTION("""COMPUTED_VALUE"""),"go!")</f>
        <v>go!</v>
      </c>
      <c r="C8499" s="4" t="str">
        <f>IFERROR(__xludf.DUMMYFUNCTION("""COMPUTED_VALUE"""),"NoriGO!")</f>
        <v>NoriGO!</v>
      </c>
    </row>
    <row r="8500">
      <c r="A8500" s="4" t="str">
        <f>IFERROR(__xludf.DUMMYFUNCTION("""COMPUTED_VALUE"""),"norma-in-metaland")</f>
        <v>norma-in-metaland</v>
      </c>
      <c r="B8500" s="4" t="str">
        <f>IFERROR(__xludf.DUMMYFUNCTION("""COMPUTED_VALUE"""),"gram")</f>
        <v>gram</v>
      </c>
      <c r="C8500" s="4" t="str">
        <f>IFERROR(__xludf.DUMMYFUNCTION("""COMPUTED_VALUE"""),"GRAM Token")</f>
        <v>GRAM Token</v>
      </c>
    </row>
    <row r="8501">
      <c r="A8501" s="4" t="str">
        <f>IFERROR(__xludf.DUMMYFUNCTION("""COMPUTED_VALUE"""),"normie-2")</f>
        <v>normie-2</v>
      </c>
      <c r="B8501" s="4" t="str">
        <f>IFERROR(__xludf.DUMMYFUNCTION("""COMPUTED_VALUE"""),"normie")</f>
        <v>normie</v>
      </c>
      <c r="C8501" s="4" t="str">
        <f>IFERROR(__xludf.DUMMYFUNCTION("""COMPUTED_VALUE"""),"NORMIE")</f>
        <v>NORMIE</v>
      </c>
    </row>
    <row r="8502">
      <c r="A8502" s="4" t="str">
        <f>IFERROR(__xludf.DUMMYFUNCTION("""COMPUTED_VALUE"""),"nort")</f>
        <v>nort</v>
      </c>
      <c r="B8502" s="4" t="str">
        <f>IFERROR(__xludf.DUMMYFUNCTION("""COMPUTED_VALUE"""),"xrt")</f>
        <v>xrt</v>
      </c>
      <c r="C8502" s="4" t="str">
        <f>IFERROR(__xludf.DUMMYFUNCTION("""COMPUTED_VALUE"""),"norT")</f>
        <v>norT</v>
      </c>
    </row>
    <row r="8503">
      <c r="A8503" s="4" t="str">
        <f>IFERROR(__xludf.DUMMYFUNCTION("""COMPUTED_VALUE"""),"nosana")</f>
        <v>nosana</v>
      </c>
      <c r="B8503" s="4" t="str">
        <f>IFERROR(__xludf.DUMMYFUNCTION("""COMPUTED_VALUE"""),"nos")</f>
        <v>nos</v>
      </c>
      <c r="C8503" s="4" t="str">
        <f>IFERROR(__xludf.DUMMYFUNCTION("""COMPUTED_VALUE"""),"Nosana")</f>
        <v>Nosana</v>
      </c>
    </row>
    <row r="8504">
      <c r="A8504" s="4" t="str">
        <f>IFERROR(__xludf.DUMMYFUNCTION("""COMPUTED_VALUE"""),"nose-bud")</f>
        <v>nose-bud</v>
      </c>
      <c r="B8504" s="4" t="str">
        <f>IFERROR(__xludf.DUMMYFUNCTION("""COMPUTED_VALUE"""),"nosebud")</f>
        <v>nosebud</v>
      </c>
      <c r="C8504" s="4" t="str">
        <f>IFERROR(__xludf.DUMMYFUNCTION("""COMPUTED_VALUE"""),"Nose Bud")</f>
        <v>Nose Bud</v>
      </c>
    </row>
    <row r="8505">
      <c r="A8505" s="4" t="str">
        <f>IFERROR(__xludf.DUMMYFUNCTION("""COMPUTED_VALUE"""),"noso")</f>
        <v>noso</v>
      </c>
      <c r="B8505" s="4" t="str">
        <f>IFERROR(__xludf.DUMMYFUNCTION("""COMPUTED_VALUE"""),"noso")</f>
        <v>noso</v>
      </c>
      <c r="C8505" s="4" t="str">
        <f>IFERROR(__xludf.DUMMYFUNCTION("""COMPUTED_VALUE"""),"Noso")</f>
        <v>Noso</v>
      </c>
    </row>
    <row r="8506">
      <c r="A8506" s="4" t="str">
        <f>IFERROR(__xludf.DUMMYFUNCTION("""COMPUTED_VALUE"""),"nostalgia")</f>
        <v>nostalgia</v>
      </c>
      <c r="B8506" s="4" t="str">
        <f>IFERROR(__xludf.DUMMYFUNCTION("""COMPUTED_VALUE"""),"nos")</f>
        <v>nos</v>
      </c>
      <c r="C8506" s="4" t="str">
        <f>IFERROR(__xludf.DUMMYFUNCTION("""COMPUTED_VALUE"""),"NOSTALGIA")</f>
        <v>NOSTALGIA</v>
      </c>
    </row>
    <row r="8507">
      <c r="A8507" s="4" t="str">
        <f>IFERROR(__xludf.DUMMYFUNCTION("""COMPUTED_VALUE"""),"nostra-uno")</f>
        <v>nostra-uno</v>
      </c>
      <c r="B8507" s="4" t="str">
        <f>IFERROR(__xludf.DUMMYFUNCTION("""COMPUTED_VALUE"""),"uno")</f>
        <v>uno</v>
      </c>
      <c r="C8507" s="4" t="str">
        <f>IFERROR(__xludf.DUMMYFUNCTION("""COMPUTED_VALUE"""),"UNO")</f>
        <v>UNO</v>
      </c>
    </row>
    <row r="8508">
      <c r="A8508" s="4" t="str">
        <f>IFERROR(__xludf.DUMMYFUNCTION("""COMPUTED_VALUE"""),"notcoin")</f>
        <v>notcoin</v>
      </c>
      <c r="B8508" s="4" t="str">
        <f>IFERROR(__xludf.DUMMYFUNCTION("""COMPUTED_VALUE"""),"not")</f>
        <v>not</v>
      </c>
      <c r="C8508" s="4" t="str">
        <f>IFERROR(__xludf.DUMMYFUNCTION("""COMPUTED_VALUE"""),"Notcoin")</f>
        <v>Notcoin</v>
      </c>
    </row>
    <row r="8509">
      <c r="A8509" s="4" t="str">
        <f>IFERROR(__xludf.DUMMYFUNCTION("""COMPUTED_VALUE"""),"notdogecoin")</f>
        <v>notdogecoin</v>
      </c>
      <c r="B8509" s="4" t="str">
        <f>IFERROR(__xludf.DUMMYFUNCTION("""COMPUTED_VALUE"""),"notdoge")</f>
        <v>notdoge</v>
      </c>
      <c r="C8509" s="4" t="str">
        <f>IFERROR(__xludf.DUMMYFUNCTION("""COMPUTED_VALUE"""),"Notdogecoin")</f>
        <v>Notdogecoin</v>
      </c>
    </row>
    <row r="8510">
      <c r="A8510" s="4" t="str">
        <f>IFERROR(__xludf.DUMMYFUNCTION("""COMPUTED_VALUE"""),"note")</f>
        <v>note</v>
      </c>
      <c r="B8510" s="4" t="str">
        <f>IFERROR(__xludf.DUMMYFUNCTION("""COMPUTED_VALUE"""),"note")</f>
        <v>note</v>
      </c>
      <c r="C8510" s="4" t="str">
        <f>IFERROR(__xludf.DUMMYFUNCTION("""COMPUTED_VALUE"""),"Note")</f>
        <v>Note</v>
      </c>
    </row>
    <row r="8511">
      <c r="A8511" s="4" t="str">
        <f>IFERROR(__xludf.DUMMYFUNCTION("""COMPUTED_VALUE"""),"not-financial-advice")</f>
        <v>not-financial-advice</v>
      </c>
      <c r="B8511" s="4" t="str">
        <f>IFERROR(__xludf.DUMMYFUNCTION("""COMPUTED_VALUE"""),"nfai")</f>
        <v>nfai</v>
      </c>
      <c r="C8511" s="4" t="str">
        <f>IFERROR(__xludf.DUMMYFUNCTION("""COMPUTED_VALUE"""),"Not Financial Advice")</f>
        <v>Not Financial Advice</v>
      </c>
    </row>
    <row r="8512">
      <c r="A8512" s="4" t="str">
        <f>IFERROR(__xludf.DUMMYFUNCTION("""COMPUTED_VALUE"""),"nothing-2")</f>
        <v>nothing-2</v>
      </c>
      <c r="B8512" s="4" t="str">
        <f>IFERROR(__xludf.DUMMYFUNCTION("""COMPUTED_VALUE"""),"nothing")</f>
        <v>nothing</v>
      </c>
      <c r="C8512" s="4" t="str">
        <f>IFERROR(__xludf.DUMMYFUNCTION("""COMPUTED_VALUE"""),"NOTHING")</f>
        <v>NOTHING</v>
      </c>
    </row>
    <row r="8513">
      <c r="A8513" s="4" t="str">
        <f>IFERROR(__xludf.DUMMYFUNCTION("""COMPUTED_VALUE"""),"nothing-token")</f>
        <v>nothing-token</v>
      </c>
      <c r="B8513" s="4" t="str">
        <f>IFERROR(__xludf.DUMMYFUNCTION("""COMPUTED_VALUE"""),"thing")</f>
        <v>thing</v>
      </c>
      <c r="C8513" s="4" t="str">
        <f>IFERROR(__xludf.DUMMYFUNCTION("""COMPUTED_VALUE"""),"Nothing Token")</f>
        <v>Nothing Token</v>
      </c>
    </row>
    <row r="8514">
      <c r="A8514" s="4" t="str">
        <f>IFERROR(__xludf.DUMMYFUNCTION("""COMPUTED_VALUE"""),"notional-finance")</f>
        <v>notional-finance</v>
      </c>
      <c r="B8514" s="4" t="str">
        <f>IFERROR(__xludf.DUMMYFUNCTION("""COMPUTED_VALUE"""),"note")</f>
        <v>note</v>
      </c>
      <c r="C8514" s="4" t="str">
        <f>IFERROR(__xludf.DUMMYFUNCTION("""COMPUTED_VALUE"""),"Notional Finance")</f>
        <v>Notional Finance</v>
      </c>
    </row>
    <row r="8515">
      <c r="A8515" s="4" t="str">
        <f>IFERROR(__xludf.DUMMYFUNCTION("""COMPUTED_VALUE"""),"nova-2")</f>
        <v>nova-2</v>
      </c>
      <c r="B8515" s="4" t="str">
        <f>IFERROR(__xludf.DUMMYFUNCTION("""COMPUTED_VALUE"""),"nova")</f>
        <v>nova</v>
      </c>
      <c r="C8515" s="4" t="str">
        <f>IFERROR(__xludf.DUMMYFUNCTION("""COMPUTED_VALUE"""),"Nova")</f>
        <v>Nova</v>
      </c>
    </row>
    <row r="8516">
      <c r="A8516" s="4" t="str">
        <f>IFERROR(__xludf.DUMMYFUNCTION("""COMPUTED_VALUE"""),"novacoin")</f>
        <v>novacoin</v>
      </c>
      <c r="B8516" s="4" t="str">
        <f>IFERROR(__xludf.DUMMYFUNCTION("""COMPUTED_VALUE"""),"nvc")</f>
        <v>nvc</v>
      </c>
      <c r="C8516" s="4" t="str">
        <f>IFERROR(__xludf.DUMMYFUNCTION("""COMPUTED_VALUE"""),"Novacoin")</f>
        <v>Novacoin</v>
      </c>
    </row>
    <row r="8517">
      <c r="A8517" s="4" t="str">
        <f>IFERROR(__xludf.DUMMYFUNCTION("""COMPUTED_VALUE"""),"nova-dao")</f>
        <v>nova-dao</v>
      </c>
      <c r="B8517" s="4" t="str">
        <f>IFERROR(__xludf.DUMMYFUNCTION("""COMPUTED_VALUE"""),"nova")</f>
        <v>nova</v>
      </c>
      <c r="C8517" s="4" t="str">
        <f>IFERROR(__xludf.DUMMYFUNCTION("""COMPUTED_VALUE"""),"Nova DAO")</f>
        <v>Nova DAO</v>
      </c>
    </row>
    <row r="8518">
      <c r="A8518" s="4" t="str">
        <f>IFERROR(__xludf.DUMMYFUNCTION("""COMPUTED_VALUE"""),"novadex")</f>
        <v>novadex</v>
      </c>
      <c r="B8518" s="4" t="str">
        <f>IFERROR(__xludf.DUMMYFUNCTION("""COMPUTED_VALUE"""),"nvx")</f>
        <v>nvx</v>
      </c>
      <c r="C8518" s="4" t="str">
        <f>IFERROR(__xludf.DUMMYFUNCTION("""COMPUTED_VALUE"""),"NovaDEX")</f>
        <v>NovaDEX</v>
      </c>
    </row>
    <row r="8519">
      <c r="A8519" s="4" t="str">
        <f>IFERROR(__xludf.DUMMYFUNCTION("""COMPUTED_VALUE"""),"nova-finance")</f>
        <v>nova-finance</v>
      </c>
      <c r="B8519" s="4" t="str">
        <f>IFERROR(__xludf.DUMMYFUNCTION("""COMPUTED_VALUE"""),"nova")</f>
        <v>nova</v>
      </c>
      <c r="C8519" s="4" t="str">
        <f>IFERROR(__xludf.DUMMYFUNCTION("""COMPUTED_VALUE"""),"Nova Finance")</f>
        <v>Nova Finance</v>
      </c>
    </row>
    <row r="8520">
      <c r="A8520" s="4" t="str">
        <f>IFERROR(__xludf.DUMMYFUNCTION("""COMPUTED_VALUE"""),"novara-calcio-fan-token")</f>
        <v>novara-calcio-fan-token</v>
      </c>
      <c r="B8520" s="4" t="str">
        <f>IFERROR(__xludf.DUMMYFUNCTION("""COMPUTED_VALUE"""),"nov")</f>
        <v>nov</v>
      </c>
      <c r="C8520" s="4" t="str">
        <f>IFERROR(__xludf.DUMMYFUNCTION("""COMPUTED_VALUE"""),"Novara Calcio Fan Token")</f>
        <v>Novara Calcio Fan Token</v>
      </c>
    </row>
    <row r="8521">
      <c r="A8521" s="4" t="str">
        <f>IFERROR(__xludf.DUMMYFUNCTION("""COMPUTED_VALUE"""),"novatti-australian-digital-dollar")</f>
        <v>novatti-australian-digital-dollar</v>
      </c>
      <c r="B8521" s="4" t="str">
        <f>IFERROR(__xludf.DUMMYFUNCTION("""COMPUTED_VALUE"""),"audd")</f>
        <v>audd</v>
      </c>
      <c r="C8521" s="4" t="str">
        <f>IFERROR(__xludf.DUMMYFUNCTION("""COMPUTED_VALUE"""),"Novatti Australian Digital Dollar")</f>
        <v>Novatti Australian Digital Dollar</v>
      </c>
    </row>
    <row r="8522">
      <c r="A8522" s="4" t="str">
        <f>IFERROR(__xludf.DUMMYFUNCTION("""COMPUTED_VALUE"""),"novawchi")</f>
        <v>novawchi</v>
      </c>
      <c r="B8522" s="4" t="str">
        <f>IFERROR(__xludf.DUMMYFUNCTION("""COMPUTED_VALUE"""),"vachi")</f>
        <v>vachi</v>
      </c>
      <c r="C8522" s="4" t="str">
        <f>IFERROR(__xludf.DUMMYFUNCTION("""COMPUTED_VALUE"""),"NOVAWCHI")</f>
        <v>NOVAWCHI</v>
      </c>
    </row>
    <row r="8523">
      <c r="A8523" s="4" t="str">
        <f>IFERROR(__xludf.DUMMYFUNCTION("""COMPUTED_VALUE"""),"novax")</f>
        <v>novax</v>
      </c>
      <c r="B8523" s="4" t="str">
        <f>IFERROR(__xludf.DUMMYFUNCTION("""COMPUTED_VALUE"""),"novax")</f>
        <v>novax</v>
      </c>
      <c r="C8523" s="4" t="str">
        <f>IFERROR(__xludf.DUMMYFUNCTION("""COMPUTED_VALUE"""),"NovaX")</f>
        <v>NovaX</v>
      </c>
    </row>
    <row r="8524">
      <c r="A8524" s="4" t="str">
        <f>IFERROR(__xludf.DUMMYFUNCTION("""COMPUTED_VALUE"""),"novem-gold")</f>
        <v>novem-gold</v>
      </c>
      <c r="B8524" s="4" t="str">
        <f>IFERROR(__xludf.DUMMYFUNCTION("""COMPUTED_VALUE"""),"nnn")</f>
        <v>nnn</v>
      </c>
      <c r="C8524" s="4" t="str">
        <f>IFERROR(__xludf.DUMMYFUNCTION("""COMPUTED_VALUE"""),"Novem Gold")</f>
        <v>Novem Gold</v>
      </c>
    </row>
    <row r="8525">
      <c r="A8525" s="4" t="str">
        <f>IFERROR(__xludf.DUMMYFUNCTION("""COMPUTED_VALUE"""),"novem-pro")</f>
        <v>novem-pro</v>
      </c>
      <c r="B8525" s="4" t="str">
        <f>IFERROR(__xludf.DUMMYFUNCTION("""COMPUTED_VALUE"""),"nvm")</f>
        <v>nvm</v>
      </c>
      <c r="C8525" s="4" t="str">
        <f>IFERROR(__xludf.DUMMYFUNCTION("""COMPUTED_VALUE"""),"Novem Pro")</f>
        <v>Novem Pro</v>
      </c>
    </row>
    <row r="8526">
      <c r="A8526" s="4" t="str">
        <f>IFERROR(__xludf.DUMMYFUNCTION("""COMPUTED_VALUE"""),"novo-9b9480a5-9545-49c3-a999-94ec2902cedb")</f>
        <v>novo-9b9480a5-9545-49c3-a999-94ec2902cedb</v>
      </c>
      <c r="B8526" s="4" t="str">
        <f>IFERROR(__xludf.DUMMYFUNCTION("""COMPUTED_VALUE"""),"novo")</f>
        <v>novo</v>
      </c>
      <c r="C8526" s="4" t="str">
        <f>IFERROR(__xludf.DUMMYFUNCTION("""COMPUTED_VALUE"""),"Novo")</f>
        <v>Novo</v>
      </c>
    </row>
    <row r="8527">
      <c r="A8527" s="4" t="str">
        <f>IFERROR(__xludf.DUMMYFUNCTION("""COMPUTED_VALUE"""),"npick-block")</f>
        <v>npick-block</v>
      </c>
      <c r="B8527" s="4" t="str">
        <f>IFERROR(__xludf.DUMMYFUNCTION("""COMPUTED_VALUE"""),"npick")</f>
        <v>npick</v>
      </c>
      <c r="C8527" s="4" t="str">
        <f>IFERROR(__xludf.DUMMYFUNCTION("""COMPUTED_VALUE"""),"NPick Block")</f>
        <v>NPick Block</v>
      </c>
    </row>
    <row r="8528">
      <c r="A8528" s="4" t="str">
        <f>IFERROR(__xludf.DUMMYFUNCTION("""COMPUTED_VALUE"""),"nshare")</f>
        <v>nshare</v>
      </c>
      <c r="B8528" s="4" t="str">
        <f>IFERROR(__xludf.DUMMYFUNCTION("""COMPUTED_VALUE"""),"nshare")</f>
        <v>nshare</v>
      </c>
      <c r="C8528" s="4" t="str">
        <f>IFERROR(__xludf.DUMMYFUNCTION("""COMPUTED_VALUE"""),"NSHARE")</f>
        <v>NSHARE</v>
      </c>
    </row>
    <row r="8529">
      <c r="A8529" s="4" t="str">
        <f>IFERROR(__xludf.DUMMYFUNCTION("""COMPUTED_VALUE"""),"nsights")</f>
        <v>nsights</v>
      </c>
      <c r="B8529" s="4" t="str">
        <f>IFERROR(__xludf.DUMMYFUNCTION("""COMPUTED_VALUE"""),"nsi")</f>
        <v>nsi</v>
      </c>
      <c r="C8529" s="4" t="str">
        <f>IFERROR(__xludf.DUMMYFUNCTION("""COMPUTED_VALUE"""),"nSights")</f>
        <v>nSights</v>
      </c>
    </row>
    <row r="8530">
      <c r="A8530" s="4" t="str">
        <f>IFERROR(__xludf.DUMMYFUNCTION("""COMPUTED_VALUE"""),"nsurance")</f>
        <v>nsurance</v>
      </c>
      <c r="B8530" s="4" t="str">
        <f>IFERROR(__xludf.DUMMYFUNCTION("""COMPUTED_VALUE"""),"n")</f>
        <v>n</v>
      </c>
      <c r="C8530" s="4" t="str">
        <f>IFERROR(__xludf.DUMMYFUNCTION("""COMPUTED_VALUE"""),"nsurance")</f>
        <v>nsurance</v>
      </c>
    </row>
    <row r="8531">
      <c r="A8531" s="4" t="str">
        <f>IFERROR(__xludf.DUMMYFUNCTION("""COMPUTED_VALUE"""),"nsure-network")</f>
        <v>nsure-network</v>
      </c>
      <c r="B8531" s="4" t="str">
        <f>IFERROR(__xludf.DUMMYFUNCTION("""COMPUTED_VALUE"""),"nsure")</f>
        <v>nsure</v>
      </c>
      <c r="C8531" s="4" t="str">
        <f>IFERROR(__xludf.DUMMYFUNCTION("""COMPUTED_VALUE"""),"Nsure Network")</f>
        <v>Nsure Network</v>
      </c>
    </row>
    <row r="8532">
      <c r="A8532" s="4" t="str">
        <f>IFERROR(__xludf.DUMMYFUNCTION("""COMPUTED_VALUE"""),"nuance")</f>
        <v>nuance</v>
      </c>
      <c r="B8532" s="4" t="str">
        <f>IFERROR(__xludf.DUMMYFUNCTION("""COMPUTED_VALUE"""),"nua")</f>
        <v>nua</v>
      </c>
      <c r="C8532" s="4" t="str">
        <f>IFERROR(__xludf.DUMMYFUNCTION("""COMPUTED_VALUE"""),"Nuance")</f>
        <v>Nuance</v>
      </c>
    </row>
    <row r="8533">
      <c r="A8533" s="4" t="str">
        <f>IFERROR(__xludf.DUMMYFUNCTION("""COMPUTED_VALUE"""),"nucleon-space")</f>
        <v>nucleon-space</v>
      </c>
      <c r="B8533" s="4" t="str">
        <f>IFERROR(__xludf.DUMMYFUNCTION("""COMPUTED_VALUE"""),"nut")</f>
        <v>nut</v>
      </c>
      <c r="C8533" s="4" t="str">
        <f>IFERROR(__xludf.DUMMYFUNCTION("""COMPUTED_VALUE"""),"Nucleon")</f>
        <v>Nucleon</v>
      </c>
    </row>
    <row r="8534">
      <c r="A8534" s="4" t="str">
        <f>IFERROR(__xludf.DUMMYFUNCTION("""COMPUTED_VALUE"""),"nucleon-xcfx")</f>
        <v>nucleon-xcfx</v>
      </c>
      <c r="B8534" s="4" t="str">
        <f>IFERROR(__xludf.DUMMYFUNCTION("""COMPUTED_VALUE"""),"xcfx")</f>
        <v>xcfx</v>
      </c>
      <c r="C8534" s="4" t="str">
        <f>IFERROR(__xludf.DUMMYFUNCTION("""COMPUTED_VALUE"""),"Nucleon xCFX")</f>
        <v>Nucleon xCFX</v>
      </c>
    </row>
    <row r="8535">
      <c r="A8535" s="4" t="str">
        <f>IFERROR(__xludf.DUMMYFUNCTION("""COMPUTED_VALUE"""),"nucleus-vision")</f>
        <v>nucleus-vision</v>
      </c>
      <c r="B8535" s="4" t="str">
        <f>IFERROR(__xludf.DUMMYFUNCTION("""COMPUTED_VALUE"""),"ncash")</f>
        <v>ncash</v>
      </c>
      <c r="C8535" s="4" t="str">
        <f>IFERROR(__xludf.DUMMYFUNCTION("""COMPUTED_VALUE"""),"Nucleus Vision")</f>
        <v>Nucleus Vision</v>
      </c>
    </row>
    <row r="8536">
      <c r="A8536" s="4" t="str">
        <f>IFERROR(__xludf.DUMMYFUNCTION("""COMPUTED_VALUE"""),"nuco-cloud")</f>
        <v>nuco-cloud</v>
      </c>
      <c r="B8536" s="4" t="str">
        <f>IFERROR(__xludf.DUMMYFUNCTION("""COMPUTED_VALUE"""),"ncdt")</f>
        <v>ncdt</v>
      </c>
      <c r="C8536" s="4" t="str">
        <f>IFERROR(__xludf.DUMMYFUNCTION("""COMPUTED_VALUE"""),"nuco.cloud")</f>
        <v>nuco.cloud</v>
      </c>
    </row>
    <row r="8537">
      <c r="A8537" s="4" t="str">
        <f>IFERROR(__xludf.DUMMYFUNCTION("""COMPUTED_VALUE"""),"nucypher")</f>
        <v>nucypher</v>
      </c>
      <c r="B8537" s="4" t="str">
        <f>IFERROR(__xludf.DUMMYFUNCTION("""COMPUTED_VALUE"""),"nu")</f>
        <v>nu</v>
      </c>
      <c r="C8537" s="4" t="str">
        <f>IFERROR(__xludf.DUMMYFUNCTION("""COMPUTED_VALUE"""),"NuCypher")</f>
        <v>NuCypher</v>
      </c>
    </row>
    <row r="8538">
      <c r="A8538" s="4" t="str">
        <f>IFERROR(__xludf.DUMMYFUNCTION("""COMPUTED_VALUE"""),"nugencoin")</f>
        <v>nugencoin</v>
      </c>
      <c r="B8538" s="4" t="str">
        <f>IFERROR(__xludf.DUMMYFUNCTION("""COMPUTED_VALUE"""),"nugen")</f>
        <v>nugen</v>
      </c>
      <c r="C8538" s="4" t="str">
        <f>IFERROR(__xludf.DUMMYFUNCTION("""COMPUTED_VALUE"""),"Nugencoin")</f>
        <v>Nugencoin</v>
      </c>
    </row>
    <row r="8539">
      <c r="A8539" s="4" t="str">
        <f>IFERROR(__xludf.DUMMYFUNCTION("""COMPUTED_VALUE"""),"nuk-em-loans")</f>
        <v>nuk-em-loans</v>
      </c>
      <c r="B8539" s="4" t="str">
        <f>IFERROR(__xludf.DUMMYFUNCTION("""COMPUTED_VALUE"""),"nukem")</f>
        <v>nukem</v>
      </c>
      <c r="C8539" s="4" t="str">
        <f>IFERROR(__xludf.DUMMYFUNCTION("""COMPUTED_VALUE"""),"Nuk'em Loans")</f>
        <v>Nuk'em Loans</v>
      </c>
    </row>
    <row r="8540">
      <c r="A8540" s="4" t="str">
        <f>IFERROR(__xludf.DUMMYFUNCTION("""COMPUTED_VALUE"""),"null-social-finance")</f>
        <v>null-social-finance</v>
      </c>
      <c r="B8540" s="4" t="str">
        <f>IFERROR(__xludf.DUMMYFUNCTION("""COMPUTED_VALUE"""),"nsf")</f>
        <v>nsf</v>
      </c>
      <c r="C8540" s="4" t="str">
        <f>IFERROR(__xludf.DUMMYFUNCTION("""COMPUTED_VALUE"""),"Null Social Finance")</f>
        <v>Null Social Finance</v>
      </c>
    </row>
    <row r="8541">
      <c r="A8541" s="4" t="str">
        <f>IFERROR(__xludf.DUMMYFUNCTION("""COMPUTED_VALUE"""),"nuls")</f>
        <v>nuls</v>
      </c>
      <c r="B8541" s="4" t="str">
        <f>IFERROR(__xludf.DUMMYFUNCTION("""COMPUTED_VALUE"""),"nuls")</f>
        <v>nuls</v>
      </c>
      <c r="C8541" s="4" t="str">
        <f>IFERROR(__xludf.DUMMYFUNCTION("""COMPUTED_VALUE"""),"NULS")</f>
        <v>NULS</v>
      </c>
    </row>
    <row r="8542">
      <c r="A8542" s="4" t="str">
        <f>IFERROR(__xludf.DUMMYFUNCTION("""COMPUTED_VALUE"""),"nulswap")</f>
        <v>nulswap</v>
      </c>
      <c r="B8542" s="4" t="str">
        <f>IFERROR(__xludf.DUMMYFUNCTION("""COMPUTED_VALUE"""),"nswap")</f>
        <v>nswap</v>
      </c>
      <c r="C8542" s="4" t="str">
        <f>IFERROR(__xludf.DUMMYFUNCTION("""COMPUTED_VALUE"""),"Nulswap")</f>
        <v>Nulswap</v>
      </c>
    </row>
    <row r="8543">
      <c r="A8543" s="4" t="str">
        <f>IFERROR(__xludf.DUMMYFUNCTION("""COMPUTED_VALUE"""),"numa")</f>
        <v>numa</v>
      </c>
      <c r="B8543" s="4" t="str">
        <f>IFERROR(__xludf.DUMMYFUNCTION("""COMPUTED_VALUE"""),"numa")</f>
        <v>numa</v>
      </c>
      <c r="C8543" s="4" t="str">
        <f>IFERROR(__xludf.DUMMYFUNCTION("""COMPUTED_VALUE"""),"Numa")</f>
        <v>Numa</v>
      </c>
    </row>
    <row r="8544">
      <c r="A8544" s="4" t="str">
        <f>IFERROR(__xludf.DUMMYFUNCTION("""COMPUTED_VALUE"""),"num-ars")</f>
        <v>num-ars</v>
      </c>
      <c r="B8544" s="4" t="str">
        <f>IFERROR(__xludf.DUMMYFUNCTION("""COMPUTED_VALUE"""),"nars")</f>
        <v>nars</v>
      </c>
      <c r="C8544" s="4" t="str">
        <f>IFERROR(__xludf.DUMMYFUNCTION("""COMPUTED_VALUE"""),"Num ARS")</f>
        <v>Num ARS</v>
      </c>
    </row>
    <row r="8545">
      <c r="A8545" s="4" t="str">
        <f>IFERROR(__xludf.DUMMYFUNCTION("""COMPUTED_VALUE"""),"number-1-token")</f>
        <v>number-1-token</v>
      </c>
      <c r="B8545" s="4" t="str">
        <f>IFERROR(__xludf.DUMMYFUNCTION("""COMPUTED_VALUE"""),"nr1")</f>
        <v>nr1</v>
      </c>
      <c r="C8545" s="4" t="str">
        <f>IFERROR(__xludf.DUMMYFUNCTION("""COMPUTED_VALUE"""),"Number 1")</f>
        <v>Number 1</v>
      </c>
    </row>
    <row r="8546">
      <c r="A8546" s="4" t="str">
        <f>IFERROR(__xludf.DUMMYFUNCTION("""COMPUTED_VALUE"""),"numbers-protocol")</f>
        <v>numbers-protocol</v>
      </c>
      <c r="B8546" s="4" t="str">
        <f>IFERROR(__xludf.DUMMYFUNCTION("""COMPUTED_VALUE"""),"num")</f>
        <v>num</v>
      </c>
      <c r="C8546" s="4" t="str">
        <f>IFERROR(__xludf.DUMMYFUNCTION("""COMPUTED_VALUE"""),"Numbers Protocol")</f>
        <v>Numbers Protocol</v>
      </c>
    </row>
    <row r="8547">
      <c r="A8547" s="4" t="str">
        <f>IFERROR(__xludf.DUMMYFUNCTION("""COMPUTED_VALUE"""),"numeraire")</f>
        <v>numeraire</v>
      </c>
      <c r="B8547" s="4" t="str">
        <f>IFERROR(__xludf.DUMMYFUNCTION("""COMPUTED_VALUE"""),"nmr")</f>
        <v>nmr</v>
      </c>
      <c r="C8547" s="4" t="str">
        <f>IFERROR(__xludf.DUMMYFUNCTION("""COMPUTED_VALUE"""),"Numeraire")</f>
        <v>Numeraire</v>
      </c>
    </row>
    <row r="8548">
      <c r="A8548" s="4" t="str">
        <f>IFERROR(__xludf.DUMMYFUNCTION("""COMPUTED_VALUE"""),"numi-shards")</f>
        <v>numi-shards</v>
      </c>
      <c r="B8548" s="4" t="str">
        <f>IFERROR(__xludf.DUMMYFUNCTION("""COMPUTED_VALUE"""),"numi")</f>
        <v>numi</v>
      </c>
      <c r="C8548" s="4" t="str">
        <f>IFERROR(__xludf.DUMMYFUNCTION("""COMPUTED_VALUE"""),"Numi Shards")</f>
        <v>Numi Shards</v>
      </c>
    </row>
    <row r="8549">
      <c r="A8549" s="4" t="str">
        <f>IFERROR(__xludf.DUMMYFUNCTION("""COMPUTED_VALUE"""),"numisme2")</f>
        <v>numisme2</v>
      </c>
      <c r="B8549" s="4" t="str">
        <f>IFERROR(__xludf.DUMMYFUNCTION("""COMPUTED_VALUE"""),"nume2")</f>
        <v>nume2</v>
      </c>
      <c r="C8549" s="4" t="str">
        <f>IFERROR(__xludf.DUMMYFUNCTION("""COMPUTED_VALUE"""),"Numisme2")</f>
        <v>Numisme2</v>
      </c>
    </row>
    <row r="8550">
      <c r="A8550" s="4" t="str">
        <f>IFERROR(__xludf.DUMMYFUNCTION("""COMPUTED_VALUE"""),"nuna")</f>
        <v>nuna</v>
      </c>
      <c r="B8550" s="4" t="str">
        <f>IFERROR(__xludf.DUMMYFUNCTION("""COMPUTED_VALUE"""),"nuna")</f>
        <v>nuna</v>
      </c>
      <c r="C8550" s="4" t="str">
        <f>IFERROR(__xludf.DUMMYFUNCTION("""COMPUTED_VALUE"""),"Nuna")</f>
        <v>Nuna</v>
      </c>
    </row>
    <row r="8551">
      <c r="A8551" s="4" t="str">
        <f>IFERROR(__xludf.DUMMYFUNCTION("""COMPUTED_VALUE"""),"nunet")</f>
        <v>nunet</v>
      </c>
      <c r="B8551" s="4" t="str">
        <f>IFERROR(__xludf.DUMMYFUNCTION("""COMPUTED_VALUE"""),"ntx")</f>
        <v>ntx</v>
      </c>
      <c r="C8551" s="4" t="str">
        <f>IFERROR(__xludf.DUMMYFUNCTION("""COMPUTED_VALUE"""),"NuNet")</f>
        <v>NuNet</v>
      </c>
    </row>
    <row r="8552">
      <c r="A8552" s="4" t="str">
        <f>IFERROR(__xludf.DUMMYFUNCTION("""COMPUTED_VALUE"""),"nunu-spirits")</f>
        <v>nunu-spirits</v>
      </c>
      <c r="B8552" s="4" t="str">
        <f>IFERROR(__xludf.DUMMYFUNCTION("""COMPUTED_VALUE"""),"nnt")</f>
        <v>nnt</v>
      </c>
      <c r="C8552" s="4" t="str">
        <f>IFERROR(__xludf.DUMMYFUNCTION("""COMPUTED_VALUE"""),"Nunu Spirits")</f>
        <v>Nunu Spirits</v>
      </c>
    </row>
    <row r="8553">
      <c r="A8553" s="4" t="str">
        <f>IFERROR(__xludf.DUMMYFUNCTION("""COMPUTED_VALUE"""),"nuon")</f>
        <v>nuon</v>
      </c>
      <c r="B8553" s="4" t="str">
        <f>IFERROR(__xludf.DUMMYFUNCTION("""COMPUTED_VALUE"""),"nuon")</f>
        <v>nuon</v>
      </c>
      <c r="C8553" s="4" t="str">
        <f>IFERROR(__xludf.DUMMYFUNCTION("""COMPUTED_VALUE"""),"Nuon")</f>
        <v>Nuon</v>
      </c>
    </row>
    <row r="8554">
      <c r="A8554" s="4" t="str">
        <f>IFERROR(__xludf.DUMMYFUNCTION("""COMPUTED_VALUE"""),"nurifootball")</f>
        <v>nurifootball</v>
      </c>
      <c r="B8554" s="4" t="str">
        <f>IFERROR(__xludf.DUMMYFUNCTION("""COMPUTED_VALUE"""),"nrfb")</f>
        <v>nrfb</v>
      </c>
      <c r="C8554" s="4" t="str">
        <f>IFERROR(__xludf.DUMMYFUNCTION("""COMPUTED_VALUE"""),"NuriFootBall")</f>
        <v>NuriFootBall</v>
      </c>
    </row>
    <row r="8555">
      <c r="A8555" s="4" t="str">
        <f>IFERROR(__xludf.DUMMYFUNCTION("""COMPUTED_VALUE"""),"nuritopia")</f>
        <v>nuritopia</v>
      </c>
      <c r="B8555" s="4" t="str">
        <f>IFERROR(__xludf.DUMMYFUNCTION("""COMPUTED_VALUE"""),"nblu")</f>
        <v>nblu</v>
      </c>
      <c r="C8555" s="4" t="str">
        <f>IFERROR(__xludf.DUMMYFUNCTION("""COMPUTED_VALUE"""),"Nuritopia")</f>
        <v>Nuritopia</v>
      </c>
    </row>
    <row r="8556">
      <c r="A8556" s="4" t="str">
        <f>IFERROR(__xludf.DUMMYFUNCTION("""COMPUTED_VALUE"""),"nusa-finance")</f>
        <v>nusa-finance</v>
      </c>
      <c r="B8556" s="4" t="str">
        <f>IFERROR(__xludf.DUMMYFUNCTION("""COMPUTED_VALUE"""),"nusa")</f>
        <v>nusa</v>
      </c>
      <c r="C8556" s="4" t="str">
        <f>IFERROR(__xludf.DUMMYFUNCTION("""COMPUTED_VALUE"""),"NUSA")</f>
        <v>NUSA</v>
      </c>
    </row>
    <row r="8557">
      <c r="A8557" s="4" t="str">
        <f>IFERROR(__xludf.DUMMYFUNCTION("""COMPUTED_VALUE"""),"nusd")</f>
        <v>nusd</v>
      </c>
      <c r="B8557" s="4" t="str">
        <f>IFERROR(__xludf.DUMMYFUNCTION("""COMPUTED_VALUE"""),"susd")</f>
        <v>susd</v>
      </c>
      <c r="C8557" s="4" t="str">
        <f>IFERROR(__xludf.DUMMYFUNCTION("""COMPUTED_VALUE"""),"sUSD")</f>
        <v>sUSD</v>
      </c>
    </row>
    <row r="8558">
      <c r="A8558" s="4" t="str">
        <f>IFERROR(__xludf.DUMMYFUNCTION("""COMPUTED_VALUE"""),"nuson-chain")</f>
        <v>nuson-chain</v>
      </c>
      <c r="B8558" s="4" t="str">
        <f>IFERROR(__xludf.DUMMYFUNCTION("""COMPUTED_VALUE"""),"nsc")</f>
        <v>nsc</v>
      </c>
      <c r="C8558" s="4" t="str">
        <f>IFERROR(__xludf.DUMMYFUNCTION("""COMPUTED_VALUE"""),"Nuson Chain")</f>
        <v>Nuson Chain</v>
      </c>
    </row>
    <row r="8559">
      <c r="A8559" s="4" t="str">
        <f>IFERROR(__xludf.DUMMYFUNCTION("""COMPUTED_VALUE"""),"nutgain")</f>
        <v>nutgain</v>
      </c>
      <c r="B8559" s="4" t="str">
        <f>IFERROR(__xludf.DUMMYFUNCTION("""COMPUTED_VALUE"""),"nutgv2")</f>
        <v>nutgv2</v>
      </c>
      <c r="C8559" s="4" t="str">
        <f>IFERROR(__xludf.DUMMYFUNCTION("""COMPUTED_VALUE"""),"NUTGAIN")</f>
        <v>NUTGAIN</v>
      </c>
    </row>
    <row r="8560">
      <c r="A8560" s="4" t="str">
        <f>IFERROR(__xludf.DUMMYFUNCTION("""COMPUTED_VALUE"""),"nuts")</f>
        <v>nuts</v>
      </c>
      <c r="B8560" s="4" t="str">
        <f>IFERROR(__xludf.DUMMYFUNCTION("""COMPUTED_VALUE"""),"nuts")</f>
        <v>nuts</v>
      </c>
      <c r="C8560" s="4" t="str">
        <f>IFERROR(__xludf.DUMMYFUNCTION("""COMPUTED_VALUE"""),"Nuts")</f>
        <v>Nuts</v>
      </c>
    </row>
    <row r="8561">
      <c r="A8561" s="4" t="str">
        <f>IFERROR(__xludf.DUMMYFUNCTION("""COMPUTED_VALUE"""),"nuts-2")</f>
        <v>nuts-2</v>
      </c>
      <c r="B8561" s="4" t="str">
        <f>IFERROR(__xludf.DUMMYFUNCTION("""COMPUTED_VALUE"""),"nuts")</f>
        <v>nuts</v>
      </c>
      <c r="C8561" s="4" t="str">
        <f>IFERROR(__xludf.DUMMYFUNCTION("""COMPUTED_VALUE"""),"Nuts")</f>
        <v>Nuts</v>
      </c>
    </row>
    <row r="8562">
      <c r="A8562" s="4" t="str">
        <f>IFERROR(__xludf.DUMMYFUNCTION("""COMPUTED_VALUE"""),"nvidia-tokenized-stock-defichain")</f>
        <v>nvidia-tokenized-stock-defichain</v>
      </c>
      <c r="B8562" s="4" t="str">
        <f>IFERROR(__xludf.DUMMYFUNCTION("""COMPUTED_VALUE"""),"dnvda")</f>
        <v>dnvda</v>
      </c>
      <c r="C8562" s="4" t="str">
        <f>IFERROR(__xludf.DUMMYFUNCTION("""COMPUTED_VALUE"""),"Nvidia Tokenized Stock Defichain")</f>
        <v>Nvidia Tokenized Stock Defichain</v>
      </c>
    </row>
    <row r="8563">
      <c r="A8563" s="4" t="str">
        <f>IFERROR(__xludf.DUMMYFUNCTION("""COMPUTED_VALUE"""),"nvirworld")</f>
        <v>nvirworld</v>
      </c>
      <c r="B8563" s="4" t="str">
        <f>IFERROR(__xludf.DUMMYFUNCTION("""COMPUTED_VALUE"""),"nvir")</f>
        <v>nvir</v>
      </c>
      <c r="C8563" s="4" t="str">
        <f>IFERROR(__xludf.DUMMYFUNCTION("""COMPUTED_VALUE"""),"NvirWorld")</f>
        <v>NvirWorld</v>
      </c>
    </row>
    <row r="8564">
      <c r="A8564" s="4" t="str">
        <f>IFERROR(__xludf.DUMMYFUNCTION("""COMPUTED_VALUE"""),"nx7")</f>
        <v>nx7</v>
      </c>
      <c r="B8564" s="4" t="str">
        <f>IFERROR(__xludf.DUMMYFUNCTION("""COMPUTED_VALUE"""),"nx7")</f>
        <v>nx7</v>
      </c>
      <c r="C8564" s="4" t="str">
        <f>IFERROR(__xludf.DUMMYFUNCTION("""COMPUTED_VALUE"""),"NX7")</f>
        <v>NX7</v>
      </c>
    </row>
    <row r="8565">
      <c r="A8565" s="4" t="str">
        <f>IFERROR(__xludf.DUMMYFUNCTION("""COMPUTED_VALUE"""),"nxd-next")</f>
        <v>nxd-next</v>
      </c>
      <c r="B8565" s="4" t="str">
        <f>IFERROR(__xludf.DUMMYFUNCTION("""COMPUTED_VALUE"""),"nxdt")</f>
        <v>nxdt</v>
      </c>
      <c r="C8565" s="4" t="str">
        <f>IFERROR(__xludf.DUMMYFUNCTION("""COMPUTED_VALUE"""),"NXD Next")</f>
        <v>NXD Next</v>
      </c>
    </row>
    <row r="8566">
      <c r="A8566" s="4" t="str">
        <f>IFERROR(__xludf.DUMMYFUNCTION("""COMPUTED_VALUE"""),"nxm")</f>
        <v>nxm</v>
      </c>
      <c r="B8566" s="4" t="str">
        <f>IFERROR(__xludf.DUMMYFUNCTION("""COMPUTED_VALUE"""),"nxm")</f>
        <v>nxm</v>
      </c>
      <c r="C8566" s="4" t="str">
        <f>IFERROR(__xludf.DUMMYFUNCTION("""COMPUTED_VALUE"""),"Nexus Mutual")</f>
        <v>Nexus Mutual</v>
      </c>
    </row>
    <row r="8567">
      <c r="A8567" s="4" t="str">
        <f>IFERROR(__xludf.DUMMYFUNCTION("""COMPUTED_VALUE"""),"nxt")</f>
        <v>nxt</v>
      </c>
      <c r="B8567" s="4" t="str">
        <f>IFERROR(__xludf.DUMMYFUNCTION("""COMPUTED_VALUE"""),"nxt")</f>
        <v>nxt</v>
      </c>
      <c r="C8567" s="4" t="str">
        <f>IFERROR(__xludf.DUMMYFUNCTION("""COMPUTED_VALUE"""),"NXT")</f>
        <v>NXT</v>
      </c>
    </row>
    <row r="8568">
      <c r="A8568" s="4" t="str">
        <f>IFERROR(__xludf.DUMMYFUNCTION("""COMPUTED_VALUE"""),"nxtchain")</f>
        <v>nxtchain</v>
      </c>
      <c r="B8568" s="4" t="str">
        <f>IFERROR(__xludf.DUMMYFUNCTION("""COMPUTED_VALUE"""),"nxt")</f>
        <v>nxt</v>
      </c>
      <c r="C8568" s="4" t="str">
        <f>IFERROR(__xludf.DUMMYFUNCTION("""COMPUTED_VALUE"""),"NXTChain")</f>
        <v>NXTChain</v>
      </c>
    </row>
    <row r="8569">
      <c r="A8569" s="4" t="str">
        <f>IFERROR(__xludf.DUMMYFUNCTION("""COMPUTED_VALUE"""),"nxusd")</f>
        <v>nxusd</v>
      </c>
      <c r="B8569" s="4" t="str">
        <f>IFERROR(__xludf.DUMMYFUNCTION("""COMPUTED_VALUE"""),"nxusd")</f>
        <v>nxusd</v>
      </c>
      <c r="C8569" s="4" t="str">
        <f>IFERROR(__xludf.DUMMYFUNCTION("""COMPUTED_VALUE"""),"NXUSD")</f>
        <v>NXUSD</v>
      </c>
    </row>
    <row r="8570">
      <c r="A8570" s="4" t="str">
        <f>IFERROR(__xludf.DUMMYFUNCTION("""COMPUTED_VALUE"""),"nyandoge-international")</f>
        <v>nyandoge-international</v>
      </c>
      <c r="B8570" s="4" t="str">
        <f>IFERROR(__xludf.DUMMYFUNCTION("""COMPUTED_VALUE"""),"nyandoge")</f>
        <v>nyandoge</v>
      </c>
      <c r="C8570" s="4" t="str">
        <f>IFERROR(__xludf.DUMMYFUNCTION("""COMPUTED_VALUE"""),"NyanDOGE International")</f>
        <v>NyanDOGE International</v>
      </c>
    </row>
    <row r="8571">
      <c r="A8571" s="4" t="str">
        <f>IFERROR(__xludf.DUMMYFUNCTION("""COMPUTED_VALUE"""),"nyan-meme-coin")</f>
        <v>nyan-meme-coin</v>
      </c>
      <c r="B8571" s="4" t="str">
        <f>IFERROR(__xludf.DUMMYFUNCTION("""COMPUTED_VALUE"""),"nyan")</f>
        <v>nyan</v>
      </c>
      <c r="C8571" s="4" t="str">
        <f>IFERROR(__xludf.DUMMYFUNCTION("""COMPUTED_VALUE"""),"Nyan Meme Coin")</f>
        <v>Nyan Meme Coin</v>
      </c>
    </row>
    <row r="8572">
      <c r="A8572" s="4" t="str">
        <f>IFERROR(__xludf.DUMMYFUNCTION("""COMPUTED_VALUE"""),"nyantereum")</f>
        <v>nyantereum</v>
      </c>
      <c r="B8572" s="4" t="str">
        <f>IFERROR(__xludf.DUMMYFUNCTION("""COMPUTED_VALUE"""),"nyante")</f>
        <v>nyante</v>
      </c>
      <c r="C8572" s="4" t="str">
        <f>IFERROR(__xludf.DUMMYFUNCTION("""COMPUTED_VALUE"""),"Nyantereum International")</f>
        <v>Nyantereum International</v>
      </c>
    </row>
    <row r="8573">
      <c r="A8573" s="4" t="str">
        <f>IFERROR(__xludf.DUMMYFUNCTION("""COMPUTED_VALUE"""),"ny-blockchain")</f>
        <v>ny-blockchain</v>
      </c>
      <c r="B8573" s="4" t="str">
        <f>IFERROR(__xludf.DUMMYFUNCTION("""COMPUTED_VALUE"""),"nybc")</f>
        <v>nybc</v>
      </c>
      <c r="C8573" s="4" t="str">
        <f>IFERROR(__xludf.DUMMYFUNCTION("""COMPUTED_VALUE"""),"NY Blockchain")</f>
        <v>NY Blockchain</v>
      </c>
    </row>
    <row r="8574">
      <c r="A8574" s="4" t="str">
        <f>IFERROR(__xludf.DUMMYFUNCTION("""COMPUTED_VALUE"""),"nym")</f>
        <v>nym</v>
      </c>
      <c r="B8574" s="4" t="str">
        <f>IFERROR(__xludf.DUMMYFUNCTION("""COMPUTED_VALUE"""),"nym")</f>
        <v>nym</v>
      </c>
      <c r="C8574" s="4" t="str">
        <f>IFERROR(__xludf.DUMMYFUNCTION("""COMPUTED_VALUE"""),"Nym")</f>
        <v>Nym</v>
      </c>
    </row>
    <row r="8575">
      <c r="A8575" s="4" t="str">
        <f>IFERROR(__xludf.DUMMYFUNCTION("""COMPUTED_VALUE"""),"nyro")</f>
        <v>nyro</v>
      </c>
      <c r="B8575" s="4" t="str">
        <f>IFERROR(__xludf.DUMMYFUNCTION("""COMPUTED_VALUE"""),"nyro")</f>
        <v>nyro</v>
      </c>
      <c r="C8575" s="4" t="str">
        <f>IFERROR(__xludf.DUMMYFUNCTION("""COMPUTED_VALUE"""),"Nyro")</f>
        <v>Nyro</v>
      </c>
    </row>
    <row r="8576">
      <c r="A8576" s="4" t="str">
        <f>IFERROR(__xludf.DUMMYFUNCTION("""COMPUTED_VALUE"""),"nyxia-ai")</f>
        <v>nyxia-ai</v>
      </c>
      <c r="B8576" s="4" t="str">
        <f>IFERROR(__xludf.DUMMYFUNCTION("""COMPUTED_VALUE"""),"nyxc")</f>
        <v>nyxc</v>
      </c>
      <c r="C8576" s="4" t="str">
        <f>IFERROR(__xludf.DUMMYFUNCTION("""COMPUTED_VALUE"""),"Nyxia AI")</f>
        <v>Nyxia AI</v>
      </c>
    </row>
    <row r="8577">
      <c r="A8577" s="4" t="str">
        <f>IFERROR(__xludf.DUMMYFUNCTION("""COMPUTED_VALUE"""),"nyzo")</f>
        <v>nyzo</v>
      </c>
      <c r="B8577" s="4" t="str">
        <f>IFERROR(__xludf.DUMMYFUNCTION("""COMPUTED_VALUE"""),"nyzo")</f>
        <v>nyzo</v>
      </c>
      <c r="C8577" s="4" t="str">
        <f>IFERROR(__xludf.DUMMYFUNCTION("""COMPUTED_VALUE"""),"Nyzo")</f>
        <v>Nyzo</v>
      </c>
    </row>
    <row r="8578">
      <c r="A8578" s="4" t="str">
        <f>IFERROR(__xludf.DUMMYFUNCTION("""COMPUTED_VALUE"""),"o3-swap")</f>
        <v>o3-swap</v>
      </c>
      <c r="B8578" s="4" t="str">
        <f>IFERROR(__xludf.DUMMYFUNCTION("""COMPUTED_VALUE"""),"o3")</f>
        <v>o3</v>
      </c>
      <c r="C8578" s="4" t="str">
        <f>IFERROR(__xludf.DUMMYFUNCTION("""COMPUTED_VALUE"""),"O3 Swap")</f>
        <v>O3 Swap</v>
      </c>
    </row>
    <row r="8579">
      <c r="A8579" s="4" t="str">
        <f>IFERROR(__xludf.DUMMYFUNCTION("""COMPUTED_VALUE"""),"oak-network")</f>
        <v>oak-network</v>
      </c>
      <c r="B8579" s="4" t="str">
        <f>IFERROR(__xludf.DUMMYFUNCTION("""COMPUTED_VALUE"""),"oak")</f>
        <v>oak</v>
      </c>
      <c r="C8579" s="4" t="str">
        <f>IFERROR(__xludf.DUMMYFUNCTION("""COMPUTED_VALUE"""),"OAK Network")</f>
        <v>OAK Network</v>
      </c>
    </row>
    <row r="8580">
      <c r="A8580" s="4" t="str">
        <f>IFERROR(__xludf.DUMMYFUNCTION("""COMPUTED_VALUE"""),"oasis-3")</f>
        <v>oasis-3</v>
      </c>
      <c r="B8580" s="4" t="str">
        <f>IFERROR(__xludf.DUMMYFUNCTION("""COMPUTED_VALUE"""),"oasis")</f>
        <v>oasis</v>
      </c>
      <c r="C8580" s="4" t="str">
        <f>IFERROR(__xludf.DUMMYFUNCTION("""COMPUTED_VALUE"""),"Oasis")</f>
        <v>Oasis</v>
      </c>
    </row>
    <row r="8581">
      <c r="A8581" s="4" t="str">
        <f>IFERROR(__xludf.DUMMYFUNCTION("""COMPUTED_VALUE"""),"oasis-metaverse")</f>
        <v>oasis-metaverse</v>
      </c>
      <c r="B8581" s="4" t="str">
        <f>IFERROR(__xludf.DUMMYFUNCTION("""COMPUTED_VALUE"""),"oasis")</f>
        <v>oasis</v>
      </c>
      <c r="C8581" s="4" t="str">
        <f>IFERROR(__xludf.DUMMYFUNCTION("""COMPUTED_VALUE"""),"Oasis Metaverse")</f>
        <v>Oasis Metaverse</v>
      </c>
    </row>
    <row r="8582">
      <c r="A8582" s="4" t="str">
        <f>IFERROR(__xludf.DUMMYFUNCTION("""COMPUTED_VALUE"""),"oasis-network")</f>
        <v>oasis-network</v>
      </c>
      <c r="B8582" s="4" t="str">
        <f>IFERROR(__xludf.DUMMYFUNCTION("""COMPUTED_VALUE"""),"rose")</f>
        <v>rose</v>
      </c>
      <c r="C8582" s="4" t="str">
        <f>IFERROR(__xludf.DUMMYFUNCTION("""COMPUTED_VALUE"""),"Oasis Network")</f>
        <v>Oasis Network</v>
      </c>
    </row>
    <row r="8583">
      <c r="A8583" s="4" t="str">
        <f>IFERROR(__xludf.DUMMYFUNCTION("""COMPUTED_VALUE"""),"oasys")</f>
        <v>oasys</v>
      </c>
      <c r="B8583" s="4" t="str">
        <f>IFERROR(__xludf.DUMMYFUNCTION("""COMPUTED_VALUE"""),"oas")</f>
        <v>oas</v>
      </c>
      <c r="C8583" s="4" t="str">
        <f>IFERROR(__xludf.DUMMYFUNCTION("""COMPUTED_VALUE"""),"Oasys")</f>
        <v>Oasys</v>
      </c>
    </row>
    <row r="8584">
      <c r="A8584" s="4" t="str">
        <f>IFERROR(__xludf.DUMMYFUNCTION("""COMPUTED_VALUE"""),"oath")</f>
        <v>oath</v>
      </c>
      <c r="B8584" s="4" t="str">
        <f>IFERROR(__xludf.DUMMYFUNCTION("""COMPUTED_VALUE"""),"oath")</f>
        <v>oath</v>
      </c>
      <c r="C8584" s="4" t="str">
        <f>IFERROR(__xludf.DUMMYFUNCTION("""COMPUTED_VALUE"""),"OATH")</f>
        <v>OATH</v>
      </c>
    </row>
    <row r="8585">
      <c r="A8585" s="4" t="str">
        <f>IFERROR(__xludf.DUMMYFUNCTION("""COMPUTED_VALUE"""),"obama6900")</f>
        <v>obama6900</v>
      </c>
      <c r="B8585" s="4" t="str">
        <f>IFERROR(__xludf.DUMMYFUNCTION("""COMPUTED_VALUE"""),"obx")</f>
        <v>obx</v>
      </c>
      <c r="C8585" s="4" t="str">
        <f>IFERROR(__xludf.DUMMYFUNCTION("""COMPUTED_VALUE"""),"Obama6900")</f>
        <v>Obama6900</v>
      </c>
    </row>
    <row r="8586">
      <c r="A8586" s="4" t="str">
        <f>IFERROR(__xludf.DUMMYFUNCTION("""COMPUTED_VALUE"""),"obi-real-estate")</f>
        <v>obi-real-estate</v>
      </c>
      <c r="B8586" s="4" t="str">
        <f>IFERROR(__xludf.DUMMYFUNCTION("""COMPUTED_VALUE"""),"obicoin")</f>
        <v>obicoin</v>
      </c>
      <c r="C8586" s="4" t="str">
        <f>IFERROR(__xludf.DUMMYFUNCTION("""COMPUTED_VALUE"""),"OBI Real Estate")</f>
        <v>OBI Real Estate</v>
      </c>
    </row>
    <row r="8587">
      <c r="A8587" s="4" t="str">
        <f>IFERROR(__xludf.DUMMYFUNCTION("""COMPUTED_VALUE"""),"obortech")</f>
        <v>obortech</v>
      </c>
      <c r="B8587" s="4" t="str">
        <f>IFERROR(__xludf.DUMMYFUNCTION("""COMPUTED_VALUE"""),"obot")</f>
        <v>obot</v>
      </c>
      <c r="C8587" s="4" t="str">
        <f>IFERROR(__xludf.DUMMYFUNCTION("""COMPUTED_VALUE"""),"Obortech")</f>
        <v>Obortech</v>
      </c>
    </row>
    <row r="8588">
      <c r="A8588" s="4" t="str">
        <f>IFERROR(__xludf.DUMMYFUNCTION("""COMPUTED_VALUE"""),"obrok")</f>
        <v>obrok</v>
      </c>
      <c r="B8588" s="4" t="str">
        <f>IFERROR(__xludf.DUMMYFUNCTION("""COMPUTED_VALUE"""),"obrok")</f>
        <v>obrok</v>
      </c>
      <c r="C8588" s="4" t="str">
        <f>IFERROR(__xludf.DUMMYFUNCTION("""COMPUTED_VALUE"""),"OBRok")</f>
        <v>OBRok</v>
      </c>
    </row>
    <row r="8589">
      <c r="A8589" s="4" t="str">
        <f>IFERROR(__xludf.DUMMYFUNCTION("""COMPUTED_VALUE"""),"obscuro")</f>
        <v>obscuro</v>
      </c>
      <c r="B8589" s="4" t="str">
        <f>IFERROR(__xludf.DUMMYFUNCTION("""COMPUTED_VALUE"""),"ten")</f>
        <v>ten</v>
      </c>
      <c r="C8589" s="4" t="str">
        <f>IFERROR(__xludf.DUMMYFUNCTION("""COMPUTED_VALUE"""),"Ten")</f>
        <v>Ten</v>
      </c>
    </row>
    <row r="8590">
      <c r="A8590" s="4" t="str">
        <f>IFERROR(__xludf.DUMMYFUNCTION("""COMPUTED_VALUE"""),"observer-coin")</f>
        <v>observer-coin</v>
      </c>
      <c r="B8590" s="4" t="str">
        <f>IFERROR(__xludf.DUMMYFUNCTION("""COMPUTED_VALUE"""),"obsr")</f>
        <v>obsr</v>
      </c>
      <c r="C8590" s="4" t="str">
        <f>IFERROR(__xludf.DUMMYFUNCTION("""COMPUTED_VALUE"""),"Observer")</f>
        <v>Observer</v>
      </c>
    </row>
    <row r="8591">
      <c r="A8591" s="4" t="str">
        <f>IFERROR(__xludf.DUMMYFUNCTION("""COMPUTED_VALUE"""),"obsidian-coin")</f>
        <v>obsidian-coin</v>
      </c>
      <c r="B8591" s="4" t="str">
        <f>IFERROR(__xludf.DUMMYFUNCTION("""COMPUTED_VALUE"""),"obn")</f>
        <v>obn</v>
      </c>
      <c r="C8591" s="4" t="str">
        <f>IFERROR(__xludf.DUMMYFUNCTION("""COMPUTED_VALUE"""),"Obsidian")</f>
        <v>Obsidian</v>
      </c>
    </row>
    <row r="8592">
      <c r="A8592" s="4" t="str">
        <f>IFERROR(__xludf.DUMMYFUNCTION("""COMPUTED_VALUE"""),"obsidium")</f>
        <v>obsidium</v>
      </c>
      <c r="B8592" s="4" t="str">
        <f>IFERROR(__xludf.DUMMYFUNCTION("""COMPUTED_VALUE"""),"obs")</f>
        <v>obs</v>
      </c>
      <c r="C8592" s="4" t="str">
        <f>IFERROR(__xludf.DUMMYFUNCTION("""COMPUTED_VALUE"""),"Obsidium")</f>
        <v>Obsidium</v>
      </c>
    </row>
    <row r="8593">
      <c r="A8593" s="4" t="str">
        <f>IFERROR(__xludf.DUMMYFUNCTION("""COMPUTED_VALUE"""),"obs-world")</f>
        <v>obs-world</v>
      </c>
      <c r="B8593" s="4" t="str">
        <f>IFERROR(__xludf.DUMMYFUNCTION("""COMPUTED_VALUE"""),"obsw")</f>
        <v>obsw</v>
      </c>
      <c r="C8593" s="4" t="str">
        <f>IFERROR(__xludf.DUMMYFUNCTION("""COMPUTED_VALUE"""),"OBS World")</f>
        <v>OBS World</v>
      </c>
    </row>
    <row r="8594">
      <c r="A8594" s="4" t="str">
        <f>IFERROR(__xludf.DUMMYFUNCTION("""COMPUTED_VALUE"""),"obtoken")</f>
        <v>obtoken</v>
      </c>
      <c r="B8594" s="4" t="str">
        <f>IFERROR(__xludf.DUMMYFUNCTION("""COMPUTED_VALUE"""),"obt")</f>
        <v>obt</v>
      </c>
      <c r="C8594" s="4" t="str">
        <f>IFERROR(__xludf.DUMMYFUNCTION("""COMPUTED_VALUE"""),"OB")</f>
        <v>OB</v>
      </c>
    </row>
    <row r="8595">
      <c r="A8595" s="4" t="str">
        <f>IFERROR(__xludf.DUMMYFUNCTION("""COMPUTED_VALUE"""),"ocavu-network")</f>
        <v>ocavu-network</v>
      </c>
      <c r="B8595" s="4" t="str">
        <f>IFERROR(__xludf.DUMMYFUNCTION("""COMPUTED_VALUE"""),"ocavu")</f>
        <v>ocavu</v>
      </c>
      <c r="C8595" s="4" t="str">
        <f>IFERROR(__xludf.DUMMYFUNCTION("""COMPUTED_VALUE"""),"Ocavu Network")</f>
        <v>Ocavu Network</v>
      </c>
    </row>
    <row r="8596">
      <c r="A8596" s="4" t="str">
        <f>IFERROR(__xludf.DUMMYFUNCTION("""COMPUTED_VALUE"""),"occamfi")</f>
        <v>occamfi</v>
      </c>
      <c r="B8596" s="4" t="str">
        <f>IFERROR(__xludf.DUMMYFUNCTION("""COMPUTED_VALUE"""),"occ")</f>
        <v>occ</v>
      </c>
      <c r="C8596" s="4" t="str">
        <f>IFERROR(__xludf.DUMMYFUNCTION("""COMPUTED_VALUE"""),"OccamFi")</f>
        <v>OccamFi</v>
      </c>
    </row>
    <row r="8597">
      <c r="A8597" s="4" t="str">
        <f>IFERROR(__xludf.DUMMYFUNCTION("""COMPUTED_VALUE"""),"occamx")</f>
        <v>occamx</v>
      </c>
      <c r="B8597" s="4" t="str">
        <f>IFERROR(__xludf.DUMMYFUNCTION("""COMPUTED_VALUE"""),"ocx")</f>
        <v>ocx</v>
      </c>
      <c r="C8597" s="4" t="str">
        <f>IFERROR(__xludf.DUMMYFUNCTION("""COMPUTED_VALUE"""),"OccamX")</f>
        <v>OccamX</v>
      </c>
    </row>
    <row r="8598">
      <c r="A8598" s="4" t="str">
        <f>IFERROR(__xludf.DUMMYFUNCTION("""COMPUTED_VALUE"""),"oceanex")</f>
        <v>oceanex</v>
      </c>
      <c r="B8598" s="4" t="str">
        <f>IFERROR(__xludf.DUMMYFUNCTION("""COMPUTED_VALUE"""),"oce")</f>
        <v>oce</v>
      </c>
      <c r="C8598" s="4" t="str">
        <f>IFERROR(__xludf.DUMMYFUNCTION("""COMPUTED_VALUE"""),"OceanEX")</f>
        <v>OceanEX</v>
      </c>
    </row>
    <row r="8599">
      <c r="A8599" s="4" t="str">
        <f>IFERROR(__xludf.DUMMYFUNCTION("""COMPUTED_VALUE"""),"oceanfi")</f>
        <v>oceanfi</v>
      </c>
      <c r="B8599" s="4" t="str">
        <f>IFERROR(__xludf.DUMMYFUNCTION("""COMPUTED_VALUE"""),"ocf")</f>
        <v>ocf</v>
      </c>
      <c r="C8599" s="4" t="str">
        <f>IFERROR(__xludf.DUMMYFUNCTION("""COMPUTED_VALUE"""),"OceanFi")</f>
        <v>OceanFi</v>
      </c>
    </row>
    <row r="8600">
      <c r="A8600" s="4" t="str">
        <f>IFERROR(__xludf.DUMMYFUNCTION("""COMPUTED_VALUE"""),"oceanland")</f>
        <v>oceanland</v>
      </c>
      <c r="B8600" s="4" t="str">
        <f>IFERROR(__xludf.DUMMYFUNCTION("""COMPUTED_VALUE"""),"oland")</f>
        <v>oland</v>
      </c>
      <c r="C8600" s="4" t="str">
        <f>IFERROR(__xludf.DUMMYFUNCTION("""COMPUTED_VALUE"""),"OceanLand")</f>
        <v>OceanLand</v>
      </c>
    </row>
    <row r="8601">
      <c r="A8601" s="4" t="str">
        <f>IFERROR(__xludf.DUMMYFUNCTION("""COMPUTED_VALUE"""),"ocean-protocol")</f>
        <v>ocean-protocol</v>
      </c>
      <c r="B8601" s="4" t="str">
        <f>IFERROR(__xludf.DUMMYFUNCTION("""COMPUTED_VALUE"""),"ocean")</f>
        <v>ocean</v>
      </c>
      <c r="C8601" s="4" t="str">
        <f>IFERROR(__xludf.DUMMYFUNCTION("""COMPUTED_VALUE"""),"Ocean Protocol")</f>
        <v>Ocean Protocol</v>
      </c>
    </row>
    <row r="8602">
      <c r="A8602" s="4" t="str">
        <f>IFERROR(__xludf.DUMMYFUNCTION("""COMPUTED_VALUE"""),"och")</f>
        <v>och</v>
      </c>
      <c r="B8602" s="4" t="str">
        <f>IFERROR(__xludf.DUMMYFUNCTION("""COMPUTED_VALUE"""),"och")</f>
        <v>och</v>
      </c>
      <c r="C8602" s="4" t="str">
        <f>IFERROR(__xludf.DUMMYFUNCTION("""COMPUTED_VALUE"""),"Orchai")</f>
        <v>Orchai</v>
      </c>
    </row>
    <row r="8603">
      <c r="A8603" s="4" t="str">
        <f>IFERROR(__xludf.DUMMYFUNCTION("""COMPUTED_VALUE"""),"ocicat-token")</f>
        <v>ocicat-token</v>
      </c>
      <c r="B8603" s="4" t="str">
        <f>IFERROR(__xludf.DUMMYFUNCTION("""COMPUTED_VALUE"""),"ocicat")</f>
        <v>ocicat</v>
      </c>
      <c r="C8603" s="4" t="str">
        <f>IFERROR(__xludf.DUMMYFUNCTION("""COMPUTED_VALUE"""),"OciCat Token")</f>
        <v>OciCat Token</v>
      </c>
    </row>
    <row r="8604">
      <c r="A8604" s="4" t="str">
        <f>IFERROR(__xludf.DUMMYFUNCTION("""COMPUTED_VALUE"""),"ociswap")</f>
        <v>ociswap</v>
      </c>
      <c r="B8604" s="4" t="str">
        <f>IFERROR(__xludf.DUMMYFUNCTION("""COMPUTED_VALUE"""),"oci")</f>
        <v>oci</v>
      </c>
      <c r="C8604" s="4" t="str">
        <f>IFERROR(__xludf.DUMMYFUNCTION("""COMPUTED_VALUE"""),"Ociswap")</f>
        <v>Ociswap</v>
      </c>
    </row>
    <row r="8605">
      <c r="A8605" s="4" t="str">
        <f>IFERROR(__xludf.DUMMYFUNCTION("""COMPUTED_VALUE"""),"octaplex-network")</f>
        <v>octaplex-network</v>
      </c>
      <c r="B8605" s="4" t="str">
        <f>IFERROR(__xludf.DUMMYFUNCTION("""COMPUTED_VALUE"""),"plx")</f>
        <v>plx</v>
      </c>
      <c r="C8605" s="4" t="str">
        <f>IFERROR(__xludf.DUMMYFUNCTION("""COMPUTED_VALUE"""),"Octaplex Network")</f>
        <v>Octaplex Network</v>
      </c>
    </row>
    <row r="8606">
      <c r="A8606" s="4" t="str">
        <f>IFERROR(__xludf.DUMMYFUNCTION("""COMPUTED_VALUE"""),"octaspace")</f>
        <v>octaspace</v>
      </c>
      <c r="B8606" s="4" t="str">
        <f>IFERROR(__xludf.DUMMYFUNCTION("""COMPUTED_VALUE"""),"octa")</f>
        <v>octa</v>
      </c>
      <c r="C8606" s="4" t="str">
        <f>IFERROR(__xludf.DUMMYFUNCTION("""COMPUTED_VALUE"""),"OctaSpace")</f>
        <v>OctaSpace</v>
      </c>
    </row>
    <row r="8607">
      <c r="A8607" s="4" t="str">
        <f>IFERROR(__xludf.DUMMYFUNCTION("""COMPUTED_VALUE"""),"octavia")</f>
        <v>octavia</v>
      </c>
      <c r="B8607" s="4" t="str">
        <f>IFERROR(__xludf.DUMMYFUNCTION("""COMPUTED_VALUE"""),"via")</f>
        <v>via</v>
      </c>
      <c r="C8607" s="4" t="str">
        <f>IFERROR(__xludf.DUMMYFUNCTION("""COMPUTED_VALUE"""),"Octavia")</f>
        <v>Octavia</v>
      </c>
    </row>
    <row r="8608">
      <c r="A8608" s="4" t="str">
        <f>IFERROR(__xludf.DUMMYFUNCTION("""COMPUTED_VALUE"""),"octavus-prime")</f>
        <v>octavus-prime</v>
      </c>
      <c r="B8608" s="4" t="str">
        <f>IFERROR(__xludf.DUMMYFUNCTION("""COMPUTED_VALUE"""),"octavus")</f>
        <v>octavus</v>
      </c>
      <c r="C8608" s="4" t="str">
        <f>IFERROR(__xludf.DUMMYFUNCTION("""COMPUTED_VALUE"""),"Octavus Prime")</f>
        <v>Octavus Prime</v>
      </c>
    </row>
    <row r="8609">
      <c r="A8609" s="4" t="str">
        <f>IFERROR(__xludf.DUMMYFUNCTION("""COMPUTED_VALUE"""),"octofi")</f>
        <v>octofi</v>
      </c>
      <c r="B8609" s="4" t="str">
        <f>IFERROR(__xludf.DUMMYFUNCTION("""COMPUTED_VALUE"""),"octo")</f>
        <v>octo</v>
      </c>
      <c r="C8609" s="4" t="str">
        <f>IFERROR(__xludf.DUMMYFUNCTION("""COMPUTED_VALUE"""),"OctoFi")</f>
        <v>OctoFi</v>
      </c>
    </row>
    <row r="8610">
      <c r="A8610" s="4" t="str">
        <f>IFERROR(__xludf.DUMMYFUNCTION("""COMPUTED_VALUE"""),"octo-gaming")</f>
        <v>octo-gaming</v>
      </c>
      <c r="B8610" s="4" t="str">
        <f>IFERROR(__xludf.DUMMYFUNCTION("""COMPUTED_VALUE"""),"otk")</f>
        <v>otk</v>
      </c>
      <c r="C8610" s="4" t="str">
        <f>IFERROR(__xludf.DUMMYFUNCTION("""COMPUTED_VALUE"""),"Octokn")</f>
        <v>Octokn</v>
      </c>
    </row>
    <row r="8611">
      <c r="A8611" s="4" t="str">
        <f>IFERROR(__xludf.DUMMYFUNCTION("""COMPUTED_VALUE"""),"octopus-network")</f>
        <v>octopus-network</v>
      </c>
      <c r="B8611" s="4" t="str">
        <f>IFERROR(__xludf.DUMMYFUNCTION("""COMPUTED_VALUE"""),"oct")</f>
        <v>oct</v>
      </c>
      <c r="C8611" s="4" t="str">
        <f>IFERROR(__xludf.DUMMYFUNCTION("""COMPUTED_VALUE"""),"Octopus Network")</f>
        <v>Octopus Network</v>
      </c>
    </row>
    <row r="8612">
      <c r="A8612" s="4" t="str">
        <f>IFERROR(__xludf.DUMMYFUNCTION("""COMPUTED_VALUE"""),"octopus-protocol")</f>
        <v>octopus-protocol</v>
      </c>
      <c r="B8612" s="4" t="str">
        <f>IFERROR(__xludf.DUMMYFUNCTION("""COMPUTED_VALUE"""),"ops")</f>
        <v>ops</v>
      </c>
      <c r="C8612" s="4" t="str">
        <f>IFERROR(__xludf.DUMMYFUNCTION("""COMPUTED_VALUE"""),"Octopus Protocol")</f>
        <v>Octopus Protocol</v>
      </c>
    </row>
    <row r="8613">
      <c r="A8613" s="4" t="str">
        <f>IFERROR(__xludf.DUMMYFUNCTION("""COMPUTED_VALUE"""),"octopuswallet")</f>
        <v>octopuswallet</v>
      </c>
      <c r="B8613" s="4" t="str">
        <f>IFERROR(__xludf.DUMMYFUNCTION("""COMPUTED_VALUE"""),"ocw")</f>
        <v>ocw</v>
      </c>
      <c r="C8613" s="4" t="str">
        <f>IFERROR(__xludf.DUMMYFUNCTION("""COMPUTED_VALUE"""),"OctopusWallet")</f>
        <v>OctopusWallet</v>
      </c>
    </row>
    <row r="8614">
      <c r="A8614" s="4" t="str">
        <f>IFERROR(__xludf.DUMMYFUNCTION("""COMPUTED_VALUE"""),"octorand")</f>
        <v>octorand</v>
      </c>
      <c r="B8614" s="4" t="str">
        <f>IFERROR(__xludf.DUMMYFUNCTION("""COMPUTED_VALUE"""),"octo")</f>
        <v>octo</v>
      </c>
      <c r="C8614" s="4" t="str">
        <f>IFERROR(__xludf.DUMMYFUNCTION("""COMPUTED_VALUE"""),"Octorand")</f>
        <v>Octorand</v>
      </c>
    </row>
    <row r="8615">
      <c r="A8615" s="4" t="str">
        <f>IFERROR(__xludf.DUMMYFUNCTION("""COMPUTED_VALUE"""),"octus-bridge")</f>
        <v>octus-bridge</v>
      </c>
      <c r="B8615" s="4" t="str">
        <f>IFERROR(__xludf.DUMMYFUNCTION("""COMPUTED_VALUE"""),"bridge")</f>
        <v>bridge</v>
      </c>
      <c r="C8615" s="4" t="str">
        <f>IFERROR(__xludf.DUMMYFUNCTION("""COMPUTED_VALUE"""),"Octus Bridge")</f>
        <v>Octus Bridge</v>
      </c>
    </row>
    <row r="8616">
      <c r="A8616" s="4" t="str">
        <f>IFERROR(__xludf.DUMMYFUNCTION("""COMPUTED_VALUE"""),"ocvcoin")</f>
        <v>ocvcoin</v>
      </c>
      <c r="B8616" s="4" t="str">
        <f>IFERROR(__xludf.DUMMYFUNCTION("""COMPUTED_VALUE"""),"ocv")</f>
        <v>ocv</v>
      </c>
      <c r="C8616" s="4" t="str">
        <f>IFERROR(__xludf.DUMMYFUNCTION("""COMPUTED_VALUE"""),"Ocvcoin")</f>
        <v>Ocvcoin</v>
      </c>
    </row>
    <row r="8617">
      <c r="A8617" s="4" t="str">
        <f>IFERROR(__xludf.DUMMYFUNCTION("""COMPUTED_VALUE"""),"oddz")</f>
        <v>oddz</v>
      </c>
      <c r="B8617" s="4" t="str">
        <f>IFERROR(__xludf.DUMMYFUNCTION("""COMPUTED_VALUE"""),"oddz")</f>
        <v>oddz</v>
      </c>
      <c r="C8617" s="4" t="str">
        <f>IFERROR(__xludf.DUMMYFUNCTION("""COMPUTED_VALUE"""),"Oddz")</f>
        <v>Oddz</v>
      </c>
    </row>
    <row r="8618">
      <c r="A8618" s="4" t="str">
        <f>IFERROR(__xludf.DUMMYFUNCTION("""COMPUTED_VALUE"""),"odem")</f>
        <v>odem</v>
      </c>
      <c r="B8618" s="4" t="str">
        <f>IFERROR(__xludf.DUMMYFUNCTION("""COMPUTED_VALUE"""),"ode")</f>
        <v>ode</v>
      </c>
      <c r="C8618" s="4" t="str">
        <f>IFERROR(__xludf.DUMMYFUNCTION("""COMPUTED_VALUE"""),"ODEM")</f>
        <v>ODEM</v>
      </c>
    </row>
    <row r="8619">
      <c r="A8619" s="4" t="str">
        <f>IFERROR(__xludf.DUMMYFUNCTION("""COMPUTED_VALUE"""),"odin-erc404m")</f>
        <v>odin-erc404m</v>
      </c>
      <c r="B8619" s="4" t="str">
        <f>IFERROR(__xludf.DUMMYFUNCTION("""COMPUTED_VALUE"""),"odin")</f>
        <v>odin</v>
      </c>
      <c r="C8619" s="4" t="str">
        <f>IFERROR(__xludf.DUMMYFUNCTION("""COMPUTED_VALUE"""),"ODIN ERC404M")</f>
        <v>ODIN ERC404M</v>
      </c>
    </row>
    <row r="8620">
      <c r="A8620" s="4" t="str">
        <f>IFERROR(__xludf.DUMMYFUNCTION("""COMPUTED_VALUE"""),"odin-protocol")</f>
        <v>odin-protocol</v>
      </c>
      <c r="B8620" s="4" t="str">
        <f>IFERROR(__xludf.DUMMYFUNCTION("""COMPUTED_VALUE"""),"odin")</f>
        <v>odin</v>
      </c>
      <c r="C8620" s="4" t="str">
        <f>IFERROR(__xludf.DUMMYFUNCTION("""COMPUTED_VALUE"""),"Odin Protocol")</f>
        <v>Odin Protocol</v>
      </c>
    </row>
    <row r="8621">
      <c r="A8621" s="4" t="str">
        <f>IFERROR(__xludf.DUMMYFUNCTION("""COMPUTED_VALUE"""),"odung")</f>
        <v>odung</v>
      </c>
      <c r="B8621" s="4" t="str">
        <f>IFERROR(__xludf.DUMMYFUNCTION("""COMPUTED_VALUE"""),"derp")</f>
        <v>derp</v>
      </c>
      <c r="C8621" s="4" t="str">
        <f>IFERROR(__xludf.DUMMYFUNCTION("""COMPUTED_VALUE"""),"oDung")</f>
        <v>oDung</v>
      </c>
    </row>
    <row r="8622">
      <c r="A8622" s="4" t="str">
        <f>IFERROR(__xludf.DUMMYFUNCTION("""COMPUTED_VALUE"""),"oduwa-coin")</f>
        <v>oduwa-coin</v>
      </c>
      <c r="B8622" s="4" t="str">
        <f>IFERROR(__xludf.DUMMYFUNCTION("""COMPUTED_VALUE"""),"owc")</f>
        <v>owc</v>
      </c>
      <c r="C8622" s="4" t="str">
        <f>IFERROR(__xludf.DUMMYFUNCTION("""COMPUTED_VALUE"""),"Oduwa Coin")</f>
        <v>Oduwa Coin</v>
      </c>
    </row>
    <row r="8623">
      <c r="A8623" s="4" t="str">
        <f>IFERROR(__xludf.DUMMYFUNCTION("""COMPUTED_VALUE"""),"odyssey")</f>
        <v>odyssey</v>
      </c>
      <c r="B8623" s="4" t="str">
        <f>IFERROR(__xludf.DUMMYFUNCTION("""COMPUTED_VALUE"""),"ocn")</f>
        <v>ocn</v>
      </c>
      <c r="C8623" s="4" t="str">
        <f>IFERROR(__xludf.DUMMYFUNCTION("""COMPUTED_VALUE"""),"Odyssey")</f>
        <v>Odyssey</v>
      </c>
    </row>
    <row r="8624">
      <c r="A8624" s="4" t="str">
        <f>IFERROR(__xludf.DUMMYFUNCTION("""COMPUTED_VALUE"""),"odysseywallet")</f>
        <v>odysseywallet</v>
      </c>
      <c r="B8624" s="4" t="str">
        <f>IFERROR(__xludf.DUMMYFUNCTION("""COMPUTED_VALUE"""),"odys")</f>
        <v>odys</v>
      </c>
      <c r="C8624" s="4" t="str">
        <f>IFERROR(__xludf.DUMMYFUNCTION("""COMPUTED_VALUE"""),"OdysseyWallet")</f>
        <v>OdysseyWallet</v>
      </c>
    </row>
    <row r="8625">
      <c r="A8625" s="4" t="str">
        <f>IFERROR(__xludf.DUMMYFUNCTION("""COMPUTED_VALUE"""),"oec-btc")</f>
        <v>oec-btc</v>
      </c>
      <c r="B8625" s="4" t="str">
        <f>IFERROR(__xludf.DUMMYFUNCTION("""COMPUTED_VALUE"""),"btck")</f>
        <v>btck</v>
      </c>
      <c r="C8625" s="4" t="str">
        <f>IFERROR(__xludf.DUMMYFUNCTION("""COMPUTED_VALUE"""),"OEC BTC")</f>
        <v>OEC BTC</v>
      </c>
    </row>
    <row r="8626">
      <c r="A8626" s="4" t="str">
        <f>IFERROR(__xludf.DUMMYFUNCTION("""COMPUTED_VALUE"""),"oec-token")</f>
        <v>oec-token</v>
      </c>
      <c r="B8626" s="4" t="str">
        <f>IFERROR(__xludf.DUMMYFUNCTION("""COMPUTED_VALUE"""),"okt")</f>
        <v>okt</v>
      </c>
      <c r="C8626" s="4" t="str">
        <f>IFERROR(__xludf.DUMMYFUNCTION("""COMPUTED_VALUE"""),"OKT Chain")</f>
        <v>OKT Chain</v>
      </c>
    </row>
    <row r="8627">
      <c r="A8627" s="4" t="str">
        <f>IFERROR(__xludf.DUMMYFUNCTION("""COMPUTED_VALUE"""),"ofcourse-i-still-love-you")</f>
        <v>ofcourse-i-still-love-you</v>
      </c>
      <c r="B8627" s="4" t="str">
        <f>IFERROR(__xludf.DUMMYFUNCTION("""COMPUTED_VALUE"""),"ocisly")</f>
        <v>ocisly</v>
      </c>
      <c r="C8627" s="4" t="str">
        <f>IFERROR(__xludf.DUMMYFUNCTION("""COMPUTED_VALUE"""),"Of Course I Still Love You")</f>
        <v>Of Course I Still Love You</v>
      </c>
    </row>
    <row r="8628">
      <c r="A8628" s="4" t="str">
        <f>IFERROR(__xludf.DUMMYFUNCTION("""COMPUTED_VALUE"""),"ofero")</f>
        <v>ofero</v>
      </c>
      <c r="B8628" s="4" t="str">
        <f>IFERROR(__xludf.DUMMYFUNCTION("""COMPUTED_VALUE"""),"ofe")</f>
        <v>ofe</v>
      </c>
      <c r="C8628" s="4" t="str">
        <f>IFERROR(__xludf.DUMMYFUNCTION("""COMPUTED_VALUE"""),"Ofero")</f>
        <v>Ofero</v>
      </c>
    </row>
    <row r="8629">
      <c r="A8629" s="4" t="str">
        <f>IFERROR(__xludf.DUMMYFUNCTION("""COMPUTED_VALUE"""),"official-arbitrum-bridged-usdc-arbitrum-nova")</f>
        <v>official-arbitrum-bridged-usdc-arbitrum-nova</v>
      </c>
      <c r="B8629" s="4" t="str">
        <f>IFERROR(__xludf.DUMMYFUNCTION("""COMPUTED_VALUE"""),"usdc")</f>
        <v>usdc</v>
      </c>
      <c r="C8629" s="4" t="str">
        <f>IFERROR(__xludf.DUMMYFUNCTION("""COMPUTED_VALUE"""),"Arbitrum Bridged USDC (Arbitrum Nova)")</f>
        <v>Arbitrum Bridged USDC (Arbitrum Nova)</v>
      </c>
    </row>
    <row r="8630">
      <c r="A8630" s="4" t="str">
        <f>IFERROR(__xludf.DUMMYFUNCTION("""COMPUTED_VALUE"""),"offshift")</f>
        <v>offshift</v>
      </c>
      <c r="B8630" s="4" t="str">
        <f>IFERROR(__xludf.DUMMYFUNCTION("""COMPUTED_VALUE"""),"xft")</f>
        <v>xft</v>
      </c>
      <c r="C8630" s="4" t="str">
        <f>IFERROR(__xludf.DUMMYFUNCTION("""COMPUTED_VALUE"""),"Offshift")</f>
        <v>Offshift</v>
      </c>
    </row>
    <row r="8631">
      <c r="A8631" s="4" t="str">
        <f>IFERROR(__xludf.DUMMYFUNCTION("""COMPUTED_VALUE"""),"og404")</f>
        <v>og404</v>
      </c>
      <c r="B8631" s="4" t="str">
        <f>IFERROR(__xludf.DUMMYFUNCTION("""COMPUTED_VALUE"""),"og404")</f>
        <v>og404</v>
      </c>
      <c r="C8631" s="4" t="str">
        <f>IFERROR(__xludf.DUMMYFUNCTION("""COMPUTED_VALUE"""),"OG404")</f>
        <v>OG404</v>
      </c>
    </row>
    <row r="8632">
      <c r="A8632" s="4" t="str">
        <f>IFERROR(__xludf.DUMMYFUNCTION("""COMPUTED_VALUE"""),"og-fan-token")</f>
        <v>og-fan-token</v>
      </c>
      <c r="B8632" s="4" t="str">
        <f>IFERROR(__xludf.DUMMYFUNCTION("""COMPUTED_VALUE"""),"og")</f>
        <v>og</v>
      </c>
      <c r="C8632" s="4" t="str">
        <f>IFERROR(__xludf.DUMMYFUNCTION("""COMPUTED_VALUE"""),"OG Fan Token")</f>
        <v>OG Fan Token</v>
      </c>
    </row>
    <row r="8633">
      <c r="A8633" s="4" t="str">
        <f>IFERROR(__xludf.DUMMYFUNCTION("""COMPUTED_VALUE"""),"oggy-inu")</f>
        <v>oggy-inu</v>
      </c>
      <c r="B8633" s="4" t="str">
        <f>IFERROR(__xludf.DUMMYFUNCTION("""COMPUTED_VALUE"""),"oggy")</f>
        <v>oggy</v>
      </c>
      <c r="C8633" s="4" t="str">
        <f>IFERROR(__xludf.DUMMYFUNCTION("""COMPUTED_VALUE"""),"Oggy Inu")</f>
        <v>Oggy Inu</v>
      </c>
    </row>
    <row r="8634">
      <c r="A8634" s="4" t="str">
        <f>IFERROR(__xludf.DUMMYFUNCTION("""COMPUTED_VALUE"""),"oggy-inu-2")</f>
        <v>oggy-inu-2</v>
      </c>
      <c r="B8634" s="4" t="str">
        <f>IFERROR(__xludf.DUMMYFUNCTION("""COMPUTED_VALUE"""),"oggy")</f>
        <v>oggy</v>
      </c>
      <c r="C8634" s="4" t="str">
        <f>IFERROR(__xludf.DUMMYFUNCTION("""COMPUTED_VALUE"""),"Oggy Inu [ETH]")</f>
        <v>Oggy Inu [ETH]</v>
      </c>
    </row>
    <row r="8635">
      <c r="A8635" s="4" t="str">
        <f>IFERROR(__xludf.DUMMYFUNCTION("""COMPUTED_VALUE"""),"og-sminem")</f>
        <v>og-sminem</v>
      </c>
      <c r="B8635" s="4" t="str">
        <f>IFERROR(__xludf.DUMMYFUNCTION("""COMPUTED_VALUE"""),"ogsm")</f>
        <v>ogsm</v>
      </c>
      <c r="C8635" s="4" t="str">
        <f>IFERROR(__xludf.DUMMYFUNCTION("""COMPUTED_VALUE"""),"OG SMINEM")</f>
        <v>OG SMINEM</v>
      </c>
    </row>
    <row r="8636">
      <c r="A8636" s="4" t="str">
        <f>IFERROR(__xludf.DUMMYFUNCTION("""COMPUTED_VALUE"""),"ogzclub")</f>
        <v>ogzclub</v>
      </c>
      <c r="B8636" s="4" t="str">
        <f>IFERROR(__xludf.DUMMYFUNCTION("""COMPUTED_VALUE"""),"ogz")</f>
        <v>ogz</v>
      </c>
      <c r="C8636" s="4" t="str">
        <f>IFERROR(__xludf.DUMMYFUNCTION("""COMPUTED_VALUE"""),"OGzClub")</f>
        <v>OGzClub</v>
      </c>
    </row>
    <row r="8637">
      <c r="A8637" s="4" t="str">
        <f>IFERROR(__xludf.DUMMYFUNCTION("""COMPUTED_VALUE"""),"oh-finance")</f>
        <v>oh-finance</v>
      </c>
      <c r="B8637" s="4" t="str">
        <f>IFERROR(__xludf.DUMMYFUNCTION("""COMPUTED_VALUE"""),"oh")</f>
        <v>oh</v>
      </c>
      <c r="C8637" s="4" t="str">
        <f>IFERROR(__xludf.DUMMYFUNCTION("""COMPUTED_VALUE"""),"Oh! Finance")</f>
        <v>Oh! Finance</v>
      </c>
    </row>
    <row r="8638">
      <c r="A8638" s="4" t="str">
        <f>IFERROR(__xludf.DUMMYFUNCTION("""COMPUTED_VALUE"""),"ohms")</f>
        <v>ohms</v>
      </c>
      <c r="B8638" s="4" t="str">
        <f>IFERROR(__xludf.DUMMYFUNCTION("""COMPUTED_VALUE"""),"ohms")</f>
        <v>ohms</v>
      </c>
      <c r="C8638" s="4" t="str">
        <f>IFERROR(__xludf.DUMMYFUNCTION("""COMPUTED_VALUE"""),"OHMS")</f>
        <v>OHMS</v>
      </c>
    </row>
    <row r="8639">
      <c r="A8639" s="4" t="str">
        <f>IFERROR(__xludf.DUMMYFUNCTION("""COMPUTED_VALUE"""),"oh-no")</f>
        <v>oh-no</v>
      </c>
      <c r="B8639" s="4" t="str">
        <f>IFERROR(__xludf.DUMMYFUNCTION("""COMPUTED_VALUE"""),"ohno")</f>
        <v>ohno</v>
      </c>
      <c r="C8639" s="4" t="str">
        <f>IFERROR(__xludf.DUMMYFUNCTION("""COMPUTED_VALUE"""),"Oh no")</f>
        <v>Oh no</v>
      </c>
    </row>
    <row r="8640">
      <c r="A8640" s="4" t="str">
        <f>IFERROR(__xludf.DUMMYFUNCTION("""COMPUTED_VALUE"""),"oho-blockchain")</f>
        <v>oho-blockchain</v>
      </c>
      <c r="B8640" s="4" t="str">
        <f>IFERROR(__xludf.DUMMYFUNCTION("""COMPUTED_VALUE"""),"oho")</f>
        <v>oho</v>
      </c>
      <c r="C8640" s="4" t="str">
        <f>IFERROR(__xludf.DUMMYFUNCTION("""COMPUTED_VALUE"""),"OHO Blockchain")</f>
        <v>OHO Blockchain</v>
      </c>
    </row>
    <row r="8641">
      <c r="A8641" s="4" t="str">
        <f>IFERROR(__xludf.DUMMYFUNCTION("""COMPUTED_VALUE"""),"oikos")</f>
        <v>oikos</v>
      </c>
      <c r="B8641" s="4" t="str">
        <f>IFERROR(__xludf.DUMMYFUNCTION("""COMPUTED_VALUE"""),"oks")</f>
        <v>oks</v>
      </c>
      <c r="C8641" s="4" t="str">
        <f>IFERROR(__xludf.DUMMYFUNCTION("""COMPUTED_VALUE"""),"Oikos")</f>
        <v>Oikos</v>
      </c>
    </row>
    <row r="8642">
      <c r="A8642" s="4" t="str">
        <f>IFERROR(__xludf.DUMMYFUNCTION("""COMPUTED_VALUE"""),"oiler")</f>
        <v>oiler</v>
      </c>
      <c r="B8642" s="4" t="str">
        <f>IFERROR(__xludf.DUMMYFUNCTION("""COMPUTED_VALUE"""),"oil")</f>
        <v>oil</v>
      </c>
      <c r="C8642" s="4" t="str">
        <f>IFERROR(__xludf.DUMMYFUNCTION("""COMPUTED_VALUE"""),"Oiler")</f>
        <v>Oiler</v>
      </c>
    </row>
    <row r="8643">
      <c r="A8643" s="4" t="str">
        <f>IFERROR(__xludf.DUMMYFUNCTION("""COMPUTED_VALUE"""),"oil-token-162dc739-3b37-4da2-88a7-0d5b8e03ab14")</f>
        <v>oil-token-162dc739-3b37-4da2-88a7-0d5b8e03ab14</v>
      </c>
      <c r="B8643" s="4" t="str">
        <f>IFERROR(__xludf.DUMMYFUNCTION("""COMPUTED_VALUE"""),"oil")</f>
        <v>oil</v>
      </c>
      <c r="C8643" s="4" t="str">
        <f>IFERROR(__xludf.DUMMYFUNCTION("""COMPUTED_VALUE"""),"Oil Token")</f>
        <v>Oil Token</v>
      </c>
    </row>
    <row r="8644">
      <c r="A8644" s="4" t="str">
        <f>IFERROR(__xludf.DUMMYFUNCTION("""COMPUTED_VALUE"""),"oin-finance")</f>
        <v>oin-finance</v>
      </c>
      <c r="B8644" s="4" t="str">
        <f>IFERROR(__xludf.DUMMYFUNCTION("""COMPUTED_VALUE"""),"oin")</f>
        <v>oin</v>
      </c>
      <c r="C8644" s="4" t="str">
        <f>IFERROR(__xludf.DUMMYFUNCTION("""COMPUTED_VALUE"""),"OIN Finance")</f>
        <v>OIN Finance</v>
      </c>
    </row>
    <row r="8645">
      <c r="A8645" s="4" t="str">
        <f>IFERROR(__xludf.DUMMYFUNCTION("""COMPUTED_VALUE"""),"ojamu")</f>
        <v>ojamu</v>
      </c>
      <c r="B8645" s="4" t="str">
        <f>IFERROR(__xludf.DUMMYFUNCTION("""COMPUTED_VALUE"""),"oja")</f>
        <v>oja</v>
      </c>
      <c r="C8645" s="4" t="str">
        <f>IFERROR(__xludf.DUMMYFUNCTION("""COMPUTED_VALUE"""),"Ojamu")</f>
        <v>Ojamu</v>
      </c>
    </row>
    <row r="8646">
      <c r="A8646" s="4" t="str">
        <f>IFERROR(__xludf.DUMMYFUNCTION("""COMPUTED_VALUE"""),"okage-inu")</f>
        <v>okage-inu</v>
      </c>
      <c r="B8646" s="4" t="str">
        <f>IFERROR(__xludf.DUMMYFUNCTION("""COMPUTED_VALUE"""),"okage")</f>
        <v>okage</v>
      </c>
      <c r="C8646" s="4" t="str">
        <f>IFERROR(__xludf.DUMMYFUNCTION("""COMPUTED_VALUE"""),"Okage Inu")</f>
        <v>Okage Inu</v>
      </c>
    </row>
    <row r="8647">
      <c r="A8647" s="4" t="str">
        <f>IFERROR(__xludf.DUMMYFUNCTION("""COMPUTED_VALUE"""),"okami-lana")</f>
        <v>okami-lana</v>
      </c>
      <c r="B8647" s="4" t="str">
        <f>IFERROR(__xludf.DUMMYFUNCTION("""COMPUTED_VALUE"""),"okana")</f>
        <v>okana</v>
      </c>
      <c r="C8647" s="4" t="str">
        <f>IFERROR(__xludf.DUMMYFUNCTION("""COMPUTED_VALUE"""),"Okami Lana")</f>
        <v>Okami Lana</v>
      </c>
    </row>
    <row r="8648">
      <c r="A8648" s="4" t="str">
        <f>IFERROR(__xludf.DUMMYFUNCTION("""COMPUTED_VALUE"""),"okb")</f>
        <v>okb</v>
      </c>
      <c r="B8648" s="4" t="str">
        <f>IFERROR(__xludf.DUMMYFUNCTION("""COMPUTED_VALUE"""),"okb")</f>
        <v>okb</v>
      </c>
      <c r="C8648" s="4" t="str">
        <f>IFERROR(__xludf.DUMMYFUNCTION("""COMPUTED_VALUE"""),"OKB")</f>
        <v>OKB</v>
      </c>
    </row>
    <row r="8649">
      <c r="A8649" s="4" t="str">
        <f>IFERROR(__xludf.DUMMYFUNCTION("""COMPUTED_VALUE"""),"okcash")</f>
        <v>okcash</v>
      </c>
      <c r="B8649" s="4" t="str">
        <f>IFERROR(__xludf.DUMMYFUNCTION("""COMPUTED_VALUE"""),"ok")</f>
        <v>ok</v>
      </c>
      <c r="C8649" s="4" t="str">
        <f>IFERROR(__xludf.DUMMYFUNCTION("""COMPUTED_VALUE"""),"Okcash")</f>
        <v>Okcash</v>
      </c>
    </row>
    <row r="8650">
      <c r="A8650" s="4" t="str">
        <f>IFERROR(__xludf.DUMMYFUNCTION("""COMPUTED_VALUE"""),"okeycoin")</f>
        <v>okeycoin</v>
      </c>
      <c r="B8650" s="4" t="str">
        <f>IFERROR(__xludf.DUMMYFUNCTION("""COMPUTED_VALUE"""),"okey")</f>
        <v>okey</v>
      </c>
      <c r="C8650" s="4" t="str">
        <f>IFERROR(__xludf.DUMMYFUNCTION("""COMPUTED_VALUE"""),"OKEYCOIN")</f>
        <v>OKEYCOIN</v>
      </c>
    </row>
    <row r="8651">
      <c r="A8651" s="4" t="str">
        <f>IFERROR(__xludf.DUMMYFUNCTION("""COMPUTED_VALUE"""),"okidoki-social")</f>
        <v>okidoki-social</v>
      </c>
      <c r="B8651" s="4" t="str">
        <f>IFERROR(__xludf.DUMMYFUNCTION("""COMPUTED_VALUE"""),"doki")</f>
        <v>doki</v>
      </c>
      <c r="C8651" s="4" t="str">
        <f>IFERROR(__xludf.DUMMYFUNCTION("""COMPUTED_VALUE"""),"Okidoki Social")</f>
        <v>Okidoki Social</v>
      </c>
    </row>
    <row r="8652">
      <c r="A8652" s="4" t="str">
        <f>IFERROR(__xludf.DUMMYFUNCTION("""COMPUTED_VALUE"""),"okiku")</f>
        <v>okiku</v>
      </c>
      <c r="B8652" s="4" t="str">
        <f>IFERROR(__xludf.DUMMYFUNCTION("""COMPUTED_VALUE"""),"okiku")</f>
        <v>okiku</v>
      </c>
      <c r="C8652" s="4" t="str">
        <f>IFERROR(__xludf.DUMMYFUNCTION("""COMPUTED_VALUE"""),"Okiku")</f>
        <v>Okiku</v>
      </c>
    </row>
    <row r="8653">
      <c r="A8653" s="4" t="str">
        <f>IFERROR(__xludf.DUMMYFUNCTION("""COMPUTED_VALUE"""),"okratech-token")</f>
        <v>okratech-token</v>
      </c>
      <c r="B8653" s="4" t="str">
        <f>IFERROR(__xludf.DUMMYFUNCTION("""COMPUTED_VALUE"""),"ort")</f>
        <v>ort</v>
      </c>
      <c r="C8653" s="4" t="str">
        <f>IFERROR(__xludf.DUMMYFUNCTION("""COMPUTED_VALUE"""),"Okratech")</f>
        <v>Okratech</v>
      </c>
    </row>
    <row r="8654">
      <c r="A8654" s="4" t="str">
        <f>IFERROR(__xludf.DUMMYFUNCTION("""COMPUTED_VALUE"""),"okuru")</f>
        <v>okuru</v>
      </c>
      <c r="B8654" s="4" t="str">
        <f>IFERROR(__xludf.DUMMYFUNCTION("""COMPUTED_VALUE"""),"xot")</f>
        <v>xot</v>
      </c>
      <c r="C8654" s="4" t="str">
        <f>IFERROR(__xludf.DUMMYFUNCTION("""COMPUTED_VALUE"""),"Okuru")</f>
        <v>Okuru</v>
      </c>
    </row>
    <row r="8655">
      <c r="A8655" s="4" t="str">
        <f>IFERROR(__xludf.DUMMYFUNCTION("""COMPUTED_VALUE"""),"okx-beth")</f>
        <v>okx-beth</v>
      </c>
      <c r="B8655" s="4" t="str">
        <f>IFERROR(__xludf.DUMMYFUNCTION("""COMPUTED_VALUE"""),"beth")</f>
        <v>beth</v>
      </c>
      <c r="C8655" s="4" t="str">
        <f>IFERROR(__xludf.DUMMYFUNCTION("""COMPUTED_VALUE"""),"OKX BETH")</f>
        <v>OKX BETH</v>
      </c>
    </row>
    <row r="8656">
      <c r="A8656" s="4" t="str">
        <f>IFERROR(__xludf.DUMMYFUNCTION("""COMPUTED_VALUE"""),"old-bitcoin")</f>
        <v>old-bitcoin</v>
      </c>
      <c r="B8656" s="4" t="str">
        <f>IFERROR(__xludf.DUMMYFUNCTION("""COMPUTED_VALUE"""),"bc")</f>
        <v>bc</v>
      </c>
      <c r="C8656" s="4" t="str">
        <f>IFERROR(__xludf.DUMMYFUNCTION("""COMPUTED_VALUE"""),"Old Bitcoin")</f>
        <v>Old Bitcoin</v>
      </c>
    </row>
    <row r="8657">
      <c r="A8657" s="4" t="str">
        <f>IFERROR(__xludf.DUMMYFUNCTION("""COMPUTED_VALUE"""),"olecoin")</f>
        <v>olecoin</v>
      </c>
      <c r="B8657" s="4" t="str">
        <f>IFERROR(__xludf.DUMMYFUNCTION("""COMPUTED_VALUE"""),"ole")</f>
        <v>ole</v>
      </c>
      <c r="C8657" s="4" t="str">
        <f>IFERROR(__xludf.DUMMYFUNCTION("""COMPUTED_VALUE"""),"OleCoin")</f>
        <v>OleCoin</v>
      </c>
    </row>
    <row r="8658">
      <c r="A8658" s="4" t="str">
        <f>IFERROR(__xludf.DUMMYFUNCTION("""COMPUTED_VALUE"""),"olen-mosk")</f>
        <v>olen-mosk</v>
      </c>
      <c r="B8658" s="4" t="str">
        <f>IFERROR(__xludf.DUMMYFUNCTION("""COMPUTED_VALUE"""),"olen")</f>
        <v>olen</v>
      </c>
      <c r="C8658" s="4" t="str">
        <f>IFERROR(__xludf.DUMMYFUNCTION("""COMPUTED_VALUE"""),"Olen Mosk")</f>
        <v>Olen Mosk</v>
      </c>
    </row>
    <row r="8659">
      <c r="A8659" s="4" t="str">
        <f>IFERROR(__xludf.DUMMYFUNCTION("""COMPUTED_VALUE"""),"olive")</f>
        <v>olive</v>
      </c>
      <c r="B8659" s="4" t="str">
        <f>IFERROR(__xludf.DUMMYFUNCTION("""COMPUTED_VALUE"""),"olv")</f>
        <v>olv</v>
      </c>
      <c r="C8659" s="4" t="str">
        <f>IFERROR(__xludf.DUMMYFUNCTION("""COMPUTED_VALUE"""),"OLIVE")</f>
        <v>OLIVE</v>
      </c>
    </row>
    <row r="8660">
      <c r="A8660" s="4" t="str">
        <f>IFERROR(__xludf.DUMMYFUNCTION("""COMPUTED_VALUE"""),"olivecash")</f>
        <v>olivecash</v>
      </c>
      <c r="B8660" s="4" t="str">
        <f>IFERROR(__xludf.DUMMYFUNCTION("""COMPUTED_VALUE"""),"olive")</f>
        <v>olive</v>
      </c>
      <c r="C8660" s="4" t="str">
        <f>IFERROR(__xludf.DUMMYFUNCTION("""COMPUTED_VALUE"""),"Olive Cash")</f>
        <v>Olive Cash</v>
      </c>
    </row>
    <row r="8661">
      <c r="A8661" s="4" t="str">
        <f>IFERROR(__xludf.DUMMYFUNCTION("""COMPUTED_VALUE"""),"oloid")</f>
        <v>oloid</v>
      </c>
      <c r="B8661" s="4" t="str">
        <f>IFERROR(__xludf.DUMMYFUNCTION("""COMPUTED_VALUE"""),"oloid")</f>
        <v>oloid</v>
      </c>
      <c r="C8661" s="4" t="str">
        <f>IFERROR(__xludf.DUMMYFUNCTION("""COMPUTED_VALUE"""),"OLOID")</f>
        <v>OLOID</v>
      </c>
    </row>
    <row r="8662">
      <c r="A8662" s="4" t="str">
        <f>IFERROR(__xludf.DUMMYFUNCTION("""COMPUTED_VALUE"""),"olympus")</f>
        <v>olympus</v>
      </c>
      <c r="B8662" s="4" t="str">
        <f>IFERROR(__xludf.DUMMYFUNCTION("""COMPUTED_VALUE"""),"ohm")</f>
        <v>ohm</v>
      </c>
      <c r="C8662" s="4" t="str">
        <f>IFERROR(__xludf.DUMMYFUNCTION("""COMPUTED_VALUE"""),"Olympus")</f>
        <v>Olympus</v>
      </c>
    </row>
    <row r="8663">
      <c r="A8663" s="4" t="str">
        <f>IFERROR(__xludf.DUMMYFUNCTION("""COMPUTED_VALUE"""),"olympus-2")</f>
        <v>olympus-2</v>
      </c>
      <c r="B8663" s="4" t="str">
        <f>IFERROR(__xludf.DUMMYFUNCTION("""COMPUTED_VALUE"""),"olai")</f>
        <v>olai</v>
      </c>
      <c r="C8663" s="4" t="str">
        <f>IFERROR(__xludf.DUMMYFUNCTION("""COMPUTED_VALUE"""),"OLYMPUS")</f>
        <v>OLYMPUS</v>
      </c>
    </row>
    <row r="8664">
      <c r="A8664" s="4" t="str">
        <f>IFERROR(__xludf.DUMMYFUNCTION("""COMPUTED_VALUE"""),"olympus-v1")</f>
        <v>olympus-v1</v>
      </c>
      <c r="B8664" s="4" t="str">
        <f>IFERROR(__xludf.DUMMYFUNCTION("""COMPUTED_VALUE"""),"ohm")</f>
        <v>ohm</v>
      </c>
      <c r="C8664" s="4" t="str">
        <f>IFERROR(__xludf.DUMMYFUNCTION("""COMPUTED_VALUE"""),"Olympus v1")</f>
        <v>Olympus v1</v>
      </c>
    </row>
    <row r="8665">
      <c r="A8665" s="4" t="str">
        <f>IFERROR(__xludf.DUMMYFUNCTION("""COMPUTED_VALUE"""),"olyverse")</f>
        <v>olyverse</v>
      </c>
      <c r="B8665" s="4" t="str">
        <f>IFERROR(__xludf.DUMMYFUNCTION("""COMPUTED_VALUE"""),"oly")</f>
        <v>oly</v>
      </c>
      <c r="C8665" s="4" t="str">
        <f>IFERROR(__xludf.DUMMYFUNCTION("""COMPUTED_VALUE"""),"Olyverse")</f>
        <v>Olyverse</v>
      </c>
    </row>
    <row r="8666">
      <c r="A8666" s="4" t="str">
        <f>IFERROR(__xludf.DUMMYFUNCTION("""COMPUTED_VALUE"""),"omamori")</f>
        <v>omamori</v>
      </c>
      <c r="B8666" s="4" t="str">
        <f>IFERROR(__xludf.DUMMYFUNCTION("""COMPUTED_VALUE"""),"omm")</f>
        <v>omm</v>
      </c>
      <c r="C8666" s="4" t="str">
        <f>IFERROR(__xludf.DUMMYFUNCTION("""COMPUTED_VALUE"""),"OMAMORI")</f>
        <v>OMAMORI</v>
      </c>
    </row>
    <row r="8667">
      <c r="A8667" s="4" t="str">
        <f>IFERROR(__xludf.DUMMYFUNCTION("""COMPUTED_VALUE"""),"omax-token")</f>
        <v>omax-token</v>
      </c>
      <c r="B8667" s="4" t="str">
        <f>IFERROR(__xludf.DUMMYFUNCTION("""COMPUTED_VALUE"""),"omax")</f>
        <v>omax</v>
      </c>
      <c r="C8667" s="4" t="str">
        <f>IFERROR(__xludf.DUMMYFUNCTION("""COMPUTED_VALUE"""),"Omax")</f>
        <v>Omax</v>
      </c>
    </row>
    <row r="8668">
      <c r="A8668" s="4" t="str">
        <f>IFERROR(__xludf.DUMMYFUNCTION("""COMPUTED_VALUE"""),"ombre")</f>
        <v>ombre</v>
      </c>
      <c r="B8668" s="4" t="str">
        <f>IFERROR(__xludf.DUMMYFUNCTION("""COMPUTED_VALUE"""),"omb")</f>
        <v>omb</v>
      </c>
      <c r="C8668" s="4" t="str">
        <f>IFERROR(__xludf.DUMMYFUNCTION("""COMPUTED_VALUE"""),"Ombre")</f>
        <v>Ombre</v>
      </c>
    </row>
    <row r="8669">
      <c r="A8669" s="4" t="str">
        <f>IFERROR(__xludf.DUMMYFUNCTION("""COMPUTED_VALUE"""),"omchain")</f>
        <v>omchain</v>
      </c>
      <c r="B8669" s="4" t="str">
        <f>IFERROR(__xludf.DUMMYFUNCTION("""COMPUTED_VALUE"""),"omc")</f>
        <v>omc</v>
      </c>
      <c r="C8669" s="4" t="str">
        <f>IFERROR(__xludf.DUMMYFUNCTION("""COMPUTED_VALUE"""),"Omchain")</f>
        <v>Omchain</v>
      </c>
    </row>
    <row r="8670">
      <c r="A8670" s="4" t="str">
        <f>IFERROR(__xludf.DUMMYFUNCTION("""COMPUTED_VALUE"""),"omega-cloud")</f>
        <v>omega-cloud</v>
      </c>
      <c r="B8670" s="4" t="str">
        <f>IFERROR(__xludf.DUMMYFUNCTION("""COMPUTED_VALUE"""),"omega")</f>
        <v>omega</v>
      </c>
      <c r="C8670" s="4" t="str">
        <f>IFERROR(__xludf.DUMMYFUNCTION("""COMPUTED_VALUE"""),"Omega Cloud")</f>
        <v>Omega Cloud</v>
      </c>
    </row>
    <row r="8671">
      <c r="A8671" s="4" t="str">
        <f>IFERROR(__xludf.DUMMYFUNCTION("""COMPUTED_VALUE"""),"omega-network")</f>
        <v>omega-network</v>
      </c>
      <c r="B8671" s="4" t="str">
        <f>IFERROR(__xludf.DUMMYFUNCTION("""COMPUTED_VALUE"""),"omn")</f>
        <v>omn</v>
      </c>
      <c r="C8671" s="4" t="str">
        <f>IFERROR(__xludf.DUMMYFUNCTION("""COMPUTED_VALUE"""),"OmegaNetwork")</f>
        <v>OmegaNetwork</v>
      </c>
    </row>
    <row r="8672">
      <c r="A8672" s="4" t="str">
        <f>IFERROR(__xludf.DUMMYFUNCTION("""COMPUTED_VALUE"""),"omeletteswap")</f>
        <v>omeletteswap</v>
      </c>
      <c r="B8672" s="4" t="str">
        <f>IFERROR(__xludf.DUMMYFUNCTION("""COMPUTED_VALUE"""),"omlt")</f>
        <v>omlt</v>
      </c>
      <c r="C8672" s="4" t="str">
        <f>IFERROR(__xludf.DUMMYFUNCTION("""COMPUTED_VALUE"""),"OmeletteSwap")</f>
        <v>OmeletteSwap</v>
      </c>
    </row>
    <row r="8673">
      <c r="A8673" s="4" t="str">
        <f>IFERROR(__xludf.DUMMYFUNCTION("""COMPUTED_VALUE"""),"omisego")</f>
        <v>omisego</v>
      </c>
      <c r="B8673" s="4" t="str">
        <f>IFERROR(__xludf.DUMMYFUNCTION("""COMPUTED_VALUE"""),"omg")</f>
        <v>omg</v>
      </c>
      <c r="C8673" s="4" t="str">
        <f>IFERROR(__xludf.DUMMYFUNCTION("""COMPUTED_VALUE"""),"OMG Network")</f>
        <v>OMG Network</v>
      </c>
    </row>
    <row r="8674">
      <c r="A8674" s="4" t="str">
        <f>IFERROR(__xludf.DUMMYFUNCTION("""COMPUTED_VALUE"""),"ommniverse")</f>
        <v>ommniverse</v>
      </c>
      <c r="B8674" s="4" t="str">
        <f>IFERROR(__xludf.DUMMYFUNCTION("""COMPUTED_VALUE"""),"ommi")</f>
        <v>ommi</v>
      </c>
      <c r="C8674" s="4" t="str">
        <f>IFERROR(__xludf.DUMMYFUNCTION("""COMPUTED_VALUE"""),"Ommniverse")</f>
        <v>Ommniverse</v>
      </c>
    </row>
    <row r="8675">
      <c r="A8675" s="4" t="str">
        <f>IFERROR(__xludf.DUMMYFUNCTION("""COMPUTED_VALUE"""),"omni")</f>
        <v>omni</v>
      </c>
      <c r="B8675" s="4" t="str">
        <f>IFERROR(__xludf.DUMMYFUNCTION("""COMPUTED_VALUE"""),"omni")</f>
        <v>omni</v>
      </c>
      <c r="C8675" s="4" t="str">
        <f>IFERROR(__xludf.DUMMYFUNCTION("""COMPUTED_VALUE"""),"Omni")</f>
        <v>Omni</v>
      </c>
    </row>
    <row r="8676">
      <c r="A8676" s="4" t="str">
        <f>IFERROR(__xludf.DUMMYFUNCTION("""COMPUTED_VALUE"""),"omni404")</f>
        <v>omni404</v>
      </c>
      <c r="B8676" s="4" t="str">
        <f>IFERROR(__xludf.DUMMYFUNCTION("""COMPUTED_VALUE"""),"o404")</f>
        <v>o404</v>
      </c>
      <c r="C8676" s="4" t="str">
        <f>IFERROR(__xludf.DUMMYFUNCTION("""COMPUTED_VALUE"""),"OMNI404")</f>
        <v>OMNI404</v>
      </c>
    </row>
    <row r="8677">
      <c r="A8677" s="4" t="str">
        <f>IFERROR(__xludf.DUMMYFUNCTION("""COMPUTED_VALUE"""),"omniaverse")</f>
        <v>omniaverse</v>
      </c>
      <c r="B8677" s="4" t="str">
        <f>IFERROR(__xludf.DUMMYFUNCTION("""COMPUTED_VALUE"""),"omnia")</f>
        <v>omnia</v>
      </c>
      <c r="C8677" s="4" t="str">
        <f>IFERROR(__xludf.DUMMYFUNCTION("""COMPUTED_VALUE"""),"OmniaVerse")</f>
        <v>OmniaVerse</v>
      </c>
    </row>
    <row r="8678">
      <c r="A8678" s="4" t="str">
        <f>IFERROR(__xludf.DUMMYFUNCTION("""COMPUTED_VALUE"""),"omnibotx")</f>
        <v>omnibotx</v>
      </c>
      <c r="B8678" s="4" t="str">
        <f>IFERROR(__xludf.DUMMYFUNCTION("""COMPUTED_VALUE"""),"omnix")</f>
        <v>omnix</v>
      </c>
      <c r="C8678" s="4" t="str">
        <f>IFERROR(__xludf.DUMMYFUNCTION("""COMPUTED_VALUE"""),"OmniBotX")</f>
        <v>OmniBotX</v>
      </c>
    </row>
    <row r="8679">
      <c r="A8679" s="4" t="str">
        <f>IFERROR(__xludf.DUMMYFUNCTION("""COMPUTED_VALUE"""),"omnicat")</f>
        <v>omnicat</v>
      </c>
      <c r="B8679" s="4" t="str">
        <f>IFERROR(__xludf.DUMMYFUNCTION("""COMPUTED_VALUE"""),"omni")</f>
        <v>omni</v>
      </c>
      <c r="C8679" s="4" t="str">
        <f>IFERROR(__xludf.DUMMYFUNCTION("""COMPUTED_VALUE"""),"OmniCat")</f>
        <v>OmniCat</v>
      </c>
    </row>
    <row r="8680">
      <c r="A8680" s="4" t="str">
        <f>IFERROR(__xludf.DUMMYFUNCTION("""COMPUTED_VALUE"""),"omni-consumer-protocol")</f>
        <v>omni-consumer-protocol</v>
      </c>
      <c r="B8680" s="4" t="str">
        <f>IFERROR(__xludf.DUMMYFUNCTION("""COMPUTED_VALUE"""),"ocp")</f>
        <v>ocp</v>
      </c>
      <c r="C8680" s="4" t="str">
        <f>IFERROR(__xludf.DUMMYFUNCTION("""COMPUTED_VALUE"""),"Omni Consumer Protocol")</f>
        <v>Omni Consumer Protocol</v>
      </c>
    </row>
    <row r="8681">
      <c r="A8681" s="4" t="str">
        <f>IFERROR(__xludf.DUMMYFUNCTION("""COMPUTED_VALUE"""),"omniflix-network")</f>
        <v>omniflix-network</v>
      </c>
      <c r="B8681" s="4" t="str">
        <f>IFERROR(__xludf.DUMMYFUNCTION("""COMPUTED_VALUE"""),"flix")</f>
        <v>flix</v>
      </c>
      <c r="C8681" s="4" t="str">
        <f>IFERROR(__xludf.DUMMYFUNCTION("""COMPUTED_VALUE"""),"OmniFlix Network")</f>
        <v>OmniFlix Network</v>
      </c>
    </row>
    <row r="8682">
      <c r="A8682" s="4" t="str">
        <f>IFERROR(__xludf.DUMMYFUNCTION("""COMPUTED_VALUE"""),"omni-foundation")</f>
        <v>omni-foundation</v>
      </c>
      <c r="B8682" s="4" t="str">
        <f>IFERROR(__xludf.DUMMYFUNCTION("""COMPUTED_VALUE"""),"omn")</f>
        <v>omn</v>
      </c>
      <c r="C8682" s="4" t="str">
        <f>IFERROR(__xludf.DUMMYFUNCTION("""COMPUTED_VALUE"""),"Omni Foundation")</f>
        <v>Omni Foundation</v>
      </c>
    </row>
    <row r="8683">
      <c r="A8683" s="4" t="str">
        <f>IFERROR(__xludf.DUMMYFUNCTION("""COMPUTED_VALUE"""),"omnikingdoms-gold")</f>
        <v>omnikingdoms-gold</v>
      </c>
      <c r="B8683" s="4" t="str">
        <f>IFERROR(__xludf.DUMMYFUNCTION("""COMPUTED_VALUE"""),"omkg")</f>
        <v>omkg</v>
      </c>
      <c r="C8683" s="4" t="str">
        <f>IFERROR(__xludf.DUMMYFUNCTION("""COMPUTED_VALUE"""),"OmniKingdoms Gold")</f>
        <v>OmniKingdoms Gold</v>
      </c>
    </row>
    <row r="8684">
      <c r="A8684" s="4" t="str">
        <f>IFERROR(__xludf.DUMMYFUNCTION("""COMPUTED_VALUE"""),"omni-network")</f>
        <v>omni-network</v>
      </c>
      <c r="B8684" s="4" t="str">
        <f>IFERROR(__xludf.DUMMYFUNCTION("""COMPUTED_VALUE"""),"omni")</f>
        <v>omni</v>
      </c>
      <c r="C8684" s="4" t="str">
        <f>IFERROR(__xludf.DUMMYFUNCTION("""COMPUTED_VALUE"""),"Omni Network")</f>
        <v>Omni Network</v>
      </c>
    </row>
    <row r="8685">
      <c r="A8685" s="4" t="str">
        <f>IFERROR(__xludf.DUMMYFUNCTION("""COMPUTED_VALUE"""),"omnisea")</f>
        <v>omnisea</v>
      </c>
      <c r="B8685" s="4" t="str">
        <f>IFERROR(__xludf.DUMMYFUNCTION("""COMPUTED_VALUE"""),"osea")</f>
        <v>osea</v>
      </c>
      <c r="C8685" s="4" t="str">
        <f>IFERROR(__xludf.DUMMYFUNCTION("""COMPUTED_VALUE"""),"Omnisea")</f>
        <v>Omnisea</v>
      </c>
    </row>
    <row r="8686">
      <c r="A8686" s="4" t="str">
        <f>IFERROR(__xludf.DUMMYFUNCTION("""COMPUTED_VALUE"""),"omo-exchange")</f>
        <v>omo-exchange</v>
      </c>
      <c r="B8686" s="4" t="str">
        <f>IFERROR(__xludf.DUMMYFUNCTION("""COMPUTED_VALUE"""),"omo")</f>
        <v>omo</v>
      </c>
      <c r="C8686" s="4" t="str">
        <f>IFERROR(__xludf.DUMMYFUNCTION("""COMPUTED_VALUE"""),"OMO Exchange")</f>
        <v>OMO Exchange</v>
      </c>
    </row>
    <row r="8687">
      <c r="A8687" s="4" t="str">
        <f>IFERROR(__xludf.DUMMYFUNCTION("""COMPUTED_VALUE"""),"omotenashicoin")</f>
        <v>omotenashicoin</v>
      </c>
      <c r="B8687" s="4" t="str">
        <f>IFERROR(__xludf.DUMMYFUNCTION("""COMPUTED_VALUE"""),"mtns")</f>
        <v>mtns</v>
      </c>
      <c r="C8687" s="4" t="str">
        <f>IFERROR(__xludf.DUMMYFUNCTION("""COMPUTED_VALUE"""),"OmotenashiCoin")</f>
        <v>OmotenashiCoin</v>
      </c>
    </row>
    <row r="8688">
      <c r="A8688" s="4" t="str">
        <f>IFERROR(__xludf.DUMMYFUNCTION("""COMPUTED_VALUE"""),"onbuff")</f>
        <v>onbuff</v>
      </c>
      <c r="B8688" s="4" t="str">
        <f>IFERROR(__xludf.DUMMYFUNCTION("""COMPUTED_VALUE"""),"onit")</f>
        <v>onit</v>
      </c>
      <c r="C8688" s="4" t="str">
        <f>IFERROR(__xludf.DUMMYFUNCTION("""COMPUTED_VALUE"""),"ONBUFF")</f>
        <v>ONBUFF</v>
      </c>
    </row>
    <row r="8689">
      <c r="A8689" s="4" t="str">
        <f>IFERROR(__xludf.DUMMYFUNCTION("""COMPUTED_VALUE"""),"onchain-ai")</f>
        <v>onchain-ai</v>
      </c>
      <c r="B8689" s="4" t="str">
        <f>IFERROR(__xludf.DUMMYFUNCTION("""COMPUTED_VALUE"""),"ocai")</f>
        <v>ocai</v>
      </c>
      <c r="C8689" s="4" t="str">
        <f>IFERROR(__xludf.DUMMYFUNCTION("""COMPUTED_VALUE"""),"Onchain AI")</f>
        <v>Onchain AI</v>
      </c>
    </row>
    <row r="8690">
      <c r="A8690" s="4" t="str">
        <f>IFERROR(__xludf.DUMMYFUNCTION("""COMPUTED_VALUE"""),"on-chain-dynamics")</f>
        <v>on-chain-dynamics</v>
      </c>
      <c r="B8690" s="4" t="str">
        <f>IFERROR(__xludf.DUMMYFUNCTION("""COMPUTED_VALUE"""),"ocd")</f>
        <v>ocd</v>
      </c>
      <c r="C8690" s="4" t="str">
        <f>IFERROR(__xludf.DUMMYFUNCTION("""COMPUTED_VALUE"""),"On-Chain Dynamics")</f>
        <v>On-Chain Dynamics</v>
      </c>
    </row>
    <row r="8691">
      <c r="A8691" s="4" t="str">
        <f>IFERROR(__xludf.DUMMYFUNCTION("""COMPUTED_VALUE"""),"onchain-pepe-404")</f>
        <v>onchain-pepe-404</v>
      </c>
      <c r="B8691" s="4" t="str">
        <f>IFERROR(__xludf.DUMMYFUNCTION("""COMPUTED_VALUE"""),"ocp404")</f>
        <v>ocp404</v>
      </c>
      <c r="C8691" s="4" t="str">
        <f>IFERROR(__xludf.DUMMYFUNCTION("""COMPUTED_VALUE"""),"OnChain Pepe 404")</f>
        <v>OnChain Pepe 404</v>
      </c>
    </row>
    <row r="8692">
      <c r="A8692" s="4" t="str">
        <f>IFERROR(__xludf.DUMMYFUNCTION("""COMPUTED_VALUE"""),"onchain-trade")</f>
        <v>onchain-trade</v>
      </c>
      <c r="B8692" s="4" t="str">
        <f>IFERROR(__xludf.DUMMYFUNCTION("""COMPUTED_VALUE"""),"ot")</f>
        <v>ot</v>
      </c>
      <c r="C8692" s="4" t="str">
        <f>IFERROR(__xludf.DUMMYFUNCTION("""COMPUTED_VALUE"""),"Onchain Trade")</f>
        <v>Onchain Trade</v>
      </c>
    </row>
    <row r="8693">
      <c r="A8693" s="4" t="str">
        <f>IFERROR(__xludf.DUMMYFUNCTION("""COMPUTED_VALUE"""),"onchain-trade-protocol")</f>
        <v>onchain-trade-protocol</v>
      </c>
      <c r="B8693" s="4" t="str">
        <f>IFERROR(__xludf.DUMMYFUNCTION("""COMPUTED_VALUE"""),"ot")</f>
        <v>ot</v>
      </c>
      <c r="C8693" s="4" t="str">
        <f>IFERROR(__xludf.DUMMYFUNCTION("""COMPUTED_VALUE"""),"Onchain Trade Protocol")</f>
        <v>Onchain Trade Protocol</v>
      </c>
    </row>
    <row r="8694">
      <c r="A8694" s="4" t="str">
        <f>IFERROR(__xludf.DUMMYFUNCTION("""COMPUTED_VALUE"""),"ondo-finance")</f>
        <v>ondo-finance</v>
      </c>
      <c r="B8694" s="4" t="str">
        <f>IFERROR(__xludf.DUMMYFUNCTION("""COMPUTED_VALUE"""),"ondo")</f>
        <v>ondo</v>
      </c>
      <c r="C8694" s="4" t="str">
        <f>IFERROR(__xludf.DUMMYFUNCTION("""COMPUTED_VALUE"""),"Ondo")</f>
        <v>Ondo</v>
      </c>
    </row>
    <row r="8695">
      <c r="A8695" s="4" t="str">
        <f>IFERROR(__xludf.DUMMYFUNCTION("""COMPUTED_VALUE"""),"ondo-us-dollar-yield")</f>
        <v>ondo-us-dollar-yield</v>
      </c>
      <c r="B8695" s="4" t="str">
        <f>IFERROR(__xludf.DUMMYFUNCTION("""COMPUTED_VALUE"""),"usdy")</f>
        <v>usdy</v>
      </c>
      <c r="C8695" s="4" t="str">
        <f>IFERROR(__xludf.DUMMYFUNCTION("""COMPUTED_VALUE"""),"Ondo US Dollar Yield")</f>
        <v>Ondo US Dollar Yield</v>
      </c>
    </row>
    <row r="8696">
      <c r="A8696" s="4" t="str">
        <f>IFERROR(__xludf.DUMMYFUNCTION("""COMPUTED_VALUE"""),"one")</f>
        <v>one</v>
      </c>
      <c r="B8696" s="4" t="str">
        <f>IFERROR(__xludf.DUMMYFUNCTION("""COMPUTED_VALUE"""),"one")</f>
        <v>one</v>
      </c>
      <c r="C8696" s="4" t="str">
        <f>IFERROR(__xludf.DUMMYFUNCTION("""COMPUTED_VALUE"""),"One")</f>
        <v>One</v>
      </c>
    </row>
    <row r="8697">
      <c r="A8697" s="4" t="str">
        <f>IFERROR(__xludf.DUMMYFUNCTION("""COMPUTED_VALUE"""),"one-basis-cash")</f>
        <v>one-basis-cash</v>
      </c>
      <c r="B8697" s="4" t="str">
        <f>IFERROR(__xludf.DUMMYFUNCTION("""COMPUTED_VALUE"""),"obs")</f>
        <v>obs</v>
      </c>
      <c r="C8697" s="4" t="str">
        <f>IFERROR(__xludf.DUMMYFUNCTION("""COMPUTED_VALUE"""),"One Basis Cash")</f>
        <v>One Basis Cash</v>
      </c>
    </row>
    <row r="8698">
      <c r="A8698" s="4" t="str">
        <f>IFERROR(__xludf.DUMMYFUNCTION("""COMPUTED_VALUE"""),"one-cash")</f>
        <v>one-cash</v>
      </c>
      <c r="B8698" s="4" t="str">
        <f>IFERROR(__xludf.DUMMYFUNCTION("""COMPUTED_VALUE"""),"onc")</f>
        <v>onc</v>
      </c>
      <c r="C8698" s="4" t="str">
        <f>IFERROR(__xludf.DUMMYFUNCTION("""COMPUTED_VALUE"""),"One Cash")</f>
        <v>One Cash</v>
      </c>
    </row>
    <row r="8699">
      <c r="A8699" s="4" t="str">
        <f>IFERROR(__xludf.DUMMYFUNCTION("""COMPUTED_VALUE"""),"onedex")</f>
        <v>onedex</v>
      </c>
      <c r="B8699" s="4" t="str">
        <f>IFERROR(__xludf.DUMMYFUNCTION("""COMPUTED_VALUE"""),"one")</f>
        <v>one</v>
      </c>
      <c r="C8699" s="4" t="str">
        <f>IFERROR(__xludf.DUMMYFUNCTION("""COMPUTED_VALUE"""),"OneFinity")</f>
        <v>OneFinity</v>
      </c>
    </row>
    <row r="8700">
      <c r="A8700" s="4" t="str">
        <f>IFERROR(__xludf.DUMMYFUNCTION("""COMPUTED_VALUE"""),"onedex-rone")</f>
        <v>onedex-rone</v>
      </c>
      <c r="B8700" s="4" t="str">
        <f>IFERROR(__xludf.DUMMYFUNCTION("""COMPUTED_VALUE"""),"rone-bb2e")</f>
        <v>rone-bb2e</v>
      </c>
      <c r="C8700" s="4" t="str">
        <f>IFERROR(__xludf.DUMMYFUNCTION("""COMPUTED_VALUE"""),"OneDex rONE")</f>
        <v>OneDex rONE</v>
      </c>
    </row>
    <row r="8701">
      <c r="A8701" s="4" t="str">
        <f>IFERROR(__xludf.DUMMYFUNCTION("""COMPUTED_VALUE"""),"one-hundred-million-inu")</f>
        <v>one-hundred-million-inu</v>
      </c>
      <c r="B8701" s="4" t="str">
        <f>IFERROR(__xludf.DUMMYFUNCTION("""COMPUTED_VALUE"""),"ohmi")</f>
        <v>ohmi</v>
      </c>
      <c r="C8701" s="4" t="str">
        <f>IFERROR(__xludf.DUMMYFUNCTION("""COMPUTED_VALUE"""),"One Hundred Million Inu")</f>
        <v>One Hundred Million Inu</v>
      </c>
    </row>
    <row r="8702">
      <c r="A8702" s="4" t="str">
        <f>IFERROR(__xludf.DUMMYFUNCTION("""COMPUTED_VALUE"""),"oneichi")</f>
        <v>oneichi</v>
      </c>
      <c r="B8702" s="4" t="str">
        <f>IFERROR(__xludf.DUMMYFUNCTION("""COMPUTED_VALUE"""),"oneichi")</f>
        <v>oneichi</v>
      </c>
      <c r="C8702" s="4" t="str">
        <f>IFERROR(__xludf.DUMMYFUNCTION("""COMPUTED_VALUE"""),"oneICHI")</f>
        <v>oneICHI</v>
      </c>
    </row>
    <row r="8703">
      <c r="A8703" s="4" t="str">
        <f>IFERROR(__xludf.DUMMYFUNCTION("""COMPUTED_VALUE"""),"one-ledger")</f>
        <v>one-ledger</v>
      </c>
      <c r="B8703" s="4" t="str">
        <f>IFERROR(__xludf.DUMMYFUNCTION("""COMPUTED_VALUE"""),"olt")</f>
        <v>olt</v>
      </c>
      <c r="C8703" s="4" t="str">
        <f>IFERROR(__xludf.DUMMYFUNCTION("""COMPUTED_VALUE"""),"OneLedger")</f>
        <v>OneLedger</v>
      </c>
    </row>
    <row r="8704">
      <c r="A8704" s="4" t="str">
        <f>IFERROR(__xludf.DUMMYFUNCTION("""COMPUTED_VALUE"""),"onerare")</f>
        <v>onerare</v>
      </c>
      <c r="B8704" s="4" t="str">
        <f>IFERROR(__xludf.DUMMYFUNCTION("""COMPUTED_VALUE"""),"orare")</f>
        <v>orare</v>
      </c>
      <c r="C8704" s="4" t="str">
        <f>IFERROR(__xludf.DUMMYFUNCTION("""COMPUTED_VALUE"""),"OneRare")</f>
        <v>OneRare</v>
      </c>
    </row>
    <row r="8705">
      <c r="A8705" s="4" t="str">
        <f>IFERROR(__xludf.DUMMYFUNCTION("""COMPUTED_VALUE"""),"onering")</f>
        <v>onering</v>
      </c>
      <c r="B8705" s="4" t="str">
        <f>IFERROR(__xludf.DUMMYFUNCTION("""COMPUTED_VALUE"""),"ring")</f>
        <v>ring</v>
      </c>
      <c r="C8705" s="4" t="str">
        <f>IFERROR(__xludf.DUMMYFUNCTION("""COMPUTED_VALUE"""),"OneRing")</f>
        <v>OneRing</v>
      </c>
    </row>
    <row r="8706">
      <c r="A8706" s="4" t="str">
        <f>IFERROR(__xludf.DUMMYFUNCTION("""COMPUTED_VALUE"""),"one-share")</f>
        <v>one-share</v>
      </c>
      <c r="B8706" s="4" t="str">
        <f>IFERROR(__xludf.DUMMYFUNCTION("""COMPUTED_VALUE"""),"ons")</f>
        <v>ons</v>
      </c>
      <c r="C8706" s="4" t="str">
        <f>IFERROR(__xludf.DUMMYFUNCTION("""COMPUTED_VALUE"""),"One Share")</f>
        <v>One Share</v>
      </c>
    </row>
    <row r="8707">
      <c r="A8707" s="4" t="str">
        <f>IFERROR(__xludf.DUMMYFUNCTION("""COMPUTED_VALUE"""),"onespace")</f>
        <v>onespace</v>
      </c>
      <c r="B8707" s="4" t="str">
        <f>IFERROR(__xludf.DUMMYFUNCTION("""COMPUTED_VALUE"""),"1sp")</f>
        <v>1sp</v>
      </c>
      <c r="C8707" s="4" t="str">
        <f>IFERROR(__xludf.DUMMYFUNCTION("""COMPUTED_VALUE"""),"Onespace")</f>
        <v>Onespace</v>
      </c>
    </row>
    <row r="8708">
      <c r="A8708" s="4" t="str">
        <f>IFERROR(__xludf.DUMMYFUNCTION("""COMPUTED_VALUE"""),"onestop")</f>
        <v>onestop</v>
      </c>
      <c r="B8708" s="4" t="str">
        <f>IFERROR(__xludf.DUMMYFUNCTION("""COMPUTED_VALUE"""),"ost")</f>
        <v>ost</v>
      </c>
      <c r="C8708" s="4" t="str">
        <f>IFERROR(__xludf.DUMMYFUNCTION("""COMPUTED_VALUE"""),"Onestop")</f>
        <v>Onestop</v>
      </c>
    </row>
    <row r="8709">
      <c r="A8709" s="4" t="str">
        <f>IFERROR(__xludf.DUMMYFUNCTION("""COMPUTED_VALUE"""),"onetokenburn")</f>
        <v>onetokenburn</v>
      </c>
      <c r="B8709" s="4" t="str">
        <f>IFERROR(__xludf.DUMMYFUNCTION("""COMPUTED_VALUE"""),"one")</f>
        <v>one</v>
      </c>
      <c r="C8709" s="4" t="str">
        <f>IFERROR(__xludf.DUMMYFUNCTION("""COMPUTED_VALUE"""),"onetokenburn")</f>
        <v>onetokenburn</v>
      </c>
    </row>
    <row r="8710">
      <c r="A8710" s="4" t="str">
        <f>IFERROR(__xludf.DUMMYFUNCTION("""COMPUTED_VALUE"""),"one-world-coin")</f>
        <v>one-world-coin</v>
      </c>
      <c r="B8710" s="4" t="str">
        <f>IFERROR(__xludf.DUMMYFUNCTION("""COMPUTED_VALUE"""),"owo")</f>
        <v>owo</v>
      </c>
      <c r="C8710" s="4" t="str">
        <f>IFERROR(__xludf.DUMMYFUNCTION("""COMPUTED_VALUE"""),"One World Coin")</f>
        <v>One World Coin</v>
      </c>
    </row>
    <row r="8711">
      <c r="A8711" s="4" t="str">
        <f>IFERROR(__xludf.DUMMYFUNCTION("""COMPUTED_VALUE"""),"onez")</f>
        <v>onez</v>
      </c>
      <c r="B8711" s="4" t="str">
        <f>IFERROR(__xludf.DUMMYFUNCTION("""COMPUTED_VALUE"""),"onez")</f>
        <v>onez</v>
      </c>
      <c r="C8711" s="4" t="str">
        <f>IFERROR(__xludf.DUMMYFUNCTION("""COMPUTED_VALUE"""),"ONEZ")</f>
        <v>ONEZ</v>
      </c>
    </row>
    <row r="8712">
      <c r="A8712" s="4" t="str">
        <f>IFERROR(__xludf.DUMMYFUNCTION("""COMPUTED_VALUE"""),"ong")</f>
        <v>ong</v>
      </c>
      <c r="B8712" s="4" t="str">
        <f>IFERROR(__xludf.DUMMYFUNCTION("""COMPUTED_VALUE"""),"ong")</f>
        <v>ong</v>
      </c>
      <c r="C8712" s="4" t="str">
        <f>IFERROR(__xludf.DUMMYFUNCTION("""COMPUTED_VALUE"""),"Ontology Gas")</f>
        <v>Ontology Gas</v>
      </c>
    </row>
    <row r="8713">
      <c r="A8713" s="4" t="str">
        <f>IFERROR(__xludf.DUMMYFUNCTION("""COMPUTED_VALUE"""),"onigiri-kitty")</f>
        <v>onigiri-kitty</v>
      </c>
      <c r="B8713" s="4" t="str">
        <f>IFERROR(__xludf.DUMMYFUNCTION("""COMPUTED_VALUE"""),"oky")</f>
        <v>oky</v>
      </c>
      <c r="C8713" s="4" t="str">
        <f>IFERROR(__xludf.DUMMYFUNCTION("""COMPUTED_VALUE"""),"Onigiri Kitty")</f>
        <v>Onigiri Kitty</v>
      </c>
    </row>
    <row r="8714">
      <c r="A8714" s="4" t="str">
        <f>IFERROR(__xludf.DUMMYFUNCTION("""COMPUTED_VALUE"""),"oni-token")</f>
        <v>oni-token</v>
      </c>
      <c r="B8714" s="4" t="str">
        <f>IFERROR(__xludf.DUMMYFUNCTION("""COMPUTED_VALUE"""),"oni")</f>
        <v>oni</v>
      </c>
      <c r="C8714" s="4" t="str">
        <f>IFERROR(__xludf.DUMMYFUNCTION("""COMPUTED_VALUE"""),"ONINO")</f>
        <v>ONINO</v>
      </c>
    </row>
    <row r="8715">
      <c r="A8715" s="4" t="str">
        <f>IFERROR(__xludf.DUMMYFUNCTION("""COMPUTED_VALUE"""),"only1")</f>
        <v>only1</v>
      </c>
      <c r="B8715" s="4" t="str">
        <f>IFERROR(__xludf.DUMMYFUNCTION("""COMPUTED_VALUE"""),"like")</f>
        <v>like</v>
      </c>
      <c r="C8715" s="4" t="str">
        <f>IFERROR(__xludf.DUMMYFUNCTION("""COMPUTED_VALUE"""),"Only1")</f>
        <v>Only1</v>
      </c>
    </row>
    <row r="8716">
      <c r="A8716" s="4" t="str">
        <f>IFERROR(__xludf.DUMMYFUNCTION("""COMPUTED_VALUE"""),"onlycockscrypto")</f>
        <v>onlycockscrypto</v>
      </c>
      <c r="B8716" s="4" t="str">
        <f>IFERROR(__xludf.DUMMYFUNCTION("""COMPUTED_VALUE"""),"cox")</f>
        <v>cox</v>
      </c>
      <c r="C8716" s="4" t="str">
        <f>IFERROR(__xludf.DUMMYFUNCTION("""COMPUTED_VALUE"""),"OnlyCocksCrypto")</f>
        <v>OnlyCocksCrypto</v>
      </c>
    </row>
    <row r="8717">
      <c r="A8717" s="4" t="str">
        <f>IFERROR(__xludf.DUMMYFUNCTION("""COMPUTED_VALUE"""),"only-possible-on-ethereum")</f>
        <v>only-possible-on-ethereum</v>
      </c>
      <c r="B8717" s="4" t="str">
        <f>IFERROR(__xludf.DUMMYFUNCTION("""COMPUTED_VALUE"""),"opoe")</f>
        <v>opoe</v>
      </c>
      <c r="C8717" s="4" t="str">
        <f>IFERROR(__xludf.DUMMYFUNCTION("""COMPUTED_VALUE"""),"Only Possible On Ethereum")</f>
        <v>Only Possible On Ethereum</v>
      </c>
    </row>
    <row r="8718">
      <c r="A8718" s="4" t="str">
        <f>IFERROR(__xludf.DUMMYFUNCTION("""COMPUTED_VALUE"""),"only-possible-on-solana")</f>
        <v>only-possible-on-solana</v>
      </c>
      <c r="B8718" s="4" t="str">
        <f>IFERROR(__xludf.DUMMYFUNCTION("""COMPUTED_VALUE"""),"opos")</f>
        <v>opos</v>
      </c>
      <c r="C8718" s="4" t="str">
        <f>IFERROR(__xludf.DUMMYFUNCTION("""COMPUTED_VALUE"""),"Only Possible On Solana")</f>
        <v>Only Possible On Solana</v>
      </c>
    </row>
    <row r="8719">
      <c r="A8719" s="4" t="str">
        <f>IFERROR(__xludf.DUMMYFUNCTION("""COMPUTED_VALUE"""),"onmax")</f>
        <v>onmax</v>
      </c>
      <c r="B8719" s="4" t="str">
        <f>IFERROR(__xludf.DUMMYFUNCTION("""COMPUTED_VALUE"""),"omp")</f>
        <v>omp</v>
      </c>
      <c r="C8719" s="4" t="str">
        <f>IFERROR(__xludf.DUMMYFUNCTION("""COMPUTED_VALUE"""),"Onmax (OLD)")</f>
        <v>Onmax (OLD)</v>
      </c>
    </row>
    <row r="8720">
      <c r="A8720" s="4" t="str">
        <f>IFERROR(__xludf.DUMMYFUNCTION("""COMPUTED_VALUE"""),"onmax-2")</f>
        <v>onmax-2</v>
      </c>
      <c r="B8720" s="4" t="str">
        <f>IFERROR(__xludf.DUMMYFUNCTION("""COMPUTED_VALUE"""),"omp")</f>
        <v>omp</v>
      </c>
      <c r="C8720" s="4" t="str">
        <f>IFERROR(__xludf.DUMMYFUNCTION("""COMPUTED_VALUE"""),"Onmax")</f>
        <v>Onmax</v>
      </c>
    </row>
    <row r="8721">
      <c r="A8721" s="4" t="str">
        <f>IFERROR(__xludf.DUMMYFUNCTION("""COMPUTED_VALUE"""),"onno-vault")</f>
        <v>onno-vault</v>
      </c>
      <c r="B8721" s="4" t="str">
        <f>IFERROR(__xludf.DUMMYFUNCTION("""COMPUTED_VALUE"""),"onno")</f>
        <v>onno</v>
      </c>
      <c r="C8721" s="4" t="str">
        <f>IFERROR(__xludf.DUMMYFUNCTION("""COMPUTED_VALUE"""),"Onno Vault")</f>
        <v>Onno Vault</v>
      </c>
    </row>
    <row r="8722">
      <c r="A8722" s="4" t="str">
        <f>IFERROR(__xludf.DUMMYFUNCTION("""COMPUTED_VALUE"""),"onomy-protocol")</f>
        <v>onomy-protocol</v>
      </c>
      <c r="B8722" s="4" t="str">
        <f>IFERROR(__xludf.DUMMYFUNCTION("""COMPUTED_VALUE"""),"nom")</f>
        <v>nom</v>
      </c>
      <c r="C8722" s="4" t="str">
        <f>IFERROR(__xludf.DUMMYFUNCTION("""COMPUTED_VALUE"""),"Onomy Protocol")</f>
        <v>Onomy Protocol</v>
      </c>
    </row>
    <row r="8723">
      <c r="A8723" s="4" t="str">
        <f>IFERROR(__xludf.DUMMYFUNCTION("""COMPUTED_VALUE"""),"onooks")</f>
        <v>onooks</v>
      </c>
      <c r="B8723" s="4" t="str">
        <f>IFERROR(__xludf.DUMMYFUNCTION("""COMPUTED_VALUE"""),"ooks")</f>
        <v>ooks</v>
      </c>
      <c r="C8723" s="4" t="str">
        <f>IFERROR(__xludf.DUMMYFUNCTION("""COMPUTED_VALUE"""),"Onooks")</f>
        <v>Onooks</v>
      </c>
    </row>
    <row r="8724">
      <c r="A8724" s="4" t="str">
        <f>IFERROR(__xludf.DUMMYFUNCTION("""COMPUTED_VALUE"""),"onpulse")</f>
        <v>onpulse</v>
      </c>
      <c r="B8724" s="4" t="str">
        <f>IFERROR(__xludf.DUMMYFUNCTION("""COMPUTED_VALUE"""),"opls")</f>
        <v>opls</v>
      </c>
      <c r="C8724" s="4" t="str">
        <f>IFERROR(__xludf.DUMMYFUNCTION("""COMPUTED_VALUE"""),"OnPulse")</f>
        <v>OnPulse</v>
      </c>
    </row>
    <row r="8725">
      <c r="A8725" s="4" t="str">
        <f>IFERROR(__xludf.DUMMYFUNCTION("""COMPUTED_VALUE"""),"onston")</f>
        <v>onston</v>
      </c>
      <c r="B8725" s="4" t="str">
        <f>IFERROR(__xludf.DUMMYFUNCTION("""COMPUTED_VALUE"""),"onston")</f>
        <v>onston</v>
      </c>
      <c r="C8725" s="4" t="str">
        <f>IFERROR(__xludf.DUMMYFUNCTION("""COMPUTED_VALUE"""),"Onston")</f>
        <v>Onston</v>
      </c>
    </row>
    <row r="8726">
      <c r="A8726" s="4" t="str">
        <f>IFERROR(__xludf.DUMMYFUNCTION("""COMPUTED_VALUE"""),"ontology")</f>
        <v>ontology</v>
      </c>
      <c r="B8726" s="4" t="str">
        <f>IFERROR(__xludf.DUMMYFUNCTION("""COMPUTED_VALUE"""),"ont")</f>
        <v>ont</v>
      </c>
      <c r="C8726" s="4" t="str">
        <f>IFERROR(__xludf.DUMMYFUNCTION("""COMPUTED_VALUE"""),"Ontology")</f>
        <v>Ontology</v>
      </c>
    </row>
    <row r="8727">
      <c r="A8727" s="4" t="str">
        <f>IFERROR(__xludf.DUMMYFUNCTION("""COMPUTED_VALUE"""),"onus")</f>
        <v>onus</v>
      </c>
      <c r="B8727" s="4" t="str">
        <f>IFERROR(__xludf.DUMMYFUNCTION("""COMPUTED_VALUE"""),"onus")</f>
        <v>onus</v>
      </c>
      <c r="C8727" s="4" t="str">
        <f>IFERROR(__xludf.DUMMYFUNCTION("""COMPUTED_VALUE"""),"ONUS")</f>
        <v>ONUS</v>
      </c>
    </row>
    <row r="8728">
      <c r="A8728" s="4" t="str">
        <f>IFERROR(__xludf.DUMMYFUNCTION("""COMPUTED_VALUE"""),"onx-finance")</f>
        <v>onx-finance</v>
      </c>
      <c r="B8728" s="4" t="str">
        <f>IFERROR(__xludf.DUMMYFUNCTION("""COMPUTED_VALUE"""),"onx")</f>
        <v>onx</v>
      </c>
      <c r="C8728" s="4" t="str">
        <f>IFERROR(__xludf.DUMMYFUNCTION("""COMPUTED_VALUE"""),"OnX Finance")</f>
        <v>OnX Finance</v>
      </c>
    </row>
    <row r="8729">
      <c r="A8729" s="4" t="str">
        <f>IFERROR(__xludf.DUMMYFUNCTION("""COMPUTED_VALUE"""),"oobit")</f>
        <v>oobit</v>
      </c>
      <c r="B8729" s="4" t="str">
        <f>IFERROR(__xludf.DUMMYFUNCTION("""COMPUTED_VALUE"""),"obt")</f>
        <v>obt</v>
      </c>
      <c r="C8729" s="4" t="str">
        <f>IFERROR(__xludf.DUMMYFUNCTION("""COMPUTED_VALUE"""),"Oobit")</f>
        <v>Oobit</v>
      </c>
    </row>
    <row r="8730">
      <c r="A8730" s="4" t="str">
        <f>IFERROR(__xludf.DUMMYFUNCTION("""COMPUTED_VALUE"""),"oof")</f>
        <v>oof</v>
      </c>
      <c r="B8730" s="4" t="str">
        <f>IFERROR(__xludf.DUMMYFUNCTION("""COMPUTED_VALUE"""),"oof")</f>
        <v>oof</v>
      </c>
      <c r="C8730" s="4" t="str">
        <f>IFERROR(__xludf.DUMMYFUNCTION("""COMPUTED_VALUE"""),"OOF")</f>
        <v>OOF</v>
      </c>
    </row>
    <row r="8731">
      <c r="A8731" s="4" t="str">
        <f>IFERROR(__xludf.DUMMYFUNCTION("""COMPUTED_VALUE"""),"oof-2")</f>
        <v>oof-2</v>
      </c>
      <c r="B8731" s="4" t="str">
        <f>IFERROR(__xludf.DUMMYFUNCTION("""COMPUTED_VALUE"""),"oof")</f>
        <v>oof</v>
      </c>
      <c r="C8731" s="4" t="str">
        <f>IFERROR(__xludf.DUMMYFUNCTION("""COMPUTED_VALUE"""),"oof")</f>
        <v>oof</v>
      </c>
    </row>
    <row r="8732">
      <c r="A8732" s="4" t="str">
        <f>IFERROR(__xludf.DUMMYFUNCTION("""COMPUTED_VALUE"""),"oofp")</f>
        <v>oofp</v>
      </c>
      <c r="B8732" s="4" t="str">
        <f>IFERROR(__xludf.DUMMYFUNCTION("""COMPUTED_VALUE"""),"oofp")</f>
        <v>oofp</v>
      </c>
      <c r="C8732" s="4" t="str">
        <f>IFERROR(__xludf.DUMMYFUNCTION("""COMPUTED_VALUE"""),"OOFP")</f>
        <v>OOFP</v>
      </c>
    </row>
    <row r="8733">
      <c r="A8733" s="4" t="str">
        <f>IFERROR(__xludf.DUMMYFUNCTION("""COMPUTED_VALUE"""),"oogi")</f>
        <v>oogi</v>
      </c>
      <c r="B8733" s="4" t="str">
        <f>IFERROR(__xludf.DUMMYFUNCTION("""COMPUTED_VALUE"""),"oogi")</f>
        <v>oogi</v>
      </c>
      <c r="C8733" s="4" t="str">
        <f>IFERROR(__xludf.DUMMYFUNCTION("""COMPUTED_VALUE"""),"OOGI")</f>
        <v>OOGI</v>
      </c>
    </row>
    <row r="8734">
      <c r="A8734" s="4" t="str">
        <f>IFERROR(__xludf.DUMMYFUNCTION("""COMPUTED_VALUE"""),"oogix")</f>
        <v>oogix</v>
      </c>
      <c r="B8734" s="4" t="str">
        <f>IFERROR(__xludf.DUMMYFUNCTION("""COMPUTED_VALUE"""),"oogix")</f>
        <v>oogix</v>
      </c>
      <c r="C8734" s="4" t="str">
        <f>IFERROR(__xludf.DUMMYFUNCTION("""COMPUTED_VALUE"""),"OOGIX")</f>
        <v>OOGIX</v>
      </c>
    </row>
    <row r="8735">
      <c r="A8735" s="4" t="str">
        <f>IFERROR(__xludf.DUMMYFUNCTION("""COMPUTED_VALUE"""),"ookeenga")</f>
        <v>ookeenga</v>
      </c>
      <c r="B8735" s="4" t="str">
        <f>IFERROR(__xludf.DUMMYFUNCTION("""COMPUTED_VALUE"""),"okg")</f>
        <v>okg</v>
      </c>
      <c r="C8735" s="4" t="str">
        <f>IFERROR(__xludf.DUMMYFUNCTION("""COMPUTED_VALUE"""),"Ookeenga")</f>
        <v>Ookeenga</v>
      </c>
    </row>
    <row r="8736">
      <c r="A8736" s="4" t="str">
        <f>IFERROR(__xludf.DUMMYFUNCTION("""COMPUTED_VALUE"""),"ooki")</f>
        <v>ooki</v>
      </c>
      <c r="B8736" s="4" t="str">
        <f>IFERROR(__xludf.DUMMYFUNCTION("""COMPUTED_VALUE"""),"ooki")</f>
        <v>ooki</v>
      </c>
      <c r="C8736" s="4" t="str">
        <f>IFERROR(__xludf.DUMMYFUNCTION("""COMPUTED_VALUE"""),"Ooki")</f>
        <v>Ooki</v>
      </c>
    </row>
    <row r="8737">
      <c r="A8737" s="4" t="str">
        <f>IFERROR(__xludf.DUMMYFUNCTION("""COMPUTED_VALUE"""),"oolong")</f>
        <v>oolong</v>
      </c>
      <c r="B8737" s="4" t="str">
        <f>IFERROR(__xludf.DUMMYFUNCTION("""COMPUTED_VALUE"""),"ウーロン")</f>
        <v>ウーロン</v>
      </c>
      <c r="C8737" s="4" t="str">
        <f>IFERROR(__xludf.DUMMYFUNCTION("""COMPUTED_VALUE"""),"OoLong")</f>
        <v>OoLong</v>
      </c>
    </row>
    <row r="8738">
      <c r="A8738" s="4" t="str">
        <f>IFERROR(__xludf.DUMMYFUNCTION("""COMPUTED_VALUE"""),"oolongswap")</f>
        <v>oolongswap</v>
      </c>
      <c r="B8738" s="4" t="str">
        <f>IFERROR(__xludf.DUMMYFUNCTION("""COMPUTED_VALUE"""),"olo")</f>
        <v>olo</v>
      </c>
      <c r="C8738" s="4" t="str">
        <f>IFERROR(__xludf.DUMMYFUNCTION("""COMPUTED_VALUE"""),"OolongSwap")</f>
        <v>OolongSwap</v>
      </c>
    </row>
    <row r="8739">
      <c r="A8739" s="4" t="str">
        <f>IFERROR(__xludf.DUMMYFUNCTION("""COMPUTED_VALUE"""),"oort")</f>
        <v>oort</v>
      </c>
      <c r="B8739" s="4" t="str">
        <f>IFERROR(__xludf.DUMMYFUNCTION("""COMPUTED_VALUE"""),"oort")</f>
        <v>oort</v>
      </c>
      <c r="C8739" s="4" t="str">
        <f>IFERROR(__xludf.DUMMYFUNCTION("""COMPUTED_VALUE"""),"OORT")</f>
        <v>OORT</v>
      </c>
    </row>
    <row r="8740">
      <c r="A8740" s="4" t="str">
        <f>IFERROR(__xludf.DUMMYFUNCTION("""COMPUTED_VALUE"""),"oort-digital")</f>
        <v>oort-digital</v>
      </c>
      <c r="B8740" s="4" t="str">
        <f>IFERROR(__xludf.DUMMYFUNCTION("""COMPUTED_VALUE"""),"oort")</f>
        <v>oort</v>
      </c>
      <c r="C8740" s="4" t="str">
        <f>IFERROR(__xludf.DUMMYFUNCTION("""COMPUTED_VALUE"""),"Oort Digital")</f>
        <v>Oort Digital</v>
      </c>
    </row>
    <row r="8741">
      <c r="A8741" s="4" t="str">
        <f>IFERROR(__xludf.DUMMYFUNCTION("""COMPUTED_VALUE"""),"opacity")</f>
        <v>opacity</v>
      </c>
      <c r="B8741" s="4" t="str">
        <f>IFERROR(__xludf.DUMMYFUNCTION("""COMPUTED_VALUE"""),"opct")</f>
        <v>opct</v>
      </c>
      <c r="C8741" s="4" t="str">
        <f>IFERROR(__xludf.DUMMYFUNCTION("""COMPUTED_VALUE"""),"Opacity")</f>
        <v>Opacity</v>
      </c>
    </row>
    <row r="8742">
      <c r="A8742" s="4" t="str">
        <f>IFERROR(__xludf.DUMMYFUNCTION("""COMPUTED_VALUE"""),"opal-2")</f>
        <v>opal-2</v>
      </c>
      <c r="B8742" s="4" t="str">
        <f>IFERROR(__xludf.DUMMYFUNCTION("""COMPUTED_VALUE"""),"gem")</f>
        <v>gem</v>
      </c>
      <c r="C8742" s="4" t="str">
        <f>IFERROR(__xludf.DUMMYFUNCTION("""COMPUTED_VALUE"""),"Opal")</f>
        <v>Opal</v>
      </c>
    </row>
    <row r="8743">
      <c r="A8743" s="4" t="str">
        <f>IFERROR(__xludf.DUMMYFUNCTION("""COMPUTED_VALUE"""),"opcat")</f>
        <v>opcat</v>
      </c>
      <c r="B8743" s="4" t="str">
        <f>IFERROR(__xludf.DUMMYFUNCTION("""COMPUTED_VALUE"""),"$opcat")</f>
        <v>$opcat</v>
      </c>
      <c r="C8743" s="4" t="str">
        <f>IFERROR(__xludf.DUMMYFUNCTION("""COMPUTED_VALUE"""),"OPCAT")</f>
        <v>OPCAT</v>
      </c>
    </row>
    <row r="8744">
      <c r="A8744" s="4" t="str">
        <f>IFERROR(__xludf.DUMMYFUNCTION("""COMPUTED_VALUE"""),"op-chads")</f>
        <v>op-chads</v>
      </c>
      <c r="B8744" s="4" t="str">
        <f>IFERROR(__xludf.DUMMYFUNCTION("""COMPUTED_VALUE"""),"opc")</f>
        <v>opc</v>
      </c>
      <c r="C8744" s="4" t="str">
        <f>IFERROR(__xludf.DUMMYFUNCTION("""COMPUTED_VALUE"""),"OP Chads")</f>
        <v>OP Chads</v>
      </c>
    </row>
    <row r="8745">
      <c r="A8745" s="4" t="str">
        <f>IFERROR(__xludf.DUMMYFUNCTION("""COMPUTED_VALUE"""),"opclouds")</f>
        <v>opclouds</v>
      </c>
      <c r="B8745" s="4" t="str">
        <f>IFERROR(__xludf.DUMMYFUNCTION("""COMPUTED_VALUE"""),"opc")</f>
        <v>opc</v>
      </c>
      <c r="C8745" s="4" t="str">
        <f>IFERROR(__xludf.DUMMYFUNCTION("""COMPUTED_VALUE"""),"OpClouds")</f>
        <v>OpClouds</v>
      </c>
    </row>
    <row r="8746">
      <c r="A8746" s="4" t="str">
        <f>IFERROR(__xludf.DUMMYFUNCTION("""COMPUTED_VALUE"""),"openai-erc")</f>
        <v>openai-erc</v>
      </c>
      <c r="B8746" s="4" t="str">
        <f>IFERROR(__xludf.DUMMYFUNCTION("""COMPUTED_VALUE"""),"openai erc")</f>
        <v>openai erc</v>
      </c>
      <c r="C8746" s="4" t="str">
        <f>IFERROR(__xludf.DUMMYFUNCTION("""COMPUTED_VALUE"""),"OpenAI ERC")</f>
        <v>OpenAI ERC</v>
      </c>
    </row>
    <row r="8747">
      <c r="A8747" s="4" t="str">
        <f>IFERROR(__xludf.DUMMYFUNCTION("""COMPUTED_VALUE"""),"openalexa-protocol")</f>
        <v>openalexa-protocol</v>
      </c>
      <c r="B8747" s="4" t="str">
        <f>IFERROR(__xludf.DUMMYFUNCTION("""COMPUTED_VALUE"""),"oap")</f>
        <v>oap</v>
      </c>
      <c r="C8747" s="4" t="str">
        <f>IFERROR(__xludf.DUMMYFUNCTION("""COMPUTED_VALUE"""),"OpenAlexa Protocol")</f>
        <v>OpenAlexa Protocol</v>
      </c>
    </row>
    <row r="8748">
      <c r="A8748" s="4" t="str">
        <f>IFERROR(__xludf.DUMMYFUNCTION("""COMPUTED_VALUE"""),"openanx")</f>
        <v>openanx</v>
      </c>
      <c r="B8748" s="4" t="str">
        <f>IFERROR(__xludf.DUMMYFUNCTION("""COMPUTED_VALUE"""),"oax")</f>
        <v>oax</v>
      </c>
      <c r="C8748" s="4" t="str">
        <f>IFERROR(__xludf.DUMMYFUNCTION("""COMPUTED_VALUE"""),"OAX")</f>
        <v>OAX</v>
      </c>
    </row>
    <row r="8749">
      <c r="A8749" s="4" t="str">
        <f>IFERROR(__xludf.DUMMYFUNCTION("""COMPUTED_VALUE"""),"openbetai")</f>
        <v>openbetai</v>
      </c>
      <c r="B8749" s="4" t="str">
        <f>IFERROR(__xludf.DUMMYFUNCTION("""COMPUTED_VALUE"""),"openbet")</f>
        <v>openbet</v>
      </c>
      <c r="C8749" s="4" t="str">
        <f>IFERROR(__xludf.DUMMYFUNCTION("""COMPUTED_VALUE"""),"OpenbetAI")</f>
        <v>OpenbetAI</v>
      </c>
    </row>
    <row r="8750">
      <c r="A8750" s="4" t="str">
        <f>IFERROR(__xludf.DUMMYFUNCTION("""COMPUTED_VALUE"""),"openblox")</f>
        <v>openblox</v>
      </c>
      <c r="B8750" s="4" t="str">
        <f>IFERROR(__xludf.DUMMYFUNCTION("""COMPUTED_VALUE"""),"obx")</f>
        <v>obx</v>
      </c>
      <c r="C8750" s="4" t="str">
        <f>IFERROR(__xludf.DUMMYFUNCTION("""COMPUTED_VALUE"""),"OpenBlox")</f>
        <v>OpenBlox</v>
      </c>
    </row>
    <row r="8751">
      <c r="A8751" s="4" t="str">
        <f>IFERROR(__xludf.DUMMYFUNCTION("""COMPUTED_VALUE"""),"openchat")</f>
        <v>openchat</v>
      </c>
      <c r="B8751" s="4" t="str">
        <f>IFERROR(__xludf.DUMMYFUNCTION("""COMPUTED_VALUE"""),"chat")</f>
        <v>chat</v>
      </c>
      <c r="C8751" s="4" t="str">
        <f>IFERROR(__xludf.DUMMYFUNCTION("""COMPUTED_VALUE"""),"OpenChat")</f>
        <v>OpenChat</v>
      </c>
    </row>
    <row r="8752">
      <c r="A8752" s="4" t="str">
        <f>IFERROR(__xludf.DUMMYFUNCTION("""COMPUTED_VALUE"""),"opendao")</f>
        <v>opendao</v>
      </c>
      <c r="B8752" s="4" t="str">
        <f>IFERROR(__xludf.DUMMYFUNCTION("""COMPUTED_VALUE"""),"sos")</f>
        <v>sos</v>
      </c>
      <c r="C8752" s="4" t="str">
        <f>IFERROR(__xludf.DUMMYFUNCTION("""COMPUTED_VALUE"""),"OpenDAO")</f>
        <v>OpenDAO</v>
      </c>
    </row>
    <row r="8753">
      <c r="A8753" s="4" t="str">
        <f>IFERROR(__xludf.DUMMYFUNCTION("""COMPUTED_VALUE"""),"open-dollar-governance")</f>
        <v>open-dollar-governance</v>
      </c>
      <c r="B8753" s="4" t="str">
        <f>IFERROR(__xludf.DUMMYFUNCTION("""COMPUTED_VALUE"""),"odg")</f>
        <v>odg</v>
      </c>
      <c r="C8753" s="4" t="str">
        <f>IFERROR(__xludf.DUMMYFUNCTION("""COMPUTED_VALUE"""),"Open Dollar Governance")</f>
        <v>Open Dollar Governance</v>
      </c>
    </row>
    <row r="8754">
      <c r="A8754" s="4" t="str">
        <f>IFERROR(__xludf.DUMMYFUNCTION("""COMPUTED_VALUE"""),"openeden-tbill")</f>
        <v>openeden-tbill</v>
      </c>
      <c r="B8754" s="4" t="str">
        <f>IFERROR(__xludf.DUMMYFUNCTION("""COMPUTED_VALUE"""),"tbill")</f>
        <v>tbill</v>
      </c>
      <c r="C8754" s="4" t="str">
        <f>IFERROR(__xludf.DUMMYFUNCTION("""COMPUTED_VALUE"""),"OpenEden TBILL")</f>
        <v>OpenEden TBILL</v>
      </c>
    </row>
    <row r="8755">
      <c r="A8755" s="4" t="str">
        <f>IFERROR(__xludf.DUMMYFUNCTION("""COMPUTED_VALUE"""),"open-exchange-token")</f>
        <v>open-exchange-token</v>
      </c>
      <c r="B8755" s="4" t="str">
        <f>IFERROR(__xludf.DUMMYFUNCTION("""COMPUTED_VALUE"""),"ox old")</f>
        <v>ox old</v>
      </c>
      <c r="C8755" s="4" t="str">
        <f>IFERROR(__xludf.DUMMYFUNCTION("""COMPUTED_VALUE"""),"Open Exchange Token")</f>
        <v>Open Exchange Token</v>
      </c>
    </row>
    <row r="8756">
      <c r="A8756" s="4" t="str">
        <f>IFERROR(__xludf.DUMMYFUNCTION("""COMPUTED_VALUE"""),"openex-network-token")</f>
        <v>openex-network-token</v>
      </c>
      <c r="B8756" s="4" t="str">
        <f>IFERROR(__xludf.DUMMYFUNCTION("""COMPUTED_VALUE"""),"oex")</f>
        <v>oex</v>
      </c>
      <c r="C8756" s="4" t="str">
        <f>IFERROR(__xludf.DUMMYFUNCTION("""COMPUTED_VALUE"""),"OpenEX Network Token")</f>
        <v>OpenEX Network Token</v>
      </c>
    </row>
    <row r="8757">
      <c r="A8757" s="4" t="str">
        <f>IFERROR(__xludf.DUMMYFUNCTION("""COMPUTED_VALUE"""),"openfabric")</f>
        <v>openfabric</v>
      </c>
      <c r="B8757" s="4" t="str">
        <f>IFERROR(__xludf.DUMMYFUNCTION("""COMPUTED_VALUE"""),"ofn")</f>
        <v>ofn</v>
      </c>
      <c r="C8757" s="4" t="str">
        <f>IFERROR(__xludf.DUMMYFUNCTION("""COMPUTED_VALUE"""),"Openfabric AI")</f>
        <v>Openfabric AI</v>
      </c>
    </row>
    <row r="8758">
      <c r="A8758" s="4" t="str">
        <f>IFERROR(__xludf.DUMMYFUNCTION("""COMPUTED_VALUE"""),"open-games-builders")</f>
        <v>open-games-builders</v>
      </c>
      <c r="B8758" s="4" t="str">
        <f>IFERROR(__xludf.DUMMYFUNCTION("""COMPUTED_VALUE"""),"ogb")</f>
        <v>ogb</v>
      </c>
      <c r="C8758" s="4" t="str">
        <f>IFERROR(__xludf.DUMMYFUNCTION("""COMPUTED_VALUE"""),"Open Games Builders")</f>
        <v>Open Games Builders</v>
      </c>
    </row>
    <row r="8759">
      <c r="A8759" s="4" t="str">
        <f>IFERROR(__xludf.DUMMYFUNCTION("""COMPUTED_VALUE"""),"open-governance-token")</f>
        <v>open-governance-token</v>
      </c>
      <c r="B8759" s="4" t="str">
        <f>IFERROR(__xludf.DUMMYFUNCTION("""COMPUTED_VALUE"""),"open")</f>
        <v>open</v>
      </c>
      <c r="C8759" s="4" t="str">
        <f>IFERROR(__xludf.DUMMYFUNCTION("""COMPUTED_VALUE"""),"OPEN Governance")</f>
        <v>OPEN Governance</v>
      </c>
    </row>
    <row r="8760">
      <c r="A8760" s="4" t="str">
        <f>IFERROR(__xludf.DUMMYFUNCTION("""COMPUTED_VALUE"""),"openleverage")</f>
        <v>openleverage</v>
      </c>
      <c r="B8760" s="4" t="str">
        <f>IFERROR(__xludf.DUMMYFUNCTION("""COMPUTED_VALUE"""),"ole")</f>
        <v>ole</v>
      </c>
      <c r="C8760" s="4" t="str">
        <f>IFERROR(__xludf.DUMMYFUNCTION("""COMPUTED_VALUE"""),"OpenLeverage")</f>
        <v>OpenLeverage</v>
      </c>
    </row>
    <row r="8761">
      <c r="A8761" s="4" t="str">
        <f>IFERROR(__xludf.DUMMYFUNCTION("""COMPUTED_VALUE"""),"openlive-nft")</f>
        <v>openlive-nft</v>
      </c>
      <c r="B8761" s="4" t="str">
        <f>IFERROR(__xludf.DUMMYFUNCTION("""COMPUTED_VALUE"""),"opv")</f>
        <v>opv</v>
      </c>
      <c r="C8761" s="4" t="str">
        <f>IFERROR(__xludf.DUMMYFUNCTION("""COMPUTED_VALUE"""),"OMarket")</f>
        <v>OMarket</v>
      </c>
    </row>
    <row r="8762">
      <c r="A8762" s="4" t="str">
        <f>IFERROR(__xludf.DUMMYFUNCTION("""COMPUTED_VALUE"""),"open-mind-network")</f>
        <v>open-mind-network</v>
      </c>
      <c r="B8762" s="4" t="str">
        <f>IFERROR(__xludf.DUMMYFUNCTION("""COMPUTED_VALUE"""),"opmnd")</f>
        <v>opmnd</v>
      </c>
      <c r="C8762" s="4" t="str">
        <f>IFERROR(__xludf.DUMMYFUNCTION("""COMPUTED_VALUE"""),"Open Mind Network")</f>
        <v>Open Mind Network</v>
      </c>
    </row>
    <row r="8763">
      <c r="A8763" s="4" t="str">
        <f>IFERROR(__xludf.DUMMYFUNCTION("""COMPUTED_VALUE"""),"openocean")</f>
        <v>openocean</v>
      </c>
      <c r="B8763" s="4" t="str">
        <f>IFERROR(__xludf.DUMMYFUNCTION("""COMPUTED_VALUE"""),"ooe")</f>
        <v>ooe</v>
      </c>
      <c r="C8763" s="4" t="str">
        <f>IFERROR(__xludf.DUMMYFUNCTION("""COMPUTED_VALUE"""),"OpenOcean")</f>
        <v>OpenOcean</v>
      </c>
    </row>
    <row r="8764">
      <c r="A8764" s="4" t="str">
        <f>IFERROR(__xludf.DUMMYFUNCTION("""COMPUTED_VALUE"""),"open-platform")</f>
        <v>open-platform</v>
      </c>
      <c r="B8764" s="4" t="str">
        <f>IFERROR(__xludf.DUMMYFUNCTION("""COMPUTED_VALUE"""),"open")</f>
        <v>open</v>
      </c>
      <c r="C8764" s="4" t="str">
        <f>IFERROR(__xludf.DUMMYFUNCTION("""COMPUTED_VALUE"""),"Open Platform")</f>
        <v>Open Platform</v>
      </c>
    </row>
    <row r="8765">
      <c r="A8765" s="4" t="str">
        <f>IFERROR(__xludf.DUMMYFUNCTION("""COMPUTED_VALUE"""),"openpool")</f>
        <v>openpool</v>
      </c>
      <c r="B8765" s="4" t="str">
        <f>IFERROR(__xludf.DUMMYFUNCTION("""COMPUTED_VALUE"""),"opl")</f>
        <v>opl</v>
      </c>
      <c r="C8765" s="4" t="str">
        <f>IFERROR(__xludf.DUMMYFUNCTION("""COMPUTED_VALUE"""),"OpenPool")</f>
        <v>OpenPool</v>
      </c>
    </row>
    <row r="8766">
      <c r="A8766" s="4" t="str">
        <f>IFERROR(__xludf.DUMMYFUNCTION("""COMPUTED_VALUE"""),"opensky-finance")</f>
        <v>opensky-finance</v>
      </c>
      <c r="B8766" s="4" t="str">
        <f>IFERROR(__xludf.DUMMYFUNCTION("""COMPUTED_VALUE"""),"osky")</f>
        <v>osky</v>
      </c>
      <c r="C8766" s="4" t="str">
        <f>IFERROR(__xludf.DUMMYFUNCTION("""COMPUTED_VALUE"""),"OpenSky Finance")</f>
        <v>OpenSky Finance</v>
      </c>
    </row>
    <row r="8767">
      <c r="A8767" s="4" t="str">
        <f>IFERROR(__xludf.DUMMYFUNCTION("""COMPUTED_VALUE"""),"open-source-network")</f>
        <v>open-source-network</v>
      </c>
      <c r="B8767" s="4" t="str">
        <f>IFERROR(__xludf.DUMMYFUNCTION("""COMPUTED_VALUE"""),"opn")</f>
        <v>opn</v>
      </c>
      <c r="C8767" s="4" t="str">
        <f>IFERROR(__xludf.DUMMYFUNCTION("""COMPUTED_VALUE"""),"Open Source Network")</f>
        <v>Open Source Network</v>
      </c>
    </row>
    <row r="8768">
      <c r="A8768" s="4" t="str">
        <f>IFERROR(__xludf.DUMMYFUNCTION("""COMPUTED_VALUE"""),"openswap-token")</f>
        <v>openswap-token</v>
      </c>
      <c r="B8768" s="4" t="str">
        <f>IFERROR(__xludf.DUMMYFUNCTION("""COMPUTED_VALUE"""),"openx")</f>
        <v>openx</v>
      </c>
      <c r="C8768" s="4" t="str">
        <f>IFERROR(__xludf.DUMMYFUNCTION("""COMPUTED_VALUE"""),"OpenSwap.One")</f>
        <v>OpenSwap.One</v>
      </c>
    </row>
    <row r="8769">
      <c r="A8769" s="4" t="str">
        <f>IFERROR(__xludf.DUMMYFUNCTION("""COMPUTED_VALUE"""),"open-ticketing-ecosystem")</f>
        <v>open-ticketing-ecosystem</v>
      </c>
      <c r="B8769" s="4" t="str">
        <f>IFERROR(__xludf.DUMMYFUNCTION("""COMPUTED_VALUE"""),"opn")</f>
        <v>opn</v>
      </c>
      <c r="C8769" s="4" t="str">
        <f>IFERROR(__xludf.DUMMYFUNCTION("""COMPUTED_VALUE"""),"OPEN Ticketing Ecosystem")</f>
        <v>OPEN Ticketing Ecosystem</v>
      </c>
    </row>
    <row r="8770">
      <c r="A8770" s="4" t="str">
        <f>IFERROR(__xludf.DUMMYFUNCTION("""COMPUTED_VALUE"""),"openworldnft")</f>
        <v>openworldnft</v>
      </c>
      <c r="B8770" s="4" t="str">
        <f>IFERROR(__xludf.DUMMYFUNCTION("""COMPUTED_VALUE"""),"owner")</f>
        <v>owner</v>
      </c>
      <c r="C8770" s="4" t="str">
        <f>IFERROR(__xludf.DUMMYFUNCTION("""COMPUTED_VALUE"""),"OPENWORLDNFT")</f>
        <v>OPENWORLDNFT</v>
      </c>
    </row>
    <row r="8771">
      <c r="A8771" s="4" t="str">
        <f>IFERROR(__xludf.DUMMYFUNCTION("""COMPUTED_VALUE"""),"openxswap")</f>
        <v>openxswap</v>
      </c>
      <c r="B8771" s="4" t="str">
        <f>IFERROR(__xludf.DUMMYFUNCTION("""COMPUTED_VALUE"""),"openx")</f>
        <v>openx</v>
      </c>
      <c r="C8771" s="4" t="str">
        <f>IFERROR(__xludf.DUMMYFUNCTION("""COMPUTED_VALUE"""),"OpenXSwap")</f>
        <v>OpenXSwap</v>
      </c>
    </row>
    <row r="8772">
      <c r="A8772" s="4" t="str">
        <f>IFERROR(__xludf.DUMMYFUNCTION("""COMPUTED_VALUE"""),"openxswap-gov-token")</f>
        <v>openxswap-gov-token</v>
      </c>
      <c r="B8772" s="4" t="str">
        <f>IFERROR(__xludf.DUMMYFUNCTION("""COMPUTED_VALUE"""),"xopenx")</f>
        <v>xopenx</v>
      </c>
      <c r="C8772" s="4" t="str">
        <f>IFERROR(__xludf.DUMMYFUNCTION("""COMPUTED_VALUE"""),"OpenXSwap Gov. Token")</f>
        <v>OpenXSwap Gov. Token</v>
      </c>
    </row>
    <row r="8773">
      <c r="A8773" s="4" t="str">
        <f>IFERROR(__xludf.DUMMYFUNCTION("""COMPUTED_VALUE"""),"operation-phoenix")</f>
        <v>operation-phoenix</v>
      </c>
      <c r="B8773" s="4" t="str">
        <f>IFERROR(__xludf.DUMMYFUNCTION("""COMPUTED_VALUE"""),"$ophx")</f>
        <v>$ophx</v>
      </c>
      <c r="C8773" s="4" t="str">
        <f>IFERROR(__xludf.DUMMYFUNCTION("""COMPUTED_VALUE"""),"Operation Phoenix")</f>
        <v>Operation Phoenix</v>
      </c>
    </row>
    <row r="8774">
      <c r="A8774" s="4" t="str">
        <f>IFERROR(__xludf.DUMMYFUNCTION("""COMPUTED_VALUE"""),"operon-origins")</f>
        <v>operon-origins</v>
      </c>
      <c r="B8774" s="4" t="str">
        <f>IFERROR(__xludf.DUMMYFUNCTION("""COMPUTED_VALUE"""),"oro")</f>
        <v>oro</v>
      </c>
      <c r="C8774" s="4" t="str">
        <f>IFERROR(__xludf.DUMMYFUNCTION("""COMPUTED_VALUE"""),"Operon Origins")</f>
        <v>Operon Origins</v>
      </c>
    </row>
    <row r="8775">
      <c r="A8775" s="4" t="str">
        <f>IFERROR(__xludf.DUMMYFUNCTION("""COMPUTED_VALUE"""),"opes-wrapped-pe")</f>
        <v>opes-wrapped-pe</v>
      </c>
      <c r="B8775" s="4" t="str">
        <f>IFERROR(__xludf.DUMMYFUNCTION("""COMPUTED_VALUE"""),"wpe")</f>
        <v>wpe</v>
      </c>
      <c r="C8775" s="4" t="str">
        <f>IFERROR(__xludf.DUMMYFUNCTION("""COMPUTED_VALUE"""),"OpesAI")</f>
        <v>OpesAI</v>
      </c>
    </row>
    <row r="8776">
      <c r="A8776" s="4" t="str">
        <f>IFERROR(__xludf.DUMMYFUNCTION("""COMPUTED_VALUE"""),"opipets")</f>
        <v>opipets</v>
      </c>
      <c r="B8776" s="4" t="str">
        <f>IFERROR(__xludf.DUMMYFUNCTION("""COMPUTED_VALUE"""),"opip")</f>
        <v>opip</v>
      </c>
      <c r="C8776" s="4" t="str">
        <f>IFERROR(__xludf.DUMMYFUNCTION("""COMPUTED_VALUE"""),"OpiPets")</f>
        <v>OpiPets</v>
      </c>
    </row>
    <row r="8777">
      <c r="A8777" s="4" t="str">
        <f>IFERROR(__xludf.DUMMYFUNCTION("""COMPUTED_VALUE"""),"opium")</f>
        <v>opium</v>
      </c>
      <c r="B8777" s="4" t="str">
        <f>IFERROR(__xludf.DUMMYFUNCTION("""COMPUTED_VALUE"""),"opium")</f>
        <v>opium</v>
      </c>
      <c r="C8777" s="4" t="str">
        <f>IFERROR(__xludf.DUMMYFUNCTION("""COMPUTED_VALUE"""),"Opium")</f>
        <v>Opium</v>
      </c>
    </row>
    <row r="8778">
      <c r="A8778" s="4" t="str">
        <f>IFERROR(__xludf.DUMMYFUNCTION("""COMPUTED_VALUE"""),"opmoon")</f>
        <v>opmoon</v>
      </c>
      <c r="B8778" s="4" t="str">
        <f>IFERROR(__xludf.DUMMYFUNCTION("""COMPUTED_VALUE"""),"opmoon")</f>
        <v>opmoon</v>
      </c>
      <c r="C8778" s="4" t="str">
        <f>IFERROR(__xludf.DUMMYFUNCTION("""COMPUTED_VALUE"""),"OpMoon")</f>
        <v>OpMoon</v>
      </c>
    </row>
    <row r="8779">
      <c r="A8779" s="4" t="str">
        <f>IFERROR(__xludf.DUMMYFUNCTION("""COMPUTED_VALUE"""),"oppa")</f>
        <v>oppa</v>
      </c>
      <c r="B8779" s="4" t="str">
        <f>IFERROR(__xludf.DUMMYFUNCTION("""COMPUTED_VALUE"""),"oppa")</f>
        <v>oppa</v>
      </c>
      <c r="C8779" s="4" t="str">
        <f>IFERROR(__xludf.DUMMYFUNCTION("""COMPUTED_VALUE"""),"OPPA")</f>
        <v>OPPA</v>
      </c>
    </row>
    <row r="8780">
      <c r="A8780" s="4" t="str">
        <f>IFERROR(__xludf.DUMMYFUNCTION("""COMPUTED_VALUE"""),"opportunity")</f>
        <v>opportunity</v>
      </c>
      <c r="B8780" s="4" t="str">
        <f>IFERROR(__xludf.DUMMYFUNCTION("""COMPUTED_VALUE"""),"opy")</f>
        <v>opy</v>
      </c>
      <c r="C8780" s="4" t="str">
        <f>IFERROR(__xludf.DUMMYFUNCTION("""COMPUTED_VALUE"""),"OPYx")</f>
        <v>OPYx</v>
      </c>
    </row>
    <row r="8781">
      <c r="A8781" s="4" t="str">
        <f>IFERROR(__xludf.DUMMYFUNCTION("""COMPUTED_VALUE"""),"opsec")</f>
        <v>opsec</v>
      </c>
      <c r="B8781" s="4" t="str">
        <f>IFERROR(__xludf.DUMMYFUNCTION("""COMPUTED_VALUE"""),"opsec")</f>
        <v>opsec</v>
      </c>
      <c r="C8781" s="4" t="str">
        <f>IFERROR(__xludf.DUMMYFUNCTION("""COMPUTED_VALUE"""),"OpSec")</f>
        <v>OpSec</v>
      </c>
    </row>
    <row r="8782">
      <c r="A8782" s="4" t="str">
        <f>IFERROR(__xludf.DUMMYFUNCTION("""COMPUTED_VALUE"""),"optical-bitcoin")</f>
        <v>optical-bitcoin</v>
      </c>
      <c r="B8782" s="4" t="str">
        <f>IFERROR(__xludf.DUMMYFUNCTION("""COMPUTED_VALUE"""),"obtc")</f>
        <v>obtc</v>
      </c>
      <c r="C8782" s="4" t="str">
        <f>IFERROR(__xludf.DUMMYFUNCTION("""COMPUTED_VALUE"""),"Optical Bitcoin")</f>
        <v>Optical Bitcoin</v>
      </c>
    </row>
    <row r="8783">
      <c r="A8783" s="4" t="str">
        <f>IFERROR(__xludf.DUMMYFUNCTION("""COMPUTED_VALUE"""),"opticash")</f>
        <v>opticash</v>
      </c>
      <c r="B8783" s="4" t="str">
        <f>IFERROR(__xludf.DUMMYFUNCTION("""COMPUTED_VALUE"""),"opch")</f>
        <v>opch</v>
      </c>
      <c r="C8783" s="4" t="str">
        <f>IFERROR(__xludf.DUMMYFUNCTION("""COMPUTED_VALUE"""),"Opticash")</f>
        <v>Opticash</v>
      </c>
    </row>
    <row r="8784">
      <c r="A8784" s="4" t="str">
        <f>IFERROR(__xludf.DUMMYFUNCTION("""COMPUTED_VALUE"""),"optim")</f>
        <v>optim</v>
      </c>
      <c r="B8784" s="4" t="str">
        <f>IFERROR(__xludf.DUMMYFUNCTION("""COMPUTED_VALUE"""),"optim")</f>
        <v>optim</v>
      </c>
      <c r="C8784" s="4" t="str">
        <f>IFERROR(__xludf.DUMMYFUNCTION("""COMPUTED_VALUE"""),"OPTIM")</f>
        <v>OPTIM</v>
      </c>
    </row>
    <row r="8785">
      <c r="A8785" s="4" t="str">
        <f>IFERROR(__xludf.DUMMYFUNCTION("""COMPUTED_VALUE"""),"optimism")</f>
        <v>optimism</v>
      </c>
      <c r="B8785" s="4" t="str">
        <f>IFERROR(__xludf.DUMMYFUNCTION("""COMPUTED_VALUE"""),"op")</f>
        <v>op</v>
      </c>
      <c r="C8785" s="4" t="str">
        <f>IFERROR(__xludf.DUMMYFUNCTION("""COMPUTED_VALUE"""),"Optimism")</f>
        <v>Optimism</v>
      </c>
    </row>
    <row r="8786">
      <c r="A8786" s="4" t="str">
        <f>IFERROR(__xludf.DUMMYFUNCTION("""COMPUTED_VALUE"""),"optimus")</f>
        <v>optimus</v>
      </c>
      <c r="B8786" s="4" t="str">
        <f>IFERROR(__xludf.DUMMYFUNCTION("""COMPUTED_VALUE"""),"optcm")</f>
        <v>optcm</v>
      </c>
      <c r="C8786" s="4" t="str">
        <f>IFERROR(__xludf.DUMMYFUNCTION("""COMPUTED_VALUE"""),"Optimus")</f>
        <v>Optimus</v>
      </c>
    </row>
    <row r="8787">
      <c r="A8787" s="4" t="str">
        <f>IFERROR(__xludf.DUMMYFUNCTION("""COMPUTED_VALUE"""),"optimus-ai")</f>
        <v>optimus-ai</v>
      </c>
      <c r="B8787" s="4" t="str">
        <f>IFERROR(__xludf.DUMMYFUNCTION("""COMPUTED_VALUE"""),"opti")</f>
        <v>opti</v>
      </c>
      <c r="C8787" s="4" t="str">
        <f>IFERROR(__xludf.DUMMYFUNCTION("""COMPUTED_VALUE"""),"Optimus AI")</f>
        <v>Optimus AI</v>
      </c>
    </row>
    <row r="8788">
      <c r="A8788" s="4" t="str">
        <f>IFERROR(__xludf.DUMMYFUNCTION("""COMPUTED_VALUE"""),"optimus-al-bsc")</f>
        <v>optimus-al-bsc</v>
      </c>
      <c r="B8788" s="4" t="str">
        <f>IFERROR(__xludf.DUMMYFUNCTION("""COMPUTED_VALUE"""),"optimus al")</f>
        <v>optimus al</v>
      </c>
      <c r="C8788" s="4" t="str">
        <f>IFERROR(__xludf.DUMMYFUNCTION("""COMPUTED_VALUE"""),"Optimus Al (BSC)")</f>
        <v>Optimus Al (BSC)</v>
      </c>
    </row>
    <row r="8789">
      <c r="A8789" s="4" t="str">
        <f>IFERROR(__xludf.DUMMYFUNCTION("""COMPUTED_VALUE"""),"optimuselonai")</f>
        <v>optimuselonai</v>
      </c>
      <c r="B8789" s="4" t="str">
        <f>IFERROR(__xludf.DUMMYFUNCTION("""COMPUTED_VALUE"""),"optimuselo")</f>
        <v>optimuselo</v>
      </c>
      <c r="C8789" s="4" t="str">
        <f>IFERROR(__xludf.DUMMYFUNCTION("""COMPUTED_VALUE"""),"OptimusElonAI")</f>
        <v>OptimusElonAI</v>
      </c>
    </row>
    <row r="8790">
      <c r="A8790" s="4" t="str">
        <f>IFERROR(__xludf.DUMMYFUNCTION("""COMPUTED_VALUE"""),"optimus-inu")</f>
        <v>optimus-inu</v>
      </c>
      <c r="B8790" s="4" t="str">
        <f>IFERROR(__xludf.DUMMYFUNCTION("""COMPUTED_VALUE"""),"opinu")</f>
        <v>opinu</v>
      </c>
      <c r="C8790" s="4" t="str">
        <f>IFERROR(__xludf.DUMMYFUNCTION("""COMPUTED_VALUE"""),"Optimus Inu")</f>
        <v>Optimus Inu</v>
      </c>
    </row>
    <row r="8791">
      <c r="A8791" s="4" t="str">
        <f>IFERROR(__xludf.DUMMYFUNCTION("""COMPUTED_VALUE"""),"optimus-x")</f>
        <v>optimus-x</v>
      </c>
      <c r="B8791" s="4" t="str">
        <f>IFERROR(__xludf.DUMMYFUNCTION("""COMPUTED_VALUE"""),"opx")</f>
        <v>opx</v>
      </c>
      <c r="C8791" s="4" t="str">
        <f>IFERROR(__xludf.DUMMYFUNCTION("""COMPUTED_VALUE"""),"Optimus X")</f>
        <v>Optimus X</v>
      </c>
    </row>
    <row r="8792">
      <c r="A8792" s="4" t="str">
        <f>IFERROR(__xludf.DUMMYFUNCTION("""COMPUTED_VALUE"""),"optionflow-finance")</f>
        <v>optionflow-finance</v>
      </c>
      <c r="B8792" s="4" t="str">
        <f>IFERROR(__xludf.DUMMYFUNCTION("""COMPUTED_VALUE"""),"opt")</f>
        <v>opt</v>
      </c>
      <c r="C8792" s="4" t="str">
        <f>IFERROR(__xludf.DUMMYFUNCTION("""COMPUTED_VALUE"""),"OptionFlow Finance")</f>
        <v>OptionFlow Finance</v>
      </c>
    </row>
    <row r="8793">
      <c r="A8793" s="4" t="str">
        <f>IFERROR(__xludf.DUMMYFUNCTION("""COMPUTED_VALUE"""),"option-panda-platform")</f>
        <v>option-panda-platform</v>
      </c>
      <c r="B8793" s="4" t="str">
        <f>IFERROR(__xludf.DUMMYFUNCTION("""COMPUTED_VALUE"""),"opa")</f>
        <v>opa</v>
      </c>
      <c r="C8793" s="4" t="str">
        <f>IFERROR(__xludf.DUMMYFUNCTION("""COMPUTED_VALUE"""),"Option Panda Platform")</f>
        <v>Option Panda Platform</v>
      </c>
    </row>
    <row r="8794">
      <c r="A8794" s="4" t="str">
        <f>IFERROR(__xludf.DUMMYFUNCTION("""COMPUTED_VALUE"""),"option-room")</f>
        <v>option-room</v>
      </c>
      <c r="B8794" s="4" t="str">
        <f>IFERROR(__xludf.DUMMYFUNCTION("""COMPUTED_VALUE"""),"room")</f>
        <v>room</v>
      </c>
      <c r="C8794" s="4" t="str">
        <f>IFERROR(__xludf.DUMMYFUNCTION("""COMPUTED_VALUE"""),"OptionRoom")</f>
        <v>OptionRoom</v>
      </c>
    </row>
    <row r="8795">
      <c r="A8795" s="4" t="str">
        <f>IFERROR(__xludf.DUMMYFUNCTION("""COMPUTED_VALUE"""),"opulous")</f>
        <v>opulous</v>
      </c>
      <c r="B8795" s="4" t="str">
        <f>IFERROR(__xludf.DUMMYFUNCTION("""COMPUTED_VALUE"""),"opul")</f>
        <v>opul</v>
      </c>
      <c r="C8795" s="4" t="str">
        <f>IFERROR(__xludf.DUMMYFUNCTION("""COMPUTED_VALUE"""),"Opulous")</f>
        <v>Opulous</v>
      </c>
    </row>
    <row r="8796">
      <c r="A8796" s="4" t="str">
        <f>IFERROR(__xludf.DUMMYFUNCTION("""COMPUTED_VALUE"""),"opx-finance")</f>
        <v>opx-finance</v>
      </c>
      <c r="B8796" s="4" t="str">
        <f>IFERROR(__xludf.DUMMYFUNCTION("""COMPUTED_VALUE"""),"opx")</f>
        <v>opx</v>
      </c>
      <c r="C8796" s="4" t="str">
        <f>IFERROR(__xludf.DUMMYFUNCTION("""COMPUTED_VALUE"""),"OPX Finance")</f>
        <v>OPX Finance</v>
      </c>
    </row>
    <row r="8797">
      <c r="A8797" s="4" t="str">
        <f>IFERROR(__xludf.DUMMYFUNCTION("""COMPUTED_VALUE"""),"opxsliz")</f>
        <v>opxsliz</v>
      </c>
      <c r="B8797" s="4" t="str">
        <f>IFERROR(__xludf.DUMMYFUNCTION("""COMPUTED_VALUE"""),"opxvesliz")</f>
        <v>opxvesliz</v>
      </c>
      <c r="C8797" s="4" t="str">
        <f>IFERROR(__xludf.DUMMYFUNCTION("""COMPUTED_VALUE"""),"opxSliz")</f>
        <v>opxSliz</v>
      </c>
    </row>
    <row r="8798">
      <c r="A8798" s="4" t="str">
        <f>IFERROR(__xludf.DUMMYFUNCTION("""COMPUTED_VALUE"""),"opyn-squeeth")</f>
        <v>opyn-squeeth</v>
      </c>
      <c r="B8798" s="4" t="str">
        <f>IFERROR(__xludf.DUMMYFUNCTION("""COMPUTED_VALUE"""),"osqth")</f>
        <v>osqth</v>
      </c>
      <c r="C8798" s="4" t="str">
        <f>IFERROR(__xludf.DUMMYFUNCTION("""COMPUTED_VALUE"""),"Opyn Squeeth")</f>
        <v>Opyn Squeeth</v>
      </c>
    </row>
    <row r="8799">
      <c r="A8799" s="4" t="str">
        <f>IFERROR(__xludf.DUMMYFUNCTION("""COMPUTED_VALUE"""),"oracle-2")</f>
        <v>oracle-2</v>
      </c>
      <c r="B8799" s="4" t="str">
        <f>IFERROR(__xludf.DUMMYFUNCTION("""COMPUTED_VALUE"""),"oracle")</f>
        <v>oracle</v>
      </c>
      <c r="C8799" s="4" t="str">
        <f>IFERROR(__xludf.DUMMYFUNCTION("""COMPUTED_VALUE"""),"ORACLE")</f>
        <v>ORACLE</v>
      </c>
    </row>
    <row r="8800">
      <c r="A8800" s="4" t="str">
        <f>IFERROR(__xludf.DUMMYFUNCTION("""COMPUTED_VALUE"""),"oracle-ai")</f>
        <v>oracle-ai</v>
      </c>
      <c r="B8800" s="4" t="str">
        <f>IFERROR(__xludf.DUMMYFUNCTION("""COMPUTED_VALUE"""),"oracle")</f>
        <v>oracle</v>
      </c>
      <c r="C8800" s="4" t="str">
        <f>IFERROR(__xludf.DUMMYFUNCTION("""COMPUTED_VALUE"""),"Oracle AI")</f>
        <v>Oracle AI</v>
      </c>
    </row>
    <row r="8801">
      <c r="A8801" s="4" t="str">
        <f>IFERROR(__xludf.DUMMYFUNCTION("""COMPUTED_VALUE"""),"oracle-bot")</f>
        <v>oracle-bot</v>
      </c>
      <c r="B8801" s="4" t="str">
        <f>IFERROR(__xludf.DUMMYFUNCTION("""COMPUTED_VALUE"""),"oracle")</f>
        <v>oracle</v>
      </c>
      <c r="C8801" s="4" t="str">
        <f>IFERROR(__xludf.DUMMYFUNCTION("""COMPUTED_VALUE"""),"Oracle.Bot")</f>
        <v>Oracle.Bot</v>
      </c>
    </row>
    <row r="8802">
      <c r="A8802" s="4" t="str">
        <f>IFERROR(__xludf.DUMMYFUNCTION("""COMPUTED_VALUE"""),"oraclechain")</f>
        <v>oraclechain</v>
      </c>
      <c r="B8802" s="4" t="str">
        <f>IFERROR(__xludf.DUMMYFUNCTION("""COMPUTED_VALUE"""),"oct")</f>
        <v>oct</v>
      </c>
      <c r="C8802" s="4" t="str">
        <f>IFERROR(__xludf.DUMMYFUNCTION("""COMPUTED_VALUE"""),"OracleChain")</f>
        <v>OracleChain</v>
      </c>
    </row>
    <row r="8803">
      <c r="A8803" s="4" t="str">
        <f>IFERROR(__xludf.DUMMYFUNCTION("""COMPUTED_VALUE"""),"oracle-layer2")</f>
        <v>oracle-layer2</v>
      </c>
      <c r="B8803" s="4" t="str">
        <f>IFERROR(__xludf.DUMMYFUNCTION("""COMPUTED_VALUE"""),"oracle")</f>
        <v>oracle</v>
      </c>
      <c r="C8803" s="4" t="str">
        <f>IFERROR(__xludf.DUMMYFUNCTION("""COMPUTED_VALUE"""),"Oracle Layer2")</f>
        <v>Oracle Layer2</v>
      </c>
    </row>
    <row r="8804">
      <c r="A8804" s="4" t="str">
        <f>IFERROR(__xludf.DUMMYFUNCTION("""COMPUTED_VALUE"""),"oracle-meta-technologies")</f>
        <v>oracle-meta-technologies</v>
      </c>
      <c r="B8804" s="4" t="str">
        <f>IFERROR(__xludf.DUMMYFUNCTION("""COMPUTED_VALUE"""),"omt")</f>
        <v>omt</v>
      </c>
      <c r="C8804" s="4" t="str">
        <f>IFERROR(__xludf.DUMMYFUNCTION("""COMPUTED_VALUE"""),"Oracle Meta Technologies")</f>
        <v>Oracle Meta Technologies</v>
      </c>
    </row>
    <row r="8805">
      <c r="A8805" s="4" t="str">
        <f>IFERROR(__xludf.DUMMYFUNCTION("""COMPUTED_VALUE"""),"oracleswap")</f>
        <v>oracleswap</v>
      </c>
      <c r="B8805" s="4" t="str">
        <f>IFERROR(__xludf.DUMMYFUNCTION("""COMPUTED_VALUE"""),"oracle")</f>
        <v>oracle</v>
      </c>
      <c r="C8805" s="4" t="str">
        <f>IFERROR(__xludf.DUMMYFUNCTION("""COMPUTED_VALUE"""),"OracleSwap")</f>
        <v>OracleSwap</v>
      </c>
    </row>
    <row r="8806">
      <c r="A8806" s="4" t="str">
        <f>IFERROR(__xludf.DUMMYFUNCTION("""COMPUTED_VALUE"""),"oracle-tools")</f>
        <v>oracle-tools</v>
      </c>
      <c r="B8806" s="4" t="str">
        <f>IFERROR(__xludf.DUMMYFUNCTION("""COMPUTED_VALUE"""),"ot")</f>
        <v>ot</v>
      </c>
      <c r="C8806" s="4" t="str">
        <f>IFERROR(__xludf.DUMMYFUNCTION("""COMPUTED_VALUE"""),"Oracle Tools")</f>
        <v>Oracle Tools</v>
      </c>
    </row>
    <row r="8807">
      <c r="A8807" s="4" t="str">
        <f>IFERROR(__xludf.DUMMYFUNCTION("""COMPUTED_VALUE"""),"oraichain-token")</f>
        <v>oraichain-token</v>
      </c>
      <c r="B8807" s="4" t="str">
        <f>IFERROR(__xludf.DUMMYFUNCTION("""COMPUTED_VALUE"""),"orai")</f>
        <v>orai</v>
      </c>
      <c r="C8807" s="4" t="str">
        <f>IFERROR(__xludf.DUMMYFUNCTION("""COMPUTED_VALUE"""),"Oraichain")</f>
        <v>Oraichain</v>
      </c>
    </row>
    <row r="8808">
      <c r="A8808" s="4" t="str">
        <f>IFERROR(__xludf.DUMMYFUNCTION("""COMPUTED_VALUE"""),"oraidex")</f>
        <v>oraidex</v>
      </c>
      <c r="B8808" s="4" t="str">
        <f>IFERROR(__xludf.DUMMYFUNCTION("""COMPUTED_VALUE"""),"oraix")</f>
        <v>oraix</v>
      </c>
      <c r="C8808" s="4" t="str">
        <f>IFERROR(__xludf.DUMMYFUNCTION("""COMPUTED_VALUE"""),"OraiDEX")</f>
        <v>OraiDEX</v>
      </c>
    </row>
    <row r="8809">
      <c r="A8809" s="4" t="str">
        <f>IFERROR(__xludf.DUMMYFUNCTION("""COMPUTED_VALUE"""),"orang")</f>
        <v>orang</v>
      </c>
      <c r="B8809" s="4" t="str">
        <f>IFERROR(__xludf.DUMMYFUNCTION("""COMPUTED_VALUE"""),"orang")</f>
        <v>orang</v>
      </c>
      <c r="C8809" s="4" t="str">
        <f>IFERROR(__xludf.DUMMYFUNCTION("""COMPUTED_VALUE"""),"Orang")</f>
        <v>Orang</v>
      </c>
    </row>
    <row r="8810">
      <c r="A8810" s="4" t="str">
        <f>IFERROR(__xludf.DUMMYFUNCTION("""COMPUTED_VALUE"""),"orange")</f>
        <v>orange</v>
      </c>
      <c r="B8810" s="4" t="str">
        <f>IFERROR(__xludf.DUMMYFUNCTION("""COMPUTED_VALUE"""),"ornj")</f>
        <v>ornj</v>
      </c>
      <c r="C8810" s="4" t="str">
        <f>IFERROR(__xludf.DUMMYFUNCTION("""COMPUTED_VALUE"""),"Orange")</f>
        <v>Orange</v>
      </c>
    </row>
    <row r="8811">
      <c r="A8811" s="4" t="str">
        <f>IFERROR(__xludf.DUMMYFUNCTION("""COMPUTED_VALUE"""),"orange-bot")</f>
        <v>orange-bot</v>
      </c>
      <c r="B8811" s="4" t="str">
        <f>IFERROR(__xludf.DUMMYFUNCTION("""COMPUTED_VALUE"""),"orbot")</f>
        <v>orbot</v>
      </c>
      <c r="C8811" s="4" t="str">
        <f>IFERROR(__xludf.DUMMYFUNCTION("""COMPUTED_VALUE"""),"Orange BOT")</f>
        <v>Orange BOT</v>
      </c>
    </row>
    <row r="8812">
      <c r="A8812" s="4" t="str">
        <f>IFERROR(__xludf.DUMMYFUNCTION("""COMPUTED_VALUE"""),"orangedx")</f>
        <v>orangedx</v>
      </c>
      <c r="B8812" s="4" t="str">
        <f>IFERROR(__xludf.DUMMYFUNCTION("""COMPUTED_VALUE"""),"o4dx")</f>
        <v>o4dx</v>
      </c>
      <c r="C8812" s="4" t="str">
        <f>IFERROR(__xludf.DUMMYFUNCTION("""COMPUTED_VALUE"""),"OrangeDX")</f>
        <v>OrangeDX</v>
      </c>
    </row>
    <row r="8813">
      <c r="A8813" s="4" t="str">
        <f>IFERROR(__xludf.DUMMYFUNCTION("""COMPUTED_VALUE"""),"orao-network")</f>
        <v>orao-network</v>
      </c>
      <c r="B8813" s="4" t="str">
        <f>IFERROR(__xludf.DUMMYFUNCTION("""COMPUTED_VALUE"""),"orao")</f>
        <v>orao</v>
      </c>
      <c r="C8813" s="4" t="str">
        <f>IFERROR(__xludf.DUMMYFUNCTION("""COMPUTED_VALUE"""),"ORAO Network")</f>
        <v>ORAO Network</v>
      </c>
    </row>
    <row r="8814">
      <c r="A8814" s="4" t="str">
        <f>IFERROR(__xludf.DUMMYFUNCTION("""COMPUTED_VALUE"""),"orbeon-protocol")</f>
        <v>orbeon-protocol</v>
      </c>
      <c r="B8814" s="4" t="str">
        <f>IFERROR(__xludf.DUMMYFUNCTION("""COMPUTED_VALUE"""),"orbn")</f>
        <v>orbn</v>
      </c>
      <c r="C8814" s="4" t="str">
        <f>IFERROR(__xludf.DUMMYFUNCTION("""COMPUTED_VALUE"""),"Orbeon Protocol")</f>
        <v>Orbeon Protocol</v>
      </c>
    </row>
    <row r="8815">
      <c r="A8815" s="4" t="str">
        <f>IFERROR(__xludf.DUMMYFUNCTION("""COMPUTED_VALUE"""),"orbit-bridge-klaytn-belt")</f>
        <v>orbit-bridge-klaytn-belt</v>
      </c>
      <c r="B8815" s="4" t="str">
        <f>IFERROR(__xludf.DUMMYFUNCTION("""COMPUTED_VALUE"""),"obelt")</f>
        <v>obelt</v>
      </c>
      <c r="C8815" s="4" t="str">
        <f>IFERROR(__xludf.DUMMYFUNCTION("""COMPUTED_VALUE"""),"Orbit Bridge Klaytn BELT")</f>
        <v>Orbit Bridge Klaytn BELT</v>
      </c>
    </row>
    <row r="8816">
      <c r="A8816" s="4" t="str">
        <f>IFERROR(__xludf.DUMMYFUNCTION("""COMPUTED_VALUE"""),"orbit-bridge-klaytn-binance-coin")</f>
        <v>orbit-bridge-klaytn-binance-coin</v>
      </c>
      <c r="B8816" s="4" t="str">
        <f>IFERROR(__xludf.DUMMYFUNCTION("""COMPUTED_VALUE"""),"obnb")</f>
        <v>obnb</v>
      </c>
      <c r="C8816" s="4" t="str">
        <f>IFERROR(__xludf.DUMMYFUNCTION("""COMPUTED_VALUE"""),"Orbit Bridge Klaytn Binance Coin")</f>
        <v>Orbit Bridge Klaytn Binance Coin</v>
      </c>
    </row>
    <row r="8817">
      <c r="A8817" s="4" t="str">
        <f>IFERROR(__xludf.DUMMYFUNCTION("""COMPUTED_VALUE"""),"orbit-bridge-klaytn-ethereum")</f>
        <v>orbit-bridge-klaytn-ethereum</v>
      </c>
      <c r="B8817" s="4" t="str">
        <f>IFERROR(__xludf.DUMMYFUNCTION("""COMPUTED_VALUE"""),"oeth")</f>
        <v>oeth</v>
      </c>
      <c r="C8817" s="4" t="str">
        <f>IFERROR(__xludf.DUMMYFUNCTION("""COMPUTED_VALUE"""),"Orbit Bridge Klaytn Ethereum")</f>
        <v>Orbit Bridge Klaytn Ethereum</v>
      </c>
    </row>
    <row r="8818">
      <c r="A8818" s="4" t="str">
        <f>IFERROR(__xludf.DUMMYFUNCTION("""COMPUTED_VALUE"""),"orbit-bridge-klaytn-handy")</f>
        <v>orbit-bridge-klaytn-handy</v>
      </c>
      <c r="B8818" s="4" t="str">
        <f>IFERROR(__xludf.DUMMYFUNCTION("""COMPUTED_VALUE"""),"ohandy")</f>
        <v>ohandy</v>
      </c>
      <c r="C8818" s="4" t="str">
        <f>IFERROR(__xludf.DUMMYFUNCTION("""COMPUTED_VALUE"""),"Orbit Bridge Klaytn Handy")</f>
        <v>Orbit Bridge Klaytn Handy</v>
      </c>
    </row>
    <row r="8819">
      <c r="A8819" s="4" t="str">
        <f>IFERROR(__xludf.DUMMYFUNCTION("""COMPUTED_VALUE"""),"orbit-bridge-klaytn-matic")</f>
        <v>orbit-bridge-klaytn-matic</v>
      </c>
      <c r="B8819" s="4" t="str">
        <f>IFERROR(__xludf.DUMMYFUNCTION("""COMPUTED_VALUE"""),"omatic")</f>
        <v>omatic</v>
      </c>
      <c r="C8819" s="4" t="str">
        <f>IFERROR(__xludf.DUMMYFUNCTION("""COMPUTED_VALUE"""),"Orbit Bridge Klaytn MATIC")</f>
        <v>Orbit Bridge Klaytn MATIC</v>
      </c>
    </row>
    <row r="8820">
      <c r="A8820" s="4" t="str">
        <f>IFERROR(__xludf.DUMMYFUNCTION("""COMPUTED_VALUE"""),"orbit-bridge-klaytn-orbit-chain")</f>
        <v>orbit-bridge-klaytn-orbit-chain</v>
      </c>
      <c r="B8820" s="4" t="str">
        <f>IFERROR(__xludf.DUMMYFUNCTION("""COMPUTED_VALUE"""),"oorc")</f>
        <v>oorc</v>
      </c>
      <c r="C8820" s="4" t="str">
        <f>IFERROR(__xludf.DUMMYFUNCTION("""COMPUTED_VALUE"""),"Orbit Bridge Klaytn Orbit Chain")</f>
        <v>Orbit Bridge Klaytn Orbit Chain</v>
      </c>
    </row>
    <row r="8821">
      <c r="A8821" s="4" t="str">
        <f>IFERROR(__xludf.DUMMYFUNCTION("""COMPUTED_VALUE"""),"orbit-bridge-klaytn-ripple")</f>
        <v>orbit-bridge-klaytn-ripple</v>
      </c>
      <c r="B8821" s="4" t="str">
        <f>IFERROR(__xludf.DUMMYFUNCTION("""COMPUTED_VALUE"""),"oxrp")</f>
        <v>oxrp</v>
      </c>
      <c r="C8821" s="4" t="str">
        <f>IFERROR(__xludf.DUMMYFUNCTION("""COMPUTED_VALUE"""),"Orbit Bridge Klaytn Ripple")</f>
        <v>Orbit Bridge Klaytn Ripple</v>
      </c>
    </row>
    <row r="8822">
      <c r="A8822" s="4" t="str">
        <f>IFERROR(__xludf.DUMMYFUNCTION("""COMPUTED_VALUE"""),"orbit-bridge-klaytn-usdc")</f>
        <v>orbit-bridge-klaytn-usdc</v>
      </c>
      <c r="B8822" s="4" t="str">
        <f>IFERROR(__xludf.DUMMYFUNCTION("""COMPUTED_VALUE"""),"ousdc")</f>
        <v>ousdc</v>
      </c>
      <c r="C8822" s="4" t="str">
        <f>IFERROR(__xludf.DUMMYFUNCTION("""COMPUTED_VALUE"""),"Bridged USD Coin (Orbit Bridge)")</f>
        <v>Bridged USD Coin (Orbit Bridge)</v>
      </c>
    </row>
    <row r="8823">
      <c r="A8823" s="4" t="str">
        <f>IFERROR(__xludf.DUMMYFUNCTION("""COMPUTED_VALUE"""),"orbit-bridge-klaytn-usd-tether")</f>
        <v>orbit-bridge-klaytn-usd-tether</v>
      </c>
      <c r="B8823" s="4" t="str">
        <f>IFERROR(__xludf.DUMMYFUNCTION("""COMPUTED_VALUE"""),"ousdt")</f>
        <v>ousdt</v>
      </c>
      <c r="C8823" s="4" t="str">
        <f>IFERROR(__xludf.DUMMYFUNCTION("""COMPUTED_VALUE"""),"Bridged Tether (Orbit Bridge)")</f>
        <v>Bridged Tether (Orbit Bridge)</v>
      </c>
    </row>
    <row r="8824">
      <c r="A8824" s="4" t="str">
        <f>IFERROR(__xludf.DUMMYFUNCTION("""COMPUTED_VALUE"""),"orbit-bridge-klaytn-wrapped-btc")</f>
        <v>orbit-bridge-klaytn-wrapped-btc</v>
      </c>
      <c r="B8824" s="4" t="str">
        <f>IFERROR(__xludf.DUMMYFUNCTION("""COMPUTED_VALUE"""),"owbtc")</f>
        <v>owbtc</v>
      </c>
      <c r="C8824" s="4" t="str">
        <f>IFERROR(__xludf.DUMMYFUNCTION("""COMPUTED_VALUE"""),"Orbit Bridge Klaytn Wrapped BTC")</f>
        <v>Orbit Bridge Klaytn Wrapped BTC</v>
      </c>
    </row>
    <row r="8825">
      <c r="A8825" s="4" t="str">
        <f>IFERROR(__xludf.DUMMYFUNCTION("""COMPUTED_VALUE"""),"orbit-chain")</f>
        <v>orbit-chain</v>
      </c>
      <c r="B8825" s="4" t="str">
        <f>IFERROR(__xludf.DUMMYFUNCTION("""COMPUTED_VALUE"""),"orc")</f>
        <v>orc</v>
      </c>
      <c r="C8825" s="4" t="str">
        <f>IFERROR(__xludf.DUMMYFUNCTION("""COMPUTED_VALUE"""),"Orbit Chain")</f>
        <v>Orbit Chain</v>
      </c>
    </row>
    <row r="8826">
      <c r="A8826" s="4" t="str">
        <f>IFERROR(__xludf.DUMMYFUNCTION("""COMPUTED_VALUE"""),"orbitpad")</f>
        <v>orbitpad</v>
      </c>
      <c r="B8826" s="4" t="str">
        <f>IFERROR(__xludf.DUMMYFUNCTION("""COMPUTED_VALUE"""),"opad")</f>
        <v>opad</v>
      </c>
      <c r="C8826" s="4" t="str">
        <f>IFERROR(__xludf.DUMMYFUNCTION("""COMPUTED_VALUE"""),"Orbitpad")</f>
        <v>Orbitpad</v>
      </c>
    </row>
    <row r="8827">
      <c r="A8827" s="4" t="str">
        <f>IFERROR(__xludf.DUMMYFUNCTION("""COMPUTED_VALUE"""),"orbit-protocol")</f>
        <v>orbit-protocol</v>
      </c>
      <c r="B8827" s="4" t="str">
        <f>IFERROR(__xludf.DUMMYFUNCTION("""COMPUTED_VALUE"""),"orbit")</f>
        <v>orbit</v>
      </c>
      <c r="C8827" s="4" t="str">
        <f>IFERROR(__xludf.DUMMYFUNCTION("""COMPUTED_VALUE"""),"Orbit Protocol")</f>
        <v>Orbit Protocol</v>
      </c>
    </row>
    <row r="8828">
      <c r="A8828" s="4" t="str">
        <f>IFERROR(__xludf.DUMMYFUNCTION("""COMPUTED_VALUE"""),"orbitt-pro")</f>
        <v>orbitt-pro</v>
      </c>
      <c r="B8828" s="4" t="str">
        <f>IFERROR(__xludf.DUMMYFUNCTION("""COMPUTED_VALUE"""),"orbt")</f>
        <v>orbt</v>
      </c>
      <c r="C8828" s="4" t="str">
        <f>IFERROR(__xludf.DUMMYFUNCTION("""COMPUTED_VALUE"""),"Orbitt Pro")</f>
        <v>Orbitt Pro</v>
      </c>
    </row>
    <row r="8829">
      <c r="A8829" s="4" t="str">
        <f>IFERROR(__xludf.DUMMYFUNCTION("""COMPUTED_VALUE"""),"orbler")</f>
        <v>orbler</v>
      </c>
      <c r="B8829" s="4" t="str">
        <f>IFERROR(__xludf.DUMMYFUNCTION("""COMPUTED_VALUE"""),"orbr")</f>
        <v>orbr</v>
      </c>
      <c r="C8829" s="4" t="str">
        <f>IFERROR(__xludf.DUMMYFUNCTION("""COMPUTED_VALUE"""),"Orbler")</f>
        <v>Orbler</v>
      </c>
    </row>
    <row r="8830">
      <c r="A8830" s="4" t="str">
        <f>IFERROR(__xludf.DUMMYFUNCTION("""COMPUTED_VALUE"""),"orbofi-ai")</f>
        <v>orbofi-ai</v>
      </c>
      <c r="B8830" s="4" t="str">
        <f>IFERROR(__xludf.DUMMYFUNCTION("""COMPUTED_VALUE"""),"obi")</f>
        <v>obi</v>
      </c>
      <c r="C8830" s="4" t="str">
        <f>IFERROR(__xludf.DUMMYFUNCTION("""COMPUTED_VALUE"""),"Orbofi AI")</f>
        <v>Orbofi AI</v>
      </c>
    </row>
    <row r="8831">
      <c r="A8831" s="4" t="str">
        <f>IFERROR(__xludf.DUMMYFUNCTION("""COMPUTED_VALUE"""),"orbs")</f>
        <v>orbs</v>
      </c>
      <c r="B8831" s="4" t="str">
        <f>IFERROR(__xludf.DUMMYFUNCTION("""COMPUTED_VALUE"""),"orbs")</f>
        <v>orbs</v>
      </c>
      <c r="C8831" s="4" t="str">
        <f>IFERROR(__xludf.DUMMYFUNCTION("""COMPUTED_VALUE"""),"Orbs")</f>
        <v>Orbs</v>
      </c>
    </row>
    <row r="8832">
      <c r="A8832" s="4" t="str">
        <f>IFERROR(__xludf.DUMMYFUNCTION("""COMPUTED_VALUE"""),"orb-wizz-council")</f>
        <v>orb-wizz-council</v>
      </c>
      <c r="B8832" s="4" t="str">
        <f>IFERROR(__xludf.DUMMYFUNCTION("""COMPUTED_VALUE"""),"orb")</f>
        <v>orb</v>
      </c>
      <c r="C8832" s="4" t="str">
        <f>IFERROR(__xludf.DUMMYFUNCTION("""COMPUTED_VALUE"""),"ORB WIZZ COUNCIL")</f>
        <v>ORB WIZZ COUNCIL</v>
      </c>
    </row>
    <row r="8833">
      <c r="A8833" s="4" t="str">
        <f>IFERROR(__xludf.DUMMYFUNCTION("""COMPUTED_VALUE"""),"orby-network-usc-stablecoin")</f>
        <v>orby-network-usc-stablecoin</v>
      </c>
      <c r="B8833" s="4" t="str">
        <f>IFERROR(__xludf.DUMMYFUNCTION("""COMPUTED_VALUE"""),"usc")</f>
        <v>usc</v>
      </c>
      <c r="C8833" s="4" t="str">
        <f>IFERROR(__xludf.DUMMYFUNCTION("""COMPUTED_VALUE"""),"Orby Network USC Stablecoin")</f>
        <v>Orby Network USC Stablecoin</v>
      </c>
    </row>
    <row r="8834">
      <c r="A8834" s="4" t="str">
        <f>IFERROR(__xludf.DUMMYFUNCTION("""COMPUTED_VALUE"""),"orca")</f>
        <v>orca</v>
      </c>
      <c r="B8834" s="4" t="str">
        <f>IFERROR(__xludf.DUMMYFUNCTION("""COMPUTED_VALUE"""),"orca")</f>
        <v>orca</v>
      </c>
      <c r="C8834" s="4" t="str">
        <f>IFERROR(__xludf.DUMMYFUNCTION("""COMPUTED_VALUE"""),"Orca")</f>
        <v>Orca</v>
      </c>
    </row>
    <row r="8835">
      <c r="A8835" s="4" t="str">
        <f>IFERROR(__xludf.DUMMYFUNCTION("""COMPUTED_VALUE"""),"orca-avai")</f>
        <v>orca-avai</v>
      </c>
      <c r="B8835" s="4" t="str">
        <f>IFERROR(__xludf.DUMMYFUNCTION("""COMPUTED_VALUE"""),"avai")</f>
        <v>avai</v>
      </c>
      <c r="C8835" s="4" t="str">
        <f>IFERROR(__xludf.DUMMYFUNCTION("""COMPUTED_VALUE"""),"Orca AVAI")</f>
        <v>Orca AVAI</v>
      </c>
    </row>
    <row r="8836">
      <c r="A8836" s="4" t="str">
        <f>IFERROR(__xludf.DUMMYFUNCTION("""COMPUTED_VALUE"""),"orca-inu")</f>
        <v>orca-inu</v>
      </c>
      <c r="B8836" s="4" t="str">
        <f>IFERROR(__xludf.DUMMYFUNCTION("""COMPUTED_VALUE"""),"orcainu")</f>
        <v>orcainu</v>
      </c>
      <c r="C8836" s="4" t="str">
        <f>IFERROR(__xludf.DUMMYFUNCTION("""COMPUTED_VALUE"""),"ORCA INU")</f>
        <v>ORCA INU</v>
      </c>
    </row>
    <row r="8837">
      <c r="A8837" s="4" t="str">
        <f>IFERROR(__xludf.DUMMYFUNCTION("""COMPUTED_VALUE"""),"orcfax")</f>
        <v>orcfax</v>
      </c>
      <c r="B8837" s="4" t="str">
        <f>IFERROR(__xludf.DUMMYFUNCTION("""COMPUTED_VALUE"""),"fact")</f>
        <v>fact</v>
      </c>
      <c r="C8837" s="4" t="str">
        <f>IFERROR(__xludf.DUMMYFUNCTION("""COMPUTED_VALUE"""),"Orcfax")</f>
        <v>Orcfax</v>
      </c>
    </row>
    <row r="8838">
      <c r="A8838" s="4" t="str">
        <f>IFERROR(__xludf.DUMMYFUNCTION("""COMPUTED_VALUE"""),"orchai-protocol-staked-compound-atom")</f>
        <v>orchai-protocol-staked-compound-atom</v>
      </c>
      <c r="B8838" s="4" t="str">
        <f>IFERROR(__xludf.DUMMYFUNCTION("""COMPUTED_VALUE"""),"scatom")</f>
        <v>scatom</v>
      </c>
      <c r="C8838" s="4" t="str">
        <f>IFERROR(__xludf.DUMMYFUNCTION("""COMPUTED_VALUE"""),"Orchai Protocol Staked Compound ATOM")</f>
        <v>Orchai Protocol Staked Compound ATOM</v>
      </c>
    </row>
    <row r="8839">
      <c r="A8839" s="4" t="str">
        <f>IFERROR(__xludf.DUMMYFUNCTION("""COMPUTED_VALUE"""),"orchid-protocol")</f>
        <v>orchid-protocol</v>
      </c>
      <c r="B8839" s="4" t="str">
        <f>IFERROR(__xludf.DUMMYFUNCTION("""COMPUTED_VALUE"""),"oxt")</f>
        <v>oxt</v>
      </c>
      <c r="C8839" s="4" t="str">
        <f>IFERROR(__xludf.DUMMYFUNCTION("""COMPUTED_VALUE"""),"Orchid Protocol")</f>
        <v>Orchid Protocol</v>
      </c>
    </row>
    <row r="8840">
      <c r="A8840" s="4" t="str">
        <f>IFERROR(__xludf.DUMMYFUNCTION("""COMPUTED_VALUE"""),"orclands-metaverse")</f>
        <v>orclands-metaverse</v>
      </c>
      <c r="B8840" s="4" t="str">
        <f>IFERROR(__xludf.DUMMYFUNCTION("""COMPUTED_VALUE"""),"orc")</f>
        <v>orc</v>
      </c>
      <c r="C8840" s="4" t="str">
        <f>IFERROR(__xludf.DUMMYFUNCTION("""COMPUTED_VALUE"""),"Orclands Metaverse")</f>
        <v>Orclands Metaverse</v>
      </c>
    </row>
    <row r="8841">
      <c r="A8841" s="4" t="str">
        <f>IFERROR(__xludf.DUMMYFUNCTION("""COMPUTED_VALUE"""),"ordbridge")</f>
        <v>ordbridge</v>
      </c>
      <c r="B8841" s="4" t="str">
        <f>IFERROR(__xludf.DUMMYFUNCTION("""COMPUTED_VALUE"""),"wbrge")</f>
        <v>wbrge</v>
      </c>
      <c r="C8841" s="4" t="str">
        <f>IFERROR(__xludf.DUMMYFUNCTION("""COMPUTED_VALUE"""),"Wrapped OrdBridge")</f>
        <v>Wrapped OrdBridge</v>
      </c>
    </row>
    <row r="8842">
      <c r="A8842" s="4" t="str">
        <f>IFERROR(__xludf.DUMMYFUNCTION("""COMPUTED_VALUE"""),"orders-exchange")</f>
        <v>orders-exchange</v>
      </c>
      <c r="B8842" s="4" t="str">
        <f>IFERROR(__xludf.DUMMYFUNCTION("""COMPUTED_VALUE"""),"rdex")</f>
        <v>rdex</v>
      </c>
      <c r="C8842" s="4" t="str">
        <f>IFERROR(__xludf.DUMMYFUNCTION("""COMPUTED_VALUE"""),"Orders.Exchange")</f>
        <v>Orders.Exchange</v>
      </c>
    </row>
    <row r="8843">
      <c r="A8843" s="4" t="str">
        <f>IFERROR(__xludf.DUMMYFUNCTION("""COMPUTED_VALUE"""),"ordg")</f>
        <v>ordg</v>
      </c>
      <c r="B8843" s="4" t="str">
        <f>IFERROR(__xludf.DUMMYFUNCTION("""COMPUTED_VALUE"""),"brc20")</f>
        <v>brc20</v>
      </c>
      <c r="C8843" s="4" t="str">
        <f>IFERROR(__xludf.DUMMYFUNCTION("""COMPUTED_VALUE"""),"ORDG")</f>
        <v>ORDG</v>
      </c>
    </row>
    <row r="8844">
      <c r="A8844" s="4" t="str">
        <f>IFERROR(__xludf.DUMMYFUNCTION("""COMPUTED_VALUE"""),"ordibank")</f>
        <v>ordibank</v>
      </c>
      <c r="B8844" s="4" t="str">
        <f>IFERROR(__xludf.DUMMYFUNCTION("""COMPUTED_VALUE"""),"orbk")</f>
        <v>orbk</v>
      </c>
      <c r="C8844" s="4" t="str">
        <f>IFERROR(__xludf.DUMMYFUNCTION("""COMPUTED_VALUE"""),"Ordibank")</f>
        <v>Ordibank</v>
      </c>
    </row>
    <row r="8845">
      <c r="A8845" s="4" t="str">
        <f>IFERROR(__xludf.DUMMYFUNCTION("""COMPUTED_VALUE"""),"ordible")</f>
        <v>ordible</v>
      </c>
      <c r="B8845" s="4" t="str">
        <f>IFERROR(__xludf.DUMMYFUNCTION("""COMPUTED_VALUE"""),"orb")</f>
        <v>orb</v>
      </c>
      <c r="C8845" s="4" t="str">
        <f>IFERROR(__xludf.DUMMYFUNCTION("""COMPUTED_VALUE"""),"Ordible")</f>
        <v>Ordible</v>
      </c>
    </row>
    <row r="8846">
      <c r="A8846" s="4" t="str">
        <f>IFERROR(__xludf.DUMMYFUNCTION("""COMPUTED_VALUE"""),"ordibot")</f>
        <v>ordibot</v>
      </c>
      <c r="B8846" s="4" t="str">
        <f>IFERROR(__xludf.DUMMYFUNCTION("""COMPUTED_VALUE"""),"ordibot")</f>
        <v>ordibot</v>
      </c>
      <c r="C8846" s="4" t="str">
        <f>IFERROR(__xludf.DUMMYFUNCTION("""COMPUTED_VALUE"""),"OrdiBot")</f>
        <v>OrdiBot</v>
      </c>
    </row>
    <row r="8847">
      <c r="A8847" s="4" t="str">
        <f>IFERROR(__xludf.DUMMYFUNCTION("""COMPUTED_VALUE"""),"ordify")</f>
        <v>ordify</v>
      </c>
      <c r="B8847" s="4" t="str">
        <f>IFERROR(__xludf.DUMMYFUNCTION("""COMPUTED_VALUE"""),"orfy")</f>
        <v>orfy</v>
      </c>
      <c r="C8847" s="4" t="str">
        <f>IFERROR(__xludf.DUMMYFUNCTION("""COMPUTED_VALUE"""),"Ordify")</f>
        <v>Ordify</v>
      </c>
    </row>
    <row r="8848">
      <c r="A8848" s="4" t="str">
        <f>IFERROR(__xludf.DUMMYFUNCTION("""COMPUTED_VALUE"""),"ordigen")</f>
        <v>ordigen</v>
      </c>
      <c r="B8848" s="4" t="str">
        <f>IFERROR(__xludf.DUMMYFUNCTION("""COMPUTED_VALUE"""),"odgn")</f>
        <v>odgn</v>
      </c>
      <c r="C8848" s="4" t="str">
        <f>IFERROR(__xludf.DUMMYFUNCTION("""COMPUTED_VALUE"""),"OrdiGen")</f>
        <v>OrdiGen</v>
      </c>
    </row>
    <row r="8849">
      <c r="A8849" s="4" t="str">
        <f>IFERROR(__xludf.DUMMYFUNCTION("""COMPUTED_VALUE"""),"ordi-launch")</f>
        <v>ordi-launch</v>
      </c>
      <c r="B8849" s="4" t="str">
        <f>IFERROR(__xludf.DUMMYFUNCTION("""COMPUTED_VALUE"""),"orla")</f>
        <v>orla</v>
      </c>
      <c r="C8849" s="4" t="str">
        <f>IFERROR(__xludf.DUMMYFUNCTION("""COMPUTED_VALUE"""),"Ordi Launch")</f>
        <v>Ordi Launch</v>
      </c>
    </row>
    <row r="8850">
      <c r="A8850" s="4" t="str">
        <f>IFERROR(__xludf.DUMMYFUNCTION("""COMPUTED_VALUE"""),"ordinal-bitcoin")</f>
        <v>ordinal-bitcoin</v>
      </c>
      <c r="B8850" s="4" t="str">
        <f>IFERROR(__xludf.DUMMYFUNCTION("""COMPUTED_VALUE"""),"obtc")</f>
        <v>obtc</v>
      </c>
      <c r="C8850" s="4" t="str">
        <f>IFERROR(__xludf.DUMMYFUNCTION("""COMPUTED_VALUE"""),"ORDINAL BITCOIN")</f>
        <v>ORDINAL BITCOIN</v>
      </c>
    </row>
    <row r="8851">
      <c r="A8851" s="4" t="str">
        <f>IFERROR(__xludf.DUMMYFUNCTION("""COMPUTED_VALUE"""),"ordinal-bridge")</f>
        <v>ordinal-bridge</v>
      </c>
      <c r="B8851" s="4" t="str">
        <f>IFERROR(__xludf.DUMMYFUNCTION("""COMPUTED_VALUE"""),"ordibridge")</f>
        <v>ordibridge</v>
      </c>
      <c r="C8851" s="4" t="str">
        <f>IFERROR(__xludf.DUMMYFUNCTION("""COMPUTED_VALUE"""),"Ordinal Bridge")</f>
        <v>Ordinal Bridge</v>
      </c>
    </row>
    <row r="8852">
      <c r="A8852" s="4" t="str">
        <f>IFERROR(__xludf.DUMMYFUNCTION("""COMPUTED_VALUE"""),"ordinal-btc")</f>
        <v>ordinal-btc</v>
      </c>
      <c r="B8852" s="4" t="str">
        <f>IFERROR(__xludf.DUMMYFUNCTION("""COMPUTED_VALUE"""),"obtc")</f>
        <v>obtc</v>
      </c>
      <c r="C8852" s="4" t="str">
        <f>IFERROR(__xludf.DUMMYFUNCTION("""COMPUTED_VALUE"""),"Ordinal BTC")</f>
        <v>Ordinal BTC</v>
      </c>
    </row>
    <row r="8853">
      <c r="A8853" s="4" t="str">
        <f>IFERROR(__xludf.DUMMYFUNCTION("""COMPUTED_VALUE"""),"ordinal-doge")</f>
        <v>ordinal-doge</v>
      </c>
      <c r="B8853" s="4" t="str">
        <f>IFERROR(__xludf.DUMMYFUNCTION("""COMPUTED_VALUE"""),"odoge")</f>
        <v>odoge</v>
      </c>
      <c r="C8853" s="4" t="str">
        <f>IFERROR(__xludf.DUMMYFUNCTION("""COMPUTED_VALUE"""),"Ordinal Doge")</f>
        <v>Ordinal Doge</v>
      </c>
    </row>
    <row r="8854">
      <c r="A8854" s="4" t="str">
        <f>IFERROR(__xludf.DUMMYFUNCTION("""COMPUTED_VALUE"""),"ordinal-hodl")</f>
        <v>ordinal-hodl</v>
      </c>
      <c r="B8854" s="4" t="str">
        <f>IFERROR(__xludf.DUMMYFUNCTION("""COMPUTED_VALUE"""),"hodl")</f>
        <v>hodl</v>
      </c>
      <c r="C8854" s="4" t="str">
        <f>IFERROR(__xludf.DUMMYFUNCTION("""COMPUTED_VALUE"""),"ORDINAL HODL MEME")</f>
        <v>ORDINAL HODL MEME</v>
      </c>
    </row>
    <row r="8855">
      <c r="A8855" s="4" t="str">
        <f>IFERROR(__xludf.DUMMYFUNCTION("""COMPUTED_VALUE"""),"ordinals")</f>
        <v>ordinals</v>
      </c>
      <c r="B8855" s="4" t="str">
        <f>IFERROR(__xludf.DUMMYFUNCTION("""COMPUTED_VALUE"""),"ordi")</f>
        <v>ordi</v>
      </c>
      <c r="C8855" s="4" t="str">
        <f>IFERROR(__xludf.DUMMYFUNCTION("""COMPUTED_VALUE"""),"ORDI")</f>
        <v>ORDI</v>
      </c>
    </row>
    <row r="8856">
      <c r="A8856" s="4" t="str">
        <f>IFERROR(__xludf.DUMMYFUNCTION("""COMPUTED_VALUE"""),"ordinalsfi")</f>
        <v>ordinalsfi</v>
      </c>
      <c r="B8856" s="4" t="str">
        <f>IFERROR(__xludf.DUMMYFUNCTION("""COMPUTED_VALUE"""),"ordifi")</f>
        <v>ordifi</v>
      </c>
      <c r="C8856" s="4" t="str">
        <f>IFERROR(__xludf.DUMMYFUNCTION("""COMPUTED_VALUE"""),"OrdinalsFi")</f>
        <v>OrdinalsFi</v>
      </c>
    </row>
    <row r="8857">
      <c r="A8857" s="4" t="str">
        <f>IFERROR(__xludf.DUMMYFUNCTION("""COMPUTED_VALUE"""),"ordinals-inscription-bot")</f>
        <v>ordinals-inscription-bot</v>
      </c>
      <c r="B8857" s="4" t="str">
        <f>IFERROR(__xludf.DUMMYFUNCTION("""COMPUTED_VALUE"""),"oib")</f>
        <v>oib</v>
      </c>
      <c r="C8857" s="4" t="str">
        <f>IFERROR(__xludf.DUMMYFUNCTION("""COMPUTED_VALUE"""),"Ordinals Inscription Bot")</f>
        <v>Ordinals Inscription Bot</v>
      </c>
    </row>
    <row r="8858">
      <c r="A8858" s="4" t="str">
        <f>IFERROR(__xludf.DUMMYFUNCTION("""COMPUTED_VALUE"""),"ordinals-world")</f>
        <v>ordinals-world</v>
      </c>
      <c r="B8858" s="4" t="str">
        <f>IFERROR(__xludf.DUMMYFUNCTION("""COMPUTED_VALUE"""),"ord")</f>
        <v>ord</v>
      </c>
      <c r="C8858" s="4" t="str">
        <f>IFERROR(__xludf.DUMMYFUNCTION("""COMPUTED_VALUE"""),"Ordinals World")</f>
        <v>Ordinals World</v>
      </c>
    </row>
    <row r="8859">
      <c r="A8859" s="4" t="str">
        <f>IFERROR(__xludf.DUMMYFUNCTION("""COMPUTED_VALUE"""),"ordinal-tools")</f>
        <v>ordinal-tools</v>
      </c>
      <c r="B8859" s="4" t="str">
        <f>IFERROR(__xludf.DUMMYFUNCTION("""COMPUTED_VALUE"""),"ort")</f>
        <v>ort</v>
      </c>
      <c r="C8859" s="4" t="str">
        <f>IFERROR(__xludf.DUMMYFUNCTION("""COMPUTED_VALUE"""),"ORDINAL TOOLS")</f>
        <v>ORDINAL TOOLS</v>
      </c>
    </row>
    <row r="8860">
      <c r="A8860" s="4" t="str">
        <f>IFERROR(__xludf.DUMMYFUNCTION("""COMPUTED_VALUE"""),"ordinex")</f>
        <v>ordinex</v>
      </c>
      <c r="B8860" s="4" t="str">
        <f>IFERROR(__xludf.DUMMYFUNCTION("""COMPUTED_VALUE"""),"ord")</f>
        <v>ord</v>
      </c>
      <c r="C8860" s="4" t="str">
        <f>IFERROR(__xludf.DUMMYFUNCTION("""COMPUTED_VALUE"""),"ordinex")</f>
        <v>ordinex</v>
      </c>
    </row>
    <row r="8861">
      <c r="A8861" s="4" t="str">
        <f>IFERROR(__xludf.DUMMYFUNCTION("""COMPUTED_VALUE"""),"ordiswap-token")</f>
        <v>ordiswap-token</v>
      </c>
      <c r="B8861" s="4" t="str">
        <f>IFERROR(__xludf.DUMMYFUNCTION("""COMPUTED_VALUE"""),"ords")</f>
        <v>ords</v>
      </c>
      <c r="C8861" s="4" t="str">
        <f>IFERROR(__xludf.DUMMYFUNCTION("""COMPUTED_VALUE"""),"Ordiswap")</f>
        <v>Ordiswap</v>
      </c>
    </row>
    <row r="8862">
      <c r="A8862" s="4" t="str">
        <f>IFERROR(__xludf.DUMMYFUNCTION("""COMPUTED_VALUE"""),"ordizk")</f>
        <v>ordizk</v>
      </c>
      <c r="B8862" s="4" t="str">
        <f>IFERROR(__xludf.DUMMYFUNCTION("""COMPUTED_VALUE"""),"ozk")</f>
        <v>ozk</v>
      </c>
      <c r="C8862" s="4" t="str">
        <f>IFERROR(__xludf.DUMMYFUNCTION("""COMPUTED_VALUE"""),"OrdiZK")</f>
        <v>OrdiZK</v>
      </c>
    </row>
    <row r="8863">
      <c r="A8863" s="4" t="str">
        <f>IFERROR(__xludf.DUMMYFUNCTION("""COMPUTED_VALUE"""),"ordmint")</f>
        <v>ordmint</v>
      </c>
      <c r="B8863" s="4" t="str">
        <f>IFERROR(__xludf.DUMMYFUNCTION("""COMPUTED_VALUE"""),"ormm")</f>
        <v>ormm</v>
      </c>
      <c r="C8863" s="4" t="str">
        <f>IFERROR(__xludf.DUMMYFUNCTION("""COMPUTED_VALUE"""),"Ordmint")</f>
        <v>Ordmint</v>
      </c>
    </row>
    <row r="8864">
      <c r="A8864" s="4" t="str">
        <f>IFERROR(__xludf.DUMMYFUNCTION("""COMPUTED_VALUE"""),"ore")</f>
        <v>ore</v>
      </c>
      <c r="B8864" s="4" t="str">
        <f>IFERROR(__xludf.DUMMYFUNCTION("""COMPUTED_VALUE"""),"ore")</f>
        <v>ore</v>
      </c>
      <c r="C8864" s="4" t="str">
        <f>IFERROR(__xludf.DUMMYFUNCTION("""COMPUTED_VALUE"""),"Ore")</f>
        <v>Ore</v>
      </c>
    </row>
    <row r="8865">
      <c r="A8865" s="4" t="str">
        <f>IFERROR(__xludf.DUMMYFUNCTION("""COMPUTED_VALUE"""),"orenium-protocol")</f>
        <v>orenium-protocol</v>
      </c>
      <c r="B8865" s="4" t="str">
        <f>IFERROR(__xludf.DUMMYFUNCTION("""COMPUTED_VALUE"""),"ore")</f>
        <v>ore</v>
      </c>
      <c r="C8865" s="4" t="str">
        <f>IFERROR(__xludf.DUMMYFUNCTION("""COMPUTED_VALUE"""),"Orenium Protocol")</f>
        <v>Orenium Protocol</v>
      </c>
    </row>
    <row r="8866">
      <c r="A8866" s="4" t="str">
        <f>IFERROR(__xludf.DUMMYFUNCTION("""COMPUTED_VALUE"""),"oreofi")</f>
        <v>oreofi</v>
      </c>
      <c r="B8866" s="4" t="str">
        <f>IFERROR(__xludf.DUMMYFUNCTION("""COMPUTED_VALUE"""),"oreo")</f>
        <v>oreo</v>
      </c>
      <c r="C8866" s="4" t="str">
        <f>IFERROR(__xludf.DUMMYFUNCTION("""COMPUTED_VALUE"""),"OreoFi")</f>
        <v>OreoFi</v>
      </c>
    </row>
    <row r="8867">
      <c r="A8867" s="4" t="str">
        <f>IFERROR(__xludf.DUMMYFUNCTION("""COMPUTED_VALUE"""),"oreoswap")</f>
        <v>oreoswap</v>
      </c>
      <c r="B8867" s="4" t="str">
        <f>IFERROR(__xludf.DUMMYFUNCTION("""COMPUTED_VALUE"""),"oreo")</f>
        <v>oreo</v>
      </c>
      <c r="C8867" s="4" t="str">
        <f>IFERROR(__xludf.DUMMYFUNCTION("""COMPUTED_VALUE"""),"OreoSwap")</f>
        <v>OreoSwap</v>
      </c>
    </row>
    <row r="8868">
      <c r="A8868" s="4" t="str">
        <f>IFERROR(__xludf.DUMMYFUNCTION("""COMPUTED_VALUE"""),"oreswap")</f>
        <v>oreswap</v>
      </c>
      <c r="B8868" s="4" t="str">
        <f>IFERROR(__xludf.DUMMYFUNCTION("""COMPUTED_VALUE"""),"ost")</f>
        <v>ost</v>
      </c>
      <c r="C8868" s="4" t="str">
        <f>IFERROR(__xludf.DUMMYFUNCTION("""COMPUTED_VALUE"""),"OreSwap")</f>
        <v>OreSwap</v>
      </c>
    </row>
    <row r="8869">
      <c r="A8869" s="4" t="str">
        <f>IFERROR(__xludf.DUMMYFUNCTION("""COMPUTED_VALUE"""),"ore-token")</f>
        <v>ore-token</v>
      </c>
      <c r="B8869" s="4" t="str">
        <f>IFERROR(__xludf.DUMMYFUNCTION("""COMPUTED_VALUE"""),"ore")</f>
        <v>ore</v>
      </c>
      <c r="C8869" s="4" t="str">
        <f>IFERROR(__xludf.DUMMYFUNCTION("""COMPUTED_VALUE"""),"ORE")</f>
        <v>ORE</v>
      </c>
    </row>
    <row r="8870">
      <c r="A8870" s="4" t="str">
        <f>IFERROR(__xludf.DUMMYFUNCTION("""COMPUTED_VALUE"""),"oreto-network")</f>
        <v>oreto-network</v>
      </c>
      <c r="B8870" s="4" t="str">
        <f>IFERROR(__xludf.DUMMYFUNCTION("""COMPUTED_VALUE"""),"ort")</f>
        <v>ort</v>
      </c>
      <c r="C8870" s="4" t="str">
        <f>IFERROR(__xludf.DUMMYFUNCTION("""COMPUTED_VALUE"""),"Oreto Network")</f>
        <v>Oreto Network</v>
      </c>
    </row>
    <row r="8871">
      <c r="A8871" s="4" t="str">
        <f>IFERROR(__xludf.DUMMYFUNCTION("""COMPUTED_VALUE"""),"origen-defi")</f>
        <v>origen-defi</v>
      </c>
      <c r="B8871" s="4" t="str">
        <f>IFERROR(__xludf.DUMMYFUNCTION("""COMPUTED_VALUE"""),"origen")</f>
        <v>origen</v>
      </c>
      <c r="C8871" s="4" t="str">
        <f>IFERROR(__xludf.DUMMYFUNCTION("""COMPUTED_VALUE"""),"Origen DEFI")</f>
        <v>Origen DEFI</v>
      </c>
    </row>
    <row r="8872">
      <c r="A8872" s="4" t="str">
        <f>IFERROR(__xludf.DUMMYFUNCTION("""COMPUTED_VALUE"""),"origin-dollar")</f>
        <v>origin-dollar</v>
      </c>
      <c r="B8872" s="4" t="str">
        <f>IFERROR(__xludf.DUMMYFUNCTION("""COMPUTED_VALUE"""),"ousd")</f>
        <v>ousd</v>
      </c>
      <c r="C8872" s="4" t="str">
        <f>IFERROR(__xludf.DUMMYFUNCTION("""COMPUTED_VALUE"""),"Origin Dollar")</f>
        <v>Origin Dollar</v>
      </c>
    </row>
    <row r="8873">
      <c r="A8873" s="4" t="str">
        <f>IFERROR(__xludf.DUMMYFUNCTION("""COMPUTED_VALUE"""),"origin-dollar-governance")</f>
        <v>origin-dollar-governance</v>
      </c>
      <c r="B8873" s="4" t="str">
        <f>IFERROR(__xludf.DUMMYFUNCTION("""COMPUTED_VALUE"""),"ogv")</f>
        <v>ogv</v>
      </c>
      <c r="C8873" s="4" t="str">
        <f>IFERROR(__xludf.DUMMYFUNCTION("""COMPUTED_VALUE"""),"Origin DeFi Governance")</f>
        <v>Origin DeFi Governance</v>
      </c>
    </row>
    <row r="8874">
      <c r="A8874" s="4" t="str">
        <f>IFERROR(__xludf.DUMMYFUNCTION("""COMPUTED_VALUE"""),"origin-ether")</f>
        <v>origin-ether</v>
      </c>
      <c r="B8874" s="4" t="str">
        <f>IFERROR(__xludf.DUMMYFUNCTION("""COMPUTED_VALUE"""),"oeth")</f>
        <v>oeth</v>
      </c>
      <c r="C8874" s="4" t="str">
        <f>IFERROR(__xludf.DUMMYFUNCTION("""COMPUTED_VALUE"""),"Origin Ether")</f>
        <v>Origin Ether</v>
      </c>
    </row>
    <row r="8875">
      <c r="A8875" s="4" t="str">
        <f>IFERROR(__xludf.DUMMYFUNCTION("""COMPUTED_VALUE"""),"origin-lgns")</f>
        <v>origin-lgns</v>
      </c>
      <c r="B8875" s="4" t="str">
        <f>IFERROR(__xludf.DUMMYFUNCTION("""COMPUTED_VALUE"""),"lgns")</f>
        <v>lgns</v>
      </c>
      <c r="C8875" s="4" t="str">
        <f>IFERROR(__xludf.DUMMYFUNCTION("""COMPUTED_VALUE"""),"Origin LGNS")</f>
        <v>Origin LGNS</v>
      </c>
    </row>
    <row r="8876">
      <c r="A8876" s="4" t="str">
        <f>IFERROR(__xludf.DUMMYFUNCTION("""COMPUTED_VALUE"""),"origin-protocol")</f>
        <v>origin-protocol</v>
      </c>
      <c r="B8876" s="4" t="str">
        <f>IFERROR(__xludf.DUMMYFUNCTION("""COMPUTED_VALUE"""),"ogn")</f>
        <v>ogn</v>
      </c>
      <c r="C8876" s="4" t="str">
        <f>IFERROR(__xludf.DUMMYFUNCTION("""COMPUTED_VALUE"""),"Origin Protocol")</f>
        <v>Origin Protocol</v>
      </c>
    </row>
    <row r="8877">
      <c r="A8877" s="4" t="str">
        <f>IFERROR(__xludf.DUMMYFUNCTION("""COMPUTED_VALUE"""),"origintrail")</f>
        <v>origintrail</v>
      </c>
      <c r="B8877" s="4" t="str">
        <f>IFERROR(__xludf.DUMMYFUNCTION("""COMPUTED_VALUE"""),"trac")</f>
        <v>trac</v>
      </c>
      <c r="C8877" s="4" t="str">
        <f>IFERROR(__xludf.DUMMYFUNCTION("""COMPUTED_VALUE"""),"OriginTrail")</f>
        <v>OriginTrail</v>
      </c>
    </row>
    <row r="8878">
      <c r="A8878" s="4" t="str">
        <f>IFERROR(__xludf.DUMMYFUNCTION("""COMPUTED_VALUE"""),"origintrail-parachain")</f>
        <v>origintrail-parachain</v>
      </c>
      <c r="B8878" s="4" t="str">
        <f>IFERROR(__xludf.DUMMYFUNCTION("""COMPUTED_VALUE"""),"otp")</f>
        <v>otp</v>
      </c>
      <c r="C8878" s="4" t="str">
        <f>IFERROR(__xludf.DUMMYFUNCTION("""COMPUTED_VALUE"""),"OriginTrail Parachain")</f>
        <v>OriginTrail Parachain</v>
      </c>
    </row>
    <row r="8879">
      <c r="A8879" s="4" t="str">
        <f>IFERROR(__xludf.DUMMYFUNCTION("""COMPUTED_VALUE"""),"origyn-foundation")</f>
        <v>origyn-foundation</v>
      </c>
      <c r="B8879" s="4" t="str">
        <f>IFERROR(__xludf.DUMMYFUNCTION("""COMPUTED_VALUE"""),"ogy")</f>
        <v>ogy</v>
      </c>
      <c r="C8879" s="4" t="str">
        <f>IFERROR(__xludf.DUMMYFUNCTION("""COMPUTED_VALUE"""),"ORIGYN Foundation")</f>
        <v>ORIGYN Foundation</v>
      </c>
    </row>
    <row r="8880">
      <c r="A8880" s="4" t="str">
        <f>IFERROR(__xludf.DUMMYFUNCTION("""COMPUTED_VALUE"""),"orion-money")</f>
        <v>orion-money</v>
      </c>
      <c r="B8880" s="4" t="str">
        <f>IFERROR(__xludf.DUMMYFUNCTION("""COMPUTED_VALUE"""),"orion")</f>
        <v>orion</v>
      </c>
      <c r="C8880" s="4" t="str">
        <f>IFERROR(__xludf.DUMMYFUNCTION("""COMPUTED_VALUE"""),"Orion Money")</f>
        <v>Orion Money</v>
      </c>
    </row>
    <row r="8881">
      <c r="A8881" s="4" t="str">
        <f>IFERROR(__xludf.DUMMYFUNCTION("""COMPUTED_VALUE"""),"orion-protocol")</f>
        <v>orion-protocol</v>
      </c>
      <c r="B8881" s="4" t="str">
        <f>IFERROR(__xludf.DUMMYFUNCTION("""COMPUTED_VALUE"""),"orn")</f>
        <v>orn</v>
      </c>
      <c r="C8881" s="4" t="str">
        <f>IFERROR(__xludf.DUMMYFUNCTION("""COMPUTED_VALUE"""),"Orion")</f>
        <v>Orion</v>
      </c>
    </row>
    <row r="8882">
      <c r="A8882" s="4" t="str">
        <f>IFERROR(__xludf.DUMMYFUNCTION("""COMPUTED_VALUE"""),"oris")</f>
        <v>oris</v>
      </c>
      <c r="B8882" s="4" t="str">
        <f>IFERROR(__xludf.DUMMYFUNCTION("""COMPUTED_VALUE"""),"oris")</f>
        <v>oris</v>
      </c>
      <c r="C8882" s="4" t="str">
        <f>IFERROR(__xludf.DUMMYFUNCTION("""COMPUTED_VALUE"""),"ORIS")</f>
        <v>ORIS</v>
      </c>
    </row>
    <row r="8883">
      <c r="A8883" s="4" t="str">
        <f>IFERROR(__xludf.DUMMYFUNCTION("""COMPUTED_VALUE"""),"orkan")</f>
        <v>orkan</v>
      </c>
      <c r="B8883" s="4" t="str">
        <f>IFERROR(__xludf.DUMMYFUNCTION("""COMPUTED_VALUE"""),"ork")</f>
        <v>ork</v>
      </c>
      <c r="C8883" s="4" t="str">
        <f>IFERROR(__xludf.DUMMYFUNCTION("""COMPUTED_VALUE"""),"Orkan")</f>
        <v>Orkan</v>
      </c>
    </row>
    <row r="8884">
      <c r="A8884" s="4" t="str">
        <f>IFERROR(__xludf.DUMMYFUNCTION("""COMPUTED_VALUE"""),"ormeus-cash")</f>
        <v>ormeus-cash</v>
      </c>
      <c r="B8884" s="4" t="str">
        <f>IFERROR(__xludf.DUMMYFUNCTION("""COMPUTED_VALUE"""),"omc")</f>
        <v>omc</v>
      </c>
      <c r="C8884" s="4" t="str">
        <f>IFERROR(__xludf.DUMMYFUNCTION("""COMPUTED_VALUE"""),"Ormeus Cash")</f>
        <v>Ormeus Cash</v>
      </c>
    </row>
    <row r="8885">
      <c r="A8885" s="4" t="str">
        <f>IFERROR(__xludf.DUMMYFUNCTION("""COMPUTED_VALUE"""),"ormeuscoin")</f>
        <v>ormeuscoin</v>
      </c>
      <c r="B8885" s="4" t="str">
        <f>IFERROR(__xludf.DUMMYFUNCTION("""COMPUTED_VALUE"""),"orme")</f>
        <v>orme</v>
      </c>
      <c r="C8885" s="4" t="str">
        <f>IFERROR(__xludf.DUMMYFUNCTION("""COMPUTED_VALUE"""),"Ormeus Coin")</f>
        <v>Ormeus Coin</v>
      </c>
    </row>
    <row r="8886">
      <c r="A8886" s="4" t="str">
        <f>IFERROR(__xludf.DUMMYFUNCTION("""COMPUTED_VALUE"""),"ormeus-ecosystem")</f>
        <v>ormeus-ecosystem</v>
      </c>
      <c r="B8886" s="4" t="str">
        <f>IFERROR(__xludf.DUMMYFUNCTION("""COMPUTED_VALUE"""),"eco")</f>
        <v>eco</v>
      </c>
      <c r="C8886" s="4" t="str">
        <f>IFERROR(__xludf.DUMMYFUNCTION("""COMPUTED_VALUE"""),"Ormeus Ecosystem")</f>
        <v>Ormeus Ecosystem</v>
      </c>
    </row>
    <row r="8887">
      <c r="A8887" s="4" t="str">
        <f>IFERROR(__xludf.DUMMYFUNCTION("""COMPUTED_VALUE"""),"ormit")</f>
        <v>ormit</v>
      </c>
      <c r="B8887" s="4" t="str">
        <f>IFERROR(__xludf.DUMMYFUNCTION("""COMPUTED_VALUE"""),"ormit")</f>
        <v>ormit</v>
      </c>
      <c r="C8887" s="4" t="str">
        <f>IFERROR(__xludf.DUMMYFUNCTION("""COMPUTED_VALUE"""),"ORMIT")</f>
        <v>ORMIT</v>
      </c>
    </row>
    <row r="8888">
      <c r="A8888" s="4" t="str">
        <f>IFERROR(__xludf.DUMMYFUNCTION("""COMPUTED_VALUE"""),"oro")</f>
        <v>oro</v>
      </c>
      <c r="B8888" s="4" t="str">
        <f>IFERROR(__xludf.DUMMYFUNCTION("""COMPUTED_VALUE"""),"oro")</f>
        <v>oro</v>
      </c>
      <c r="C8888" s="4" t="str">
        <f>IFERROR(__xludf.DUMMYFUNCTION("""COMPUTED_VALUE"""),"ORO")</f>
        <v>ORO</v>
      </c>
    </row>
    <row r="8889">
      <c r="A8889" s="4" t="str">
        <f>IFERROR(__xludf.DUMMYFUNCTION("""COMPUTED_VALUE"""),"orym")</f>
        <v>orym</v>
      </c>
      <c r="B8889" s="4" t="str">
        <f>IFERROR(__xludf.DUMMYFUNCTION("""COMPUTED_VALUE"""),"orym")</f>
        <v>orym</v>
      </c>
      <c r="C8889" s="4" t="str">
        <f>IFERROR(__xludf.DUMMYFUNCTION("""COMPUTED_VALUE"""),"Orym")</f>
        <v>Orym</v>
      </c>
    </row>
    <row r="8890">
      <c r="A8890" s="4" t="str">
        <f>IFERROR(__xludf.DUMMYFUNCTION("""COMPUTED_VALUE"""),"osaka-protocol")</f>
        <v>osaka-protocol</v>
      </c>
      <c r="B8890" s="4" t="str">
        <f>IFERROR(__xludf.DUMMYFUNCTION("""COMPUTED_VALUE"""),"osak")</f>
        <v>osak</v>
      </c>
      <c r="C8890" s="4" t="str">
        <f>IFERROR(__xludf.DUMMYFUNCTION("""COMPUTED_VALUE"""),"Osaka Protocol")</f>
        <v>Osaka Protocol</v>
      </c>
    </row>
    <row r="8891">
      <c r="A8891" s="4" t="str">
        <f>IFERROR(__xludf.DUMMYFUNCTION("""COMPUTED_VALUE"""),"oscarswap")</f>
        <v>oscarswap</v>
      </c>
      <c r="B8891" s="4" t="str">
        <f>IFERROR(__xludf.DUMMYFUNCTION("""COMPUTED_VALUE"""),"oscar")</f>
        <v>oscar</v>
      </c>
      <c r="C8891" s="4" t="str">
        <f>IFERROR(__xludf.DUMMYFUNCTION("""COMPUTED_VALUE"""),"Oscarswap")</f>
        <v>Oscarswap</v>
      </c>
    </row>
    <row r="8892">
      <c r="A8892" s="4" t="str">
        <f>IFERROR(__xludf.DUMMYFUNCTION("""COMPUTED_VALUE"""),"osean")</f>
        <v>osean</v>
      </c>
      <c r="B8892" s="4" t="str">
        <f>IFERROR(__xludf.DUMMYFUNCTION("""COMPUTED_VALUE"""),"osean")</f>
        <v>osean</v>
      </c>
      <c r="C8892" s="4" t="str">
        <f>IFERROR(__xludf.DUMMYFUNCTION("""COMPUTED_VALUE"""),"Osean")</f>
        <v>Osean</v>
      </c>
    </row>
    <row r="8893">
      <c r="A8893" s="4" t="str">
        <f>IFERROR(__xludf.DUMMYFUNCTION("""COMPUTED_VALUE"""),"oshi")</f>
        <v>oshi</v>
      </c>
      <c r="B8893" s="4" t="str">
        <f>IFERROR(__xludf.DUMMYFUNCTION("""COMPUTED_VALUE"""),"oshi")</f>
        <v>oshi</v>
      </c>
      <c r="C8893" s="4" t="str">
        <f>IFERROR(__xludf.DUMMYFUNCTION("""COMPUTED_VALUE"""),"OSHI")</f>
        <v>OSHI</v>
      </c>
    </row>
    <row r="8894">
      <c r="A8894" s="4" t="str">
        <f>IFERROR(__xludf.DUMMYFUNCTION("""COMPUTED_VALUE"""),"osis")</f>
        <v>osis</v>
      </c>
      <c r="B8894" s="4" t="str">
        <f>IFERROR(__xludf.DUMMYFUNCTION("""COMPUTED_VALUE"""),"osis")</f>
        <v>osis</v>
      </c>
      <c r="C8894" s="4" t="str">
        <f>IFERROR(__xludf.DUMMYFUNCTION("""COMPUTED_VALUE"""),"OSIS")</f>
        <v>OSIS</v>
      </c>
    </row>
    <row r="8895">
      <c r="A8895" s="4" t="str">
        <f>IFERROR(__xludf.DUMMYFUNCTION("""COMPUTED_VALUE"""),"osk")</f>
        <v>osk</v>
      </c>
      <c r="B8895" s="4" t="str">
        <f>IFERROR(__xludf.DUMMYFUNCTION("""COMPUTED_VALUE"""),"osk")</f>
        <v>osk</v>
      </c>
      <c r="C8895" s="4" t="str">
        <f>IFERROR(__xludf.DUMMYFUNCTION("""COMPUTED_VALUE"""),"OSK")</f>
        <v>OSK</v>
      </c>
    </row>
    <row r="8896">
      <c r="A8896" s="4" t="str">
        <f>IFERROR(__xludf.DUMMYFUNCTION("""COMPUTED_VALUE"""),"osmosis")</f>
        <v>osmosis</v>
      </c>
      <c r="B8896" s="4" t="str">
        <f>IFERROR(__xludf.DUMMYFUNCTION("""COMPUTED_VALUE"""),"osmo")</f>
        <v>osmo</v>
      </c>
      <c r="C8896" s="4" t="str">
        <f>IFERROR(__xludf.DUMMYFUNCTION("""COMPUTED_VALUE"""),"Osmosis")</f>
        <v>Osmosis</v>
      </c>
    </row>
    <row r="8897">
      <c r="A8897" s="4" t="str">
        <f>IFERROR(__xludf.DUMMYFUNCTION("""COMPUTED_VALUE"""),"ospy")</f>
        <v>ospy</v>
      </c>
      <c r="B8897" s="4" t="str">
        <f>IFERROR(__xludf.DUMMYFUNCTION("""COMPUTED_VALUE"""),"ospy")</f>
        <v>ospy</v>
      </c>
      <c r="C8897" s="4" t="str">
        <f>IFERROR(__xludf.DUMMYFUNCTION("""COMPUTED_VALUE"""),"OSPY")</f>
        <v>OSPY</v>
      </c>
    </row>
    <row r="8898">
      <c r="A8898" s="4" t="str">
        <f>IFERROR(__xludf.DUMMYFUNCTION("""COMPUTED_VALUE"""),"osschain")</f>
        <v>osschain</v>
      </c>
      <c r="B8898" s="4" t="str">
        <f>IFERROR(__xludf.DUMMYFUNCTION("""COMPUTED_VALUE"""),"oss")</f>
        <v>oss</v>
      </c>
      <c r="C8898" s="4" t="str">
        <f>IFERROR(__xludf.DUMMYFUNCTION("""COMPUTED_VALUE"""),"OSSChain")</f>
        <v>OSSChain</v>
      </c>
    </row>
    <row r="8899">
      <c r="A8899" s="4" t="str">
        <f>IFERROR(__xludf.DUMMYFUNCTION("""COMPUTED_VALUE"""),"otacon-ai")</f>
        <v>otacon-ai</v>
      </c>
      <c r="B8899" s="4" t="str">
        <f>IFERROR(__xludf.DUMMYFUNCTION("""COMPUTED_VALUE"""),"otacon")</f>
        <v>otacon</v>
      </c>
      <c r="C8899" s="4" t="str">
        <f>IFERROR(__xludf.DUMMYFUNCTION("""COMPUTED_VALUE"""),"Otacon AI")</f>
        <v>Otacon AI</v>
      </c>
    </row>
    <row r="8900">
      <c r="A8900" s="4" t="str">
        <f>IFERROR(__xludf.DUMMYFUNCTION("""COMPUTED_VALUE"""),"otflow")</f>
        <v>otflow</v>
      </c>
      <c r="B8900" s="4" t="str">
        <f>IFERROR(__xludf.DUMMYFUNCTION("""COMPUTED_VALUE"""),"otf")</f>
        <v>otf</v>
      </c>
      <c r="C8900" s="4" t="str">
        <f>IFERROR(__xludf.DUMMYFUNCTION("""COMPUTED_VALUE"""),"OTFLOW")</f>
        <v>OTFLOW</v>
      </c>
    </row>
    <row r="8901">
      <c r="A8901" s="4" t="str">
        <f>IFERROR(__xludf.DUMMYFUNCTION("""COMPUTED_VALUE"""),"otocash")</f>
        <v>otocash</v>
      </c>
      <c r="B8901" s="4" t="str">
        <f>IFERROR(__xludf.DUMMYFUNCTION("""COMPUTED_VALUE"""),"oto")</f>
        <v>oto</v>
      </c>
      <c r="C8901" s="4" t="str">
        <f>IFERROR(__xludf.DUMMYFUNCTION("""COMPUTED_VALUE"""),"OTOCASH")</f>
        <v>OTOCASH</v>
      </c>
    </row>
    <row r="8902">
      <c r="A8902" s="4" t="str">
        <f>IFERROR(__xludf.DUMMYFUNCTION("""COMPUTED_VALUE"""),"otsea")</f>
        <v>otsea</v>
      </c>
      <c r="B8902" s="4" t="str">
        <f>IFERROR(__xludf.DUMMYFUNCTION("""COMPUTED_VALUE"""),"otsea")</f>
        <v>otsea</v>
      </c>
      <c r="C8902" s="4" t="str">
        <f>IFERROR(__xludf.DUMMYFUNCTION("""COMPUTED_VALUE"""),"OTSea")</f>
        <v>OTSea</v>
      </c>
    </row>
    <row r="8903">
      <c r="A8903" s="4" t="str">
        <f>IFERROR(__xludf.DUMMYFUNCTION("""COMPUTED_VALUE"""),"otterhome")</f>
        <v>otterhome</v>
      </c>
      <c r="B8903" s="4" t="str">
        <f>IFERROR(__xludf.DUMMYFUNCTION("""COMPUTED_VALUE"""),"home")</f>
        <v>home</v>
      </c>
      <c r="C8903" s="4" t="str">
        <f>IFERROR(__xludf.DUMMYFUNCTION("""COMPUTED_VALUE"""),"OtterHome")</f>
        <v>OtterHome</v>
      </c>
    </row>
    <row r="8904">
      <c r="A8904" s="4" t="str">
        <f>IFERROR(__xludf.DUMMYFUNCTION("""COMPUTED_VALUE"""),"ottochain")</f>
        <v>ottochain</v>
      </c>
      <c r="B8904" s="4" t="str">
        <f>IFERROR(__xludf.DUMMYFUNCTION("""COMPUTED_VALUE"""),"otto")</f>
        <v>otto</v>
      </c>
      <c r="C8904" s="4" t="str">
        <f>IFERROR(__xludf.DUMMYFUNCTION("""COMPUTED_VALUE"""),"Ottochain")</f>
        <v>Ottochain</v>
      </c>
    </row>
    <row r="8905">
      <c r="A8905" s="4" t="str">
        <f>IFERROR(__xludf.DUMMYFUNCTION("""COMPUTED_VALUE"""),"otton")</f>
        <v>otton</v>
      </c>
      <c r="B8905" s="4" t="str">
        <f>IFERROR(__xludf.DUMMYFUNCTION("""COMPUTED_VALUE"""),"otn")</f>
        <v>otn</v>
      </c>
      <c r="C8905" s="4" t="str">
        <f>IFERROR(__xludf.DUMMYFUNCTION("""COMPUTED_VALUE"""),"Otton")</f>
        <v>Otton</v>
      </c>
    </row>
    <row r="8906">
      <c r="A8906" s="4" t="str">
        <f>IFERROR(__xludf.DUMMYFUNCTION("""COMPUTED_VALUE"""),"otx-exchange")</f>
        <v>otx-exchange</v>
      </c>
      <c r="B8906" s="4" t="str">
        <f>IFERROR(__xludf.DUMMYFUNCTION("""COMPUTED_VALUE"""),"otx")</f>
        <v>otx</v>
      </c>
      <c r="C8906" s="4" t="str">
        <f>IFERROR(__xludf.DUMMYFUNCTION("""COMPUTED_VALUE"""),"OTX EXCHANGE")</f>
        <v>OTX EXCHANGE</v>
      </c>
    </row>
    <row r="8907">
      <c r="A8907" s="4" t="str">
        <f>IFERROR(__xludf.DUMMYFUNCTION("""COMPUTED_VALUE"""),"ousg")</f>
        <v>ousg</v>
      </c>
      <c r="B8907" s="4" t="str">
        <f>IFERROR(__xludf.DUMMYFUNCTION("""COMPUTED_VALUE"""),"ousg")</f>
        <v>ousg</v>
      </c>
      <c r="C8907" s="4" t="str">
        <f>IFERROR(__xludf.DUMMYFUNCTION("""COMPUTED_VALUE"""),"OUSG")</f>
        <v>OUSG</v>
      </c>
    </row>
    <row r="8908">
      <c r="A8908" s="4" t="str">
        <f>IFERROR(__xludf.DUMMYFUNCTION("""COMPUTED_VALUE"""),"outdefine")</f>
        <v>outdefine</v>
      </c>
      <c r="B8908" s="4" t="str">
        <f>IFERROR(__xludf.DUMMYFUNCTION("""COMPUTED_VALUE"""),"outdefine")</f>
        <v>outdefine</v>
      </c>
      <c r="C8908" s="4" t="str">
        <f>IFERROR(__xludf.DUMMYFUNCTION("""COMPUTED_VALUE"""),"Outdefine")</f>
        <v>Outdefine</v>
      </c>
    </row>
    <row r="8909">
      <c r="A8909" s="4" t="str">
        <f>IFERROR(__xludf.DUMMYFUNCTION("""COMPUTED_VALUE"""),"outer-ring")</f>
        <v>outer-ring</v>
      </c>
      <c r="B8909" s="4" t="str">
        <f>IFERROR(__xludf.DUMMYFUNCTION("""COMPUTED_VALUE"""),"gq")</f>
        <v>gq</v>
      </c>
      <c r="C8909" s="4" t="str">
        <f>IFERROR(__xludf.DUMMYFUNCTION("""COMPUTED_VALUE"""),"Blink Galaxy")</f>
        <v>Blink Galaxy</v>
      </c>
    </row>
    <row r="8910">
      <c r="A8910" s="4" t="str">
        <f>IFERROR(__xludf.DUMMYFUNCTION("""COMPUTED_VALUE"""),"outter-finance")</f>
        <v>outter-finance</v>
      </c>
      <c r="B8910" s="4" t="str">
        <f>IFERROR(__xludf.DUMMYFUNCTION("""COMPUTED_VALUE"""),"out")</f>
        <v>out</v>
      </c>
      <c r="C8910" s="4" t="str">
        <f>IFERROR(__xludf.DUMMYFUNCTION("""COMPUTED_VALUE"""),"Outter Finance [OLD]")</f>
        <v>Outter Finance [OLD]</v>
      </c>
    </row>
    <row r="8911">
      <c r="A8911" s="4" t="str">
        <f>IFERROR(__xludf.DUMMYFUNCTION("""COMPUTED_VALUE"""),"outter-finance-2")</f>
        <v>outter-finance-2</v>
      </c>
      <c r="B8911" s="4" t="str">
        <f>IFERROR(__xludf.DUMMYFUNCTION("""COMPUTED_VALUE"""),"out")</f>
        <v>out</v>
      </c>
      <c r="C8911" s="4" t="str">
        <f>IFERROR(__xludf.DUMMYFUNCTION("""COMPUTED_VALUE"""),"Outter Finance")</f>
        <v>Outter Finance</v>
      </c>
    </row>
    <row r="8912">
      <c r="A8912" s="4" t="str">
        <f>IFERROR(__xludf.DUMMYFUNCTION("""COMPUTED_VALUE"""),"oval3")</f>
        <v>oval3</v>
      </c>
      <c r="B8912" s="4" t="str">
        <f>IFERROR(__xludf.DUMMYFUNCTION("""COMPUTED_VALUE"""),"ovl3")</f>
        <v>ovl3</v>
      </c>
      <c r="C8912" s="4" t="str">
        <f>IFERROR(__xludf.DUMMYFUNCTION("""COMPUTED_VALUE"""),"OVAL3")</f>
        <v>OVAL3</v>
      </c>
    </row>
    <row r="8913">
      <c r="A8913" s="4" t="str">
        <f>IFERROR(__xludf.DUMMYFUNCTION("""COMPUTED_VALUE"""),"overlay-protocol")</f>
        <v>overlay-protocol</v>
      </c>
      <c r="B8913" s="4" t="str">
        <f>IFERROR(__xludf.DUMMYFUNCTION("""COMPUTED_VALUE"""),"ov")</f>
        <v>ov</v>
      </c>
      <c r="C8913" s="4" t="str">
        <f>IFERROR(__xludf.DUMMYFUNCTION("""COMPUTED_VALUE"""),"Overlay Protocol")</f>
        <v>Overlay Protocol</v>
      </c>
    </row>
    <row r="8914">
      <c r="A8914" s="4" t="str">
        <f>IFERROR(__xludf.DUMMYFUNCTION("""COMPUTED_VALUE"""),"overnight-dai")</f>
        <v>overnight-dai</v>
      </c>
      <c r="B8914" s="4" t="str">
        <f>IFERROR(__xludf.DUMMYFUNCTION("""COMPUTED_VALUE"""),"dai+")</f>
        <v>dai+</v>
      </c>
      <c r="C8914" s="4" t="str">
        <f>IFERROR(__xludf.DUMMYFUNCTION("""COMPUTED_VALUE"""),"Overnight.fi DAI+")</f>
        <v>Overnight.fi DAI+</v>
      </c>
    </row>
    <row r="8915">
      <c r="A8915" s="4" t="str">
        <f>IFERROR(__xludf.DUMMYFUNCTION("""COMPUTED_VALUE"""),"overnight-finance")</f>
        <v>overnight-finance</v>
      </c>
      <c r="B8915" s="4" t="str">
        <f>IFERROR(__xludf.DUMMYFUNCTION("""COMPUTED_VALUE"""),"ovn")</f>
        <v>ovn</v>
      </c>
      <c r="C8915" s="4" t="str">
        <f>IFERROR(__xludf.DUMMYFUNCTION("""COMPUTED_VALUE"""),"Overnight Finance")</f>
        <v>Overnight Finance</v>
      </c>
    </row>
    <row r="8916">
      <c r="A8916" s="4" t="str">
        <f>IFERROR(__xludf.DUMMYFUNCTION("""COMPUTED_VALUE"""),"overprotocol")</f>
        <v>overprotocol</v>
      </c>
      <c r="B8916" s="4" t="str">
        <f>IFERROR(__xludf.DUMMYFUNCTION("""COMPUTED_VALUE"""),"over")</f>
        <v>over</v>
      </c>
      <c r="C8916" s="4" t="str">
        <f>IFERROR(__xludf.DUMMYFUNCTION("""COMPUTED_VALUE"""),"OverProtocol")</f>
        <v>OverProtocol</v>
      </c>
    </row>
    <row r="8917">
      <c r="A8917" s="4" t="str">
        <f>IFERROR(__xludf.DUMMYFUNCTION("""COMPUTED_VALUE"""),"ovols-floor-index")</f>
        <v>ovols-floor-index</v>
      </c>
      <c r="B8917" s="4" t="str">
        <f>IFERROR(__xludf.DUMMYFUNCTION("""COMPUTED_VALUE"""),"$ovol")</f>
        <v>$ovol</v>
      </c>
      <c r="C8917" s="4" t="str">
        <f>IFERROR(__xludf.DUMMYFUNCTION("""COMPUTED_VALUE"""),"Ovols Floor Index")</f>
        <v>Ovols Floor Index</v>
      </c>
    </row>
    <row r="8918">
      <c r="A8918" s="4" t="str">
        <f>IFERROR(__xludf.DUMMYFUNCTION("""COMPUTED_VALUE"""),"ovo-nft-platform")</f>
        <v>ovo-nft-platform</v>
      </c>
      <c r="B8918" s="4" t="str">
        <f>IFERROR(__xludf.DUMMYFUNCTION("""COMPUTED_VALUE"""),"ovo")</f>
        <v>ovo</v>
      </c>
      <c r="C8918" s="4" t="str">
        <f>IFERROR(__xludf.DUMMYFUNCTION("""COMPUTED_VALUE"""),"OVO")</f>
        <v>OVO</v>
      </c>
    </row>
    <row r="8919">
      <c r="A8919" s="4" t="str">
        <f>IFERROR(__xludf.DUMMYFUNCTION("""COMPUTED_VALUE"""),"ovr")</f>
        <v>ovr</v>
      </c>
      <c r="B8919" s="4" t="str">
        <f>IFERROR(__xludf.DUMMYFUNCTION("""COMPUTED_VALUE"""),"ovr")</f>
        <v>ovr</v>
      </c>
      <c r="C8919" s="4" t="str">
        <f>IFERROR(__xludf.DUMMYFUNCTION("""COMPUTED_VALUE"""),"Ovr")</f>
        <v>Ovr</v>
      </c>
    </row>
    <row r="8920">
      <c r="A8920" s="4" t="str">
        <f>IFERROR(__xludf.DUMMYFUNCTION("""COMPUTED_VALUE"""),"owloper")</f>
        <v>owloper</v>
      </c>
      <c r="B8920" s="4" t="str">
        <f>IFERROR(__xludf.DUMMYFUNCTION("""COMPUTED_VALUE"""),"owl")</f>
        <v>owl</v>
      </c>
      <c r="C8920" s="4" t="str">
        <f>IFERROR(__xludf.DUMMYFUNCTION("""COMPUTED_VALUE"""),"Owloper Owl")</f>
        <v>Owloper Owl</v>
      </c>
    </row>
    <row r="8921">
      <c r="A8921" s="4" t="str">
        <f>IFERROR(__xludf.DUMMYFUNCTION("""COMPUTED_VALUE"""),"own-token")</f>
        <v>own-token</v>
      </c>
      <c r="B8921" s="4" t="str">
        <f>IFERROR(__xludf.DUMMYFUNCTION("""COMPUTED_VALUE"""),"own")</f>
        <v>own</v>
      </c>
      <c r="C8921" s="4" t="str">
        <f>IFERROR(__xludf.DUMMYFUNCTION("""COMPUTED_VALUE"""),"OWN Token")</f>
        <v>OWN Token</v>
      </c>
    </row>
    <row r="8922">
      <c r="A8922" s="4" t="str">
        <f>IFERROR(__xludf.DUMMYFUNCTION("""COMPUTED_VALUE"""),"oxbitcoin")</f>
        <v>oxbitcoin</v>
      </c>
      <c r="B8922" s="4" t="str">
        <f>IFERROR(__xludf.DUMMYFUNCTION("""COMPUTED_VALUE"""),"0xbtc")</f>
        <v>0xbtc</v>
      </c>
      <c r="C8922" s="4" t="str">
        <f>IFERROR(__xludf.DUMMYFUNCTION("""COMPUTED_VALUE"""),"0xBitcoin")</f>
        <v>0xBitcoin</v>
      </c>
    </row>
    <row r="8923">
      <c r="A8923" s="4" t="str">
        <f>IFERROR(__xludf.DUMMYFUNCTION("""COMPUTED_VALUE"""),"oxbt")</f>
        <v>oxbt</v>
      </c>
      <c r="B8923" s="4" t="str">
        <f>IFERROR(__xludf.DUMMYFUNCTION("""COMPUTED_VALUE"""),"oxbt")</f>
        <v>oxbt</v>
      </c>
      <c r="C8923" s="4" t="str">
        <f>IFERROR(__xludf.DUMMYFUNCTION("""COMPUTED_VALUE"""),"OXBT")</f>
        <v>OXBT</v>
      </c>
    </row>
    <row r="8924">
      <c r="A8924" s="4" t="str">
        <f>IFERROR(__xludf.DUMMYFUNCTION("""COMPUTED_VALUE"""),"oxbull-tech-2")</f>
        <v>oxbull-tech-2</v>
      </c>
      <c r="B8924" s="4" t="str">
        <f>IFERROR(__xludf.DUMMYFUNCTION("""COMPUTED_VALUE"""),"oxb")</f>
        <v>oxb</v>
      </c>
      <c r="C8924" s="4" t="str">
        <f>IFERROR(__xludf.DUMMYFUNCTION("""COMPUTED_VALUE"""),"Oxbull Tech")</f>
        <v>Oxbull Tech</v>
      </c>
    </row>
    <row r="8925">
      <c r="A8925" s="4" t="str">
        <f>IFERROR(__xludf.DUMMYFUNCTION("""COMPUTED_VALUE"""),"ox-fun")</f>
        <v>ox-fun</v>
      </c>
      <c r="B8925" s="4" t="str">
        <f>IFERROR(__xludf.DUMMYFUNCTION("""COMPUTED_VALUE"""),"ox")</f>
        <v>ox</v>
      </c>
      <c r="C8925" s="4" t="str">
        <f>IFERROR(__xludf.DUMMYFUNCTION("""COMPUTED_VALUE"""),"OX Coin")</f>
        <v>OX Coin</v>
      </c>
    </row>
    <row r="8926">
      <c r="A8926" s="4" t="str">
        <f>IFERROR(__xludf.DUMMYFUNCTION("""COMPUTED_VALUE"""),"oxygen")</f>
        <v>oxygen</v>
      </c>
      <c r="B8926" s="4" t="str">
        <f>IFERROR(__xludf.DUMMYFUNCTION("""COMPUTED_VALUE"""),"oxy")</f>
        <v>oxy</v>
      </c>
      <c r="C8926" s="4" t="str">
        <f>IFERROR(__xludf.DUMMYFUNCTION("""COMPUTED_VALUE"""),"Oxygen")</f>
        <v>Oxygen</v>
      </c>
    </row>
    <row r="8927">
      <c r="A8927" s="4" t="str">
        <f>IFERROR(__xludf.DUMMYFUNCTION("""COMPUTED_VALUE"""),"oxymetatoken")</f>
        <v>oxymetatoken</v>
      </c>
      <c r="B8927" s="4" t="str">
        <f>IFERROR(__xludf.DUMMYFUNCTION("""COMPUTED_VALUE"""),"omt")</f>
        <v>omt</v>
      </c>
      <c r="C8927" s="4" t="str">
        <f>IFERROR(__xludf.DUMMYFUNCTION("""COMPUTED_VALUE"""),"OxyMetaToken")</f>
        <v>OxyMetaToken</v>
      </c>
    </row>
    <row r="8928">
      <c r="A8928" s="4" t="str">
        <f>IFERROR(__xludf.DUMMYFUNCTION("""COMPUTED_VALUE"""),"oxyo2")</f>
        <v>oxyo2</v>
      </c>
      <c r="B8928" s="4" t="str">
        <f>IFERROR(__xludf.DUMMYFUNCTION("""COMPUTED_VALUE"""),"krpza")</f>
        <v>krpza</v>
      </c>
      <c r="C8928" s="4" t="str">
        <f>IFERROR(__xludf.DUMMYFUNCTION("""COMPUTED_VALUE"""),"OxyO2")</f>
        <v>OxyO2</v>
      </c>
    </row>
    <row r="8929">
      <c r="A8929" s="4" t="str">
        <f>IFERROR(__xludf.DUMMYFUNCTION("""COMPUTED_VALUE"""),"ozonechain")</f>
        <v>ozonechain</v>
      </c>
      <c r="B8929" s="4" t="str">
        <f>IFERROR(__xludf.DUMMYFUNCTION("""COMPUTED_VALUE"""),"ozone")</f>
        <v>ozone</v>
      </c>
      <c r="C8929" s="4" t="str">
        <f>IFERROR(__xludf.DUMMYFUNCTION("""COMPUTED_VALUE"""),"Ozonechain")</f>
        <v>Ozonechain</v>
      </c>
    </row>
    <row r="8930">
      <c r="A8930" s="4" t="str">
        <f>IFERROR(__xludf.DUMMYFUNCTION("""COMPUTED_VALUE"""),"ozone-chain")</f>
        <v>ozone-chain</v>
      </c>
      <c r="B8930" s="4" t="str">
        <f>IFERROR(__xludf.DUMMYFUNCTION("""COMPUTED_VALUE"""),"ozo")</f>
        <v>ozo</v>
      </c>
      <c r="C8930" s="4" t="str">
        <f>IFERROR(__xludf.DUMMYFUNCTION("""COMPUTED_VALUE"""),"Ozone Chain")</f>
        <v>Ozone Chain</v>
      </c>
    </row>
    <row r="8931">
      <c r="A8931" s="4" t="str">
        <f>IFERROR(__xludf.DUMMYFUNCTION("""COMPUTED_VALUE"""),"ozone-metaverse")</f>
        <v>ozone-metaverse</v>
      </c>
      <c r="B8931" s="4" t="str">
        <f>IFERROR(__xludf.DUMMYFUNCTION("""COMPUTED_VALUE"""),"$ozone")</f>
        <v>$ozone</v>
      </c>
      <c r="C8931" s="4" t="str">
        <f>IFERROR(__xludf.DUMMYFUNCTION("""COMPUTED_VALUE"""),"Ozone Metaverse")</f>
        <v>Ozone Metaverse</v>
      </c>
    </row>
    <row r="8932">
      <c r="A8932" s="4" t="str">
        <f>IFERROR(__xludf.DUMMYFUNCTION("""COMPUTED_VALUE"""),"p2p-solutions-foundation")</f>
        <v>p2p-solutions-foundation</v>
      </c>
      <c r="B8932" s="4" t="str">
        <f>IFERROR(__xludf.DUMMYFUNCTION("""COMPUTED_VALUE"""),"p2ps")</f>
        <v>p2ps</v>
      </c>
      <c r="C8932" s="4" t="str">
        <f>IFERROR(__xludf.DUMMYFUNCTION("""COMPUTED_VALUE"""),"P2P solutions foundation")</f>
        <v>P2P solutions foundation</v>
      </c>
    </row>
    <row r="8933">
      <c r="A8933" s="4" t="str">
        <f>IFERROR(__xludf.DUMMYFUNCTION("""COMPUTED_VALUE"""),"p3pe-hacker")</f>
        <v>p3pe-hacker</v>
      </c>
      <c r="B8933" s="4" t="str">
        <f>IFERROR(__xludf.DUMMYFUNCTION("""COMPUTED_VALUE"""),"p3pe")</f>
        <v>p3pe</v>
      </c>
      <c r="C8933" s="4" t="str">
        <f>IFERROR(__xludf.DUMMYFUNCTION("""COMPUTED_VALUE"""),"P3PE HACKER")</f>
        <v>P3PE HACKER</v>
      </c>
    </row>
    <row r="8934">
      <c r="A8934" s="4" t="str">
        <f>IFERROR(__xludf.DUMMYFUNCTION("""COMPUTED_VALUE"""),"paal-ai")</f>
        <v>paal-ai</v>
      </c>
      <c r="B8934" s="4" t="str">
        <f>IFERROR(__xludf.DUMMYFUNCTION("""COMPUTED_VALUE"""),"paal")</f>
        <v>paal</v>
      </c>
      <c r="C8934" s="4" t="str">
        <f>IFERROR(__xludf.DUMMYFUNCTION("""COMPUTED_VALUE"""),"PAAL AI")</f>
        <v>PAAL AI</v>
      </c>
    </row>
    <row r="8935">
      <c r="A8935" s="4" t="str">
        <f>IFERROR(__xludf.DUMMYFUNCTION("""COMPUTED_VALUE"""),"pablo-defi")</f>
        <v>pablo-defi</v>
      </c>
      <c r="B8935" s="4" t="str">
        <f>IFERROR(__xludf.DUMMYFUNCTION("""COMPUTED_VALUE"""),"pablo")</f>
        <v>pablo</v>
      </c>
      <c r="C8935" s="4" t="str">
        <f>IFERROR(__xludf.DUMMYFUNCTION("""COMPUTED_VALUE"""),"Pablo DeFi")</f>
        <v>Pablo DeFi</v>
      </c>
    </row>
    <row r="8936">
      <c r="A8936" s="4" t="str">
        <f>IFERROR(__xludf.DUMMYFUNCTION("""COMPUTED_VALUE"""),"paccoin")</f>
        <v>paccoin</v>
      </c>
      <c r="B8936" s="4" t="str">
        <f>IFERROR(__xludf.DUMMYFUNCTION("""COMPUTED_VALUE"""),"pac")</f>
        <v>pac</v>
      </c>
      <c r="C8936" s="4" t="str">
        <f>IFERROR(__xludf.DUMMYFUNCTION("""COMPUTED_VALUE"""),"PAC Protocol")</f>
        <v>PAC Protocol</v>
      </c>
    </row>
    <row r="8937">
      <c r="A8937" s="4" t="str">
        <f>IFERROR(__xludf.DUMMYFUNCTION("""COMPUTED_VALUE"""),"pace-bot")</f>
        <v>pace-bot</v>
      </c>
      <c r="B8937" s="4" t="str">
        <f>IFERROR(__xludf.DUMMYFUNCTION("""COMPUTED_VALUE"""),"pace")</f>
        <v>pace</v>
      </c>
      <c r="C8937" s="4" t="str">
        <f>IFERROR(__xludf.DUMMYFUNCTION("""COMPUTED_VALUE"""),"Pace Bot")</f>
        <v>Pace Bot</v>
      </c>
    </row>
    <row r="8938">
      <c r="A8938" s="4" t="str">
        <f>IFERROR(__xludf.DUMMYFUNCTION("""COMPUTED_VALUE"""),"pacific")</f>
        <v>pacific</v>
      </c>
      <c r="B8938" s="4" t="str">
        <f>IFERROR(__xludf.DUMMYFUNCTION("""COMPUTED_VALUE"""),"paf")</f>
        <v>paf</v>
      </c>
      <c r="C8938" s="4" t="str">
        <f>IFERROR(__xludf.DUMMYFUNCTION("""COMPUTED_VALUE"""),"Pacific")</f>
        <v>Pacific</v>
      </c>
    </row>
    <row r="8939">
      <c r="A8939" s="4" t="str">
        <f>IFERROR(__xludf.DUMMYFUNCTION("""COMPUTED_VALUE"""),"pack")</f>
        <v>pack</v>
      </c>
      <c r="B8939" s="4" t="str">
        <f>IFERROR(__xludf.DUMMYFUNCTION("""COMPUTED_VALUE"""),"pack")</f>
        <v>pack</v>
      </c>
      <c r="C8939" s="4" t="str">
        <f>IFERROR(__xludf.DUMMYFUNCTION("""COMPUTED_VALUE"""),"Pack")</f>
        <v>Pack</v>
      </c>
    </row>
    <row r="8940">
      <c r="A8940" s="4" t="str">
        <f>IFERROR(__xludf.DUMMYFUNCTION("""COMPUTED_VALUE"""),"packageportal")</f>
        <v>packageportal</v>
      </c>
      <c r="B8940" s="4" t="str">
        <f>IFERROR(__xludf.DUMMYFUNCTION("""COMPUTED_VALUE"""),"port")</f>
        <v>port</v>
      </c>
      <c r="C8940" s="4" t="str">
        <f>IFERROR(__xludf.DUMMYFUNCTION("""COMPUTED_VALUE"""),"PackagePortal")</f>
        <v>PackagePortal</v>
      </c>
    </row>
    <row r="8941">
      <c r="A8941" s="4" t="str">
        <f>IFERROR(__xludf.DUMMYFUNCTION("""COMPUTED_VALUE"""),"packetchain")</f>
        <v>packetchain</v>
      </c>
      <c r="B8941" s="4" t="str">
        <f>IFERROR(__xludf.DUMMYFUNCTION("""COMPUTED_VALUE"""),"ptcl")</f>
        <v>ptcl</v>
      </c>
      <c r="C8941" s="4" t="str">
        <f>IFERROR(__xludf.DUMMYFUNCTION("""COMPUTED_VALUE"""),"Packetchain")</f>
        <v>Packetchain</v>
      </c>
    </row>
    <row r="8942">
      <c r="A8942" s="4" t="str">
        <f>IFERROR(__xludf.DUMMYFUNCTION("""COMPUTED_VALUE"""),"pacman")</f>
        <v>pacman</v>
      </c>
      <c r="B8942" s="4" t="str">
        <f>IFERROR(__xludf.DUMMYFUNCTION("""COMPUTED_VALUE"""),"pac")</f>
        <v>pac</v>
      </c>
      <c r="C8942" s="4" t="str">
        <f>IFERROR(__xludf.DUMMYFUNCTION("""COMPUTED_VALUE"""),"PAC Project")</f>
        <v>PAC Project</v>
      </c>
    </row>
    <row r="8943">
      <c r="A8943" s="4" t="str">
        <f>IFERROR(__xludf.DUMMYFUNCTION("""COMPUTED_VALUE"""),"pacman-native-token")</f>
        <v>pacman-native-token</v>
      </c>
      <c r="B8943" s="4" t="str">
        <f>IFERROR(__xludf.DUMMYFUNCTION("""COMPUTED_VALUE"""),"pac")</f>
        <v>pac</v>
      </c>
      <c r="C8943" s="4" t="str">
        <f>IFERROR(__xludf.DUMMYFUNCTION("""COMPUTED_VALUE"""),"Pacman Native Token")</f>
        <v>Pacman Native Token</v>
      </c>
    </row>
    <row r="8944">
      <c r="A8944" s="4" t="str">
        <f>IFERROR(__xludf.DUMMYFUNCTION("""COMPUTED_VALUE"""),"pacmoon")</f>
        <v>pacmoon</v>
      </c>
      <c r="B8944" s="4" t="str">
        <f>IFERROR(__xludf.DUMMYFUNCTION("""COMPUTED_VALUE"""),"pac")</f>
        <v>pac</v>
      </c>
      <c r="C8944" s="4" t="str">
        <f>IFERROR(__xludf.DUMMYFUNCTION("""COMPUTED_VALUE"""),"PacMoon")</f>
        <v>PacMoon</v>
      </c>
    </row>
    <row r="8945">
      <c r="A8945" s="4" t="str">
        <f>IFERROR(__xludf.DUMMYFUNCTION("""COMPUTED_VALUE"""),"pacoca")</f>
        <v>pacoca</v>
      </c>
      <c r="B8945" s="4" t="str">
        <f>IFERROR(__xludf.DUMMYFUNCTION("""COMPUTED_VALUE"""),"pacoca")</f>
        <v>pacoca</v>
      </c>
      <c r="C8945" s="4" t="str">
        <f>IFERROR(__xludf.DUMMYFUNCTION("""COMPUTED_VALUE"""),"Pacoca")</f>
        <v>Pacoca</v>
      </c>
    </row>
    <row r="8946">
      <c r="A8946" s="4" t="str">
        <f>IFERROR(__xludf.DUMMYFUNCTION("""COMPUTED_VALUE"""),"padawan")</f>
        <v>padawan</v>
      </c>
      <c r="B8946" s="4" t="str">
        <f>IFERROR(__xludf.DUMMYFUNCTION("""COMPUTED_VALUE"""),"padawan")</f>
        <v>padawan</v>
      </c>
      <c r="C8946" s="4" t="str">
        <f>IFERROR(__xludf.DUMMYFUNCTION("""COMPUTED_VALUE"""),"PADAWAN")</f>
        <v>PADAWAN</v>
      </c>
    </row>
    <row r="8947">
      <c r="A8947" s="4" t="str">
        <f>IFERROR(__xludf.DUMMYFUNCTION("""COMPUTED_VALUE"""),"padre")</f>
        <v>padre</v>
      </c>
      <c r="B8947" s="4" t="str">
        <f>IFERROR(__xludf.DUMMYFUNCTION("""COMPUTED_VALUE"""),"padre")</f>
        <v>padre</v>
      </c>
      <c r="C8947" s="4" t="str">
        <f>IFERROR(__xludf.DUMMYFUNCTION("""COMPUTED_VALUE"""),"Padre")</f>
        <v>Padre</v>
      </c>
    </row>
    <row r="8948">
      <c r="A8948" s="4" t="str">
        <f>IFERROR(__xludf.DUMMYFUNCTION("""COMPUTED_VALUE"""),"page")</f>
        <v>page</v>
      </c>
      <c r="B8948" s="4" t="str">
        <f>IFERROR(__xludf.DUMMYFUNCTION("""COMPUTED_VALUE"""),"page")</f>
        <v>page</v>
      </c>
      <c r="C8948" s="4" t="str">
        <f>IFERROR(__xludf.DUMMYFUNCTION("""COMPUTED_VALUE"""),"Page")</f>
        <v>Page</v>
      </c>
    </row>
    <row r="8949">
      <c r="A8949" s="4" t="str">
        <f>IFERROR(__xludf.DUMMYFUNCTION("""COMPUTED_VALUE"""),"paideia")</f>
        <v>paideia</v>
      </c>
      <c r="B8949" s="4" t="str">
        <f>IFERROR(__xludf.DUMMYFUNCTION("""COMPUTED_VALUE"""),"pai")</f>
        <v>pai</v>
      </c>
      <c r="C8949" s="4" t="str">
        <f>IFERROR(__xludf.DUMMYFUNCTION("""COMPUTED_VALUE"""),"Paideia")</f>
        <v>Paideia</v>
      </c>
    </row>
    <row r="8950">
      <c r="A8950" s="4" t="str">
        <f>IFERROR(__xludf.DUMMYFUNCTION("""COMPUTED_VALUE"""),"paid-network")</f>
        <v>paid-network</v>
      </c>
      <c r="B8950" s="4" t="str">
        <f>IFERROR(__xludf.DUMMYFUNCTION("""COMPUTED_VALUE"""),"paid")</f>
        <v>paid</v>
      </c>
      <c r="C8950" s="4" t="str">
        <f>IFERROR(__xludf.DUMMYFUNCTION("""COMPUTED_VALUE"""),"PAID Network")</f>
        <v>PAID Network</v>
      </c>
    </row>
    <row r="8951">
      <c r="A8951" s="4" t="str">
        <f>IFERROR(__xludf.DUMMYFUNCTION("""COMPUTED_VALUE"""),"paint")</f>
        <v>paint</v>
      </c>
      <c r="B8951" s="4" t="str">
        <f>IFERROR(__xludf.DUMMYFUNCTION("""COMPUTED_VALUE"""),"paint")</f>
        <v>paint</v>
      </c>
      <c r="C8951" s="4" t="str">
        <f>IFERROR(__xludf.DUMMYFUNCTION("""COMPUTED_VALUE"""),"MurAll")</f>
        <v>MurAll</v>
      </c>
    </row>
    <row r="8952">
      <c r="A8952" s="4" t="str">
        <f>IFERROR(__xludf.DUMMYFUNCTION("""COMPUTED_VALUE"""),"paint-swap")</f>
        <v>paint-swap</v>
      </c>
      <c r="B8952" s="4" t="str">
        <f>IFERROR(__xludf.DUMMYFUNCTION("""COMPUTED_VALUE"""),"brush")</f>
        <v>brush</v>
      </c>
      <c r="C8952" s="4" t="str">
        <f>IFERROR(__xludf.DUMMYFUNCTION("""COMPUTED_VALUE"""),"Paint Swap")</f>
        <v>Paint Swap</v>
      </c>
    </row>
    <row r="8953">
      <c r="A8953" s="4" t="str">
        <f>IFERROR(__xludf.DUMMYFUNCTION("""COMPUTED_VALUE"""),"paisapad")</f>
        <v>paisapad</v>
      </c>
      <c r="B8953" s="4" t="str">
        <f>IFERROR(__xludf.DUMMYFUNCTION("""COMPUTED_VALUE"""),"ppd")</f>
        <v>ppd</v>
      </c>
      <c r="C8953" s="4" t="str">
        <f>IFERROR(__xludf.DUMMYFUNCTION("""COMPUTED_VALUE"""),"PaisaPad")</f>
        <v>PaisaPad</v>
      </c>
    </row>
    <row r="8954">
      <c r="A8954" s="4" t="str">
        <f>IFERROR(__xludf.DUMMYFUNCTION("""COMPUTED_VALUE"""),"pajamas-cat")</f>
        <v>pajamas-cat</v>
      </c>
      <c r="B8954" s="4" t="str">
        <f>IFERROR(__xludf.DUMMYFUNCTION("""COMPUTED_VALUE"""),"pajamas")</f>
        <v>pajamas</v>
      </c>
      <c r="C8954" s="4" t="str">
        <f>IFERROR(__xludf.DUMMYFUNCTION("""COMPUTED_VALUE"""),"Pajamas Cat")</f>
        <v>Pajamas Cat</v>
      </c>
    </row>
    <row r="8955">
      <c r="A8955" s="4" t="str">
        <f>IFERROR(__xludf.DUMMYFUNCTION("""COMPUTED_VALUE"""),"paje-etdev-company")</f>
        <v>paje-etdev-company</v>
      </c>
      <c r="B8955" s="4" t="str">
        <f>IFERROR(__xludf.DUMMYFUNCTION("""COMPUTED_VALUE"""),"bolly")</f>
        <v>bolly</v>
      </c>
      <c r="C8955" s="4" t="str">
        <f>IFERROR(__xludf.DUMMYFUNCTION("""COMPUTED_VALUE"""),"BOLLY.DEV")</f>
        <v>BOLLY.DEV</v>
      </c>
    </row>
    <row r="8956">
      <c r="A8956" s="4" t="str">
        <f>IFERROR(__xludf.DUMMYFUNCTION("""COMPUTED_VALUE"""),"pakcoin")</f>
        <v>pakcoin</v>
      </c>
      <c r="B8956" s="4" t="str">
        <f>IFERROR(__xludf.DUMMYFUNCTION("""COMPUTED_VALUE"""),"pak")</f>
        <v>pak</v>
      </c>
      <c r="C8956" s="4" t="str">
        <f>IFERROR(__xludf.DUMMYFUNCTION("""COMPUTED_VALUE"""),"Pakcoin")</f>
        <v>Pakcoin</v>
      </c>
    </row>
    <row r="8957">
      <c r="A8957" s="4" t="str">
        <f>IFERROR(__xludf.DUMMYFUNCTION("""COMPUTED_VALUE"""),"pal")</f>
        <v>pal</v>
      </c>
      <c r="B8957" s="4" t="str">
        <f>IFERROR(__xludf.DUMMYFUNCTION("""COMPUTED_VALUE"""),"pal")</f>
        <v>pal</v>
      </c>
      <c r="C8957" s="4" t="str">
        <f>IFERROR(__xludf.DUMMYFUNCTION("""COMPUTED_VALUE"""),"PAL")</f>
        <v>PAL</v>
      </c>
    </row>
    <row r="8958">
      <c r="A8958" s="4" t="str">
        <f>IFERROR(__xludf.DUMMYFUNCTION("""COMPUTED_VALUE"""),"paladeum")</f>
        <v>paladeum</v>
      </c>
      <c r="B8958" s="4" t="str">
        <f>IFERROR(__xludf.DUMMYFUNCTION("""COMPUTED_VALUE"""),"plb")</f>
        <v>plb</v>
      </c>
      <c r="C8958" s="4" t="str">
        <f>IFERROR(__xludf.DUMMYFUNCTION("""COMPUTED_VALUE"""),"Paladeum")</f>
        <v>Paladeum</v>
      </c>
    </row>
    <row r="8959">
      <c r="A8959" s="4" t="str">
        <f>IFERROR(__xludf.DUMMYFUNCTION("""COMPUTED_VALUE"""),"paladin")</f>
        <v>paladin</v>
      </c>
      <c r="B8959" s="4" t="str">
        <f>IFERROR(__xludf.DUMMYFUNCTION("""COMPUTED_VALUE"""),"pal")</f>
        <v>pal</v>
      </c>
      <c r="C8959" s="4" t="str">
        <f>IFERROR(__xludf.DUMMYFUNCTION("""COMPUTED_VALUE"""),"Paladin")</f>
        <v>Paladin</v>
      </c>
    </row>
    <row r="8960">
      <c r="A8960" s="4" t="str">
        <f>IFERROR(__xludf.DUMMYFUNCTION("""COMPUTED_VALUE"""),"paladinai")</f>
        <v>paladinai</v>
      </c>
      <c r="B8960" s="4" t="str">
        <f>IFERROR(__xludf.DUMMYFUNCTION("""COMPUTED_VALUE"""),"palai")</f>
        <v>palai</v>
      </c>
      <c r="C8960" s="4" t="str">
        <f>IFERROR(__xludf.DUMMYFUNCTION("""COMPUTED_VALUE"""),"PaladinAI")</f>
        <v>PaladinAI</v>
      </c>
    </row>
    <row r="8961">
      <c r="A8961" s="4" t="str">
        <f>IFERROR(__xludf.DUMMYFUNCTION("""COMPUTED_VALUE"""),"palantir-tokenized-stock-defichain")</f>
        <v>palantir-tokenized-stock-defichain</v>
      </c>
      <c r="B8961" s="4" t="str">
        <f>IFERROR(__xludf.DUMMYFUNCTION("""COMPUTED_VALUE"""),"dpltr")</f>
        <v>dpltr</v>
      </c>
      <c r="C8961" s="4" t="str">
        <f>IFERROR(__xludf.DUMMYFUNCTION("""COMPUTED_VALUE"""),"Palantir Tokenized Stock Defichain")</f>
        <v>Palantir Tokenized Stock Defichain</v>
      </c>
    </row>
    <row r="8962">
      <c r="A8962" s="4" t="str">
        <f>IFERROR(__xludf.DUMMYFUNCTION("""COMPUTED_VALUE"""),"palette")</f>
        <v>palette</v>
      </c>
      <c r="B8962" s="4" t="str">
        <f>IFERROR(__xludf.DUMMYFUNCTION("""COMPUTED_VALUE"""),"plt")</f>
        <v>plt</v>
      </c>
      <c r="C8962" s="4" t="str">
        <f>IFERROR(__xludf.DUMMYFUNCTION("""COMPUTED_VALUE"""),"Palette")</f>
        <v>Palette</v>
      </c>
    </row>
    <row r="8963">
      <c r="A8963" s="4" t="str">
        <f>IFERROR(__xludf.DUMMYFUNCTION("""COMPUTED_VALUE"""),"palette-2")</f>
        <v>palette-2</v>
      </c>
      <c r="B8963" s="4" t="str">
        <f>IFERROR(__xludf.DUMMYFUNCTION("""COMPUTED_VALUE"""),"plt")</f>
        <v>plt</v>
      </c>
      <c r="C8963" s="4" t="str">
        <f>IFERROR(__xludf.DUMMYFUNCTION("""COMPUTED_VALUE"""),"Palette")</f>
        <v>Palette</v>
      </c>
    </row>
    <row r="8964">
      <c r="A8964" s="4" t="str">
        <f>IFERROR(__xludf.DUMMYFUNCTION("""COMPUTED_VALUE"""),"palgold")</f>
        <v>palgold</v>
      </c>
      <c r="B8964" s="4" t="str">
        <f>IFERROR(__xludf.DUMMYFUNCTION("""COMPUTED_VALUE"""),"palg")</f>
        <v>palg</v>
      </c>
      <c r="C8964" s="4" t="str">
        <f>IFERROR(__xludf.DUMMYFUNCTION("""COMPUTED_VALUE"""),"PalGold")</f>
        <v>PalGold</v>
      </c>
    </row>
    <row r="8965">
      <c r="A8965" s="4" t="str">
        <f>IFERROR(__xludf.DUMMYFUNCTION("""COMPUTED_VALUE"""),"palm-ai")</f>
        <v>palm-ai</v>
      </c>
      <c r="B8965" s="4" t="str">
        <f>IFERROR(__xludf.DUMMYFUNCTION("""COMPUTED_VALUE"""),"palm")</f>
        <v>palm</v>
      </c>
      <c r="C8965" s="4" t="str">
        <f>IFERROR(__xludf.DUMMYFUNCTION("""COMPUTED_VALUE"""),"PaLM AI")</f>
        <v>PaLM AI</v>
      </c>
    </row>
    <row r="8966">
      <c r="A8966" s="4" t="str">
        <f>IFERROR(__xludf.DUMMYFUNCTION("""COMPUTED_VALUE"""),"palmeiras-fan-token")</f>
        <v>palmeiras-fan-token</v>
      </c>
      <c r="B8966" s="4" t="str">
        <f>IFERROR(__xludf.DUMMYFUNCTION("""COMPUTED_VALUE"""),"verdao")</f>
        <v>verdao</v>
      </c>
      <c r="C8966" s="4" t="str">
        <f>IFERROR(__xludf.DUMMYFUNCTION("""COMPUTED_VALUE"""),"Palmeiras Fan Token")</f>
        <v>Palmeiras Fan Token</v>
      </c>
    </row>
    <row r="8967">
      <c r="A8967" s="4" t="str">
        <f>IFERROR(__xludf.DUMMYFUNCTION("""COMPUTED_VALUE"""),"palmpay")</f>
        <v>palmpay</v>
      </c>
      <c r="B8967" s="4" t="str">
        <f>IFERROR(__xludf.DUMMYFUNCTION("""COMPUTED_VALUE"""),"palm")</f>
        <v>palm</v>
      </c>
      <c r="C8967" s="4" t="str">
        <f>IFERROR(__xludf.DUMMYFUNCTION("""COMPUTED_VALUE"""),"PalmPay")</f>
        <v>PalmPay</v>
      </c>
    </row>
    <row r="8968">
      <c r="A8968" s="4" t="str">
        <f>IFERROR(__xludf.DUMMYFUNCTION("""COMPUTED_VALUE"""),"palmswap")</f>
        <v>palmswap</v>
      </c>
      <c r="B8968" s="4" t="str">
        <f>IFERROR(__xludf.DUMMYFUNCTION("""COMPUTED_VALUE"""),"palm")</f>
        <v>palm</v>
      </c>
      <c r="C8968" s="4" t="str">
        <f>IFERROR(__xludf.DUMMYFUNCTION("""COMPUTED_VALUE"""),"PalmSwap")</f>
        <v>PalmSwap</v>
      </c>
    </row>
    <row r="8969">
      <c r="A8969" s="4" t="str">
        <f>IFERROR(__xludf.DUMMYFUNCTION("""COMPUTED_VALUE"""),"pancake-bunny")</f>
        <v>pancake-bunny</v>
      </c>
      <c r="B8969" s="4" t="str">
        <f>IFERROR(__xludf.DUMMYFUNCTION("""COMPUTED_VALUE"""),"bunny")</f>
        <v>bunny</v>
      </c>
      <c r="C8969" s="4" t="str">
        <f>IFERROR(__xludf.DUMMYFUNCTION("""COMPUTED_VALUE"""),"Pancake Bunny")</f>
        <v>Pancake Bunny</v>
      </c>
    </row>
    <row r="8970">
      <c r="A8970" s="4" t="str">
        <f>IFERROR(__xludf.DUMMYFUNCTION("""COMPUTED_VALUE"""),"pancake-games")</f>
        <v>pancake-games</v>
      </c>
      <c r="B8970" s="4" t="str">
        <f>IFERROR(__xludf.DUMMYFUNCTION("""COMPUTED_VALUE"""),"gcake")</f>
        <v>gcake</v>
      </c>
      <c r="C8970" s="4" t="str">
        <f>IFERROR(__xludf.DUMMYFUNCTION("""COMPUTED_VALUE"""),"Pancake Games")</f>
        <v>Pancake Games</v>
      </c>
    </row>
    <row r="8971">
      <c r="A8971" s="4" t="str">
        <f>IFERROR(__xludf.DUMMYFUNCTION("""COMPUTED_VALUE"""),"pancake-hunny")</f>
        <v>pancake-hunny</v>
      </c>
      <c r="B8971" s="4" t="str">
        <f>IFERROR(__xludf.DUMMYFUNCTION("""COMPUTED_VALUE"""),"hunny")</f>
        <v>hunny</v>
      </c>
      <c r="C8971" s="4" t="str">
        <f>IFERROR(__xludf.DUMMYFUNCTION("""COMPUTED_VALUE"""),"Hunny Finance")</f>
        <v>Hunny Finance</v>
      </c>
    </row>
    <row r="8972">
      <c r="A8972" s="4" t="str">
        <f>IFERROR(__xludf.DUMMYFUNCTION("""COMPUTED_VALUE"""),"pancakeswap-token")</f>
        <v>pancakeswap-token</v>
      </c>
      <c r="B8972" s="4" t="str">
        <f>IFERROR(__xludf.DUMMYFUNCTION("""COMPUTED_VALUE"""),"cake")</f>
        <v>cake</v>
      </c>
      <c r="C8972" s="4" t="str">
        <f>IFERROR(__xludf.DUMMYFUNCTION("""COMPUTED_VALUE"""),"PancakeSwap")</f>
        <v>PancakeSwap</v>
      </c>
    </row>
    <row r="8973">
      <c r="A8973" s="4" t="str">
        <f>IFERROR(__xludf.DUMMYFUNCTION("""COMPUTED_VALUE"""),"panda")</f>
        <v>panda</v>
      </c>
      <c r="B8973" s="4" t="str">
        <f>IFERROR(__xludf.DUMMYFUNCTION("""COMPUTED_VALUE"""),"ptkn")</f>
        <v>ptkn</v>
      </c>
      <c r="C8973" s="4" t="str">
        <f>IFERROR(__xludf.DUMMYFUNCTION("""COMPUTED_VALUE"""),"Panda")</f>
        <v>Panda</v>
      </c>
    </row>
    <row r="8974">
      <c r="A8974" s="4" t="str">
        <f>IFERROR(__xludf.DUMMYFUNCTION("""COMPUTED_VALUE"""),"pandacoin")</f>
        <v>pandacoin</v>
      </c>
      <c r="B8974" s="4" t="str">
        <f>IFERROR(__xludf.DUMMYFUNCTION("""COMPUTED_VALUE"""),"pnd")</f>
        <v>pnd</v>
      </c>
      <c r="C8974" s="4" t="str">
        <f>IFERROR(__xludf.DUMMYFUNCTION("""COMPUTED_VALUE"""),"Pandacoin")</f>
        <v>Pandacoin</v>
      </c>
    </row>
    <row r="8975">
      <c r="A8975" s="4" t="str">
        <f>IFERROR(__xludf.DUMMYFUNCTION("""COMPUTED_VALUE"""),"panda-coin")</f>
        <v>panda-coin</v>
      </c>
      <c r="B8975" s="4" t="str">
        <f>IFERROR(__xludf.DUMMYFUNCTION("""COMPUTED_VALUE"""),"panda")</f>
        <v>panda</v>
      </c>
      <c r="C8975" s="4" t="str">
        <f>IFERROR(__xludf.DUMMYFUNCTION("""COMPUTED_VALUE"""),"Panda Coin")</f>
        <v>Panda Coin</v>
      </c>
    </row>
    <row r="8976">
      <c r="A8976" s="4" t="str">
        <f>IFERROR(__xludf.DUMMYFUNCTION("""COMPUTED_VALUE"""),"pandacoin-inu")</f>
        <v>pandacoin-inu</v>
      </c>
      <c r="B8976" s="4" t="str">
        <f>IFERROR(__xludf.DUMMYFUNCTION("""COMPUTED_VALUE"""),"panda")</f>
        <v>panda</v>
      </c>
      <c r="C8976" s="4" t="str">
        <f>IFERROR(__xludf.DUMMYFUNCTION("""COMPUTED_VALUE"""),"Pandacoin Inu")</f>
        <v>Pandacoin Inu</v>
      </c>
    </row>
    <row r="8977">
      <c r="A8977" s="4" t="str">
        <f>IFERROR(__xludf.DUMMYFUNCTION("""COMPUTED_VALUE"""),"pandadao")</f>
        <v>pandadao</v>
      </c>
      <c r="B8977" s="4" t="str">
        <f>IFERROR(__xludf.DUMMYFUNCTION("""COMPUTED_VALUE"""),"panda")</f>
        <v>panda</v>
      </c>
      <c r="C8977" s="4" t="str">
        <f>IFERROR(__xludf.DUMMYFUNCTION("""COMPUTED_VALUE"""),"PandaDAO")</f>
        <v>PandaDAO</v>
      </c>
    </row>
    <row r="8978">
      <c r="A8978" s="4" t="str">
        <f>IFERROR(__xludf.DUMMYFUNCTION("""COMPUTED_VALUE"""),"pandao")</f>
        <v>pandao</v>
      </c>
      <c r="B8978" s="4" t="str">
        <f>IFERROR(__xludf.DUMMYFUNCTION("""COMPUTED_VALUE"""),"$panda")</f>
        <v>$panda</v>
      </c>
      <c r="C8978" s="4" t="str">
        <f>IFERROR(__xludf.DUMMYFUNCTION("""COMPUTED_VALUE"""),"PanDAO")</f>
        <v>PanDAO</v>
      </c>
    </row>
    <row r="8979">
      <c r="A8979" s="4" t="str">
        <f>IFERROR(__xludf.DUMMYFUNCTION("""COMPUTED_VALUE"""),"panda-swap")</f>
        <v>panda-swap</v>
      </c>
      <c r="B8979" s="4" t="str">
        <f>IFERROR(__xludf.DUMMYFUNCTION("""COMPUTED_VALUE"""),"panda")</f>
        <v>panda</v>
      </c>
      <c r="C8979" s="4" t="str">
        <f>IFERROR(__xludf.DUMMYFUNCTION("""COMPUTED_VALUE"""),"Panda Swap")</f>
        <v>Panda Swap</v>
      </c>
    </row>
    <row r="8980">
      <c r="A8980" s="4" t="str">
        <f>IFERROR(__xludf.DUMMYFUNCTION("""COMPUTED_VALUE"""),"pandemic-diamond")</f>
        <v>pandemic-diamond</v>
      </c>
      <c r="B8980" s="4" t="str">
        <f>IFERROR(__xludf.DUMMYFUNCTION("""COMPUTED_VALUE"""),"pmd")</f>
        <v>pmd</v>
      </c>
      <c r="C8980" s="4" t="str">
        <f>IFERROR(__xludf.DUMMYFUNCTION("""COMPUTED_VALUE"""),"Pandemic Diamond")</f>
        <v>Pandemic Diamond</v>
      </c>
    </row>
    <row r="8981">
      <c r="A8981" s="4" t="str">
        <f>IFERROR(__xludf.DUMMYFUNCTION("""COMPUTED_VALUE"""),"pando")</f>
        <v>pando</v>
      </c>
      <c r="B8981" s="4" t="str">
        <f>IFERROR(__xludf.DUMMYFUNCTION("""COMPUTED_VALUE"""),"pando")</f>
        <v>pando</v>
      </c>
      <c r="C8981" s="4" t="str">
        <f>IFERROR(__xludf.DUMMYFUNCTION("""COMPUTED_VALUE"""),"Pando")</f>
        <v>Pando</v>
      </c>
    </row>
    <row r="8982">
      <c r="A8982" s="4" t="str">
        <f>IFERROR(__xludf.DUMMYFUNCTION("""COMPUTED_VALUE"""),"pandora")</f>
        <v>pandora</v>
      </c>
      <c r="B8982" s="4" t="str">
        <f>IFERROR(__xludf.DUMMYFUNCTION("""COMPUTED_VALUE"""),"pandora")</f>
        <v>pandora</v>
      </c>
      <c r="C8982" s="4" t="str">
        <f>IFERROR(__xludf.DUMMYFUNCTION("""COMPUTED_VALUE"""),"Pandora")</f>
        <v>Pandora</v>
      </c>
    </row>
    <row r="8983">
      <c r="A8983" s="4" t="str">
        <f>IFERROR(__xludf.DUMMYFUNCTION("""COMPUTED_VALUE"""),"pandora-cash")</f>
        <v>pandora-cash</v>
      </c>
      <c r="B8983" s="4" t="str">
        <f>IFERROR(__xludf.DUMMYFUNCTION("""COMPUTED_VALUE"""),"pcash")</f>
        <v>pcash</v>
      </c>
      <c r="C8983" s="4" t="str">
        <f>IFERROR(__xludf.DUMMYFUNCTION("""COMPUTED_VALUE"""),"Pandora Cash")</f>
        <v>Pandora Cash</v>
      </c>
    </row>
    <row r="8984">
      <c r="A8984" s="4" t="str">
        <f>IFERROR(__xludf.DUMMYFUNCTION("""COMPUTED_VALUE"""),"pandora-protocol")</f>
        <v>pandora-protocol</v>
      </c>
      <c r="B8984" s="4" t="str">
        <f>IFERROR(__xludf.DUMMYFUNCTION("""COMPUTED_VALUE"""),"pndr")</f>
        <v>pndr</v>
      </c>
      <c r="C8984" s="4" t="str">
        <f>IFERROR(__xludf.DUMMYFUNCTION("""COMPUTED_VALUE"""),"Pandora Finance")</f>
        <v>Pandora Finance</v>
      </c>
    </row>
    <row r="8985">
      <c r="A8985" s="4" t="str">
        <f>IFERROR(__xludf.DUMMYFUNCTION("""COMPUTED_VALUE"""),"pando-token")</f>
        <v>pando-token</v>
      </c>
      <c r="B8985" s="4" t="str">
        <f>IFERROR(__xludf.DUMMYFUNCTION("""COMPUTED_VALUE"""),"ptx")</f>
        <v>ptx</v>
      </c>
      <c r="C8985" s="4" t="str">
        <f>IFERROR(__xludf.DUMMYFUNCTION("""COMPUTED_VALUE"""),"PandoProject")</f>
        <v>PandoProject</v>
      </c>
    </row>
    <row r="8986">
      <c r="A8986" s="4" t="str">
        <f>IFERROR(__xludf.DUMMYFUNCTION("""COMPUTED_VALUE"""),"pangea-governance-token")</f>
        <v>pangea-governance-token</v>
      </c>
      <c r="B8986" s="4" t="str">
        <f>IFERROR(__xludf.DUMMYFUNCTION("""COMPUTED_VALUE"""),"stone")</f>
        <v>stone</v>
      </c>
      <c r="C8986" s="4" t="str">
        <f>IFERROR(__xludf.DUMMYFUNCTION("""COMPUTED_VALUE"""),"PANGEA GOVERNANCE TOKEN")</f>
        <v>PANGEA GOVERNANCE TOKEN</v>
      </c>
    </row>
    <row r="8987">
      <c r="A8987" s="4" t="str">
        <f>IFERROR(__xludf.DUMMYFUNCTION("""COMPUTED_VALUE"""),"pangolin")</f>
        <v>pangolin</v>
      </c>
      <c r="B8987" s="4" t="str">
        <f>IFERROR(__xludf.DUMMYFUNCTION("""COMPUTED_VALUE"""),"png")</f>
        <v>png</v>
      </c>
      <c r="C8987" s="4" t="str">
        <f>IFERROR(__xludf.DUMMYFUNCTION("""COMPUTED_VALUE"""),"Pangolin")</f>
        <v>Pangolin</v>
      </c>
    </row>
    <row r="8988">
      <c r="A8988" s="4" t="str">
        <f>IFERROR(__xludf.DUMMYFUNCTION("""COMPUTED_VALUE"""),"pangolin-flare")</f>
        <v>pangolin-flare</v>
      </c>
      <c r="B8988" s="4" t="str">
        <f>IFERROR(__xludf.DUMMYFUNCTION("""COMPUTED_VALUE"""),"pfl")</f>
        <v>pfl</v>
      </c>
      <c r="C8988" s="4" t="str">
        <f>IFERROR(__xludf.DUMMYFUNCTION("""COMPUTED_VALUE"""),"Pangolin Flare")</f>
        <v>Pangolin Flare</v>
      </c>
    </row>
    <row r="8989">
      <c r="A8989" s="4" t="str">
        <f>IFERROR(__xludf.DUMMYFUNCTION("""COMPUTED_VALUE"""),"pangolin-hedera")</f>
        <v>pangolin-hedera</v>
      </c>
      <c r="B8989" s="4" t="str">
        <f>IFERROR(__xludf.DUMMYFUNCTION("""COMPUTED_VALUE"""),"pbar")</f>
        <v>pbar</v>
      </c>
      <c r="C8989" s="4" t="str">
        <f>IFERROR(__xludf.DUMMYFUNCTION("""COMPUTED_VALUE"""),"Pangolin Hedera")</f>
        <v>Pangolin Hedera</v>
      </c>
    </row>
    <row r="8990">
      <c r="A8990" s="4" t="str">
        <f>IFERROR(__xludf.DUMMYFUNCTION("""COMPUTED_VALUE"""),"pangolin-songbird")</f>
        <v>pangolin-songbird</v>
      </c>
      <c r="B8990" s="4" t="str">
        <f>IFERROR(__xludf.DUMMYFUNCTION("""COMPUTED_VALUE"""),"psb")</f>
        <v>psb</v>
      </c>
      <c r="C8990" s="4" t="str">
        <f>IFERROR(__xludf.DUMMYFUNCTION("""COMPUTED_VALUE"""),"Pangolin Songbird")</f>
        <v>Pangolin Songbird</v>
      </c>
    </row>
    <row r="8991">
      <c r="A8991" s="4" t="str">
        <f>IFERROR(__xludf.DUMMYFUNCTION("""COMPUTED_VALUE"""),"panicswap")</f>
        <v>panicswap</v>
      </c>
      <c r="B8991" s="4" t="str">
        <f>IFERROR(__xludf.DUMMYFUNCTION("""COMPUTED_VALUE"""),"panic")</f>
        <v>panic</v>
      </c>
      <c r="C8991" s="4" t="str">
        <f>IFERROR(__xludf.DUMMYFUNCTION("""COMPUTED_VALUE"""),"PanicSwap")</f>
        <v>PanicSwap</v>
      </c>
    </row>
    <row r="8992">
      <c r="A8992" s="4" t="str">
        <f>IFERROR(__xludf.DUMMYFUNCTION("""COMPUTED_VALUE"""),"panjea")</f>
        <v>panjea</v>
      </c>
      <c r="B8992" s="4" t="str">
        <f>IFERROR(__xludf.DUMMYFUNCTION("""COMPUTED_VALUE"""),"panj")</f>
        <v>panj</v>
      </c>
      <c r="C8992" s="4" t="str">
        <f>IFERROR(__xludf.DUMMYFUNCTION("""COMPUTED_VALUE"""),"Panjea")</f>
        <v>Panjea</v>
      </c>
    </row>
    <row r="8993">
      <c r="A8993" s="4" t="str">
        <f>IFERROR(__xludf.DUMMYFUNCTION("""COMPUTED_VALUE"""),"pankuku")</f>
        <v>pankuku</v>
      </c>
      <c r="B8993" s="4" t="str">
        <f>IFERROR(__xludf.DUMMYFUNCTION("""COMPUTED_VALUE"""),"kuku")</f>
        <v>kuku</v>
      </c>
      <c r="C8993" s="4" t="str">
        <f>IFERROR(__xludf.DUMMYFUNCTION("""COMPUTED_VALUE"""),"panKUKU")</f>
        <v>panKUKU</v>
      </c>
    </row>
    <row r="8994">
      <c r="A8994" s="4" t="str">
        <f>IFERROR(__xludf.DUMMYFUNCTION("""COMPUTED_VALUE"""),"panorama-swap-token")</f>
        <v>panorama-swap-token</v>
      </c>
      <c r="B8994" s="4" t="str">
        <f>IFERROR(__xludf.DUMMYFUNCTION("""COMPUTED_VALUE"""),"panx")</f>
        <v>panx</v>
      </c>
      <c r="C8994" s="4" t="str">
        <f>IFERROR(__xludf.DUMMYFUNCTION("""COMPUTED_VALUE"""),"Panorama Swap Token")</f>
        <v>Panorama Swap Token</v>
      </c>
    </row>
    <row r="8995">
      <c r="A8995" s="4" t="str">
        <f>IFERROR(__xludf.DUMMYFUNCTION("""COMPUTED_VALUE"""),"panoverse")</f>
        <v>panoverse</v>
      </c>
      <c r="B8995" s="4" t="str">
        <f>IFERROR(__xludf.DUMMYFUNCTION("""COMPUTED_VALUE"""),"pano")</f>
        <v>pano</v>
      </c>
      <c r="C8995" s="4" t="str">
        <f>IFERROR(__xludf.DUMMYFUNCTION("""COMPUTED_VALUE"""),"PanoVerse")</f>
        <v>PanoVerse</v>
      </c>
    </row>
    <row r="8996">
      <c r="A8996" s="4" t="str">
        <f>IFERROR(__xludf.DUMMYFUNCTION("""COMPUTED_VALUE"""),"panther")</f>
        <v>panther</v>
      </c>
      <c r="B8996" s="4" t="str">
        <f>IFERROR(__xludf.DUMMYFUNCTION("""COMPUTED_VALUE"""),"zkp")</f>
        <v>zkp</v>
      </c>
      <c r="C8996" s="4" t="str">
        <f>IFERROR(__xludf.DUMMYFUNCTION("""COMPUTED_VALUE"""),"Panther Protocol")</f>
        <v>Panther Protocol</v>
      </c>
    </row>
    <row r="8997">
      <c r="A8997" s="4" t="str">
        <f>IFERROR(__xludf.DUMMYFUNCTION("""COMPUTED_VALUE"""),"panties")</f>
        <v>panties</v>
      </c>
      <c r="B8997" s="4" t="str">
        <f>IFERROR(__xludf.DUMMYFUNCTION("""COMPUTED_VALUE"""),"panties")</f>
        <v>panties</v>
      </c>
      <c r="C8997" s="4" t="str">
        <f>IFERROR(__xludf.DUMMYFUNCTION("""COMPUTED_VALUE"""),"PANTIES")</f>
        <v>PANTIES</v>
      </c>
    </row>
    <row r="8998">
      <c r="A8998" s="4" t="str">
        <f>IFERROR(__xludf.DUMMYFUNCTION("""COMPUTED_VALUE"""),"pantos")</f>
        <v>pantos</v>
      </c>
      <c r="B8998" s="4" t="str">
        <f>IFERROR(__xludf.DUMMYFUNCTION("""COMPUTED_VALUE"""),"pan")</f>
        <v>pan</v>
      </c>
      <c r="C8998" s="4" t="str">
        <f>IFERROR(__xludf.DUMMYFUNCTION("""COMPUTED_VALUE"""),"Pantos")</f>
        <v>Pantos</v>
      </c>
    </row>
    <row r="8999">
      <c r="A8999" s="4" t="str">
        <f>IFERROR(__xludf.DUMMYFUNCTION("""COMPUTED_VALUE"""),"papa")</f>
        <v>papa</v>
      </c>
      <c r="B8999" s="4" t="str">
        <f>IFERROR(__xludf.DUMMYFUNCTION("""COMPUTED_VALUE"""),"papa")</f>
        <v>papa</v>
      </c>
      <c r="C8999" s="4" t="str">
        <f>IFERROR(__xludf.DUMMYFUNCTION("""COMPUTED_VALUE"""),"Papa")</f>
        <v>Papa</v>
      </c>
    </row>
    <row r="9000">
      <c r="A9000" s="4" t="str">
        <f>IFERROR(__xludf.DUMMYFUNCTION("""COMPUTED_VALUE"""),"papa2049")</f>
        <v>papa2049</v>
      </c>
      <c r="B9000" s="4" t="str">
        <f>IFERROR(__xludf.DUMMYFUNCTION("""COMPUTED_VALUE"""),"papa2049")</f>
        <v>papa2049</v>
      </c>
      <c r="C9000" s="4" t="str">
        <f>IFERROR(__xludf.DUMMYFUNCTION("""COMPUTED_VALUE"""),"papa2049")</f>
        <v>papa2049</v>
      </c>
    </row>
    <row r="9001">
      <c r="A9001" s="4" t="str">
        <f>IFERROR(__xludf.DUMMYFUNCTION("""COMPUTED_VALUE"""),"papa-bear-2")</f>
        <v>papa-bear-2</v>
      </c>
      <c r="B9001" s="4" t="str">
        <f>IFERROR(__xludf.DUMMYFUNCTION("""COMPUTED_VALUE"""),"papa")</f>
        <v>papa</v>
      </c>
      <c r="C9001" s="4" t="str">
        <f>IFERROR(__xludf.DUMMYFUNCTION("""COMPUTED_VALUE"""),"PAPA BEAR")</f>
        <v>PAPA BEAR</v>
      </c>
    </row>
    <row r="9002">
      <c r="A9002" s="4" t="str">
        <f>IFERROR(__xludf.DUMMYFUNCTION("""COMPUTED_VALUE"""),"papa-doge")</f>
        <v>papa-doge</v>
      </c>
      <c r="B9002" s="4" t="str">
        <f>IFERROR(__xludf.DUMMYFUNCTION("""COMPUTED_VALUE"""),"papadoge")</f>
        <v>papadoge</v>
      </c>
      <c r="C9002" s="4" t="str">
        <f>IFERROR(__xludf.DUMMYFUNCTION("""COMPUTED_VALUE"""),"Papa Doge")</f>
        <v>Papa Doge</v>
      </c>
    </row>
    <row r="9003">
      <c r="A9003" s="4" t="str">
        <f>IFERROR(__xludf.DUMMYFUNCTION("""COMPUTED_VALUE"""),"papa-on-sol")</f>
        <v>papa-on-sol</v>
      </c>
      <c r="B9003" s="4" t="str">
        <f>IFERROR(__xludf.DUMMYFUNCTION("""COMPUTED_VALUE"""),"papa")</f>
        <v>papa</v>
      </c>
      <c r="C9003" s="4" t="str">
        <f>IFERROR(__xludf.DUMMYFUNCTION("""COMPUTED_VALUE"""),"PAPA on SOL")</f>
        <v>PAPA on SOL</v>
      </c>
    </row>
    <row r="9004">
      <c r="A9004" s="4" t="str">
        <f>IFERROR(__xludf.DUMMYFUNCTION("""COMPUTED_VALUE"""),"paper-fantom")</f>
        <v>paper-fantom</v>
      </c>
      <c r="B9004" s="4" t="str">
        <f>IFERROR(__xludf.DUMMYFUNCTION("""COMPUTED_VALUE"""),"paper")</f>
        <v>paper</v>
      </c>
      <c r="C9004" s="4" t="str">
        <f>IFERROR(__xludf.DUMMYFUNCTION("""COMPUTED_VALUE"""),"Paper")</f>
        <v>Paper</v>
      </c>
    </row>
    <row r="9005">
      <c r="A9005" s="4" t="str">
        <f>IFERROR(__xludf.DUMMYFUNCTION("""COMPUTED_VALUE"""),"paper-plane")</f>
        <v>paper-plane</v>
      </c>
      <c r="B9005" s="4" t="str">
        <f>IFERROR(__xludf.DUMMYFUNCTION("""COMPUTED_VALUE"""),"plane")</f>
        <v>plane</v>
      </c>
      <c r="C9005" s="4" t="str">
        <f>IFERROR(__xludf.DUMMYFUNCTION("""COMPUTED_VALUE"""),"Paper Plane")</f>
        <v>Paper Plane</v>
      </c>
    </row>
    <row r="9006">
      <c r="A9006" s="4" t="str">
        <f>IFERROR(__xludf.DUMMYFUNCTION("""COMPUTED_VALUE"""),"papocoin")</f>
        <v>papocoin</v>
      </c>
      <c r="B9006" s="4" t="str">
        <f>IFERROR(__xludf.DUMMYFUNCTION("""COMPUTED_VALUE"""),"papo")</f>
        <v>papo</v>
      </c>
      <c r="C9006" s="4" t="str">
        <f>IFERROR(__xludf.DUMMYFUNCTION("""COMPUTED_VALUE"""),"PapoCoin")</f>
        <v>PapoCoin</v>
      </c>
    </row>
    <row r="9007">
      <c r="A9007" s="4" t="str">
        <f>IFERROR(__xludf.DUMMYFUNCTION("""COMPUTED_VALUE"""),"papyrus-swap")</f>
        <v>papyrus-swap</v>
      </c>
      <c r="B9007" s="4" t="str">
        <f>IFERROR(__xludf.DUMMYFUNCTION("""COMPUTED_VALUE"""),"papyrus")</f>
        <v>papyrus</v>
      </c>
      <c r="C9007" s="4" t="str">
        <f>IFERROR(__xludf.DUMMYFUNCTION("""COMPUTED_VALUE"""),"Papyrus Swap")</f>
        <v>Papyrus Swap</v>
      </c>
    </row>
    <row r="9008">
      <c r="A9008" s="4" t="str">
        <f>IFERROR(__xludf.DUMMYFUNCTION("""COMPUTED_VALUE"""),"parachute")</f>
        <v>parachute</v>
      </c>
      <c r="B9008" s="4" t="str">
        <f>IFERROR(__xludf.DUMMYFUNCTION("""COMPUTED_VALUE"""),"par")</f>
        <v>par</v>
      </c>
      <c r="C9008" s="4" t="str">
        <f>IFERROR(__xludf.DUMMYFUNCTION("""COMPUTED_VALUE"""),"Parachute")</f>
        <v>Parachute</v>
      </c>
    </row>
    <row r="9009">
      <c r="A9009" s="4" t="str">
        <f>IFERROR(__xludf.DUMMYFUNCTION("""COMPUTED_VALUE"""),"paradise-defi")</f>
        <v>paradise-defi</v>
      </c>
      <c r="B9009" s="4" t="str">
        <f>IFERROR(__xludf.DUMMYFUNCTION("""COMPUTED_VALUE"""),"pdf")</f>
        <v>pdf</v>
      </c>
      <c r="C9009" s="4" t="str">
        <f>IFERROR(__xludf.DUMMYFUNCTION("""COMPUTED_VALUE"""),"Paradise Defi")</f>
        <v>Paradise Defi</v>
      </c>
    </row>
    <row r="9010">
      <c r="A9010" s="4" t="str">
        <f>IFERROR(__xludf.DUMMYFUNCTION("""COMPUTED_VALUE"""),"paradisefi")</f>
        <v>paradisefi</v>
      </c>
      <c r="B9010" s="4" t="str">
        <f>IFERROR(__xludf.DUMMYFUNCTION("""COMPUTED_VALUE"""),"eden")</f>
        <v>eden</v>
      </c>
      <c r="C9010" s="4" t="str">
        <f>IFERROR(__xludf.DUMMYFUNCTION("""COMPUTED_VALUE"""),"ParadiseFi")</f>
        <v>ParadiseFi</v>
      </c>
    </row>
    <row r="9011">
      <c r="A9011" s="4" t="str">
        <f>IFERROR(__xludf.DUMMYFUNCTION("""COMPUTED_VALUE"""),"paradox-2")</f>
        <v>paradox-2</v>
      </c>
      <c r="B9011" s="4" t="str">
        <f>IFERROR(__xludf.DUMMYFUNCTION("""COMPUTED_VALUE"""),"pdx")</f>
        <v>pdx</v>
      </c>
      <c r="C9011" s="4" t="str">
        <f>IFERROR(__xludf.DUMMYFUNCTION("""COMPUTED_VALUE"""),"Paradox")</f>
        <v>Paradox</v>
      </c>
    </row>
    <row r="9012">
      <c r="A9012" s="4" t="str">
        <f>IFERROR(__xludf.DUMMYFUNCTION("""COMPUTED_VALUE"""),"paradox-metaverse")</f>
        <v>paradox-metaverse</v>
      </c>
      <c r="B9012" s="4" t="str">
        <f>IFERROR(__xludf.DUMMYFUNCTION("""COMPUTED_VALUE"""),"paradox")</f>
        <v>paradox</v>
      </c>
      <c r="C9012" s="4" t="str">
        <f>IFERROR(__xludf.DUMMYFUNCTION("""COMPUTED_VALUE"""),"Paradox Metaverse")</f>
        <v>Paradox Metaverse</v>
      </c>
    </row>
    <row r="9013">
      <c r="A9013" s="4" t="str">
        <f>IFERROR(__xludf.DUMMYFUNCTION("""COMPUTED_VALUE"""),"paragen")</f>
        <v>paragen</v>
      </c>
      <c r="B9013" s="4" t="str">
        <f>IFERROR(__xludf.DUMMYFUNCTION("""COMPUTED_VALUE"""),"rgen")</f>
        <v>rgen</v>
      </c>
      <c r="C9013" s="4" t="str">
        <f>IFERROR(__xludf.DUMMYFUNCTION("""COMPUTED_VALUE"""),"Paragen")</f>
        <v>Paragen</v>
      </c>
    </row>
    <row r="9014">
      <c r="A9014" s="4" t="str">
        <f>IFERROR(__xludf.DUMMYFUNCTION("""COMPUTED_VALUE"""),"paragonsdao")</f>
        <v>paragonsdao</v>
      </c>
      <c r="B9014" s="4" t="str">
        <f>IFERROR(__xludf.DUMMYFUNCTION("""COMPUTED_VALUE"""),"pdt")</f>
        <v>pdt</v>
      </c>
      <c r="C9014" s="4" t="str">
        <f>IFERROR(__xludf.DUMMYFUNCTION("""COMPUTED_VALUE"""),"ParagonsDAO")</f>
        <v>ParagonsDAO</v>
      </c>
    </row>
    <row r="9015">
      <c r="A9015" s="4" t="str">
        <f>IFERROR(__xludf.DUMMYFUNCTION("""COMPUTED_VALUE"""),"paralink-network")</f>
        <v>paralink-network</v>
      </c>
      <c r="B9015" s="4" t="str">
        <f>IFERROR(__xludf.DUMMYFUNCTION("""COMPUTED_VALUE"""),"para")</f>
        <v>para</v>
      </c>
      <c r="C9015" s="4" t="str">
        <f>IFERROR(__xludf.DUMMYFUNCTION("""COMPUTED_VALUE"""),"Paralink Network")</f>
        <v>Paralink Network</v>
      </c>
    </row>
    <row r="9016">
      <c r="A9016" s="4" t="str">
        <f>IFERROR(__xludf.DUMMYFUNCTION("""COMPUTED_VALUE"""),"parallax")</f>
        <v>parallax</v>
      </c>
      <c r="B9016" s="4" t="str">
        <f>IFERROR(__xludf.DUMMYFUNCTION("""COMPUTED_VALUE"""),"plx")</f>
        <v>plx</v>
      </c>
      <c r="C9016" s="4" t="str">
        <f>IFERROR(__xludf.DUMMYFUNCTION("""COMPUTED_VALUE"""),"Parallax")</f>
        <v>Parallax</v>
      </c>
    </row>
    <row r="9017">
      <c r="A9017" s="4" t="str">
        <f>IFERROR(__xludf.DUMMYFUNCTION("""COMPUTED_VALUE"""),"parallelchain")</f>
        <v>parallelchain</v>
      </c>
      <c r="B9017" s="4" t="str">
        <f>IFERROR(__xludf.DUMMYFUNCTION("""COMPUTED_VALUE"""),"xpll")</f>
        <v>xpll</v>
      </c>
      <c r="C9017" s="4" t="str">
        <f>IFERROR(__xludf.DUMMYFUNCTION("""COMPUTED_VALUE"""),"ParallelChain")</f>
        <v>ParallelChain</v>
      </c>
    </row>
    <row r="9018">
      <c r="A9018" s="4" t="str">
        <f>IFERROR(__xludf.DUMMYFUNCTION("""COMPUTED_VALUE"""),"pararium")</f>
        <v>pararium</v>
      </c>
      <c r="B9018" s="4" t="str">
        <f>IFERROR(__xludf.DUMMYFUNCTION("""COMPUTED_VALUE"""),"paz")</f>
        <v>paz</v>
      </c>
      <c r="C9018" s="4" t="str">
        <f>IFERROR(__xludf.DUMMYFUNCTION("""COMPUTED_VALUE"""),"Pararium")</f>
        <v>Pararium</v>
      </c>
    </row>
    <row r="9019">
      <c r="A9019" s="4" t="str">
        <f>IFERROR(__xludf.DUMMYFUNCTION("""COMPUTED_VALUE"""),"paras")</f>
        <v>paras</v>
      </c>
      <c r="B9019" s="4" t="str">
        <f>IFERROR(__xludf.DUMMYFUNCTION("""COMPUTED_VALUE"""),"paras")</f>
        <v>paras</v>
      </c>
      <c r="C9019" s="4" t="str">
        <f>IFERROR(__xludf.DUMMYFUNCTION("""COMPUTED_VALUE"""),"Paras")</f>
        <v>Paras</v>
      </c>
    </row>
    <row r="9020">
      <c r="A9020" s="4" t="str">
        <f>IFERROR(__xludf.DUMMYFUNCTION("""COMPUTED_VALUE"""),"parasol-finance")</f>
        <v>parasol-finance</v>
      </c>
      <c r="B9020" s="4" t="str">
        <f>IFERROR(__xludf.DUMMYFUNCTION("""COMPUTED_VALUE"""),"psol")</f>
        <v>psol</v>
      </c>
      <c r="C9020" s="4" t="str">
        <f>IFERROR(__xludf.DUMMYFUNCTION("""COMPUTED_VALUE"""),"Parasol Finance")</f>
        <v>Parasol Finance</v>
      </c>
    </row>
    <row r="9021">
      <c r="A9021" s="4" t="str">
        <f>IFERROR(__xludf.DUMMYFUNCTION("""COMPUTED_VALUE"""),"paraswap")</f>
        <v>paraswap</v>
      </c>
      <c r="B9021" s="4" t="str">
        <f>IFERROR(__xludf.DUMMYFUNCTION("""COMPUTED_VALUE"""),"psp")</f>
        <v>psp</v>
      </c>
      <c r="C9021" s="4" t="str">
        <f>IFERROR(__xludf.DUMMYFUNCTION("""COMPUTED_VALUE"""),"ParaSwap")</f>
        <v>ParaSwap</v>
      </c>
    </row>
    <row r="9022">
      <c r="A9022" s="4" t="str">
        <f>IFERROR(__xludf.DUMMYFUNCTION("""COMPUTED_VALUE"""),"paratoken-2")</f>
        <v>paratoken-2</v>
      </c>
      <c r="B9022" s="4" t="str">
        <f>IFERROR(__xludf.DUMMYFUNCTION("""COMPUTED_VALUE"""),"para")</f>
        <v>para</v>
      </c>
      <c r="C9022" s="4" t="str">
        <f>IFERROR(__xludf.DUMMYFUNCTION("""COMPUTED_VALUE"""),"Para")</f>
        <v>Para</v>
      </c>
    </row>
    <row r="9023">
      <c r="A9023" s="4" t="str">
        <f>IFERROR(__xludf.DUMMYFUNCTION("""COMPUTED_VALUE"""),"paraverse")</f>
        <v>paraverse</v>
      </c>
      <c r="B9023" s="4" t="str">
        <f>IFERROR(__xludf.DUMMYFUNCTION("""COMPUTED_VALUE"""),"para")</f>
        <v>para</v>
      </c>
      <c r="C9023" s="4" t="str">
        <f>IFERROR(__xludf.DUMMYFUNCTION("""COMPUTED_VALUE"""),"Paraverse")</f>
        <v>Paraverse</v>
      </c>
    </row>
    <row r="9024">
      <c r="A9024" s="4" t="str">
        <f>IFERROR(__xludf.DUMMYFUNCTION("""COMPUTED_VALUE"""),"parex")</f>
        <v>parex</v>
      </c>
      <c r="B9024" s="4" t="str">
        <f>IFERROR(__xludf.DUMMYFUNCTION("""COMPUTED_VALUE"""),"prx")</f>
        <v>prx</v>
      </c>
      <c r="C9024" s="4" t="str">
        <f>IFERROR(__xludf.DUMMYFUNCTION("""COMPUTED_VALUE"""),"Parex")</f>
        <v>Parex</v>
      </c>
    </row>
    <row r="9025">
      <c r="A9025" s="4" t="str">
        <f>IFERROR(__xludf.DUMMYFUNCTION("""COMPUTED_VALUE"""),"paribu-net")</f>
        <v>paribu-net</v>
      </c>
      <c r="B9025" s="4" t="str">
        <f>IFERROR(__xludf.DUMMYFUNCTION("""COMPUTED_VALUE"""),"prb")</f>
        <v>prb</v>
      </c>
      <c r="C9025" s="4" t="str">
        <f>IFERROR(__xludf.DUMMYFUNCTION("""COMPUTED_VALUE"""),"Paribu Net")</f>
        <v>Paribu Net</v>
      </c>
    </row>
    <row r="9026">
      <c r="A9026" s="4" t="str">
        <f>IFERROR(__xludf.DUMMYFUNCTION("""COMPUTED_VALUE"""),"paribus")</f>
        <v>paribus</v>
      </c>
      <c r="B9026" s="4" t="str">
        <f>IFERROR(__xludf.DUMMYFUNCTION("""COMPUTED_VALUE"""),"pbx")</f>
        <v>pbx</v>
      </c>
      <c r="C9026" s="4" t="str">
        <f>IFERROR(__xludf.DUMMYFUNCTION("""COMPUTED_VALUE"""),"Paribus")</f>
        <v>Paribus</v>
      </c>
    </row>
    <row r="9027">
      <c r="A9027" s="4" t="str">
        <f>IFERROR(__xludf.DUMMYFUNCTION("""COMPUTED_VALUE"""),"parifi")</f>
        <v>parifi</v>
      </c>
      <c r="B9027" s="4" t="str">
        <f>IFERROR(__xludf.DUMMYFUNCTION("""COMPUTED_VALUE"""),"prf")</f>
        <v>prf</v>
      </c>
      <c r="C9027" s="4" t="str">
        <f>IFERROR(__xludf.DUMMYFUNCTION("""COMPUTED_VALUE"""),"Parifi")</f>
        <v>Parifi</v>
      </c>
    </row>
    <row r="9028">
      <c r="A9028" s="4" t="str">
        <f>IFERROR(__xludf.DUMMYFUNCTION("""COMPUTED_VALUE"""),"parifi-usdc")</f>
        <v>parifi-usdc</v>
      </c>
      <c r="B9028" s="4" t="str">
        <f>IFERROR(__xludf.DUMMYFUNCTION("""COMPUTED_VALUE"""),"pfusdc")</f>
        <v>pfusdc</v>
      </c>
      <c r="C9028" s="4" t="str">
        <f>IFERROR(__xludf.DUMMYFUNCTION("""COMPUTED_VALUE"""),"Parifi USDC")</f>
        <v>Parifi USDC</v>
      </c>
    </row>
    <row r="9029">
      <c r="A9029" s="4" t="str">
        <f>IFERROR(__xludf.DUMMYFUNCTION("""COMPUTED_VALUE"""),"parifi-weth")</f>
        <v>parifi-weth</v>
      </c>
      <c r="B9029" s="4" t="str">
        <f>IFERROR(__xludf.DUMMYFUNCTION("""COMPUTED_VALUE"""),"pfweth")</f>
        <v>pfweth</v>
      </c>
      <c r="C9029" s="4" t="str">
        <f>IFERROR(__xludf.DUMMYFUNCTION("""COMPUTED_VALUE"""),"Parifi WETH")</f>
        <v>Parifi WETH</v>
      </c>
    </row>
    <row r="9030">
      <c r="A9030" s="4" t="str">
        <f>IFERROR(__xludf.DUMMYFUNCTION("""COMPUTED_VALUE"""),"paris-saint-germain-fan-token")</f>
        <v>paris-saint-germain-fan-token</v>
      </c>
      <c r="B9030" s="4" t="str">
        <f>IFERROR(__xludf.DUMMYFUNCTION("""COMPUTED_VALUE"""),"psg")</f>
        <v>psg</v>
      </c>
      <c r="C9030" s="4" t="str">
        <f>IFERROR(__xludf.DUMMYFUNCTION("""COMPUTED_VALUE"""),"Paris Saint-Germain Fan Token")</f>
        <v>Paris Saint-Germain Fan Token</v>
      </c>
    </row>
    <row r="9031">
      <c r="A9031" s="4" t="str">
        <f>IFERROR(__xludf.DUMMYFUNCTION("""COMPUTED_VALUE"""),"parma-calcio-1913-fan-token")</f>
        <v>parma-calcio-1913-fan-token</v>
      </c>
      <c r="B9031" s="4" t="str">
        <f>IFERROR(__xludf.DUMMYFUNCTION("""COMPUTED_VALUE"""),"parma")</f>
        <v>parma</v>
      </c>
      <c r="C9031" s="4" t="str">
        <f>IFERROR(__xludf.DUMMYFUNCTION("""COMPUTED_VALUE"""),"Parma Calcio 1913 Fan Token")</f>
        <v>Parma Calcio 1913 Fan Token</v>
      </c>
    </row>
    <row r="9032">
      <c r="A9032" s="4" t="str">
        <f>IFERROR(__xludf.DUMMYFUNCTION("""COMPUTED_VALUE"""),"parrotly")</f>
        <v>parrotly</v>
      </c>
      <c r="B9032" s="4" t="str">
        <f>IFERROR(__xludf.DUMMYFUNCTION("""COMPUTED_VALUE"""),"pbirb")</f>
        <v>pbirb</v>
      </c>
      <c r="C9032" s="4" t="str">
        <f>IFERROR(__xludf.DUMMYFUNCTION("""COMPUTED_VALUE"""),"Parrotly")</f>
        <v>Parrotly</v>
      </c>
    </row>
    <row r="9033">
      <c r="A9033" s="4" t="str">
        <f>IFERROR(__xludf.DUMMYFUNCTION("""COMPUTED_VALUE"""),"parrot-protocol")</f>
        <v>parrot-protocol</v>
      </c>
      <c r="B9033" s="4" t="str">
        <f>IFERROR(__xludf.DUMMYFUNCTION("""COMPUTED_VALUE"""),"prt")</f>
        <v>prt</v>
      </c>
      <c r="C9033" s="4" t="str">
        <f>IFERROR(__xludf.DUMMYFUNCTION("""COMPUTED_VALUE"""),"Parrot Protocol")</f>
        <v>Parrot Protocol</v>
      </c>
    </row>
    <row r="9034">
      <c r="A9034" s="4" t="str">
        <f>IFERROR(__xludf.DUMMYFUNCTION("""COMPUTED_VALUE"""),"parrot-usd")</f>
        <v>parrot-usd</v>
      </c>
      <c r="B9034" s="4" t="str">
        <f>IFERROR(__xludf.DUMMYFUNCTION("""COMPUTED_VALUE"""),"pai")</f>
        <v>pai</v>
      </c>
      <c r="C9034" s="4" t="str">
        <f>IFERROR(__xludf.DUMMYFUNCTION("""COMPUTED_VALUE"""),"Parrot USD")</f>
        <v>Parrot USD</v>
      </c>
    </row>
    <row r="9035">
      <c r="A9035" s="4" t="str">
        <f>IFERROR(__xludf.DUMMYFUNCTION("""COMPUTED_VALUE"""),"parsiq")</f>
        <v>parsiq</v>
      </c>
      <c r="B9035" s="4" t="str">
        <f>IFERROR(__xludf.DUMMYFUNCTION("""COMPUTED_VALUE"""),"prq")</f>
        <v>prq</v>
      </c>
      <c r="C9035" s="4" t="str">
        <f>IFERROR(__xludf.DUMMYFUNCTION("""COMPUTED_VALUE"""),"PARSIQ")</f>
        <v>PARSIQ</v>
      </c>
    </row>
    <row r="9036">
      <c r="A9036" s="4" t="str">
        <f>IFERROR(__xludf.DUMMYFUNCTION("""COMPUTED_VALUE"""),"par-stablecoin")</f>
        <v>par-stablecoin</v>
      </c>
      <c r="B9036" s="4" t="str">
        <f>IFERROR(__xludf.DUMMYFUNCTION("""COMPUTED_VALUE"""),"par")</f>
        <v>par</v>
      </c>
      <c r="C9036" s="4" t="str">
        <f>IFERROR(__xludf.DUMMYFUNCTION("""COMPUTED_VALUE"""),"Parallel")</f>
        <v>Parallel</v>
      </c>
    </row>
    <row r="9037">
      <c r="A9037" s="4" t="str">
        <f>IFERROR(__xludf.DUMMYFUNCTION("""COMPUTED_VALUE"""),"particl")</f>
        <v>particl</v>
      </c>
      <c r="B9037" s="4" t="str">
        <f>IFERROR(__xludf.DUMMYFUNCTION("""COMPUTED_VALUE"""),"part")</f>
        <v>part</v>
      </c>
      <c r="C9037" s="4" t="str">
        <f>IFERROR(__xludf.DUMMYFUNCTION("""COMPUTED_VALUE"""),"Particl")</f>
        <v>Particl</v>
      </c>
    </row>
    <row r="9038">
      <c r="A9038" s="4" t="str">
        <f>IFERROR(__xludf.DUMMYFUNCTION("""COMPUTED_VALUE"""),"particle-2")</f>
        <v>particle-2</v>
      </c>
      <c r="B9038" s="4" t="str">
        <f>IFERROR(__xludf.DUMMYFUNCTION("""COMPUTED_VALUE"""),"prtcle")</f>
        <v>prtcle</v>
      </c>
      <c r="C9038" s="4" t="str">
        <f>IFERROR(__xludf.DUMMYFUNCTION("""COMPUTED_VALUE"""),"Particle")</f>
        <v>Particle</v>
      </c>
    </row>
    <row r="9039">
      <c r="A9039" s="4" t="str">
        <f>IFERROR(__xludf.DUMMYFUNCTION("""COMPUTED_VALUE"""),"particles-money")</f>
        <v>particles-money</v>
      </c>
      <c r="B9039" s="4" t="str">
        <f>IFERROR(__xludf.DUMMYFUNCTION("""COMPUTED_VALUE"""),"particle")</f>
        <v>particle</v>
      </c>
      <c r="C9039" s="4" t="str">
        <f>IFERROR(__xludf.DUMMYFUNCTION("""COMPUTED_VALUE"""),"Particles Money")</f>
        <v>Particles Money</v>
      </c>
    </row>
    <row r="9040">
      <c r="A9040" s="4" t="str">
        <f>IFERROR(__xludf.DUMMYFUNCTION("""COMPUTED_VALUE"""),"particles-money-xeth")</f>
        <v>particles-money-xeth</v>
      </c>
      <c r="B9040" s="4" t="str">
        <f>IFERROR(__xludf.DUMMYFUNCTION("""COMPUTED_VALUE"""),"xeth")</f>
        <v>xeth</v>
      </c>
      <c r="C9040" s="4" t="str">
        <f>IFERROR(__xludf.DUMMYFUNCTION("""COMPUTED_VALUE"""),"Particles Money xETH")</f>
        <v>Particles Money xETH</v>
      </c>
    </row>
    <row r="9041">
      <c r="A9041" s="4" t="str">
        <f>IFERROR(__xludf.DUMMYFUNCTION("""COMPUTED_VALUE"""),"partisia-blockchain")</f>
        <v>partisia-blockchain</v>
      </c>
      <c r="B9041" s="4" t="str">
        <f>IFERROR(__xludf.DUMMYFUNCTION("""COMPUTED_VALUE"""),"mpc")</f>
        <v>mpc</v>
      </c>
      <c r="C9041" s="4" t="str">
        <f>IFERROR(__xludf.DUMMYFUNCTION("""COMPUTED_VALUE"""),"Partisia Blockchain")</f>
        <v>Partisia Blockchain</v>
      </c>
    </row>
    <row r="9042">
      <c r="A9042" s="4" t="str">
        <f>IFERROR(__xludf.DUMMYFUNCTION("""COMPUTED_VALUE"""),"party")</f>
        <v>party</v>
      </c>
      <c r="B9042" s="4" t="str">
        <f>IFERROR(__xludf.DUMMYFUNCTION("""COMPUTED_VALUE"""),"party")</f>
        <v>party</v>
      </c>
      <c r="C9042" s="4" t="str">
        <f>IFERROR(__xludf.DUMMYFUNCTION("""COMPUTED_VALUE"""),"PARTY")</f>
        <v>PARTY</v>
      </c>
    </row>
    <row r="9043">
      <c r="A9043" s="4" t="str">
        <f>IFERROR(__xludf.DUMMYFUNCTION("""COMPUTED_VALUE"""),"party-2")</f>
        <v>party-2</v>
      </c>
      <c r="B9043" s="4" t="str">
        <f>IFERROR(__xludf.DUMMYFUNCTION("""COMPUTED_VALUE"""),"party")</f>
        <v>party</v>
      </c>
      <c r="C9043" s="4" t="str">
        <f>IFERROR(__xludf.DUMMYFUNCTION("""COMPUTED_VALUE"""),"Party")</f>
        <v>Party</v>
      </c>
    </row>
    <row r="9044">
      <c r="A9044" s="4" t="str">
        <f>IFERROR(__xludf.DUMMYFUNCTION("""COMPUTED_VALUE"""),"partyhat-meme")</f>
        <v>partyhat-meme</v>
      </c>
      <c r="B9044" s="4" t="str">
        <f>IFERROR(__xludf.DUMMYFUNCTION("""COMPUTED_VALUE"""),"phat")</f>
        <v>phat</v>
      </c>
      <c r="C9044" s="4" t="str">
        <f>IFERROR(__xludf.DUMMYFUNCTION("""COMPUTED_VALUE"""),"partyhat (Meme)")</f>
        <v>partyhat (Meme)</v>
      </c>
    </row>
    <row r="9045">
      <c r="A9045" s="4" t="str">
        <f>IFERROR(__xludf.DUMMYFUNCTION("""COMPUTED_VALUE"""),"pascalcoin")</f>
        <v>pascalcoin</v>
      </c>
      <c r="B9045" s="4" t="str">
        <f>IFERROR(__xludf.DUMMYFUNCTION("""COMPUTED_VALUE"""),"pasc")</f>
        <v>pasc</v>
      </c>
      <c r="C9045" s="4" t="str">
        <f>IFERROR(__xludf.DUMMYFUNCTION("""COMPUTED_VALUE"""),"Pascal")</f>
        <v>Pascal</v>
      </c>
    </row>
    <row r="9046">
      <c r="A9046" s="4" t="str">
        <f>IFERROR(__xludf.DUMMYFUNCTION("""COMPUTED_VALUE"""),"passage")</f>
        <v>passage</v>
      </c>
      <c r="B9046" s="4" t="str">
        <f>IFERROR(__xludf.DUMMYFUNCTION("""COMPUTED_VALUE"""),"pasg")</f>
        <v>pasg</v>
      </c>
      <c r="C9046" s="4" t="str">
        <f>IFERROR(__xludf.DUMMYFUNCTION("""COMPUTED_VALUE"""),"Passage")</f>
        <v>Passage</v>
      </c>
    </row>
    <row r="9047">
      <c r="A9047" s="4" t="str">
        <f>IFERROR(__xludf.DUMMYFUNCTION("""COMPUTED_VALUE"""),"passivesphere")</f>
        <v>passivesphere</v>
      </c>
      <c r="B9047" s="4" t="str">
        <f>IFERROR(__xludf.DUMMYFUNCTION("""COMPUTED_VALUE"""),"ppx")</f>
        <v>ppx</v>
      </c>
      <c r="C9047" s="4" t="str">
        <f>IFERROR(__xludf.DUMMYFUNCTION("""COMPUTED_VALUE"""),"PassiveSphere")</f>
        <v>PassiveSphere</v>
      </c>
    </row>
    <row r="9048">
      <c r="A9048" s="4" t="str">
        <f>IFERROR(__xludf.DUMMYFUNCTION("""COMPUTED_VALUE"""),"pastel")</f>
        <v>pastel</v>
      </c>
      <c r="B9048" s="4" t="str">
        <f>IFERROR(__xludf.DUMMYFUNCTION("""COMPUTED_VALUE"""),"psl")</f>
        <v>psl</v>
      </c>
      <c r="C9048" s="4" t="str">
        <f>IFERROR(__xludf.DUMMYFUNCTION("""COMPUTED_VALUE"""),"Pastel")</f>
        <v>Pastel</v>
      </c>
    </row>
    <row r="9049">
      <c r="A9049" s="4" t="str">
        <f>IFERROR(__xludf.DUMMYFUNCTION("""COMPUTED_VALUE"""),"pat")</f>
        <v>pat</v>
      </c>
      <c r="B9049" s="4" t="str">
        <f>IFERROR(__xludf.DUMMYFUNCTION("""COMPUTED_VALUE"""),"pat")</f>
        <v>pat</v>
      </c>
      <c r="C9049" s="4" t="str">
        <f>IFERROR(__xludf.DUMMYFUNCTION("""COMPUTED_VALUE"""),"Pat")</f>
        <v>Pat</v>
      </c>
    </row>
    <row r="9050">
      <c r="A9050" s="4" t="str">
        <f>IFERROR(__xludf.DUMMYFUNCTION("""COMPUTED_VALUE"""),"patex")</f>
        <v>patex</v>
      </c>
      <c r="B9050" s="4" t="str">
        <f>IFERROR(__xludf.DUMMYFUNCTION("""COMPUTED_VALUE"""),"patex")</f>
        <v>patex</v>
      </c>
      <c r="C9050" s="4" t="str">
        <f>IFERROR(__xludf.DUMMYFUNCTION("""COMPUTED_VALUE"""),"Patex")</f>
        <v>Patex</v>
      </c>
    </row>
    <row r="9051">
      <c r="A9051" s="4" t="str">
        <f>IFERROR(__xludf.DUMMYFUNCTION("""COMPUTED_VALUE"""),"patientory")</f>
        <v>patientory</v>
      </c>
      <c r="B9051" s="4" t="str">
        <f>IFERROR(__xludf.DUMMYFUNCTION("""COMPUTED_VALUE"""),"ptoy")</f>
        <v>ptoy</v>
      </c>
      <c r="C9051" s="4" t="str">
        <f>IFERROR(__xludf.DUMMYFUNCTION("""COMPUTED_VALUE"""),"Patientory")</f>
        <v>Patientory</v>
      </c>
    </row>
    <row r="9052">
      <c r="A9052" s="4" t="str">
        <f>IFERROR(__xludf.DUMMYFUNCTION("""COMPUTED_VALUE"""),"patriot-pay")</f>
        <v>patriot-pay</v>
      </c>
      <c r="B9052" s="4" t="str">
        <f>IFERROR(__xludf.DUMMYFUNCTION("""COMPUTED_VALUE"""),"ppy")</f>
        <v>ppy</v>
      </c>
      <c r="C9052" s="4" t="str">
        <f>IFERROR(__xludf.DUMMYFUNCTION("""COMPUTED_VALUE"""),"Patriot Pay")</f>
        <v>Patriot Pay</v>
      </c>
    </row>
    <row r="9053">
      <c r="A9053" s="4" t="str">
        <f>IFERROR(__xludf.DUMMYFUNCTION("""COMPUTED_VALUE"""),"paul-token")</f>
        <v>paul-token</v>
      </c>
      <c r="B9053" s="4" t="str">
        <f>IFERROR(__xludf.DUMMYFUNCTION("""COMPUTED_VALUE"""),"paul")</f>
        <v>paul</v>
      </c>
      <c r="C9053" s="4" t="str">
        <f>IFERROR(__xludf.DUMMYFUNCTION("""COMPUTED_VALUE"""),"PAUL")</f>
        <v>PAUL</v>
      </c>
    </row>
    <row r="9054">
      <c r="A9054" s="4" t="str">
        <f>IFERROR(__xludf.DUMMYFUNCTION("""COMPUTED_VALUE"""),"pavia")</f>
        <v>pavia</v>
      </c>
      <c r="B9054" s="4" t="str">
        <f>IFERROR(__xludf.DUMMYFUNCTION("""COMPUTED_VALUE"""),"pavia")</f>
        <v>pavia</v>
      </c>
      <c r="C9054" s="4" t="str">
        <f>IFERROR(__xludf.DUMMYFUNCTION("""COMPUTED_VALUE"""),"Pavia")</f>
        <v>Pavia</v>
      </c>
    </row>
    <row r="9055">
      <c r="A9055" s="4" t="str">
        <f>IFERROR(__xludf.DUMMYFUNCTION("""COMPUTED_VALUE"""),"paw-2")</f>
        <v>paw-2</v>
      </c>
      <c r="B9055" s="4" t="str">
        <f>IFERROR(__xludf.DUMMYFUNCTION("""COMPUTED_VALUE"""),"paw")</f>
        <v>paw</v>
      </c>
      <c r="C9055" s="4" t="str">
        <f>IFERROR(__xludf.DUMMYFUNCTION("""COMPUTED_VALUE"""),"PAW")</f>
        <v>PAW</v>
      </c>
    </row>
    <row r="9056">
      <c r="A9056" s="4" t="str">
        <f>IFERROR(__xludf.DUMMYFUNCTION("""COMPUTED_VALUE"""),"paw-a-gotchi")</f>
        <v>paw-a-gotchi</v>
      </c>
      <c r="B9056" s="4" t="str">
        <f>IFERROR(__xludf.DUMMYFUNCTION("""COMPUTED_VALUE"""),"pag")</f>
        <v>pag</v>
      </c>
      <c r="C9056" s="4" t="str">
        <f>IFERROR(__xludf.DUMMYFUNCTION("""COMPUTED_VALUE"""),"Paw-a-Gotchi")</f>
        <v>Paw-a-Gotchi</v>
      </c>
    </row>
    <row r="9057">
      <c r="A9057" s="4" t="str">
        <f>IFERROR(__xludf.DUMMYFUNCTION("""COMPUTED_VALUE"""),"pawstars")</f>
        <v>pawstars</v>
      </c>
      <c r="B9057" s="4" t="str">
        <f>IFERROR(__xludf.DUMMYFUNCTION("""COMPUTED_VALUE"""),"paws")</f>
        <v>paws</v>
      </c>
      <c r="C9057" s="4" t="str">
        <f>IFERROR(__xludf.DUMMYFUNCTION("""COMPUTED_VALUE"""),"PawStars")</f>
        <v>PawStars</v>
      </c>
    </row>
    <row r="9058">
      <c r="A9058" s="4" t="str">
        <f>IFERROR(__xludf.DUMMYFUNCTION("""COMPUTED_VALUE"""),"pawswap")</f>
        <v>pawswap</v>
      </c>
      <c r="B9058" s="4" t="str">
        <f>IFERROR(__xludf.DUMMYFUNCTION("""COMPUTED_VALUE"""),"paw")</f>
        <v>paw</v>
      </c>
      <c r="C9058" s="4" t="str">
        <f>IFERROR(__xludf.DUMMYFUNCTION("""COMPUTED_VALUE"""),"PAWSWAP")</f>
        <v>PAWSWAP</v>
      </c>
    </row>
    <row r="9059">
      <c r="A9059" s="4" t="str">
        <f>IFERROR(__xludf.DUMMYFUNCTION("""COMPUTED_VALUE"""),"pawthereum")</f>
        <v>pawthereum</v>
      </c>
      <c r="B9059" s="4" t="str">
        <f>IFERROR(__xludf.DUMMYFUNCTION("""COMPUTED_VALUE"""),"pawth")</f>
        <v>pawth</v>
      </c>
      <c r="C9059" s="4" t="str">
        <f>IFERROR(__xludf.DUMMYFUNCTION("""COMPUTED_VALUE"""),"Pawthereum")</f>
        <v>Pawthereum</v>
      </c>
    </row>
    <row r="9060">
      <c r="A9060" s="4" t="str">
        <f>IFERROR(__xludf.DUMMYFUNCTION("""COMPUTED_VALUE"""),"pawtocol")</f>
        <v>pawtocol</v>
      </c>
      <c r="B9060" s="4" t="str">
        <f>IFERROR(__xludf.DUMMYFUNCTION("""COMPUTED_VALUE"""),"upi")</f>
        <v>upi</v>
      </c>
      <c r="C9060" s="4" t="str">
        <f>IFERROR(__xludf.DUMMYFUNCTION("""COMPUTED_VALUE"""),"Pawtocol")</f>
        <v>Pawtocol</v>
      </c>
    </row>
    <row r="9061">
      <c r="A9061" s="4" t="str">
        <f>IFERROR(__xludf.DUMMYFUNCTION("""COMPUTED_VALUE"""),"paw-v2")</f>
        <v>paw-v2</v>
      </c>
      <c r="B9061" s="4" t="str">
        <f>IFERROR(__xludf.DUMMYFUNCTION("""COMPUTED_VALUE"""),"paw")</f>
        <v>paw</v>
      </c>
      <c r="C9061" s="4" t="str">
        <f>IFERROR(__xludf.DUMMYFUNCTION("""COMPUTED_VALUE"""),"Paw V2")</f>
        <v>Paw V2</v>
      </c>
    </row>
    <row r="9062">
      <c r="A9062" s="4" t="str">
        <f>IFERROR(__xludf.DUMMYFUNCTION("""COMPUTED_VALUE"""),"pawzone")</f>
        <v>pawzone</v>
      </c>
      <c r="B9062" s="4" t="str">
        <f>IFERROR(__xludf.DUMMYFUNCTION("""COMPUTED_VALUE"""),"paw")</f>
        <v>paw</v>
      </c>
      <c r="C9062" s="4" t="str">
        <f>IFERROR(__xludf.DUMMYFUNCTION("""COMPUTED_VALUE"""),"PAWZONE")</f>
        <v>PAWZONE</v>
      </c>
    </row>
    <row r="9063">
      <c r="A9063" s="4" t="str">
        <f>IFERROR(__xludf.DUMMYFUNCTION("""COMPUTED_VALUE"""),"paxb")</f>
        <v>paxb</v>
      </c>
      <c r="B9063" s="4" t="str">
        <f>IFERROR(__xludf.DUMMYFUNCTION("""COMPUTED_VALUE"""),"paxb")</f>
        <v>paxb</v>
      </c>
      <c r="C9063" s="4" t="str">
        <f>IFERROR(__xludf.DUMMYFUNCTION("""COMPUTED_VALUE"""),"PAXB")</f>
        <v>PAXB</v>
      </c>
    </row>
    <row r="9064">
      <c r="A9064" s="4" t="str">
        <f>IFERROR(__xludf.DUMMYFUNCTION("""COMPUTED_VALUE"""),"pax-gold")</f>
        <v>pax-gold</v>
      </c>
      <c r="B9064" s="4" t="str">
        <f>IFERROR(__xludf.DUMMYFUNCTION("""COMPUTED_VALUE"""),"paxg")</f>
        <v>paxg</v>
      </c>
      <c r="C9064" s="4" t="str">
        <f>IFERROR(__xludf.DUMMYFUNCTION("""COMPUTED_VALUE"""),"PAX Gold")</f>
        <v>PAX Gold</v>
      </c>
    </row>
    <row r="9065">
      <c r="A9065" s="4" t="str">
        <f>IFERROR(__xludf.DUMMYFUNCTION("""COMPUTED_VALUE"""),"paxos-standard")</f>
        <v>paxos-standard</v>
      </c>
      <c r="B9065" s="4" t="str">
        <f>IFERROR(__xludf.DUMMYFUNCTION("""COMPUTED_VALUE"""),"usdp")</f>
        <v>usdp</v>
      </c>
      <c r="C9065" s="4" t="str">
        <f>IFERROR(__xludf.DUMMYFUNCTION("""COMPUTED_VALUE"""),"Pax Dollar")</f>
        <v>Pax Dollar</v>
      </c>
    </row>
    <row r="9066">
      <c r="A9066" s="4" t="str">
        <f>IFERROR(__xludf.DUMMYFUNCTION("""COMPUTED_VALUE"""),"pax-unitas")</f>
        <v>pax-unitas</v>
      </c>
      <c r="B9066" s="4" t="str">
        <f>IFERROR(__xludf.DUMMYFUNCTION("""COMPUTED_VALUE"""),"paxu")</f>
        <v>paxu</v>
      </c>
      <c r="C9066" s="4" t="str">
        <f>IFERROR(__xludf.DUMMYFUNCTION("""COMPUTED_VALUE"""),"Pax Unitas")</f>
        <v>Pax Unitas</v>
      </c>
    </row>
    <row r="9067">
      <c r="A9067" s="4" t="str">
        <f>IFERROR(__xludf.DUMMYFUNCTION("""COMPUTED_VALUE"""),"payaccept")</f>
        <v>payaccept</v>
      </c>
      <c r="B9067" s="4" t="str">
        <f>IFERROR(__xludf.DUMMYFUNCTION("""COMPUTED_VALUE"""),"payt")</f>
        <v>payt</v>
      </c>
      <c r="C9067" s="4" t="str">
        <f>IFERROR(__xludf.DUMMYFUNCTION("""COMPUTED_VALUE"""),"PayAccept")</f>
        <v>PayAccept</v>
      </c>
    </row>
    <row r="9068">
      <c r="A9068" s="4" t="str">
        <f>IFERROR(__xludf.DUMMYFUNCTION("""COMPUTED_VALUE"""),"payb")</f>
        <v>payb</v>
      </c>
      <c r="B9068" s="4" t="str">
        <f>IFERROR(__xludf.DUMMYFUNCTION("""COMPUTED_VALUE"""),"payb")</f>
        <v>payb</v>
      </c>
      <c r="C9068" s="4" t="str">
        <f>IFERROR(__xludf.DUMMYFUNCTION("""COMPUTED_VALUE"""),"PayB")</f>
        <v>PayB</v>
      </c>
    </row>
    <row r="9069">
      <c r="A9069" s="4" t="str">
        <f>IFERROR(__xludf.DUMMYFUNCTION("""COMPUTED_VALUE"""),"paybandcoin")</f>
        <v>paybandcoin</v>
      </c>
      <c r="B9069" s="4" t="str">
        <f>IFERROR(__xludf.DUMMYFUNCTION("""COMPUTED_VALUE"""),"pybc")</f>
        <v>pybc</v>
      </c>
      <c r="C9069" s="4" t="str">
        <f>IFERROR(__xludf.DUMMYFUNCTION("""COMPUTED_VALUE"""),"PaybandCoin")</f>
        <v>PaybandCoin</v>
      </c>
    </row>
    <row r="9070">
      <c r="A9070" s="4" t="str">
        <f>IFERROR(__xludf.DUMMYFUNCTION("""COMPUTED_VALUE"""),"paybit")</f>
        <v>paybit</v>
      </c>
      <c r="B9070" s="4" t="str">
        <f>IFERROR(__xludf.DUMMYFUNCTION("""COMPUTED_VALUE"""),"paybit")</f>
        <v>paybit</v>
      </c>
      <c r="C9070" s="4" t="str">
        <f>IFERROR(__xludf.DUMMYFUNCTION("""COMPUTED_VALUE"""),"PayBit")</f>
        <v>PayBit</v>
      </c>
    </row>
    <row r="9071">
      <c r="A9071" s="4" t="str">
        <f>IFERROR(__xludf.DUMMYFUNCTION("""COMPUTED_VALUE"""),"paybolt")</f>
        <v>paybolt</v>
      </c>
      <c r="B9071" s="4" t="str">
        <f>IFERROR(__xludf.DUMMYFUNCTION("""COMPUTED_VALUE"""),"pay")</f>
        <v>pay</v>
      </c>
      <c r="C9071" s="4" t="str">
        <f>IFERROR(__xludf.DUMMYFUNCTION("""COMPUTED_VALUE"""),"PayBolt")</f>
        <v>PayBolt</v>
      </c>
    </row>
    <row r="9072">
      <c r="A9072" s="4" t="str">
        <f>IFERROR(__xludf.DUMMYFUNCTION("""COMPUTED_VALUE"""),"pay-coin")</f>
        <v>pay-coin</v>
      </c>
      <c r="B9072" s="4" t="str">
        <f>IFERROR(__xludf.DUMMYFUNCTION("""COMPUTED_VALUE"""),"pci")</f>
        <v>pci</v>
      </c>
      <c r="C9072" s="4" t="str">
        <f>IFERROR(__xludf.DUMMYFUNCTION("""COMPUTED_VALUE"""),"Paycoin")</f>
        <v>Paycoin</v>
      </c>
    </row>
    <row r="9073">
      <c r="A9073" s="4" t="str">
        <f>IFERROR(__xludf.DUMMYFUNCTION("""COMPUTED_VALUE"""),"payday")</f>
        <v>payday</v>
      </c>
      <c r="B9073" s="4" t="str">
        <f>IFERROR(__xludf.DUMMYFUNCTION("""COMPUTED_VALUE"""),"payday")</f>
        <v>payday</v>
      </c>
      <c r="C9073" s="4" t="str">
        <f>IFERROR(__xludf.DUMMYFUNCTION("""COMPUTED_VALUE"""),"Payday")</f>
        <v>Payday</v>
      </c>
    </row>
    <row r="9074">
      <c r="A9074" s="4" t="str">
        <f>IFERROR(__xludf.DUMMYFUNCTION("""COMPUTED_VALUE"""),"pay-it-now")</f>
        <v>pay-it-now</v>
      </c>
      <c r="B9074" s="4" t="str">
        <f>IFERROR(__xludf.DUMMYFUNCTION("""COMPUTED_VALUE"""),"pin")</f>
        <v>pin</v>
      </c>
      <c r="C9074" s="4" t="str">
        <f>IFERROR(__xludf.DUMMYFUNCTION("""COMPUTED_VALUE"""),"Pay It Now")</f>
        <v>Pay It Now</v>
      </c>
    </row>
    <row r="9075">
      <c r="A9075" s="4" t="str">
        <f>IFERROR(__xludf.DUMMYFUNCTION("""COMPUTED_VALUE"""),"payments")</f>
        <v>payments</v>
      </c>
      <c r="B9075" s="4" t="str">
        <f>IFERROR(__xludf.DUMMYFUNCTION("""COMPUTED_VALUE"""),"xpay")</f>
        <v>xpay</v>
      </c>
      <c r="C9075" s="4" t="str">
        <f>IFERROR(__xludf.DUMMYFUNCTION("""COMPUTED_VALUE"""),"𝕏 Payments")</f>
        <v>𝕏 Payments</v>
      </c>
    </row>
    <row r="9076">
      <c r="A9076" s="4" t="str">
        <f>IFERROR(__xludf.DUMMYFUNCTION("""COMPUTED_VALUE"""),"payment-swap-utility-board")</f>
        <v>payment-swap-utility-board</v>
      </c>
      <c r="B9076" s="4" t="str">
        <f>IFERROR(__xludf.DUMMYFUNCTION("""COMPUTED_VALUE"""),"psub")</f>
        <v>psub</v>
      </c>
      <c r="C9076" s="4" t="str">
        <f>IFERROR(__xludf.DUMMYFUNCTION("""COMPUTED_VALUE"""),"Payment Swap Utility Board")</f>
        <v>Payment Swap Utility Board</v>
      </c>
    </row>
    <row r="9077">
      <c r="A9077" s="4" t="str">
        <f>IFERROR(__xludf.DUMMYFUNCTION("""COMPUTED_VALUE"""),"paynet-coin")</f>
        <v>paynet-coin</v>
      </c>
      <c r="B9077" s="4" t="str">
        <f>IFERROR(__xludf.DUMMYFUNCTION("""COMPUTED_VALUE"""),"payn")</f>
        <v>payn</v>
      </c>
      <c r="C9077" s="4" t="str">
        <f>IFERROR(__xludf.DUMMYFUNCTION("""COMPUTED_VALUE"""),"PAYNET")</f>
        <v>PAYNET</v>
      </c>
    </row>
    <row r="9078">
      <c r="A9078" s="4" t="str">
        <f>IFERROR(__xludf.DUMMYFUNCTION("""COMPUTED_VALUE"""),"paypal-usd")</f>
        <v>paypal-usd</v>
      </c>
      <c r="B9078" s="4" t="str">
        <f>IFERROR(__xludf.DUMMYFUNCTION("""COMPUTED_VALUE"""),"pyusd")</f>
        <v>pyusd</v>
      </c>
      <c r="C9078" s="4" t="str">
        <f>IFERROR(__xludf.DUMMYFUNCTION("""COMPUTED_VALUE"""),"PayPal USD")</f>
        <v>PayPal USD</v>
      </c>
    </row>
    <row r="9079">
      <c r="A9079" s="4" t="str">
        <f>IFERROR(__xludf.DUMMYFUNCTION("""COMPUTED_VALUE"""),"paypaw")</f>
        <v>paypaw</v>
      </c>
      <c r="B9079" s="4" t="str">
        <f>IFERROR(__xludf.DUMMYFUNCTION("""COMPUTED_VALUE"""),"paw")</f>
        <v>paw</v>
      </c>
      <c r="C9079" s="4" t="str">
        <f>IFERROR(__xludf.DUMMYFUNCTION("""COMPUTED_VALUE"""),"PayPaw")</f>
        <v>PayPaw</v>
      </c>
    </row>
    <row r="9080">
      <c r="A9080" s="4" t="str">
        <f>IFERROR(__xludf.DUMMYFUNCTION("""COMPUTED_VALUE"""),"paypolitan-token")</f>
        <v>paypolitan-token</v>
      </c>
      <c r="B9080" s="4" t="str">
        <f>IFERROR(__xludf.DUMMYFUNCTION("""COMPUTED_VALUE"""),"epan")</f>
        <v>epan</v>
      </c>
      <c r="C9080" s="4" t="str">
        <f>IFERROR(__xludf.DUMMYFUNCTION("""COMPUTED_VALUE"""),"Paypolitan")</f>
        <v>Paypolitan</v>
      </c>
    </row>
    <row r="9081">
      <c r="A9081" s="4" t="str">
        <f>IFERROR(__xludf.DUMMYFUNCTION("""COMPUTED_VALUE"""),"payrue")</f>
        <v>payrue</v>
      </c>
      <c r="B9081" s="4" t="str">
        <f>IFERROR(__xludf.DUMMYFUNCTION("""COMPUTED_VALUE"""),"propel")</f>
        <v>propel</v>
      </c>
      <c r="C9081" s="4" t="str">
        <f>IFERROR(__xludf.DUMMYFUNCTION("""COMPUTED_VALUE"""),"PayRue")</f>
        <v>PayRue</v>
      </c>
    </row>
    <row r="9082">
      <c r="A9082" s="4" t="str">
        <f>IFERROR(__xludf.DUMMYFUNCTION("""COMPUTED_VALUE"""),"paysenger-ego")</f>
        <v>paysenger-ego</v>
      </c>
      <c r="B9082" s="4" t="str">
        <f>IFERROR(__xludf.DUMMYFUNCTION("""COMPUTED_VALUE"""),"ego")</f>
        <v>ego</v>
      </c>
      <c r="C9082" s="4" t="str">
        <f>IFERROR(__xludf.DUMMYFUNCTION("""COMPUTED_VALUE"""),"Paysenger EGO")</f>
        <v>Paysenger EGO</v>
      </c>
    </row>
    <row r="9083">
      <c r="A9083" s="4" t="str">
        <f>IFERROR(__xludf.DUMMYFUNCTION("""COMPUTED_VALUE"""),"payslink-token")</f>
        <v>payslink-token</v>
      </c>
      <c r="B9083" s="4" t="str">
        <f>IFERROR(__xludf.DUMMYFUNCTION("""COMPUTED_VALUE"""),"pays")</f>
        <v>pays</v>
      </c>
      <c r="C9083" s="4" t="str">
        <f>IFERROR(__xludf.DUMMYFUNCTION("""COMPUTED_VALUE"""),"Payslink Token")</f>
        <v>Payslink Token</v>
      </c>
    </row>
    <row r="9084">
      <c r="A9084" s="4" t="str">
        <f>IFERROR(__xludf.DUMMYFUNCTION("""COMPUTED_VALUE"""),"payvertise")</f>
        <v>payvertise</v>
      </c>
      <c r="B9084" s="4" t="str">
        <f>IFERROR(__xludf.DUMMYFUNCTION("""COMPUTED_VALUE"""),"pvt")</f>
        <v>pvt</v>
      </c>
      <c r="C9084" s="4" t="str">
        <f>IFERROR(__xludf.DUMMYFUNCTION("""COMPUTED_VALUE"""),"Payvertise")</f>
        <v>Payvertise</v>
      </c>
    </row>
    <row r="9085">
      <c r="A9085" s="4" t="str">
        <f>IFERROR(__xludf.DUMMYFUNCTION("""COMPUTED_VALUE"""),"paywong")</f>
        <v>paywong</v>
      </c>
      <c r="B9085" s="4" t="str">
        <f>IFERROR(__xludf.DUMMYFUNCTION("""COMPUTED_VALUE"""),"pwg")</f>
        <v>pwg</v>
      </c>
      <c r="C9085" s="4" t="str">
        <f>IFERROR(__xludf.DUMMYFUNCTION("""COMPUTED_VALUE"""),"Paywong")</f>
        <v>Paywong</v>
      </c>
    </row>
    <row r="9086">
      <c r="A9086" s="4" t="str">
        <f>IFERROR(__xludf.DUMMYFUNCTION("""COMPUTED_VALUE"""),"payx")</f>
        <v>payx</v>
      </c>
      <c r="B9086" s="4" t="str">
        <f>IFERROR(__xludf.DUMMYFUNCTION("""COMPUTED_VALUE"""),"payx")</f>
        <v>payx</v>
      </c>
      <c r="C9086" s="4" t="str">
        <f>IFERROR(__xludf.DUMMYFUNCTION("""COMPUTED_VALUE"""),"PayX")</f>
        <v>PayX</v>
      </c>
    </row>
    <row r="9087">
      <c r="A9087" s="4" t="str">
        <f>IFERROR(__xludf.DUMMYFUNCTION("""COMPUTED_VALUE"""),"payzcoin")</f>
        <v>payzcoin</v>
      </c>
      <c r="B9087" s="4" t="str">
        <f>IFERROR(__xludf.DUMMYFUNCTION("""COMPUTED_VALUE"""),"pay")</f>
        <v>pay</v>
      </c>
      <c r="C9087" s="4" t="str">
        <f>IFERROR(__xludf.DUMMYFUNCTION("""COMPUTED_VALUE"""),"Payzcoin")</f>
        <v>Payzcoin</v>
      </c>
    </row>
    <row r="9088">
      <c r="A9088" s="4" t="str">
        <f>IFERROR(__xludf.DUMMYFUNCTION("""COMPUTED_VALUE"""),"pbm")</f>
        <v>pbm</v>
      </c>
      <c r="B9088" s="4" t="str">
        <f>IFERROR(__xludf.DUMMYFUNCTION("""COMPUTED_VALUE"""),"pbmc")</f>
        <v>pbmc</v>
      </c>
      <c r="C9088" s="4" t="str">
        <f>IFERROR(__xludf.DUMMYFUNCTION("""COMPUTED_VALUE"""),"PBM Coin")</f>
        <v>PBM Coin</v>
      </c>
    </row>
    <row r="9089">
      <c r="A9089" s="4" t="str">
        <f>IFERROR(__xludf.DUMMYFUNCTION("""COMPUTED_VALUE"""),"pbtc35a")</f>
        <v>pbtc35a</v>
      </c>
      <c r="B9089" s="4" t="str">
        <f>IFERROR(__xludf.DUMMYFUNCTION("""COMPUTED_VALUE"""),"pbtc35a")</f>
        <v>pbtc35a</v>
      </c>
      <c r="C9089" s="4" t="str">
        <f>IFERROR(__xludf.DUMMYFUNCTION("""COMPUTED_VALUE"""),"pBTC35A")</f>
        <v>pBTC35A</v>
      </c>
    </row>
    <row r="9090">
      <c r="A9090" s="4" t="str">
        <f>IFERROR(__xludf.DUMMYFUNCTION("""COMPUTED_VALUE"""),"pchain")</f>
        <v>pchain</v>
      </c>
      <c r="B9090" s="4" t="str">
        <f>IFERROR(__xludf.DUMMYFUNCTION("""COMPUTED_VALUE"""),"pi")</f>
        <v>pi</v>
      </c>
      <c r="C9090" s="4" t="str">
        <f>IFERROR(__xludf.DUMMYFUNCTION("""COMPUTED_VALUE"""),"Plian")</f>
        <v>Plian</v>
      </c>
    </row>
    <row r="9091">
      <c r="A9091" s="4" t="str">
        <f>IFERROR(__xludf.DUMMYFUNCTION("""COMPUTED_VALUE"""),"pdbc-defichain")</f>
        <v>pdbc-defichain</v>
      </c>
      <c r="B9091" s="4" t="str">
        <f>IFERROR(__xludf.DUMMYFUNCTION("""COMPUTED_VALUE"""),"dpdbc")</f>
        <v>dpdbc</v>
      </c>
      <c r="C9091" s="4" t="str">
        <f>IFERROR(__xludf.DUMMYFUNCTION("""COMPUTED_VALUE"""),"PDBC Defichain")</f>
        <v>PDBC Defichain</v>
      </c>
    </row>
    <row r="9092">
      <c r="A9092" s="4" t="str">
        <f>IFERROR(__xludf.DUMMYFUNCTION("""COMPUTED_VALUE"""),"pdx-coin")</f>
        <v>pdx-coin</v>
      </c>
      <c r="B9092" s="4" t="str">
        <f>IFERROR(__xludf.DUMMYFUNCTION("""COMPUTED_VALUE"""),"pdx")</f>
        <v>pdx</v>
      </c>
      <c r="C9092" s="4" t="str">
        <f>IFERROR(__xludf.DUMMYFUNCTION("""COMPUTED_VALUE"""),"PDX Coin")</f>
        <v>PDX Coin</v>
      </c>
    </row>
    <row r="9093">
      <c r="A9093" s="4" t="str">
        <f>IFERROR(__xludf.DUMMYFUNCTION("""COMPUTED_VALUE"""),"peace-coin")</f>
        <v>peace-coin</v>
      </c>
      <c r="B9093" s="4" t="str">
        <f>IFERROR(__xludf.DUMMYFUNCTION("""COMPUTED_VALUE"""),"pce")</f>
        <v>pce</v>
      </c>
      <c r="C9093" s="4" t="str">
        <f>IFERROR(__xludf.DUMMYFUNCTION("""COMPUTED_VALUE"""),"PEACE COIN")</f>
        <v>PEACE COIN</v>
      </c>
    </row>
    <row r="9094">
      <c r="A9094" s="4" t="str">
        <f>IFERROR(__xludf.DUMMYFUNCTION("""COMPUTED_VALUE"""),"peach-2")</f>
        <v>peach-2</v>
      </c>
      <c r="B9094" s="4" t="str">
        <f>IFERROR(__xludf.DUMMYFUNCTION("""COMPUTED_VALUE"""),"pch")</f>
        <v>pch</v>
      </c>
      <c r="C9094" s="4" t="str">
        <f>IFERROR(__xludf.DUMMYFUNCTION("""COMPUTED_VALUE"""),"Peach")</f>
        <v>Peach</v>
      </c>
    </row>
    <row r="9095">
      <c r="A9095" s="4" t="str">
        <f>IFERROR(__xludf.DUMMYFUNCTION("""COMPUTED_VALUE"""),"peachfolio")</f>
        <v>peachfolio</v>
      </c>
      <c r="B9095" s="4" t="str">
        <f>IFERROR(__xludf.DUMMYFUNCTION("""COMPUTED_VALUE"""),"pchf")</f>
        <v>pchf</v>
      </c>
      <c r="C9095" s="4" t="str">
        <f>IFERROR(__xludf.DUMMYFUNCTION("""COMPUTED_VALUE"""),"Peachfolio")</f>
        <v>Peachfolio</v>
      </c>
    </row>
    <row r="9096">
      <c r="A9096" s="4" t="str">
        <f>IFERROR(__xludf.DUMMYFUNCTION("""COMPUTED_VALUE"""),"peach-inu-bsc")</f>
        <v>peach-inu-bsc</v>
      </c>
      <c r="B9096" s="4" t="str">
        <f>IFERROR(__xludf.DUMMYFUNCTION("""COMPUTED_VALUE"""),"peach")</f>
        <v>peach</v>
      </c>
      <c r="C9096" s="4" t="str">
        <f>IFERROR(__xludf.DUMMYFUNCTION("""COMPUTED_VALUE"""),"Peach Inu (BSC)")</f>
        <v>Peach Inu (BSC)</v>
      </c>
    </row>
    <row r="9097">
      <c r="A9097" s="4" t="str">
        <f>IFERROR(__xludf.DUMMYFUNCTION("""COMPUTED_VALUE"""),"peachy")</f>
        <v>peachy</v>
      </c>
      <c r="B9097" s="4" t="str">
        <f>IFERROR(__xludf.DUMMYFUNCTION("""COMPUTED_VALUE"""),"peachy")</f>
        <v>peachy</v>
      </c>
      <c r="C9097" s="4" t="str">
        <f>IFERROR(__xludf.DUMMYFUNCTION("""COMPUTED_VALUE"""),"PEACHY")</f>
        <v>PEACHY</v>
      </c>
    </row>
    <row r="9098">
      <c r="A9098" s="4" t="str">
        <f>IFERROR(__xludf.DUMMYFUNCTION("""COMPUTED_VALUE"""),"peanut")</f>
        <v>peanut</v>
      </c>
      <c r="B9098" s="4" t="str">
        <f>IFERROR(__xludf.DUMMYFUNCTION("""COMPUTED_VALUE"""),"nux")</f>
        <v>nux</v>
      </c>
      <c r="C9098" s="4" t="str">
        <f>IFERROR(__xludf.DUMMYFUNCTION("""COMPUTED_VALUE"""),"Peanut")</f>
        <v>Peanut</v>
      </c>
    </row>
    <row r="9099">
      <c r="A9099" s="4" t="str">
        <f>IFERROR(__xludf.DUMMYFUNCTION("""COMPUTED_VALUE"""),"peapods-finance")</f>
        <v>peapods-finance</v>
      </c>
      <c r="B9099" s="4" t="str">
        <f>IFERROR(__xludf.DUMMYFUNCTION("""COMPUTED_VALUE"""),"peas")</f>
        <v>peas</v>
      </c>
      <c r="C9099" s="4" t="str">
        <f>IFERROR(__xludf.DUMMYFUNCTION("""COMPUTED_VALUE"""),"Peapods Finance")</f>
        <v>Peapods Finance</v>
      </c>
    </row>
    <row r="9100">
      <c r="A9100" s="4" t="str">
        <f>IFERROR(__xludf.DUMMYFUNCTION("""COMPUTED_VALUE"""),"pearl")</f>
        <v>pearl</v>
      </c>
      <c r="B9100" s="4" t="str">
        <f>IFERROR(__xludf.DUMMYFUNCTION("""COMPUTED_VALUE"""),"pearl")</f>
        <v>pearl</v>
      </c>
      <c r="C9100" s="4" t="str">
        <f>IFERROR(__xludf.DUMMYFUNCTION("""COMPUTED_VALUE"""),"Pearl")</f>
        <v>Pearl</v>
      </c>
    </row>
    <row r="9101">
      <c r="A9101" s="4" t="str">
        <f>IFERROR(__xludf.DUMMYFUNCTION("""COMPUTED_VALUE"""),"pearl-finance")</f>
        <v>pearl-finance</v>
      </c>
      <c r="B9101" s="4" t="str">
        <f>IFERROR(__xludf.DUMMYFUNCTION("""COMPUTED_VALUE"""),"pearl")</f>
        <v>pearl</v>
      </c>
      <c r="C9101" s="4" t="str">
        <f>IFERROR(__xludf.DUMMYFUNCTION("""COMPUTED_VALUE"""),"Pearl Finance")</f>
        <v>Pearl Finance</v>
      </c>
    </row>
    <row r="9102">
      <c r="A9102" s="4" t="str">
        <f>IFERROR(__xludf.DUMMYFUNCTION("""COMPUTED_VALUE"""),"pear-swap")</f>
        <v>pear-swap</v>
      </c>
      <c r="B9102" s="4" t="str">
        <f>IFERROR(__xludf.DUMMYFUNCTION("""COMPUTED_VALUE"""),"pear")</f>
        <v>pear</v>
      </c>
      <c r="C9102" s="4" t="str">
        <f>IFERROR(__xludf.DUMMYFUNCTION("""COMPUTED_VALUE"""),"Pear Swap")</f>
        <v>Pear Swap</v>
      </c>
    </row>
    <row r="9103">
      <c r="A9103" s="4" t="str">
        <f>IFERROR(__xludf.DUMMYFUNCTION("""COMPUTED_VALUE"""),"peepo")</f>
        <v>peepo</v>
      </c>
      <c r="B9103" s="4" t="str">
        <f>IFERROR(__xludf.DUMMYFUNCTION("""COMPUTED_VALUE"""),"peepo")</f>
        <v>peepo</v>
      </c>
      <c r="C9103" s="4" t="str">
        <f>IFERROR(__xludf.DUMMYFUNCTION("""COMPUTED_VALUE"""),"Peepo")</f>
        <v>Peepo</v>
      </c>
    </row>
    <row r="9104">
      <c r="A9104" s="4" t="str">
        <f>IFERROR(__xludf.DUMMYFUNCTION("""COMPUTED_VALUE"""),"peepo-sol")</f>
        <v>peepo-sol</v>
      </c>
      <c r="B9104" s="4" t="str">
        <f>IFERROR(__xludf.DUMMYFUNCTION("""COMPUTED_VALUE"""),"$peep")</f>
        <v>$peep</v>
      </c>
      <c r="C9104" s="4" t="str">
        <f>IFERROR(__xludf.DUMMYFUNCTION("""COMPUTED_VALUE"""),"Peepo (SOL)")</f>
        <v>Peepo (SOL)</v>
      </c>
    </row>
    <row r="9105">
      <c r="A9105" s="4" t="str">
        <f>IFERROR(__xludf.DUMMYFUNCTION("""COMPUTED_VALUE"""),"peercoin")</f>
        <v>peercoin</v>
      </c>
      <c r="B9105" s="4" t="str">
        <f>IFERROR(__xludf.DUMMYFUNCTION("""COMPUTED_VALUE"""),"ppc")</f>
        <v>ppc</v>
      </c>
      <c r="C9105" s="4" t="str">
        <f>IFERROR(__xludf.DUMMYFUNCTION("""COMPUTED_VALUE"""),"Peercoin")</f>
        <v>Peercoin</v>
      </c>
    </row>
    <row r="9106">
      <c r="A9106" s="4" t="str">
        <f>IFERROR(__xludf.DUMMYFUNCTION("""COMPUTED_VALUE"""),"peer-to-peer")</f>
        <v>peer-to-peer</v>
      </c>
      <c r="B9106" s="4" t="str">
        <f>IFERROR(__xludf.DUMMYFUNCTION("""COMPUTED_VALUE"""),"p2p")</f>
        <v>p2p</v>
      </c>
      <c r="C9106" s="4" t="str">
        <f>IFERROR(__xludf.DUMMYFUNCTION("""COMPUTED_VALUE"""),"Peer-to-Peer")</f>
        <v>Peer-to-Peer</v>
      </c>
    </row>
    <row r="9107">
      <c r="A9107" s="4" t="str">
        <f>IFERROR(__xludf.DUMMYFUNCTION("""COMPUTED_VALUE"""),"pegasus-dex")</f>
        <v>pegasus-dex</v>
      </c>
      <c r="B9107" s="4" t="str">
        <f>IFERROR(__xludf.DUMMYFUNCTION("""COMPUTED_VALUE"""),"peg")</f>
        <v>peg</v>
      </c>
      <c r="C9107" s="4" t="str">
        <f>IFERROR(__xludf.DUMMYFUNCTION("""COMPUTED_VALUE"""),"Pegasus DEX")</f>
        <v>Pegasus DEX</v>
      </c>
    </row>
    <row r="9108">
      <c r="A9108" s="4" t="str">
        <f>IFERROR(__xludf.DUMMYFUNCTION("""COMPUTED_VALUE"""),"pegasys")</f>
        <v>pegasys</v>
      </c>
      <c r="B9108" s="4" t="str">
        <f>IFERROR(__xludf.DUMMYFUNCTION("""COMPUTED_VALUE"""),"psys")</f>
        <v>psys</v>
      </c>
      <c r="C9108" s="4" t="str">
        <f>IFERROR(__xludf.DUMMYFUNCTION("""COMPUTED_VALUE"""),"Pegasys (Syscoin NEVM)")</f>
        <v>Pegasys (Syscoin NEVM)</v>
      </c>
    </row>
    <row r="9109">
      <c r="A9109" s="4" t="str">
        <f>IFERROR(__xludf.DUMMYFUNCTION("""COMPUTED_VALUE"""),"pegasys-rollux")</f>
        <v>pegasys-rollux</v>
      </c>
      <c r="B9109" s="4" t="str">
        <f>IFERROR(__xludf.DUMMYFUNCTION("""COMPUTED_VALUE"""),"psys")</f>
        <v>psys</v>
      </c>
      <c r="C9109" s="4" t="str">
        <f>IFERROR(__xludf.DUMMYFUNCTION("""COMPUTED_VALUE"""),"Pegasys (Rollux)")</f>
        <v>Pegasys (Rollux)</v>
      </c>
    </row>
    <row r="9110">
      <c r="A9110" s="4" t="str">
        <f>IFERROR(__xludf.DUMMYFUNCTION("""COMPUTED_VALUE"""),"pegaxy-stone")</f>
        <v>pegaxy-stone</v>
      </c>
      <c r="B9110" s="4" t="str">
        <f>IFERROR(__xludf.DUMMYFUNCTION("""COMPUTED_VALUE"""),"pgx")</f>
        <v>pgx</v>
      </c>
      <c r="C9110" s="4" t="str">
        <f>IFERROR(__xludf.DUMMYFUNCTION("""COMPUTED_VALUE"""),"Pegaxy")</f>
        <v>Pegaxy</v>
      </c>
    </row>
    <row r="9111">
      <c r="A9111" s="4" t="str">
        <f>IFERROR(__xludf.DUMMYFUNCTION("""COMPUTED_VALUE"""),"pegazus-finance")</f>
        <v>pegazus-finance</v>
      </c>
      <c r="B9111" s="4" t="str">
        <f>IFERROR(__xludf.DUMMYFUNCTION("""COMPUTED_VALUE"""),"peg")</f>
        <v>peg</v>
      </c>
      <c r="C9111" s="4" t="str">
        <f>IFERROR(__xludf.DUMMYFUNCTION("""COMPUTED_VALUE"""),"Pegazus Finance")</f>
        <v>Pegazus Finance</v>
      </c>
    </row>
    <row r="9112">
      <c r="A9112" s="4" t="str">
        <f>IFERROR(__xludf.DUMMYFUNCTION("""COMPUTED_VALUE"""),"peg-eusd")</f>
        <v>peg-eusd</v>
      </c>
      <c r="B9112" s="4" t="str">
        <f>IFERROR(__xludf.DUMMYFUNCTION("""COMPUTED_VALUE"""),"peusd")</f>
        <v>peusd</v>
      </c>
      <c r="C9112" s="4" t="str">
        <f>IFERROR(__xludf.DUMMYFUNCTION("""COMPUTED_VALUE"""),"peg-eUSD")</f>
        <v>peg-eUSD</v>
      </c>
    </row>
    <row r="9113">
      <c r="A9113" s="4" t="str">
        <f>IFERROR(__xludf.DUMMYFUNCTION("""COMPUTED_VALUE"""),"pego-network-2")</f>
        <v>pego-network-2</v>
      </c>
      <c r="B9113" s="4" t="str">
        <f>IFERROR(__xludf.DUMMYFUNCTION("""COMPUTED_VALUE"""),"pg")</f>
        <v>pg</v>
      </c>
      <c r="C9113" s="4" t="str">
        <f>IFERROR(__xludf.DUMMYFUNCTION("""COMPUTED_VALUE"""),"PEGO Network")</f>
        <v>PEGO Network</v>
      </c>
    </row>
    <row r="9114">
      <c r="A9114" s="4" t="str">
        <f>IFERROR(__xludf.DUMMYFUNCTION("""COMPUTED_VALUE"""),"peipei")</f>
        <v>peipei</v>
      </c>
      <c r="B9114" s="4" t="str">
        <f>IFERROR(__xludf.DUMMYFUNCTION("""COMPUTED_VALUE"""),"peipei")</f>
        <v>peipei</v>
      </c>
      <c r="C9114" s="4" t="str">
        <f>IFERROR(__xludf.DUMMYFUNCTION("""COMPUTED_VALUE"""),"PEIPEI")</f>
        <v>PEIPEI</v>
      </c>
    </row>
    <row r="9115">
      <c r="A9115" s="4" t="str">
        <f>IFERROR(__xludf.DUMMYFUNCTION("""COMPUTED_VALUE"""),"pelfort")</f>
        <v>pelfort</v>
      </c>
      <c r="B9115" s="4" t="str">
        <f>IFERROR(__xludf.DUMMYFUNCTION("""COMPUTED_VALUE"""),"pelf")</f>
        <v>pelf</v>
      </c>
      <c r="C9115" s="4" t="str">
        <f>IFERROR(__xludf.DUMMYFUNCTION("""COMPUTED_VALUE"""),"PELFORT")</f>
        <v>PELFORT</v>
      </c>
    </row>
    <row r="9116">
      <c r="A9116" s="4" t="str">
        <f>IFERROR(__xludf.DUMMYFUNCTION("""COMPUTED_VALUE"""),"pembrock")</f>
        <v>pembrock</v>
      </c>
      <c r="B9116" s="4" t="str">
        <f>IFERROR(__xludf.DUMMYFUNCTION("""COMPUTED_VALUE"""),"pem")</f>
        <v>pem</v>
      </c>
      <c r="C9116" s="4" t="str">
        <f>IFERROR(__xludf.DUMMYFUNCTION("""COMPUTED_VALUE"""),"Pembrock")</f>
        <v>Pembrock</v>
      </c>
    </row>
    <row r="9117">
      <c r="A9117" s="4" t="str">
        <f>IFERROR(__xludf.DUMMYFUNCTION("""COMPUTED_VALUE"""),"pendle")</f>
        <v>pendle</v>
      </c>
      <c r="B9117" s="4" t="str">
        <f>IFERROR(__xludf.DUMMYFUNCTION("""COMPUTED_VALUE"""),"pendle")</f>
        <v>pendle</v>
      </c>
      <c r="C9117" s="4" t="str">
        <f>IFERROR(__xludf.DUMMYFUNCTION("""COMPUTED_VALUE"""),"Pendle")</f>
        <v>Pendle</v>
      </c>
    </row>
    <row r="9118">
      <c r="A9118" s="4" t="str">
        <f>IFERROR(__xludf.DUMMYFUNCTION("""COMPUTED_VALUE"""),"pendulum-chain")</f>
        <v>pendulum-chain</v>
      </c>
      <c r="B9118" s="4" t="str">
        <f>IFERROR(__xludf.DUMMYFUNCTION("""COMPUTED_VALUE"""),"pen")</f>
        <v>pen</v>
      </c>
      <c r="C9118" s="4" t="str">
        <f>IFERROR(__xludf.DUMMYFUNCTION("""COMPUTED_VALUE"""),"Pendulum")</f>
        <v>Pendulum</v>
      </c>
    </row>
    <row r="9119">
      <c r="A9119" s="4" t="str">
        <f>IFERROR(__xludf.DUMMYFUNCTION("""COMPUTED_VALUE"""),"peng")</f>
        <v>peng</v>
      </c>
      <c r="B9119" s="4" t="str">
        <f>IFERROR(__xludf.DUMMYFUNCTION("""COMPUTED_VALUE"""),"peng")</f>
        <v>peng</v>
      </c>
      <c r="C9119" s="4" t="str">
        <f>IFERROR(__xludf.DUMMYFUNCTION("""COMPUTED_VALUE"""),"Peng")</f>
        <v>Peng</v>
      </c>
    </row>
    <row r="9120">
      <c r="A9120" s="4" t="str">
        <f>IFERROR(__xludf.DUMMYFUNCTION("""COMPUTED_VALUE"""),"penguin404")</f>
        <v>penguin404</v>
      </c>
      <c r="B9120" s="4" t="str">
        <f>IFERROR(__xludf.DUMMYFUNCTION("""COMPUTED_VALUE"""),"penguin")</f>
        <v>penguin</v>
      </c>
      <c r="C9120" s="4" t="str">
        <f>IFERROR(__xludf.DUMMYFUNCTION("""COMPUTED_VALUE"""),"Penguin404")</f>
        <v>Penguin404</v>
      </c>
    </row>
    <row r="9121">
      <c r="A9121" s="4" t="str">
        <f>IFERROR(__xludf.DUMMYFUNCTION("""COMPUTED_VALUE"""),"penguin-finance")</f>
        <v>penguin-finance</v>
      </c>
      <c r="B9121" s="4" t="str">
        <f>IFERROR(__xludf.DUMMYFUNCTION("""COMPUTED_VALUE"""),"pefi")</f>
        <v>pefi</v>
      </c>
      <c r="C9121" s="4" t="str">
        <f>IFERROR(__xludf.DUMMYFUNCTION("""COMPUTED_VALUE"""),"Penguin Finance")</f>
        <v>Penguin Finance</v>
      </c>
    </row>
    <row r="9122">
      <c r="A9122" s="4" t="str">
        <f>IFERROR(__xludf.DUMMYFUNCTION("""COMPUTED_VALUE"""),"penguin-karts")</f>
        <v>penguin-karts</v>
      </c>
      <c r="B9122" s="4" t="str">
        <f>IFERROR(__xludf.DUMMYFUNCTION("""COMPUTED_VALUE"""),"pgk")</f>
        <v>pgk</v>
      </c>
      <c r="C9122" s="4" t="str">
        <f>IFERROR(__xludf.DUMMYFUNCTION("""COMPUTED_VALUE"""),"Penguin Karts")</f>
        <v>Penguin Karts</v>
      </c>
    </row>
    <row r="9123">
      <c r="A9123" s="4" t="str">
        <f>IFERROR(__xludf.DUMMYFUNCTION("""COMPUTED_VALUE"""),"penguinwak")</f>
        <v>penguinwak</v>
      </c>
      <c r="B9123" s="4" t="str">
        <f>IFERROR(__xludf.DUMMYFUNCTION("""COMPUTED_VALUE"""),"wak")</f>
        <v>wak</v>
      </c>
      <c r="C9123" s="4" t="str">
        <f>IFERROR(__xludf.DUMMYFUNCTION("""COMPUTED_VALUE"""),"PenguinWak")</f>
        <v>PenguinWak</v>
      </c>
    </row>
    <row r="9124">
      <c r="A9124" s="4" t="str">
        <f>IFERROR(__xludf.DUMMYFUNCTION("""COMPUTED_VALUE"""),"pengyos")</f>
        <v>pengyos</v>
      </c>
      <c r="B9124" s="4" t="str">
        <f>IFERROR(__xludf.DUMMYFUNCTION("""COMPUTED_VALUE"""),"pos")</f>
        <v>pos</v>
      </c>
      <c r="C9124" s="4" t="str">
        <f>IFERROR(__xludf.DUMMYFUNCTION("""COMPUTED_VALUE"""),"PengyOS")</f>
        <v>PengyOS</v>
      </c>
    </row>
    <row r="9125">
      <c r="A9125" s="4" t="str">
        <f>IFERROR(__xludf.DUMMYFUNCTION("""COMPUTED_VALUE"""),"penpad-token")</f>
        <v>penpad-token</v>
      </c>
      <c r="B9125" s="4" t="str">
        <f>IFERROR(__xludf.DUMMYFUNCTION("""COMPUTED_VALUE"""),"pdd")</f>
        <v>pdd</v>
      </c>
      <c r="C9125" s="4" t="str">
        <f>IFERROR(__xludf.DUMMYFUNCTION("""COMPUTED_VALUE"""),"Penpad Token")</f>
        <v>Penpad Token</v>
      </c>
    </row>
    <row r="9126">
      <c r="A9126" s="4" t="str">
        <f>IFERROR(__xludf.DUMMYFUNCTION("""COMPUTED_VALUE"""),"penpie")</f>
        <v>penpie</v>
      </c>
      <c r="B9126" s="4" t="str">
        <f>IFERROR(__xludf.DUMMYFUNCTION("""COMPUTED_VALUE"""),"pnp")</f>
        <v>pnp</v>
      </c>
      <c r="C9126" s="4" t="str">
        <f>IFERROR(__xludf.DUMMYFUNCTION("""COMPUTED_VALUE"""),"Penpie")</f>
        <v>Penpie</v>
      </c>
    </row>
    <row r="9127">
      <c r="A9127" s="4" t="str">
        <f>IFERROR(__xludf.DUMMYFUNCTION("""COMPUTED_VALUE"""),"penrose-finance")</f>
        <v>penrose-finance</v>
      </c>
      <c r="B9127" s="4" t="str">
        <f>IFERROR(__xludf.DUMMYFUNCTION("""COMPUTED_VALUE"""),"pen")</f>
        <v>pen</v>
      </c>
      <c r="C9127" s="4" t="str">
        <f>IFERROR(__xludf.DUMMYFUNCTION("""COMPUTED_VALUE"""),"Penrose Finance")</f>
        <v>Penrose Finance</v>
      </c>
    </row>
    <row r="9128">
      <c r="A9128" s="4" t="str">
        <f>IFERROR(__xludf.DUMMYFUNCTION("""COMPUTED_VALUE"""),"peony-coin")</f>
        <v>peony-coin</v>
      </c>
      <c r="B9128" s="4" t="str">
        <f>IFERROR(__xludf.DUMMYFUNCTION("""COMPUTED_VALUE"""),"pny")</f>
        <v>pny</v>
      </c>
      <c r="C9128" s="4" t="str">
        <f>IFERROR(__xludf.DUMMYFUNCTION("""COMPUTED_VALUE"""),"Peony Coin")</f>
        <v>Peony Coin</v>
      </c>
    </row>
    <row r="9129">
      <c r="A9129" s="4" t="str">
        <f>IFERROR(__xludf.DUMMYFUNCTION("""COMPUTED_VALUE"""),"pepa-erc")</f>
        <v>pepa-erc</v>
      </c>
      <c r="B9129" s="4" t="str">
        <f>IFERROR(__xludf.DUMMYFUNCTION("""COMPUTED_VALUE"""),"pepa")</f>
        <v>pepa</v>
      </c>
      <c r="C9129" s="4" t="str">
        <f>IFERROR(__xludf.DUMMYFUNCTION("""COMPUTED_VALUE"""),"Pepa ERC")</f>
        <v>Pepa ERC</v>
      </c>
    </row>
    <row r="9130">
      <c r="A9130" s="4" t="str">
        <f>IFERROR(__xludf.DUMMYFUNCTION("""COMPUTED_VALUE"""),"pepa-inu")</f>
        <v>pepa-inu</v>
      </c>
      <c r="B9130" s="4" t="str">
        <f>IFERROR(__xludf.DUMMYFUNCTION("""COMPUTED_VALUE"""),"pepa")</f>
        <v>pepa</v>
      </c>
      <c r="C9130" s="4" t="str">
        <f>IFERROR(__xludf.DUMMYFUNCTION("""COMPUTED_VALUE"""),"Pepa Inu")</f>
        <v>Pepa Inu</v>
      </c>
    </row>
    <row r="9131">
      <c r="A9131" s="4" t="str">
        <f>IFERROR(__xludf.DUMMYFUNCTION("""COMPUTED_VALUE"""),"pepcat")</f>
        <v>pepcat</v>
      </c>
      <c r="B9131" s="4" t="str">
        <f>IFERROR(__xludf.DUMMYFUNCTION("""COMPUTED_VALUE"""),"pepcat")</f>
        <v>pepcat</v>
      </c>
      <c r="C9131" s="4" t="str">
        <f>IFERROR(__xludf.DUMMYFUNCTION("""COMPUTED_VALUE"""),"pepcat")</f>
        <v>pepcat</v>
      </c>
    </row>
    <row r="9132">
      <c r="A9132" s="4" t="str">
        <f>IFERROR(__xludf.DUMMYFUNCTION("""COMPUTED_VALUE"""),"pepe")</f>
        <v>pepe</v>
      </c>
      <c r="B9132" s="4" t="str">
        <f>IFERROR(__xludf.DUMMYFUNCTION("""COMPUTED_VALUE"""),"pepe")</f>
        <v>pepe</v>
      </c>
      <c r="C9132" s="4" t="str">
        <f>IFERROR(__xludf.DUMMYFUNCTION("""COMPUTED_VALUE"""),"Pepe")</f>
        <v>Pepe</v>
      </c>
    </row>
    <row r="9133">
      <c r="A9133" s="4" t="str">
        <f>IFERROR(__xludf.DUMMYFUNCTION("""COMPUTED_VALUE"""),"pepe-2")</f>
        <v>pepe-2</v>
      </c>
      <c r="B9133" s="4" t="str">
        <f>IFERROR(__xludf.DUMMYFUNCTION("""COMPUTED_VALUE"""),"pepe")</f>
        <v>pepe</v>
      </c>
      <c r="C9133" s="4" t="str">
        <f>IFERROR(__xludf.DUMMYFUNCTION("""COMPUTED_VALUE"""),"The Original Pepe")</f>
        <v>The Original Pepe</v>
      </c>
    </row>
    <row r="9134">
      <c r="A9134" s="4" t="str">
        <f>IFERROR(__xludf.DUMMYFUNCTION("""COMPUTED_VALUE"""),"pepe-2-0")</f>
        <v>pepe-2-0</v>
      </c>
      <c r="B9134" s="4" t="str">
        <f>IFERROR(__xludf.DUMMYFUNCTION("""COMPUTED_VALUE"""),"pepe2.0")</f>
        <v>pepe2.0</v>
      </c>
      <c r="C9134" s="4" t="str">
        <f>IFERROR(__xludf.DUMMYFUNCTION("""COMPUTED_VALUE"""),"Pepe 2.0")</f>
        <v>Pepe 2.0</v>
      </c>
    </row>
    <row r="9135">
      <c r="A9135" s="4" t="str">
        <f>IFERROR(__xludf.DUMMYFUNCTION("""COMPUTED_VALUE"""),"pepe-ai")</f>
        <v>pepe-ai</v>
      </c>
      <c r="B9135" s="4" t="str">
        <f>IFERROR(__xludf.DUMMYFUNCTION("""COMPUTED_VALUE"""),"pepeai")</f>
        <v>pepeai</v>
      </c>
      <c r="C9135" s="4" t="str">
        <f>IFERROR(__xludf.DUMMYFUNCTION("""COMPUTED_VALUE"""),"Pepe AI")</f>
        <v>Pepe AI</v>
      </c>
    </row>
    <row r="9136">
      <c r="A9136" s="4" t="str">
        <f>IFERROR(__xludf.DUMMYFUNCTION("""COMPUTED_VALUE"""),"pepe-ai-token")</f>
        <v>pepe-ai-token</v>
      </c>
      <c r="B9136" s="4" t="str">
        <f>IFERROR(__xludf.DUMMYFUNCTION("""COMPUTED_VALUE"""),"pepeai")</f>
        <v>pepeai</v>
      </c>
      <c r="C9136" s="4" t="str">
        <f>IFERROR(__xludf.DUMMYFUNCTION("""COMPUTED_VALUE"""),"Pepe AI Token")</f>
        <v>Pepe AI Token</v>
      </c>
    </row>
    <row r="9137">
      <c r="A9137" s="4" t="str">
        <f>IFERROR(__xludf.DUMMYFUNCTION("""COMPUTED_VALUE"""),"pepebeast")</f>
        <v>pepebeast</v>
      </c>
      <c r="B9137" s="4" t="str">
        <f>IFERROR(__xludf.DUMMYFUNCTION("""COMPUTED_VALUE"""),"pepebeast")</f>
        <v>pepebeast</v>
      </c>
      <c r="C9137" s="4" t="str">
        <f>IFERROR(__xludf.DUMMYFUNCTION("""COMPUTED_VALUE"""),"PEPEBEAST")</f>
        <v>PEPEBEAST</v>
      </c>
    </row>
    <row r="9138">
      <c r="A9138" s="4" t="str">
        <f>IFERROR(__xludf.DUMMYFUNCTION("""COMPUTED_VALUE"""),"pepeblue")</f>
        <v>pepeblue</v>
      </c>
      <c r="B9138" s="4" t="str">
        <f>IFERROR(__xludf.DUMMYFUNCTION("""COMPUTED_VALUE"""),"pepeblue")</f>
        <v>pepeblue</v>
      </c>
      <c r="C9138" s="4" t="str">
        <f>IFERROR(__xludf.DUMMYFUNCTION("""COMPUTED_VALUE"""),"Pepeblue")</f>
        <v>Pepeblue</v>
      </c>
    </row>
    <row r="9139">
      <c r="A9139" s="4" t="str">
        <f>IFERROR(__xludf.DUMMYFUNCTION("""COMPUTED_VALUE"""),"pepebnbs")</f>
        <v>pepebnbs</v>
      </c>
      <c r="B9139" s="4" t="str">
        <f>IFERROR(__xludf.DUMMYFUNCTION("""COMPUTED_VALUE"""),"pepebnbs")</f>
        <v>pepebnbs</v>
      </c>
      <c r="C9139" s="4" t="str">
        <f>IFERROR(__xludf.DUMMYFUNCTION("""COMPUTED_VALUE"""),"PEPEBNBS")</f>
        <v>PEPEBNBS</v>
      </c>
    </row>
    <row r="9140">
      <c r="A9140" s="4" t="str">
        <f>IFERROR(__xludf.DUMMYFUNCTION("""COMPUTED_VALUE"""),"pepebrc")</f>
        <v>pepebrc</v>
      </c>
      <c r="B9140" s="4" t="str">
        <f>IFERROR(__xludf.DUMMYFUNCTION("""COMPUTED_VALUE"""),"pepe")</f>
        <v>pepe</v>
      </c>
      <c r="C9140" s="4" t="str">
        <f>IFERROR(__xludf.DUMMYFUNCTION("""COMPUTED_VALUE"""),"PEPE (Ordinals)")</f>
        <v>PEPE (Ordinals)</v>
      </c>
    </row>
    <row r="9141">
      <c r="A9141" s="4" t="str">
        <f>IFERROR(__xludf.DUMMYFUNCTION("""COMPUTED_VALUE"""),"pepe-but-blue")</f>
        <v>pepe-but-blue</v>
      </c>
      <c r="B9141" s="4" t="str">
        <f>IFERROR(__xludf.DUMMYFUNCTION("""COMPUTED_VALUE"""),"pbb")</f>
        <v>pbb</v>
      </c>
      <c r="C9141" s="4" t="str">
        <f>IFERROR(__xludf.DUMMYFUNCTION("""COMPUTED_VALUE"""),"Pepe But Blue")</f>
        <v>Pepe But Blue</v>
      </c>
    </row>
    <row r="9142">
      <c r="A9142" s="4" t="str">
        <f>IFERROR(__xludf.DUMMYFUNCTION("""COMPUTED_VALUE"""),"pepecash-bsc")</f>
        <v>pepecash-bsc</v>
      </c>
      <c r="B9142" s="4" t="str">
        <f>IFERROR(__xludf.DUMMYFUNCTION("""COMPUTED_VALUE"""),"pepecash")</f>
        <v>pepecash</v>
      </c>
      <c r="C9142" s="4" t="str">
        <f>IFERROR(__xludf.DUMMYFUNCTION("""COMPUTED_VALUE"""),"PEPECASH BSC")</f>
        <v>PEPECASH BSC</v>
      </c>
    </row>
    <row r="9143">
      <c r="A9143" s="4" t="str">
        <f>IFERROR(__xludf.DUMMYFUNCTION("""COMPUTED_VALUE"""),"pepe-ceo")</f>
        <v>pepe-ceo</v>
      </c>
      <c r="B9143" s="4" t="str">
        <f>IFERROR(__xludf.DUMMYFUNCTION("""COMPUTED_VALUE"""),"peo")</f>
        <v>peo</v>
      </c>
      <c r="C9143" s="4" t="str">
        <f>IFERROR(__xludf.DUMMYFUNCTION("""COMPUTED_VALUE"""),"Pepe CEO")</f>
        <v>Pepe CEO</v>
      </c>
    </row>
    <row r="9144">
      <c r="A9144" s="4" t="str">
        <f>IFERROR(__xludf.DUMMYFUNCTION("""COMPUTED_VALUE"""),"pepe-ceo-bsc")</f>
        <v>pepe-ceo-bsc</v>
      </c>
      <c r="B9144" s="4" t="str">
        <f>IFERROR(__xludf.DUMMYFUNCTION("""COMPUTED_VALUE"""),"pepe ceo")</f>
        <v>pepe ceo</v>
      </c>
      <c r="C9144" s="4" t="str">
        <f>IFERROR(__xludf.DUMMYFUNCTION("""COMPUTED_VALUE"""),"Pepe CEO BSC")</f>
        <v>Pepe CEO BSC</v>
      </c>
    </row>
    <row r="9145">
      <c r="A9145" s="4" t="str">
        <f>IFERROR(__xludf.DUMMYFUNCTION("""COMPUTED_VALUE"""),"pepe-ceo-inu")</f>
        <v>pepe-ceo-inu</v>
      </c>
      <c r="B9145" s="4" t="str">
        <f>IFERROR(__xludf.DUMMYFUNCTION("""COMPUTED_VALUE"""),"pepe")</f>
        <v>pepe</v>
      </c>
      <c r="C9145" s="4" t="str">
        <f>IFERROR(__xludf.DUMMYFUNCTION("""COMPUTED_VALUE"""),"PEPE CEO INU")</f>
        <v>PEPE CEO INU</v>
      </c>
    </row>
    <row r="9146">
      <c r="A9146" s="4" t="str">
        <f>IFERROR(__xludf.DUMMYFUNCTION("""COMPUTED_VALUE"""),"pepechain")</f>
        <v>pepechain</v>
      </c>
      <c r="B9146" s="4" t="str">
        <f>IFERROR(__xludf.DUMMYFUNCTION("""COMPUTED_VALUE"""),"pc")</f>
        <v>pc</v>
      </c>
      <c r="C9146" s="4" t="str">
        <f>IFERROR(__xludf.DUMMYFUNCTION("""COMPUTED_VALUE"""),"Pepechain")</f>
        <v>Pepechain</v>
      </c>
    </row>
    <row r="9147">
      <c r="A9147" s="4" t="str">
        <f>IFERROR(__xludf.DUMMYFUNCTION("""COMPUTED_VALUE"""),"pepe-chain")</f>
        <v>pepe-chain</v>
      </c>
      <c r="B9147" s="4" t="str">
        <f>IFERROR(__xludf.DUMMYFUNCTION("""COMPUTED_VALUE"""),"pepechain")</f>
        <v>pepechain</v>
      </c>
      <c r="C9147" s="4" t="str">
        <f>IFERROR(__xludf.DUMMYFUNCTION("""COMPUTED_VALUE"""),"PEPE Chain")</f>
        <v>PEPE Chain</v>
      </c>
    </row>
    <row r="9148">
      <c r="A9148" s="4" t="str">
        <f>IFERROR(__xludf.DUMMYFUNCTION("""COMPUTED_VALUE"""),"pepe-chain-2")</f>
        <v>pepe-chain-2</v>
      </c>
      <c r="B9148" s="4" t="str">
        <f>IFERROR(__xludf.DUMMYFUNCTION("""COMPUTED_VALUE"""),"pc")</f>
        <v>pc</v>
      </c>
      <c r="C9148" s="4" t="str">
        <f>IFERROR(__xludf.DUMMYFUNCTION("""COMPUTED_VALUE"""),"Pepe Chain")</f>
        <v>Pepe Chain</v>
      </c>
    </row>
    <row r="9149">
      <c r="A9149" s="4" t="str">
        <f>IFERROR(__xludf.DUMMYFUNCTION("""COMPUTED_VALUE"""),"pepecoin-2")</f>
        <v>pepecoin-2</v>
      </c>
      <c r="B9149" s="4" t="str">
        <f>IFERROR(__xludf.DUMMYFUNCTION("""COMPUTED_VALUE"""),"pepecoin")</f>
        <v>pepecoin</v>
      </c>
      <c r="C9149" s="4" t="str">
        <f>IFERROR(__xludf.DUMMYFUNCTION("""COMPUTED_VALUE"""),"PepeCoin")</f>
        <v>PepeCoin</v>
      </c>
    </row>
    <row r="9150">
      <c r="A9150" s="4" t="str">
        <f>IFERROR(__xludf.DUMMYFUNCTION("""COMPUTED_VALUE"""),"pepecoin-network")</f>
        <v>pepecoin-network</v>
      </c>
      <c r="B9150" s="4" t="str">
        <f>IFERROR(__xludf.DUMMYFUNCTION("""COMPUTED_VALUE"""),"pepenet")</f>
        <v>pepenet</v>
      </c>
      <c r="C9150" s="4" t="str">
        <f>IFERROR(__xludf.DUMMYFUNCTION("""COMPUTED_VALUE"""),"Pepecoin Network")</f>
        <v>Pepecoin Network</v>
      </c>
    </row>
    <row r="9151">
      <c r="A9151" s="4" t="str">
        <f>IFERROR(__xludf.DUMMYFUNCTION("""COMPUTED_VALUE"""),"pepecoin-on-sol")</f>
        <v>pepecoin-on-sol</v>
      </c>
      <c r="B9151" s="4" t="str">
        <f>IFERROR(__xludf.DUMMYFUNCTION("""COMPUTED_VALUE"""),"pepe")</f>
        <v>pepe</v>
      </c>
      <c r="C9151" s="4" t="str">
        <f>IFERROR(__xludf.DUMMYFUNCTION("""COMPUTED_VALUE"""),"PEPECOIN on SOL")</f>
        <v>PEPECOIN on SOL</v>
      </c>
    </row>
    <row r="9152">
      <c r="A9152" s="4" t="str">
        <f>IFERROR(__xludf.DUMMYFUNCTION("""COMPUTED_VALUE"""),"pepecoin-on-solana")</f>
        <v>pepecoin-on-solana</v>
      </c>
      <c r="B9152" s="4" t="str">
        <f>IFERROR(__xludf.DUMMYFUNCTION("""COMPUTED_VALUE"""),"pepe")</f>
        <v>pepe</v>
      </c>
      <c r="C9152" s="4" t="str">
        <f>IFERROR(__xludf.DUMMYFUNCTION("""COMPUTED_VALUE"""),"PepeCoin on Solana")</f>
        <v>PepeCoin on Solana</v>
      </c>
    </row>
    <row r="9153">
      <c r="A9153" s="4" t="str">
        <f>IFERROR(__xludf.DUMMYFUNCTION("""COMPUTED_VALUE"""),"pepe-dao")</f>
        <v>pepe-dao</v>
      </c>
      <c r="B9153" s="4" t="str">
        <f>IFERROR(__xludf.DUMMYFUNCTION("""COMPUTED_VALUE"""),"peped")</f>
        <v>peped</v>
      </c>
      <c r="C9153" s="4" t="str">
        <f>IFERROR(__xludf.DUMMYFUNCTION("""COMPUTED_VALUE"""),"PEPE DAO")</f>
        <v>PEPE DAO</v>
      </c>
    </row>
    <row r="9154">
      <c r="A9154" s="4" t="str">
        <f>IFERROR(__xludf.DUMMYFUNCTION("""COMPUTED_VALUE"""),"pepe-dash-ai")</f>
        <v>pepe-dash-ai</v>
      </c>
      <c r="B9154" s="4" t="str">
        <f>IFERROR(__xludf.DUMMYFUNCTION("""COMPUTED_VALUE"""),"pepedashai")</f>
        <v>pepedashai</v>
      </c>
      <c r="C9154" s="4" t="str">
        <f>IFERROR(__xludf.DUMMYFUNCTION("""COMPUTED_VALUE"""),"Pepe Dash AI")</f>
        <v>Pepe Dash AI</v>
      </c>
    </row>
    <row r="9155">
      <c r="A9155" s="4" t="str">
        <f>IFERROR(__xludf.DUMMYFUNCTION("""COMPUTED_VALUE"""),"pepedex")</f>
        <v>pepedex</v>
      </c>
      <c r="B9155" s="4" t="str">
        <f>IFERROR(__xludf.DUMMYFUNCTION("""COMPUTED_VALUE"""),"ppdex")</f>
        <v>ppdex</v>
      </c>
      <c r="C9155" s="4" t="str">
        <f>IFERROR(__xludf.DUMMYFUNCTION("""COMPUTED_VALUE"""),"Pepedex")</f>
        <v>Pepedex</v>
      </c>
    </row>
    <row r="9156">
      <c r="A9156" s="4" t="str">
        <f>IFERROR(__xludf.DUMMYFUNCTION("""COMPUTED_VALUE"""),"pepe-doge")</f>
        <v>pepe-doge</v>
      </c>
      <c r="B9156" s="4" t="str">
        <f>IFERROR(__xludf.DUMMYFUNCTION("""COMPUTED_VALUE"""),"pepedoge")</f>
        <v>pepedoge</v>
      </c>
      <c r="C9156" s="4" t="str">
        <f>IFERROR(__xludf.DUMMYFUNCTION("""COMPUTED_VALUE"""),"Pepe Doge")</f>
        <v>Pepe Doge</v>
      </c>
    </row>
    <row r="9157">
      <c r="A9157" s="4" t="str">
        <f>IFERROR(__xludf.DUMMYFUNCTION("""COMPUTED_VALUE"""),"pepe-doginals")</f>
        <v>pepe-doginals</v>
      </c>
      <c r="B9157" s="4" t="str">
        <f>IFERROR(__xludf.DUMMYFUNCTION("""COMPUTED_VALUE"""),"pepe")</f>
        <v>pepe</v>
      </c>
      <c r="C9157" s="4" t="str">
        <f>IFERROR(__xludf.DUMMYFUNCTION("""COMPUTED_VALUE"""),"PEPE (DRC-20)")</f>
        <v>PEPE (DRC-20)</v>
      </c>
    </row>
    <row r="9158">
      <c r="A9158" s="4" t="str">
        <f>IFERROR(__xludf.DUMMYFUNCTION("""COMPUTED_VALUE"""),"pepe-floki")</f>
        <v>pepe-floki</v>
      </c>
      <c r="B9158" s="4" t="str">
        <f>IFERROR(__xludf.DUMMYFUNCTION("""COMPUTED_VALUE"""),"pepef")</f>
        <v>pepef</v>
      </c>
      <c r="C9158" s="4" t="str">
        <f>IFERROR(__xludf.DUMMYFUNCTION("""COMPUTED_VALUE"""),"PEPE FLOKI")</f>
        <v>PEPE FLOKI</v>
      </c>
    </row>
    <row r="9159">
      <c r="A9159" s="4" t="str">
        <f>IFERROR(__xludf.DUMMYFUNCTION("""COMPUTED_VALUE"""),"pepefork")</f>
        <v>pepefork</v>
      </c>
      <c r="B9159" s="4" t="str">
        <f>IFERROR(__xludf.DUMMYFUNCTION("""COMPUTED_VALUE"""),"pork")</f>
        <v>pork</v>
      </c>
      <c r="C9159" s="4" t="str">
        <f>IFERROR(__xludf.DUMMYFUNCTION("""COMPUTED_VALUE"""),"PepeFork")</f>
        <v>PepeFork</v>
      </c>
    </row>
    <row r="9160">
      <c r="A9160" s="4" t="str">
        <f>IFERROR(__xludf.DUMMYFUNCTION("""COMPUTED_VALUE"""),"pepefork-inu")</f>
        <v>pepefork-inu</v>
      </c>
      <c r="B9160" s="4" t="str">
        <f>IFERROR(__xludf.DUMMYFUNCTION("""COMPUTED_VALUE"""),"porkinu")</f>
        <v>porkinu</v>
      </c>
      <c r="C9160" s="4" t="str">
        <f>IFERROR(__xludf.DUMMYFUNCTION("""COMPUTED_VALUE"""),"PepeFork INU")</f>
        <v>PepeFork INU</v>
      </c>
    </row>
    <row r="9161">
      <c r="A9161" s="4" t="str">
        <f>IFERROR(__xludf.DUMMYFUNCTION("""COMPUTED_VALUE"""),"pepe-girl")</f>
        <v>pepe-girl</v>
      </c>
      <c r="B9161" s="4" t="str">
        <f>IFERROR(__xludf.DUMMYFUNCTION("""COMPUTED_VALUE"""),"pepeg")</f>
        <v>pepeg</v>
      </c>
      <c r="C9161" s="4" t="str">
        <f>IFERROR(__xludf.DUMMYFUNCTION("""COMPUTED_VALUE"""),"Pepe Girl")</f>
        <v>Pepe Girl</v>
      </c>
    </row>
    <row r="9162">
      <c r="A9162" s="4" t="str">
        <f>IFERROR(__xludf.DUMMYFUNCTION("""COMPUTED_VALUE"""),"pepegoat")</f>
        <v>pepegoat</v>
      </c>
      <c r="B9162" s="4" t="str">
        <f>IFERROR(__xludf.DUMMYFUNCTION("""COMPUTED_VALUE"""),"pepegoat")</f>
        <v>pepegoat</v>
      </c>
      <c r="C9162" s="4" t="str">
        <f>IFERROR(__xludf.DUMMYFUNCTION("""COMPUTED_VALUE"""),"PepeGOAT")</f>
        <v>PepeGOAT</v>
      </c>
    </row>
    <row r="9163">
      <c r="A9163" s="4" t="str">
        <f>IFERROR(__xludf.DUMMYFUNCTION("""COMPUTED_VALUE"""),"pepegold-6ea5105a-8bbe-45bc-bd1c-dc9b01a19be7")</f>
        <v>pepegold-6ea5105a-8bbe-45bc-bd1c-dc9b01a19be7</v>
      </c>
      <c r="B9163" s="4" t="str">
        <f>IFERROR(__xludf.DUMMYFUNCTION("""COMPUTED_VALUE"""),"pepe")</f>
        <v>pepe</v>
      </c>
      <c r="C9163" s="4" t="str">
        <f>IFERROR(__xludf.DUMMYFUNCTION("""COMPUTED_VALUE"""),"PEPEGOLD")</f>
        <v>PEPEGOLD</v>
      </c>
    </row>
    <row r="9164">
      <c r="A9164" s="4" t="str">
        <f>IFERROR(__xludf.DUMMYFUNCTION("""COMPUTED_VALUE"""),"pepeinu")</f>
        <v>pepeinu</v>
      </c>
      <c r="B9164" s="4" t="str">
        <f>IFERROR(__xludf.DUMMYFUNCTION("""COMPUTED_VALUE"""),"pepeinu")</f>
        <v>pepeinu</v>
      </c>
      <c r="C9164" s="4" t="str">
        <f>IFERROR(__xludf.DUMMYFUNCTION("""COMPUTED_VALUE"""),"Pepeinu")</f>
        <v>Pepeinu</v>
      </c>
    </row>
    <row r="9165">
      <c r="A9165" s="4" t="str">
        <f>IFERROR(__xludf.DUMMYFUNCTION("""COMPUTED_VALUE"""),"pepe-inu")</f>
        <v>pepe-inu</v>
      </c>
      <c r="B9165" s="4" t="str">
        <f>IFERROR(__xludf.DUMMYFUNCTION("""COMPUTED_VALUE"""),"pepinu")</f>
        <v>pepinu</v>
      </c>
      <c r="C9165" s="4" t="str">
        <f>IFERROR(__xludf.DUMMYFUNCTION("""COMPUTED_VALUE"""),"Pepe Inu")</f>
        <v>Pepe Inu</v>
      </c>
    </row>
    <row r="9166">
      <c r="A9166" s="4" t="str">
        <f>IFERROR(__xludf.DUMMYFUNCTION("""COMPUTED_VALUE"""),"pepe-inverted")</f>
        <v>pepe-inverted</v>
      </c>
      <c r="B9166" s="4" t="str">
        <f>IFERROR(__xludf.DUMMYFUNCTION("""COMPUTED_VALUE"""),"ǝԁǝԁ")</f>
        <v>ǝԁǝԁ</v>
      </c>
      <c r="C9166" s="4" t="str">
        <f>IFERROR(__xludf.DUMMYFUNCTION("""COMPUTED_VALUE"""),"Pepe Inverted")</f>
        <v>Pepe Inverted</v>
      </c>
    </row>
    <row r="9167">
      <c r="A9167" s="4" t="str">
        <f>IFERROR(__xludf.DUMMYFUNCTION("""COMPUTED_VALUE"""),"pepe-king-prawn")</f>
        <v>pepe-king-prawn</v>
      </c>
      <c r="B9167" s="4" t="str">
        <f>IFERROR(__xludf.DUMMYFUNCTION("""COMPUTED_VALUE"""),"pepe")</f>
        <v>pepe</v>
      </c>
      <c r="C9167" s="4" t="str">
        <f>IFERROR(__xludf.DUMMYFUNCTION("""COMPUTED_VALUE"""),"Pepe King Prawn")</f>
        <v>Pepe King Prawn</v>
      </c>
    </row>
    <row r="9168">
      <c r="A9168" s="4" t="str">
        <f>IFERROR(__xludf.DUMMYFUNCTION("""COMPUTED_VALUE"""),"pepe-le-pew-coin")</f>
        <v>pepe-le-pew-coin</v>
      </c>
      <c r="B9168" s="4" t="str">
        <f>IFERROR(__xludf.DUMMYFUNCTION("""COMPUTED_VALUE"""),"$plpc")</f>
        <v>$plpc</v>
      </c>
      <c r="C9168" s="4" t="str">
        <f>IFERROR(__xludf.DUMMYFUNCTION("""COMPUTED_VALUE"""),"Pepe Le Pew Coin")</f>
        <v>Pepe Le Pew Coin</v>
      </c>
    </row>
    <row r="9169">
      <c r="A9169" s="4" t="str">
        <f>IFERROR(__xludf.DUMMYFUNCTION("""COMPUTED_VALUE"""),"pepelon")</f>
        <v>pepelon</v>
      </c>
      <c r="B9169" s="4" t="str">
        <f>IFERROR(__xludf.DUMMYFUNCTION("""COMPUTED_VALUE"""),"pepelon")</f>
        <v>pepelon</v>
      </c>
      <c r="C9169" s="4" t="str">
        <f>IFERROR(__xludf.DUMMYFUNCTION("""COMPUTED_VALUE"""),"Pepelon")</f>
        <v>Pepelon</v>
      </c>
    </row>
    <row r="9170">
      <c r="A9170" s="4" t="str">
        <f>IFERROR(__xludf.DUMMYFUNCTION("""COMPUTED_VALUE"""),"pepelon-token")</f>
        <v>pepelon-token</v>
      </c>
      <c r="B9170" s="4" t="str">
        <f>IFERROR(__xludf.DUMMYFUNCTION("""COMPUTED_VALUE"""),"pelo")</f>
        <v>pelo</v>
      </c>
      <c r="C9170" s="4" t="str">
        <f>IFERROR(__xludf.DUMMYFUNCTION("""COMPUTED_VALUE"""),"PepElon")</f>
        <v>PepElon</v>
      </c>
    </row>
    <row r="9171">
      <c r="A9171" s="4" t="str">
        <f>IFERROR(__xludf.DUMMYFUNCTION("""COMPUTED_VALUE"""),"pepe-mining-company")</f>
        <v>pepe-mining-company</v>
      </c>
      <c r="B9171" s="4" t="str">
        <f>IFERROR(__xludf.DUMMYFUNCTION("""COMPUTED_VALUE"""),"ppmc")</f>
        <v>ppmc</v>
      </c>
      <c r="C9171" s="4" t="str">
        <f>IFERROR(__xludf.DUMMYFUNCTION("""COMPUTED_VALUE"""),"Pepe Mining Company")</f>
        <v>Pepe Mining Company</v>
      </c>
    </row>
    <row r="9172">
      <c r="A9172" s="4" t="str">
        <f>IFERROR(__xludf.DUMMYFUNCTION("""COMPUTED_VALUE"""),"pepemon-pepeballs")</f>
        <v>pepemon-pepeballs</v>
      </c>
      <c r="B9172" s="4" t="str">
        <f>IFERROR(__xludf.DUMMYFUNCTION("""COMPUTED_VALUE"""),"ppblz")</f>
        <v>ppblz</v>
      </c>
      <c r="C9172" s="4" t="str">
        <f>IFERROR(__xludf.DUMMYFUNCTION("""COMPUTED_VALUE"""),"Pepemon Pepeballs")</f>
        <v>Pepemon Pepeballs</v>
      </c>
    </row>
    <row r="9173">
      <c r="A9173" s="4" t="str">
        <f>IFERROR(__xludf.DUMMYFUNCTION("""COMPUTED_VALUE"""),"pepe-of-wallstreet")</f>
        <v>pepe-of-wallstreet</v>
      </c>
      <c r="B9173" s="4" t="str">
        <f>IFERROR(__xludf.DUMMYFUNCTION("""COMPUTED_VALUE"""),"pow")</f>
        <v>pow</v>
      </c>
      <c r="C9173" s="4" t="str">
        <f>IFERROR(__xludf.DUMMYFUNCTION("""COMPUTED_VALUE"""),"Pepe Of Wallstreet")</f>
        <v>Pepe Of Wallstreet</v>
      </c>
    </row>
    <row r="9174">
      <c r="A9174" s="4" t="str">
        <f>IFERROR(__xludf.DUMMYFUNCTION("""COMPUTED_VALUE"""),"pepe-og")</f>
        <v>pepe-og</v>
      </c>
      <c r="B9174" s="4" t="str">
        <f>IFERROR(__xludf.DUMMYFUNCTION("""COMPUTED_VALUE"""),"pog")</f>
        <v>pog</v>
      </c>
      <c r="C9174" s="4" t="str">
        <f>IFERROR(__xludf.DUMMYFUNCTION("""COMPUTED_VALUE"""),"Pepe OG")</f>
        <v>Pepe OG</v>
      </c>
    </row>
    <row r="9175">
      <c r="A9175" s="4" t="str">
        <f>IFERROR(__xludf.DUMMYFUNCTION("""COMPUTED_VALUE"""),"pepe-on-base")</f>
        <v>pepe-on-base</v>
      </c>
      <c r="B9175" s="4" t="str">
        <f>IFERROR(__xludf.DUMMYFUNCTION("""COMPUTED_VALUE"""),"pepe")</f>
        <v>pepe</v>
      </c>
      <c r="C9175" s="4" t="str">
        <f>IFERROR(__xludf.DUMMYFUNCTION("""COMPUTED_VALUE"""),"Pepe on Base")</f>
        <v>Pepe on Base</v>
      </c>
    </row>
    <row r="9176">
      <c r="A9176" s="4" t="str">
        <f>IFERROR(__xludf.DUMMYFUNCTION("""COMPUTED_VALUE"""),"pepe-on-solana")</f>
        <v>pepe-on-solana</v>
      </c>
      <c r="B9176" s="4" t="str">
        <f>IFERROR(__xludf.DUMMYFUNCTION("""COMPUTED_VALUE"""),"pepe")</f>
        <v>pepe</v>
      </c>
      <c r="C9176" s="4" t="str">
        <f>IFERROR(__xludf.DUMMYFUNCTION("""COMPUTED_VALUE"""),"Pepe on Solana")</f>
        <v>Pepe on Solana</v>
      </c>
    </row>
    <row r="9177">
      <c r="A9177" s="4" t="str">
        <f>IFERROR(__xludf.DUMMYFUNCTION("""COMPUTED_VALUE"""),"pepe-original-version")</f>
        <v>pepe-original-version</v>
      </c>
      <c r="B9177" s="4" t="str">
        <f>IFERROR(__xludf.DUMMYFUNCTION("""COMPUTED_VALUE"""),"pov")</f>
        <v>pov</v>
      </c>
      <c r="C9177" s="4" t="str">
        <f>IFERROR(__xludf.DUMMYFUNCTION("""COMPUTED_VALUE"""),"Pepe Original Version")</f>
        <v>Pepe Original Version</v>
      </c>
    </row>
    <row r="9178">
      <c r="A9178" s="4" t="str">
        <f>IFERROR(__xludf.DUMMYFUNCTION("""COMPUTED_VALUE"""),"pepepad")</f>
        <v>pepepad</v>
      </c>
      <c r="B9178" s="4" t="str">
        <f>IFERROR(__xludf.DUMMYFUNCTION("""COMPUTED_VALUE"""),"pepe")</f>
        <v>pepe</v>
      </c>
      <c r="C9178" s="4" t="str">
        <f>IFERROR(__xludf.DUMMYFUNCTION("""COMPUTED_VALUE"""),"PepePAD")</f>
        <v>PepePAD</v>
      </c>
    </row>
    <row r="9179">
      <c r="A9179" s="4" t="str">
        <f>IFERROR(__xludf.DUMMYFUNCTION("""COMPUTED_VALUE"""),"pe-pe-pokemoon")</f>
        <v>pe-pe-pokemoon</v>
      </c>
      <c r="B9179" s="4" t="str">
        <f>IFERROR(__xludf.DUMMYFUNCTION("""COMPUTED_VALUE"""),"pemon")</f>
        <v>pemon</v>
      </c>
      <c r="C9179" s="4" t="str">
        <f>IFERROR(__xludf.DUMMYFUNCTION("""COMPUTED_VALUE"""),"PE PE POKEMOON")</f>
        <v>PE PE POKEMOON</v>
      </c>
    </row>
    <row r="9180">
      <c r="A9180" s="4" t="str">
        <f>IFERROR(__xludf.DUMMYFUNCTION("""COMPUTED_VALUE"""),"pepepow")</f>
        <v>pepepow</v>
      </c>
      <c r="B9180" s="4" t="str">
        <f>IFERROR(__xludf.DUMMYFUNCTION("""COMPUTED_VALUE"""),"pepew")</f>
        <v>pepew</v>
      </c>
      <c r="C9180" s="4" t="str">
        <f>IFERROR(__xludf.DUMMYFUNCTION("""COMPUTED_VALUE"""),"PEPEPOW")</f>
        <v>PEPEPOW</v>
      </c>
    </row>
    <row r="9181">
      <c r="A9181" s="4" t="str">
        <f>IFERROR(__xludf.DUMMYFUNCTION("""COMPUTED_VALUE"""),"pepe-predator")</f>
        <v>pepe-predator</v>
      </c>
      <c r="B9181" s="4" t="str">
        <f>IFERROR(__xludf.DUMMYFUNCTION("""COMPUTED_VALUE"""),"snake")</f>
        <v>snake</v>
      </c>
      <c r="C9181" s="4" t="str">
        <f>IFERROR(__xludf.DUMMYFUNCTION("""COMPUTED_VALUE"""),"Pepe Predator")</f>
        <v>Pepe Predator</v>
      </c>
    </row>
    <row r="9182">
      <c r="A9182" s="4" t="str">
        <f>IFERROR(__xludf.DUMMYFUNCTION("""COMPUTED_VALUE"""),"pepe-prophet")</f>
        <v>pepe-prophet</v>
      </c>
      <c r="B9182" s="4" t="str">
        <f>IFERROR(__xludf.DUMMYFUNCTION("""COMPUTED_VALUE"""),"kek")</f>
        <v>kek</v>
      </c>
      <c r="C9182" s="4" t="str">
        <f>IFERROR(__xludf.DUMMYFUNCTION("""COMPUTED_VALUE"""),"Pepe Prophet")</f>
        <v>Pepe Prophet</v>
      </c>
    </row>
    <row r="9183">
      <c r="A9183" s="4" t="str">
        <f>IFERROR(__xludf.DUMMYFUNCTION("""COMPUTED_VALUE"""),"peper")</f>
        <v>peper</v>
      </c>
      <c r="B9183" s="4" t="str">
        <f>IFERROR(__xludf.DUMMYFUNCTION("""COMPUTED_VALUE"""),"peper")</f>
        <v>peper</v>
      </c>
      <c r="C9183" s="4" t="str">
        <f>IFERROR(__xludf.DUMMYFUNCTION("""COMPUTED_VALUE"""),"PEPER")</f>
        <v>PEPER</v>
      </c>
    </row>
    <row r="9184">
      <c r="A9184" s="4" t="str">
        <f>IFERROR(__xludf.DUMMYFUNCTION("""COMPUTED_VALUE"""),"pepera")</f>
        <v>pepera</v>
      </c>
      <c r="B9184" s="4" t="str">
        <f>IFERROR(__xludf.DUMMYFUNCTION("""COMPUTED_VALUE"""),"pepera")</f>
        <v>pepera</v>
      </c>
      <c r="C9184" s="4" t="str">
        <f>IFERROR(__xludf.DUMMYFUNCTION("""COMPUTED_VALUE"""),"Pepera")</f>
        <v>Pepera</v>
      </c>
    </row>
    <row r="9185">
      <c r="A9185" s="4" t="str">
        <f>IFERROR(__xludf.DUMMYFUNCTION("""COMPUTED_VALUE"""),"pepesol")</f>
        <v>pepesol</v>
      </c>
      <c r="B9185" s="4" t="str">
        <f>IFERROR(__xludf.DUMMYFUNCTION("""COMPUTED_VALUE"""),"pepe")</f>
        <v>pepe</v>
      </c>
      <c r="C9185" s="4" t="str">
        <f>IFERROR(__xludf.DUMMYFUNCTION("""COMPUTED_VALUE"""),"PepeSol")</f>
        <v>PepeSol</v>
      </c>
    </row>
    <row r="9186">
      <c r="A9186" s="4" t="str">
        <f>IFERROR(__xludf.DUMMYFUNCTION("""COMPUTED_VALUE"""),"pepe-solana")</f>
        <v>pepe-solana</v>
      </c>
      <c r="B9186" s="4" t="str">
        <f>IFERROR(__xludf.DUMMYFUNCTION("""COMPUTED_VALUE"""),"pepe")</f>
        <v>pepe</v>
      </c>
      <c r="C9186" s="4" t="str">
        <f>IFERROR(__xludf.DUMMYFUNCTION("""COMPUTED_VALUE"""),"Pepe (Solana)")</f>
        <v>Pepe (Solana)</v>
      </c>
    </row>
    <row r="9187">
      <c r="A9187" s="4" t="str">
        <f>IFERROR(__xludf.DUMMYFUNCTION("""COMPUTED_VALUE"""),"pepe-sora-ai")</f>
        <v>pepe-sora-ai</v>
      </c>
      <c r="B9187" s="4" t="str">
        <f>IFERROR(__xludf.DUMMYFUNCTION("""COMPUTED_VALUE"""),"pepesora")</f>
        <v>pepesora</v>
      </c>
      <c r="C9187" s="4" t="str">
        <f>IFERROR(__xludf.DUMMYFUNCTION("""COMPUTED_VALUE"""),"Pepe Sora AI")</f>
        <v>Pepe Sora AI</v>
      </c>
    </row>
    <row r="9188">
      <c r="A9188" s="4" t="str">
        <f>IFERROR(__xludf.DUMMYFUNCTION("""COMPUTED_VALUE"""),"pepe-the-frog")</f>
        <v>pepe-the-frog</v>
      </c>
      <c r="B9188" s="4" t="str">
        <f>IFERROR(__xludf.DUMMYFUNCTION("""COMPUTED_VALUE"""),"pepebnb")</f>
        <v>pepebnb</v>
      </c>
      <c r="C9188" s="4" t="str">
        <f>IFERROR(__xludf.DUMMYFUNCTION("""COMPUTED_VALUE"""),"Pepe the Frog")</f>
        <v>Pepe the Frog</v>
      </c>
    </row>
    <row r="9189">
      <c r="A9189" s="4" t="str">
        <f>IFERROR(__xludf.DUMMYFUNCTION("""COMPUTED_VALUE"""),"pepe-the-pepe")</f>
        <v>pepe-the-pepe</v>
      </c>
      <c r="B9189" s="4" t="str">
        <f>IFERROR(__xludf.DUMMYFUNCTION("""COMPUTED_VALUE"""),"pepee")</f>
        <v>pepee</v>
      </c>
      <c r="C9189" s="4" t="str">
        <f>IFERROR(__xludf.DUMMYFUNCTION("""COMPUTED_VALUE"""),"Pepe the pepe")</f>
        <v>Pepe the pepe</v>
      </c>
    </row>
    <row r="9190">
      <c r="A9190" s="4" t="str">
        <f>IFERROR(__xludf.DUMMYFUNCTION("""COMPUTED_VALUE"""),"pepe-token")</f>
        <v>pepe-token</v>
      </c>
      <c r="B9190" s="4" t="str">
        <f>IFERROR(__xludf.DUMMYFUNCTION("""COMPUTED_VALUE"""),"pepe")</f>
        <v>pepe</v>
      </c>
      <c r="C9190" s="4" t="str">
        <f>IFERROR(__xludf.DUMMYFUNCTION("""COMPUTED_VALUE"""),"Pepe Token")</f>
        <v>Pepe Token</v>
      </c>
    </row>
    <row r="9191">
      <c r="A9191" s="4" t="str">
        <f>IFERROR(__xludf.DUMMYFUNCTION("""COMPUTED_VALUE"""),"pepeusdt")</f>
        <v>pepeusdt</v>
      </c>
      <c r="B9191" s="4" t="str">
        <f>IFERROR(__xludf.DUMMYFUNCTION("""COMPUTED_VALUE"""),"ppusdt")</f>
        <v>ppusdt</v>
      </c>
      <c r="C9191" s="4" t="str">
        <f>IFERROR(__xludf.DUMMYFUNCTION("""COMPUTED_VALUE"""),"PepeUSDT")</f>
        <v>PepeUSDT</v>
      </c>
    </row>
    <row r="9192">
      <c r="A9192" s="4" t="str">
        <f>IFERROR(__xludf.DUMMYFUNCTION("""COMPUTED_VALUE"""),"pepe-uwu")</f>
        <v>pepe-uwu</v>
      </c>
      <c r="B9192" s="4" t="str">
        <f>IFERROR(__xludf.DUMMYFUNCTION("""COMPUTED_VALUE"""),"cute")</f>
        <v>cute</v>
      </c>
      <c r="C9192" s="4" t="str">
        <f>IFERROR(__xludf.DUMMYFUNCTION("""COMPUTED_VALUE"""),"PEPE UWU")</f>
        <v>PEPE UWU</v>
      </c>
    </row>
    <row r="9193">
      <c r="A9193" s="4" t="str">
        <f>IFERROR(__xludf.DUMMYFUNCTION("""COMPUTED_VALUE"""),"pepewifhat")</f>
        <v>pepewifhat</v>
      </c>
      <c r="B9193" s="4" t="str">
        <f>IFERROR(__xludf.DUMMYFUNCTION("""COMPUTED_VALUE"""),"pif")</f>
        <v>pif</v>
      </c>
      <c r="C9193" s="4" t="str">
        <f>IFERROR(__xludf.DUMMYFUNCTION("""COMPUTED_VALUE"""),"pepewifhat")</f>
        <v>pepewifhat</v>
      </c>
    </row>
    <row r="9194">
      <c r="A9194" s="4" t="str">
        <f>IFERROR(__xludf.DUMMYFUNCTION("""COMPUTED_VALUE"""),"pepe-wif-hat")</f>
        <v>pepe-wif-hat</v>
      </c>
      <c r="B9194" s="4" t="str">
        <f>IFERROR(__xludf.DUMMYFUNCTION("""COMPUTED_VALUE"""),"pif")</f>
        <v>pif</v>
      </c>
      <c r="C9194" s="4" t="str">
        <f>IFERROR(__xludf.DUMMYFUNCTION("""COMPUTED_VALUE"""),"Pepe Wif Hat")</f>
        <v>Pepe Wif Hat</v>
      </c>
    </row>
    <row r="9195">
      <c r="A9195" s="4" t="str">
        <f>IFERROR(__xludf.DUMMYFUNCTION("""COMPUTED_VALUE"""),"pepewifhat-2")</f>
        <v>pepewifhat-2</v>
      </c>
      <c r="B9195" s="4" t="str">
        <f>IFERROR(__xludf.DUMMYFUNCTION("""COMPUTED_VALUE"""),"pwh")</f>
        <v>pwh</v>
      </c>
      <c r="C9195" s="4" t="str">
        <f>IFERROR(__xludf.DUMMYFUNCTION("""COMPUTED_VALUE"""),"pepewifhat")</f>
        <v>pepewifhat</v>
      </c>
    </row>
    <row r="9196">
      <c r="A9196" s="4" t="str">
        <f>IFERROR(__xludf.DUMMYFUNCTION("""COMPUTED_VALUE"""),"pepex")</f>
        <v>pepex</v>
      </c>
      <c r="B9196" s="4" t="str">
        <f>IFERROR(__xludf.DUMMYFUNCTION("""COMPUTED_VALUE"""),"pepex")</f>
        <v>pepex</v>
      </c>
      <c r="C9196" s="4" t="str">
        <f>IFERROR(__xludf.DUMMYFUNCTION("""COMPUTED_VALUE"""),"PEPEX")</f>
        <v>PEPEX</v>
      </c>
    </row>
    <row r="9197">
      <c r="A9197" s="4" t="str">
        <f>IFERROR(__xludf.DUMMYFUNCTION("""COMPUTED_VALUE"""),"pepexl")</f>
        <v>pepexl</v>
      </c>
      <c r="B9197" s="4" t="str">
        <f>IFERROR(__xludf.DUMMYFUNCTION("""COMPUTED_VALUE"""),"pepexl")</f>
        <v>pepexl</v>
      </c>
      <c r="C9197" s="4" t="str">
        <f>IFERROR(__xludf.DUMMYFUNCTION("""COMPUTED_VALUE"""),"PepeXL")</f>
        <v>PepeXL</v>
      </c>
    </row>
    <row r="9198">
      <c r="A9198" s="4" t="str">
        <f>IFERROR(__xludf.DUMMYFUNCTION("""COMPUTED_VALUE"""),"pepi")</f>
        <v>pepi</v>
      </c>
      <c r="B9198" s="4" t="str">
        <f>IFERROR(__xludf.DUMMYFUNCTION("""COMPUTED_VALUE"""),"pepi")</f>
        <v>pepi</v>
      </c>
      <c r="C9198" s="4" t="str">
        <f>IFERROR(__xludf.DUMMYFUNCTION("""COMPUTED_VALUE"""),"PEPI")</f>
        <v>PEPI</v>
      </c>
    </row>
    <row r="9199">
      <c r="A9199" s="4" t="str">
        <f>IFERROR(__xludf.DUMMYFUNCTION("""COMPUTED_VALUE"""),"pepinu")</f>
        <v>pepinu</v>
      </c>
      <c r="B9199" s="4" t="str">
        <f>IFERROR(__xludf.DUMMYFUNCTION("""COMPUTED_VALUE"""),"pepinu")</f>
        <v>pepinu</v>
      </c>
      <c r="C9199" s="4" t="str">
        <f>IFERROR(__xludf.DUMMYFUNCTION("""COMPUTED_VALUE"""),"Pepinu")</f>
        <v>Pepinu</v>
      </c>
    </row>
    <row r="9200">
      <c r="A9200" s="4" t="str">
        <f>IFERROR(__xludf.DUMMYFUNCTION("""COMPUTED_VALUE"""),"pepito")</f>
        <v>pepito</v>
      </c>
      <c r="B9200" s="4" t="str">
        <f>IFERROR(__xludf.DUMMYFUNCTION("""COMPUTED_VALUE"""),"pepi")</f>
        <v>pepi</v>
      </c>
      <c r="C9200" s="4" t="str">
        <f>IFERROR(__xludf.DUMMYFUNCTION("""COMPUTED_VALUE"""),"Pepito")</f>
        <v>Pepito</v>
      </c>
    </row>
    <row r="9201">
      <c r="A9201" s="4" t="str">
        <f>IFERROR(__xludf.DUMMYFUNCTION("""COMPUTED_VALUE"""),"peppa")</f>
        <v>peppa</v>
      </c>
      <c r="B9201" s="4" t="str">
        <f>IFERROR(__xludf.DUMMYFUNCTION("""COMPUTED_VALUE"""),"peppa")</f>
        <v>peppa</v>
      </c>
      <c r="C9201" s="4" t="str">
        <f>IFERROR(__xludf.DUMMYFUNCTION("""COMPUTED_VALUE"""),"PEPPA")</f>
        <v>PEPPA</v>
      </c>
    </row>
    <row r="9202">
      <c r="A9202" s="4" t="str">
        <f>IFERROR(__xludf.DUMMYFUNCTION("""COMPUTED_VALUE"""),"pepurai")</f>
        <v>pepurai</v>
      </c>
      <c r="B9202" s="4" t="str">
        <f>IFERROR(__xludf.DUMMYFUNCTION("""COMPUTED_VALUE"""),"pepurai")</f>
        <v>pepurai</v>
      </c>
      <c r="C9202" s="4" t="str">
        <f>IFERROR(__xludf.DUMMYFUNCTION("""COMPUTED_VALUE"""),"PEPURAI")</f>
        <v>PEPURAI</v>
      </c>
    </row>
    <row r="9203">
      <c r="A9203" s="4" t="str">
        <f>IFERROR(__xludf.DUMMYFUNCTION("""COMPUTED_VALUE"""),"pera-finance")</f>
        <v>pera-finance</v>
      </c>
      <c r="B9203" s="4" t="str">
        <f>IFERROR(__xludf.DUMMYFUNCTION("""COMPUTED_VALUE"""),"pera")</f>
        <v>pera</v>
      </c>
      <c r="C9203" s="4" t="str">
        <f>IFERROR(__xludf.DUMMYFUNCTION("""COMPUTED_VALUE"""),"Pera Finance")</f>
        <v>Pera Finance</v>
      </c>
    </row>
    <row r="9204">
      <c r="A9204" s="4" t="str">
        <f>IFERROR(__xludf.DUMMYFUNCTION("""COMPUTED_VALUE"""),"perezoso")</f>
        <v>perezoso</v>
      </c>
      <c r="B9204" s="4" t="str">
        <f>IFERROR(__xludf.DUMMYFUNCTION("""COMPUTED_VALUE"""),"przs")</f>
        <v>przs</v>
      </c>
      <c r="C9204" s="4" t="str">
        <f>IFERROR(__xludf.DUMMYFUNCTION("""COMPUTED_VALUE"""),"Perezoso")</f>
        <v>Perezoso</v>
      </c>
    </row>
    <row r="9205">
      <c r="A9205" s="4" t="str">
        <f>IFERROR(__xludf.DUMMYFUNCTION("""COMPUTED_VALUE"""),"peri-finance")</f>
        <v>peri-finance</v>
      </c>
      <c r="B9205" s="4" t="str">
        <f>IFERROR(__xludf.DUMMYFUNCTION("""COMPUTED_VALUE"""),"peri")</f>
        <v>peri</v>
      </c>
      <c r="C9205" s="4" t="str">
        <f>IFERROR(__xludf.DUMMYFUNCTION("""COMPUTED_VALUE"""),"PERI Finance")</f>
        <v>PERI Finance</v>
      </c>
    </row>
    <row r="9206">
      <c r="A9206" s="4" t="str">
        <f>IFERROR(__xludf.DUMMYFUNCTION("""COMPUTED_VALUE"""),"perion")</f>
        <v>perion</v>
      </c>
      <c r="B9206" s="4" t="str">
        <f>IFERROR(__xludf.DUMMYFUNCTION("""COMPUTED_VALUE"""),"perc")</f>
        <v>perc</v>
      </c>
      <c r="C9206" s="4" t="str">
        <f>IFERROR(__xludf.DUMMYFUNCTION("""COMPUTED_VALUE"""),"Perion")</f>
        <v>Perion</v>
      </c>
    </row>
    <row r="9207">
      <c r="A9207" s="4" t="str">
        <f>IFERROR(__xludf.DUMMYFUNCTION("""COMPUTED_VALUE"""),"perlin")</f>
        <v>perlin</v>
      </c>
      <c r="B9207" s="4" t="str">
        <f>IFERROR(__xludf.DUMMYFUNCTION("""COMPUTED_VALUE"""),"perl")</f>
        <v>perl</v>
      </c>
      <c r="C9207" s="4" t="str">
        <f>IFERROR(__xludf.DUMMYFUNCTION("""COMPUTED_VALUE"""),"PERL.eco")</f>
        <v>PERL.eco</v>
      </c>
    </row>
    <row r="9208">
      <c r="A9208" s="4" t="str">
        <f>IFERROR(__xludf.DUMMYFUNCTION("""COMPUTED_VALUE"""),"permission-coin")</f>
        <v>permission-coin</v>
      </c>
      <c r="B9208" s="4" t="str">
        <f>IFERROR(__xludf.DUMMYFUNCTION("""COMPUTED_VALUE"""),"ask")</f>
        <v>ask</v>
      </c>
      <c r="C9208" s="4" t="str">
        <f>IFERROR(__xludf.DUMMYFUNCTION("""COMPUTED_VALUE"""),"Permission Coin")</f>
        <v>Permission Coin</v>
      </c>
    </row>
    <row r="9209">
      <c r="A9209" s="4" t="str">
        <f>IFERROR(__xludf.DUMMYFUNCTION("""COMPUTED_VALUE"""),"perpetual-protocol")</f>
        <v>perpetual-protocol</v>
      </c>
      <c r="B9209" s="4" t="str">
        <f>IFERROR(__xludf.DUMMYFUNCTION("""COMPUTED_VALUE"""),"perp")</f>
        <v>perp</v>
      </c>
      <c r="C9209" s="4" t="str">
        <f>IFERROR(__xludf.DUMMYFUNCTION("""COMPUTED_VALUE"""),"Perpetual Protocol")</f>
        <v>Perpetual Protocol</v>
      </c>
    </row>
    <row r="9210">
      <c r="A9210" s="4" t="str">
        <f>IFERROR(__xludf.DUMMYFUNCTION("""COMPUTED_VALUE"""),"perpetual-wallet")</f>
        <v>perpetual-wallet</v>
      </c>
      <c r="B9210" s="4" t="str">
        <f>IFERROR(__xludf.DUMMYFUNCTION("""COMPUTED_VALUE"""),"pwt")</f>
        <v>pwt</v>
      </c>
      <c r="C9210" s="4" t="str">
        <f>IFERROR(__xludf.DUMMYFUNCTION("""COMPUTED_VALUE"""),"Perpetual Wallet")</f>
        <v>Perpetual Wallet</v>
      </c>
    </row>
    <row r="9211">
      <c r="A9211" s="4" t="str">
        <f>IFERROR(__xludf.DUMMYFUNCTION("""COMPUTED_VALUE"""),"perpetuum-coin")</f>
        <v>perpetuum-coin</v>
      </c>
      <c r="B9211" s="4" t="str">
        <f>IFERROR(__xludf.DUMMYFUNCTION("""COMPUTED_VALUE"""),"prp")</f>
        <v>prp</v>
      </c>
      <c r="C9211" s="4" t="str">
        <f>IFERROR(__xludf.DUMMYFUNCTION("""COMPUTED_VALUE"""),"Perpetuum Coin")</f>
        <v>Perpetuum Coin</v>
      </c>
    </row>
    <row r="9212">
      <c r="A9212" s="4" t="str">
        <f>IFERROR(__xludf.DUMMYFUNCTION("""COMPUTED_VALUE"""),"per-project")</f>
        <v>per-project</v>
      </c>
      <c r="B9212" s="4" t="str">
        <f>IFERROR(__xludf.DUMMYFUNCTION("""COMPUTED_VALUE"""),"per")</f>
        <v>per</v>
      </c>
      <c r="C9212" s="4" t="str">
        <f>IFERROR(__xludf.DUMMYFUNCTION("""COMPUTED_VALUE"""),"PER Project")</f>
        <v>PER Project</v>
      </c>
    </row>
    <row r="9213">
      <c r="A9213" s="4" t="str">
        <f>IFERROR(__xludf.DUMMYFUNCTION("""COMPUTED_VALUE"""),"perpy-finance")</f>
        <v>perpy-finance</v>
      </c>
      <c r="B9213" s="4" t="str">
        <f>IFERROR(__xludf.DUMMYFUNCTION("""COMPUTED_VALUE"""),"pry")</f>
        <v>pry</v>
      </c>
      <c r="C9213" s="4" t="str">
        <f>IFERROR(__xludf.DUMMYFUNCTION("""COMPUTED_VALUE"""),"Perpy Finance")</f>
        <v>Perpy Finance</v>
      </c>
    </row>
    <row r="9214">
      <c r="A9214" s="4" t="str">
        <f>IFERROR(__xludf.DUMMYFUNCTION("""COMPUTED_VALUE"""),"perro-dinero")</f>
        <v>perro-dinero</v>
      </c>
      <c r="B9214" s="4" t="str">
        <f>IFERROR(__xludf.DUMMYFUNCTION("""COMPUTED_VALUE"""),"jotchua")</f>
        <v>jotchua</v>
      </c>
      <c r="C9214" s="4" t="str">
        <f>IFERROR(__xludf.DUMMYFUNCTION("""COMPUTED_VALUE"""),"PERRO DINERO")</f>
        <v>PERRO DINERO</v>
      </c>
    </row>
    <row r="9215">
      <c r="A9215" s="4" t="str">
        <f>IFERROR(__xludf.DUMMYFUNCTION("""COMPUTED_VALUE"""),"perry-the-bnb")</f>
        <v>perry-the-bnb</v>
      </c>
      <c r="B9215" s="4" t="str">
        <f>IFERROR(__xludf.DUMMYFUNCTION("""COMPUTED_VALUE"""),"perry")</f>
        <v>perry</v>
      </c>
      <c r="C9215" s="4" t="str">
        <f>IFERROR(__xludf.DUMMYFUNCTION("""COMPUTED_VALUE"""),"Perry The BNB")</f>
        <v>Perry The BNB</v>
      </c>
    </row>
    <row r="9216">
      <c r="A9216" s="4" t="str">
        <f>IFERROR(__xludf.DUMMYFUNCTION("""COMPUTED_VALUE"""),"perseid-finance")</f>
        <v>perseid-finance</v>
      </c>
      <c r="B9216" s="4" t="str">
        <f>IFERROR(__xludf.DUMMYFUNCTION("""COMPUTED_VALUE"""),"ped")</f>
        <v>ped</v>
      </c>
      <c r="C9216" s="4" t="str">
        <f>IFERROR(__xludf.DUMMYFUNCTION("""COMPUTED_VALUE"""),"Perseid Finance")</f>
        <v>Perseid Finance</v>
      </c>
    </row>
    <row r="9217">
      <c r="A9217" s="4" t="str">
        <f>IFERROR(__xludf.DUMMYFUNCTION("""COMPUTED_VALUE"""),"persib-fan-token")</f>
        <v>persib-fan-token</v>
      </c>
      <c r="B9217" s="4" t="str">
        <f>IFERROR(__xludf.DUMMYFUNCTION("""COMPUTED_VALUE"""),"persib")</f>
        <v>persib</v>
      </c>
      <c r="C9217" s="4" t="str">
        <f>IFERROR(__xludf.DUMMYFUNCTION("""COMPUTED_VALUE"""),"Persib Fan Token")</f>
        <v>Persib Fan Token</v>
      </c>
    </row>
    <row r="9218">
      <c r="A9218" s="4" t="str">
        <f>IFERROR(__xludf.DUMMYFUNCTION("""COMPUTED_VALUE"""),"persistence")</f>
        <v>persistence</v>
      </c>
      <c r="B9218" s="4" t="str">
        <f>IFERROR(__xludf.DUMMYFUNCTION("""COMPUTED_VALUE"""),"xprt")</f>
        <v>xprt</v>
      </c>
      <c r="C9218" s="4" t="str">
        <f>IFERROR(__xludf.DUMMYFUNCTION("""COMPUTED_VALUE"""),"Persistence One")</f>
        <v>Persistence One</v>
      </c>
    </row>
    <row r="9219">
      <c r="A9219" s="4" t="str">
        <f>IFERROR(__xludf.DUMMYFUNCTION("""COMPUTED_VALUE"""),"peruvian-national-football-team-fan-token")</f>
        <v>peruvian-national-football-team-fan-token</v>
      </c>
      <c r="B9219" s="4" t="str">
        <f>IFERROR(__xludf.DUMMYFUNCTION("""COMPUTED_VALUE"""),"fpft")</f>
        <v>fpft</v>
      </c>
      <c r="C9219" s="4" t="str">
        <f>IFERROR(__xludf.DUMMYFUNCTION("""COMPUTED_VALUE"""),"Peruvian National Football Team Fan Token")</f>
        <v>Peruvian National Football Team Fan Token</v>
      </c>
    </row>
    <row r="9220">
      <c r="A9220" s="4" t="str">
        <f>IFERROR(__xludf.DUMMYFUNCTION("""COMPUTED_VALUE"""),"pesabase")</f>
        <v>pesabase</v>
      </c>
      <c r="B9220" s="4" t="str">
        <f>IFERROR(__xludf.DUMMYFUNCTION("""COMPUTED_VALUE"""),"pesa")</f>
        <v>pesa</v>
      </c>
      <c r="C9220" s="4" t="str">
        <f>IFERROR(__xludf.DUMMYFUNCTION("""COMPUTED_VALUE"""),"Pesabase")</f>
        <v>Pesabase</v>
      </c>
    </row>
    <row r="9221">
      <c r="A9221" s="4" t="str">
        <f>IFERROR(__xludf.DUMMYFUNCTION("""COMPUTED_VALUE"""),"petals")</f>
        <v>petals</v>
      </c>
      <c r="B9221" s="4" t="str">
        <f>IFERROR(__xludf.DUMMYFUNCTION("""COMPUTED_VALUE"""),"pts")</f>
        <v>pts</v>
      </c>
      <c r="C9221" s="4" t="str">
        <f>IFERROR(__xludf.DUMMYFUNCTION("""COMPUTED_VALUE"""),"Petals")</f>
        <v>Petals</v>
      </c>
    </row>
    <row r="9222">
      <c r="A9222" s="4" t="str">
        <f>IFERROR(__xludf.DUMMYFUNCTION("""COMPUTED_VALUE"""),"petcoin-2")</f>
        <v>petcoin-2</v>
      </c>
      <c r="B9222" s="4" t="str">
        <f>IFERROR(__xludf.DUMMYFUNCTION("""COMPUTED_VALUE"""),"pet")</f>
        <v>pet</v>
      </c>
      <c r="C9222" s="4" t="str">
        <f>IFERROR(__xludf.DUMMYFUNCTION("""COMPUTED_VALUE"""),"Petcoin")</f>
        <v>Petcoin</v>
      </c>
    </row>
    <row r="9223">
      <c r="A9223" s="4" t="str">
        <f>IFERROR(__xludf.DUMMYFUNCTION("""COMPUTED_VALUE"""),"pete")</f>
        <v>pete</v>
      </c>
      <c r="B9223" s="4" t="str">
        <f>IFERROR(__xludf.DUMMYFUNCTION("""COMPUTED_VALUE"""),"pete")</f>
        <v>pete</v>
      </c>
      <c r="C9223" s="4" t="str">
        <f>IFERROR(__xludf.DUMMYFUNCTION("""COMPUTED_VALUE"""),"PETE")</f>
        <v>PETE</v>
      </c>
    </row>
    <row r="9224">
      <c r="A9224" s="4" t="str">
        <f>IFERROR(__xludf.DUMMYFUNCTION("""COMPUTED_VALUE"""),"peth")</f>
        <v>peth</v>
      </c>
      <c r="B9224" s="4" t="str">
        <f>IFERROR(__xludf.DUMMYFUNCTION("""COMPUTED_VALUE"""),"peth")</f>
        <v>peth</v>
      </c>
      <c r="C9224" s="4" t="str">
        <f>IFERROR(__xludf.DUMMYFUNCTION("""COMPUTED_VALUE"""),"pETH")</f>
        <v>pETH</v>
      </c>
    </row>
    <row r="9225">
      <c r="A9225" s="4" t="str">
        <f>IFERROR(__xludf.DUMMYFUNCTION("""COMPUTED_VALUE"""),"petroleum-oil")</f>
        <v>petroleum-oil</v>
      </c>
      <c r="B9225" s="4" t="str">
        <f>IFERROR(__xludf.DUMMYFUNCTION("""COMPUTED_VALUE"""),"oil")</f>
        <v>oil</v>
      </c>
      <c r="C9225" s="4" t="str">
        <f>IFERROR(__xludf.DUMMYFUNCTION("""COMPUTED_VALUE"""),"Petroleum OIL")</f>
        <v>Petroleum OIL</v>
      </c>
    </row>
    <row r="9226">
      <c r="A9226" s="4" t="str">
        <f>IFERROR(__xludf.DUMMYFUNCTION("""COMPUTED_VALUE"""),"petshop-io")</f>
        <v>petshop-io</v>
      </c>
      <c r="B9226" s="4" t="str">
        <f>IFERROR(__xludf.DUMMYFUNCTION("""COMPUTED_VALUE"""),"ptshp")</f>
        <v>ptshp</v>
      </c>
      <c r="C9226" s="5" t="str">
        <f>IFERROR(__xludf.DUMMYFUNCTION("""COMPUTED_VALUE"""),"Petshop.io")</f>
        <v>Petshop.io</v>
      </c>
    </row>
    <row r="9227">
      <c r="A9227" s="4" t="str">
        <f>IFERROR(__xludf.DUMMYFUNCTION("""COMPUTED_VALUE"""),"petthedog-erc404")</f>
        <v>petthedog-erc404</v>
      </c>
      <c r="B9227" s="4" t="str">
        <f>IFERROR(__xludf.DUMMYFUNCTION("""COMPUTED_VALUE"""),"dogpet")</f>
        <v>dogpet</v>
      </c>
      <c r="C9227" s="4" t="str">
        <f>IFERROR(__xludf.DUMMYFUNCTION("""COMPUTED_VALUE"""),"Pet the Dog")</f>
        <v>Pet the Dog</v>
      </c>
    </row>
    <row r="9228">
      <c r="A9228" s="4" t="str">
        <f>IFERROR(__xludf.DUMMYFUNCTION("""COMPUTED_VALUE"""),"pftm")</f>
        <v>pftm</v>
      </c>
      <c r="B9228" s="4" t="str">
        <f>IFERROR(__xludf.DUMMYFUNCTION("""COMPUTED_VALUE"""),"pftm")</f>
        <v>pftm</v>
      </c>
      <c r="C9228" s="4" t="str">
        <f>IFERROR(__xludf.DUMMYFUNCTION("""COMPUTED_VALUE"""),"pFTM")</f>
        <v>pFTM</v>
      </c>
    </row>
    <row r="9229">
      <c r="A9229" s="4" t="str">
        <f>IFERROR(__xludf.DUMMYFUNCTION("""COMPUTED_VALUE"""),"pgala")</f>
        <v>pgala</v>
      </c>
      <c r="B9229" s="4" t="str">
        <f>IFERROR(__xludf.DUMMYFUNCTION("""COMPUTED_VALUE"""),"pgala")</f>
        <v>pgala</v>
      </c>
      <c r="C9229" s="4" t="str">
        <f>IFERROR(__xludf.DUMMYFUNCTION("""COMPUTED_VALUE"""),"pGALA")</f>
        <v>pGALA</v>
      </c>
    </row>
    <row r="9230">
      <c r="A9230" s="4" t="str">
        <f>IFERROR(__xludf.DUMMYFUNCTION("""COMPUTED_VALUE"""),"pha")</f>
        <v>pha</v>
      </c>
      <c r="B9230" s="4" t="str">
        <f>IFERROR(__xludf.DUMMYFUNCTION("""COMPUTED_VALUE"""),"pha")</f>
        <v>pha</v>
      </c>
      <c r="C9230" s="4" t="str">
        <f>IFERROR(__xludf.DUMMYFUNCTION("""COMPUTED_VALUE"""),"Phala")</f>
        <v>Phala</v>
      </c>
    </row>
    <row r="9231">
      <c r="A9231" s="4" t="str">
        <f>IFERROR(__xludf.DUMMYFUNCTION("""COMPUTED_VALUE"""),"phaeton")</f>
        <v>phaeton</v>
      </c>
      <c r="B9231" s="4" t="str">
        <f>IFERROR(__xludf.DUMMYFUNCTION("""COMPUTED_VALUE"""),"phae")</f>
        <v>phae</v>
      </c>
      <c r="C9231" s="4" t="str">
        <f>IFERROR(__xludf.DUMMYFUNCTION("""COMPUTED_VALUE"""),"Phaeton")</f>
        <v>Phaeton</v>
      </c>
    </row>
    <row r="9232">
      <c r="A9232" s="4" t="str">
        <f>IFERROR(__xludf.DUMMYFUNCTION("""COMPUTED_VALUE"""),"phala-moonbeam")</f>
        <v>phala-moonbeam</v>
      </c>
      <c r="B9232" s="4" t="str">
        <f>IFERROR(__xludf.DUMMYFUNCTION("""COMPUTED_VALUE"""),"$xcpha")</f>
        <v>$xcpha</v>
      </c>
      <c r="C9232" s="4" t="str">
        <f>IFERROR(__xludf.DUMMYFUNCTION("""COMPUTED_VALUE"""),"Phala (Moonbeam)")</f>
        <v>Phala (Moonbeam)</v>
      </c>
    </row>
    <row r="9233">
      <c r="A9233" s="4" t="str">
        <f>IFERROR(__xludf.DUMMYFUNCTION("""COMPUTED_VALUE"""),"phame")</f>
        <v>phame</v>
      </c>
      <c r="B9233" s="4" t="str">
        <f>IFERROR(__xludf.DUMMYFUNCTION("""COMPUTED_VALUE"""),"phame")</f>
        <v>phame</v>
      </c>
      <c r="C9233" s="4" t="str">
        <f>IFERROR(__xludf.DUMMYFUNCTION("""COMPUTED_VALUE"""),"PHAME")</f>
        <v>PHAME</v>
      </c>
    </row>
    <row r="9234">
      <c r="A9234" s="4" t="str">
        <f>IFERROR(__xludf.DUMMYFUNCTION("""COMPUTED_VALUE"""),"phantasma")</f>
        <v>phantasma</v>
      </c>
      <c r="B9234" s="4" t="str">
        <f>IFERROR(__xludf.DUMMYFUNCTION("""COMPUTED_VALUE"""),"soul")</f>
        <v>soul</v>
      </c>
      <c r="C9234" s="4" t="str">
        <f>IFERROR(__xludf.DUMMYFUNCTION("""COMPUTED_VALUE"""),"Phantasma")</f>
        <v>Phantasma</v>
      </c>
    </row>
    <row r="9235">
      <c r="A9235" s="4" t="str">
        <f>IFERROR(__xludf.DUMMYFUNCTION("""COMPUTED_VALUE"""),"phantom-of-the-kill-alternative-imitation-oshi")</f>
        <v>phantom-of-the-kill-alternative-imitation-oshi</v>
      </c>
      <c r="B9235" s="4" t="str">
        <f>IFERROR(__xludf.DUMMYFUNCTION("""COMPUTED_VALUE"""),"oshi")</f>
        <v>oshi</v>
      </c>
      <c r="C9235" s="4" t="str">
        <f>IFERROR(__xludf.DUMMYFUNCTION("""COMPUTED_VALUE"""),"OSHI3")</f>
        <v>OSHI3</v>
      </c>
    </row>
    <row r="9236">
      <c r="A9236" s="4" t="str">
        <f>IFERROR(__xludf.DUMMYFUNCTION("""COMPUTED_VALUE"""),"phantom-protocol")</f>
        <v>phantom-protocol</v>
      </c>
      <c r="B9236" s="4" t="str">
        <f>IFERROR(__xludf.DUMMYFUNCTION("""COMPUTED_VALUE"""),"phm")</f>
        <v>phm</v>
      </c>
      <c r="C9236" s="4" t="str">
        <f>IFERROR(__xludf.DUMMYFUNCTION("""COMPUTED_VALUE"""),"Phantom Protocol")</f>
        <v>Phantom Protocol</v>
      </c>
    </row>
    <row r="9237">
      <c r="A9237" s="4" t="str">
        <f>IFERROR(__xludf.DUMMYFUNCTION("""COMPUTED_VALUE"""),"pharaoh")</f>
        <v>pharaoh</v>
      </c>
      <c r="B9237" s="4" t="str">
        <f>IFERROR(__xludf.DUMMYFUNCTION("""COMPUTED_VALUE"""),"phar")</f>
        <v>phar</v>
      </c>
      <c r="C9237" s="4" t="str">
        <f>IFERROR(__xludf.DUMMYFUNCTION("""COMPUTED_VALUE"""),"Pharaoh")</f>
        <v>Pharaoh</v>
      </c>
    </row>
    <row r="9238">
      <c r="A9238" s="4" t="str">
        <f>IFERROR(__xludf.DUMMYFUNCTION("""COMPUTED_VALUE"""),"pharos")</f>
        <v>pharos</v>
      </c>
      <c r="B9238" s="4" t="str">
        <f>IFERROR(__xludf.DUMMYFUNCTION("""COMPUTED_VALUE"""),"pharos")</f>
        <v>pharos</v>
      </c>
      <c r="C9238" s="4" t="str">
        <f>IFERROR(__xludf.DUMMYFUNCTION("""COMPUTED_VALUE"""),"Pharos")</f>
        <v>Pharos</v>
      </c>
    </row>
    <row r="9239">
      <c r="A9239" s="4" t="str">
        <f>IFERROR(__xludf.DUMMYFUNCTION("""COMPUTED_VALUE"""),"phase-dollar")</f>
        <v>phase-dollar</v>
      </c>
      <c r="B9239" s="4" t="str">
        <f>IFERROR(__xludf.DUMMYFUNCTION("""COMPUTED_VALUE"""),"cash")</f>
        <v>cash</v>
      </c>
      <c r="C9239" s="4" t="str">
        <f>IFERROR(__xludf.DUMMYFUNCTION("""COMPUTED_VALUE"""),"Phase Dollar")</f>
        <v>Phase Dollar</v>
      </c>
    </row>
    <row r="9240">
      <c r="A9240" s="4" t="str">
        <f>IFERROR(__xludf.DUMMYFUNCTION("""COMPUTED_VALUE"""),"phauntem")</f>
        <v>phauntem</v>
      </c>
      <c r="B9240" s="4" t="str">
        <f>IFERROR(__xludf.DUMMYFUNCTION("""COMPUTED_VALUE"""),"phauntem")</f>
        <v>phauntem</v>
      </c>
      <c r="C9240" s="4" t="str">
        <f>IFERROR(__xludf.DUMMYFUNCTION("""COMPUTED_VALUE"""),"Phauntem")</f>
        <v>Phauntem</v>
      </c>
    </row>
    <row r="9241">
      <c r="A9241" s="4" t="str">
        <f>IFERROR(__xludf.DUMMYFUNCTION("""COMPUTED_VALUE"""),"phemex")</f>
        <v>phemex</v>
      </c>
      <c r="B9241" s="4" t="str">
        <f>IFERROR(__xludf.DUMMYFUNCTION("""COMPUTED_VALUE"""),"pt")</f>
        <v>pt</v>
      </c>
      <c r="C9241" s="4" t="str">
        <f>IFERROR(__xludf.DUMMYFUNCTION("""COMPUTED_VALUE"""),"Phemex Token")</f>
        <v>Phemex Token</v>
      </c>
    </row>
    <row r="9242">
      <c r="A9242" s="4" t="str">
        <f>IFERROR(__xludf.DUMMYFUNCTION("""COMPUTED_VALUE"""),"phenix-finance-2")</f>
        <v>phenix-finance-2</v>
      </c>
      <c r="B9242" s="4" t="str">
        <f>IFERROR(__xludf.DUMMYFUNCTION("""COMPUTED_VALUE"""),"phnx")</f>
        <v>phnx</v>
      </c>
      <c r="C9242" s="4" t="str">
        <f>IFERROR(__xludf.DUMMYFUNCTION("""COMPUTED_VALUE"""),"Phenix Finance (Cronos)")</f>
        <v>Phenix Finance (Cronos)</v>
      </c>
    </row>
    <row r="9243">
      <c r="A9243" s="4" t="str">
        <f>IFERROR(__xludf.DUMMYFUNCTION("""COMPUTED_VALUE"""),"phiat-protocol")</f>
        <v>phiat-protocol</v>
      </c>
      <c r="B9243" s="4" t="str">
        <f>IFERROR(__xludf.DUMMYFUNCTION("""COMPUTED_VALUE"""),"phiat")</f>
        <v>phiat</v>
      </c>
      <c r="C9243" s="4" t="str">
        <f>IFERROR(__xludf.DUMMYFUNCTION("""COMPUTED_VALUE"""),"Phiat Protocol")</f>
        <v>Phiat Protocol</v>
      </c>
    </row>
    <row r="9244">
      <c r="A9244" s="4" t="str">
        <f>IFERROR(__xludf.DUMMYFUNCTION("""COMPUTED_VALUE"""),"phili-inu")</f>
        <v>phili-inu</v>
      </c>
      <c r="B9244" s="4" t="str">
        <f>IFERROR(__xludf.DUMMYFUNCTION("""COMPUTED_VALUE"""),"phil")</f>
        <v>phil</v>
      </c>
      <c r="C9244" s="4" t="str">
        <f>IFERROR(__xludf.DUMMYFUNCTION("""COMPUTED_VALUE"""),"Phili Inu")</f>
        <v>Phili Inu</v>
      </c>
    </row>
    <row r="9245">
      <c r="A9245" s="4" t="str">
        <f>IFERROR(__xludf.DUMMYFUNCTION("""COMPUTED_VALUE"""),"phobos-token")</f>
        <v>phobos-token</v>
      </c>
      <c r="B9245" s="4" t="str">
        <f>IFERROR(__xludf.DUMMYFUNCTION("""COMPUTED_VALUE"""),"pbos")</f>
        <v>pbos</v>
      </c>
      <c r="C9245" s="4" t="str">
        <f>IFERROR(__xludf.DUMMYFUNCTION("""COMPUTED_VALUE"""),"Phobos Token")</f>
        <v>Phobos Token</v>
      </c>
    </row>
    <row r="9246">
      <c r="A9246" s="4" t="str">
        <f>IFERROR(__xludf.DUMMYFUNCTION("""COMPUTED_VALUE"""),"phoenix")</f>
        <v>phoenix</v>
      </c>
      <c r="B9246" s="4" t="str">
        <f>IFERROR(__xludf.DUMMYFUNCTION("""COMPUTED_VALUE"""),"phx")</f>
        <v>phx</v>
      </c>
      <c r="C9246" s="4" t="str">
        <f>IFERROR(__xludf.DUMMYFUNCTION("""COMPUTED_VALUE"""),"Phoenix Blockchain")</f>
        <v>Phoenix Blockchain</v>
      </c>
    </row>
    <row r="9247">
      <c r="A9247" s="4" t="str">
        <f>IFERROR(__xludf.DUMMYFUNCTION("""COMPUTED_VALUE"""),"phoenix-chain")</f>
        <v>phoenix-chain</v>
      </c>
      <c r="B9247" s="4" t="str">
        <f>IFERROR(__xludf.DUMMYFUNCTION("""COMPUTED_VALUE"""),"phx")</f>
        <v>phx</v>
      </c>
      <c r="C9247" s="4" t="str">
        <f>IFERROR(__xludf.DUMMYFUNCTION("""COMPUTED_VALUE"""),"Phoenix Chain")</f>
        <v>Phoenix Chain</v>
      </c>
    </row>
    <row r="9248">
      <c r="A9248" s="4" t="str">
        <f>IFERROR(__xludf.DUMMYFUNCTION("""COMPUTED_VALUE"""),"phoenixcoin")</f>
        <v>phoenixcoin</v>
      </c>
      <c r="B9248" s="4" t="str">
        <f>IFERROR(__xludf.DUMMYFUNCTION("""COMPUTED_VALUE"""),"pxc")</f>
        <v>pxc</v>
      </c>
      <c r="C9248" s="4" t="str">
        <f>IFERROR(__xludf.DUMMYFUNCTION("""COMPUTED_VALUE"""),"Phoenixcoin")</f>
        <v>Phoenixcoin</v>
      </c>
    </row>
    <row r="9249">
      <c r="A9249" s="4" t="str">
        <f>IFERROR(__xludf.DUMMYFUNCTION("""COMPUTED_VALUE"""),"phoenixdao")</f>
        <v>phoenixdao</v>
      </c>
      <c r="B9249" s="4" t="str">
        <f>IFERROR(__xludf.DUMMYFUNCTION("""COMPUTED_VALUE"""),"phnx")</f>
        <v>phnx</v>
      </c>
      <c r="C9249" s="4" t="str">
        <f>IFERROR(__xludf.DUMMYFUNCTION("""COMPUTED_VALUE"""),"PhoenixDAO")</f>
        <v>PhoenixDAO</v>
      </c>
    </row>
    <row r="9250">
      <c r="A9250" s="4" t="str">
        <f>IFERROR(__xludf.DUMMYFUNCTION("""COMPUTED_VALUE"""),"phoenix-dragon")</f>
        <v>phoenix-dragon</v>
      </c>
      <c r="B9250" s="4" t="str">
        <f>IFERROR(__xludf.DUMMYFUNCTION("""COMPUTED_VALUE"""),"pdragon")</f>
        <v>pdragon</v>
      </c>
      <c r="C9250" s="4" t="str">
        <f>IFERROR(__xludf.DUMMYFUNCTION("""COMPUTED_VALUE"""),"Phoenix Dragon")</f>
        <v>Phoenix Dragon</v>
      </c>
    </row>
    <row r="9251">
      <c r="A9251" s="4" t="str">
        <f>IFERROR(__xludf.DUMMYFUNCTION("""COMPUTED_VALUE"""),"phoenix-global")</f>
        <v>phoenix-global</v>
      </c>
      <c r="B9251" s="4" t="str">
        <f>IFERROR(__xludf.DUMMYFUNCTION("""COMPUTED_VALUE"""),"phb")</f>
        <v>phb</v>
      </c>
      <c r="C9251" s="4" t="str">
        <f>IFERROR(__xludf.DUMMYFUNCTION("""COMPUTED_VALUE"""),"Phoenix")</f>
        <v>Phoenix</v>
      </c>
    </row>
    <row r="9252">
      <c r="A9252" s="4" t="str">
        <f>IFERROR(__xludf.DUMMYFUNCTION("""COMPUTED_VALUE"""),"phoenix-token")</f>
        <v>phoenix-token</v>
      </c>
      <c r="B9252" s="4" t="str">
        <f>IFERROR(__xludf.DUMMYFUNCTION("""COMPUTED_VALUE"""),"phx")</f>
        <v>phx</v>
      </c>
      <c r="C9252" s="4" t="str">
        <f>IFERROR(__xludf.DUMMYFUNCTION("""COMPUTED_VALUE"""),"Phoenix Finance")</f>
        <v>Phoenix Finance</v>
      </c>
    </row>
    <row r="9253">
      <c r="A9253" s="4" t="str">
        <f>IFERROR(__xludf.DUMMYFUNCTION("""COMPUTED_VALUE"""),"phoneix-ai")</f>
        <v>phoneix-ai</v>
      </c>
      <c r="B9253" s="4" t="str">
        <f>IFERROR(__xludf.DUMMYFUNCTION("""COMPUTED_VALUE"""),"pxai")</f>
        <v>pxai</v>
      </c>
      <c r="C9253" s="4" t="str">
        <f>IFERROR(__xludf.DUMMYFUNCTION("""COMPUTED_VALUE"""),"Phoenix AI")</f>
        <v>Phoenix AI</v>
      </c>
    </row>
    <row r="9254">
      <c r="A9254" s="4" t="str">
        <f>IFERROR(__xludf.DUMMYFUNCTION("""COMPUTED_VALUE"""),"phoneum")</f>
        <v>phoneum</v>
      </c>
      <c r="B9254" s="4" t="str">
        <f>IFERROR(__xludf.DUMMYFUNCTION("""COMPUTED_VALUE"""),"pht")</f>
        <v>pht</v>
      </c>
      <c r="C9254" s="4" t="str">
        <f>IFERROR(__xludf.DUMMYFUNCTION("""COMPUTED_VALUE"""),"Phoneum")</f>
        <v>Phoneum</v>
      </c>
    </row>
    <row r="9255">
      <c r="A9255" s="4" t="str">
        <f>IFERROR(__xludf.DUMMYFUNCTION("""COMPUTED_VALUE"""),"phonon-dao")</f>
        <v>phonon-dao</v>
      </c>
      <c r="B9255" s="4" t="str">
        <f>IFERROR(__xludf.DUMMYFUNCTION("""COMPUTED_VALUE"""),"phonon")</f>
        <v>phonon</v>
      </c>
      <c r="C9255" s="4" t="str">
        <f>IFERROR(__xludf.DUMMYFUNCTION("""COMPUTED_VALUE"""),"Phonon DAO")</f>
        <v>Phonon DAO</v>
      </c>
    </row>
    <row r="9256">
      <c r="A9256" s="4" t="str">
        <f>IFERROR(__xludf.DUMMYFUNCTION("""COMPUTED_VALUE"""),"phore")</f>
        <v>phore</v>
      </c>
      <c r="B9256" s="4" t="str">
        <f>IFERROR(__xludf.DUMMYFUNCTION("""COMPUTED_VALUE"""),"phr")</f>
        <v>phr</v>
      </c>
      <c r="C9256" s="4" t="str">
        <f>IFERROR(__xludf.DUMMYFUNCTION("""COMPUTED_VALUE"""),"Phore")</f>
        <v>Phore</v>
      </c>
    </row>
    <row r="9257">
      <c r="A9257" s="4" t="str">
        <f>IFERROR(__xludf.DUMMYFUNCTION("""COMPUTED_VALUE"""),"photochromic")</f>
        <v>photochromic</v>
      </c>
      <c r="B9257" s="4" t="str">
        <f>IFERROR(__xludf.DUMMYFUNCTION("""COMPUTED_VALUE"""),"phcr")</f>
        <v>phcr</v>
      </c>
      <c r="C9257" s="4" t="str">
        <f>IFERROR(__xludf.DUMMYFUNCTION("""COMPUTED_VALUE"""),"PhotoChromic")</f>
        <v>PhotoChromic</v>
      </c>
    </row>
    <row r="9258">
      <c r="A9258" s="4" t="str">
        <f>IFERROR(__xludf.DUMMYFUNCTION("""COMPUTED_VALUE"""),"photonswap")</f>
        <v>photonswap</v>
      </c>
      <c r="B9258" s="4" t="str">
        <f>IFERROR(__xludf.DUMMYFUNCTION("""COMPUTED_VALUE"""),"photon")</f>
        <v>photon</v>
      </c>
      <c r="C9258" s="4" t="str">
        <f>IFERROR(__xludf.DUMMYFUNCTION("""COMPUTED_VALUE"""),"PhotonSwap")</f>
        <v>PhotonSwap</v>
      </c>
    </row>
    <row r="9259">
      <c r="A9259" s="4" t="str">
        <f>IFERROR(__xludf.DUMMYFUNCTION("""COMPUTED_VALUE"""),"phpcoin")</f>
        <v>phpcoin</v>
      </c>
      <c r="B9259" s="4" t="str">
        <f>IFERROR(__xludf.DUMMYFUNCTION("""COMPUTED_VALUE"""),"php")</f>
        <v>php</v>
      </c>
      <c r="C9259" s="4" t="str">
        <f>IFERROR(__xludf.DUMMYFUNCTION("""COMPUTED_VALUE"""),"PHPCoin")</f>
        <v>PHPCoin</v>
      </c>
    </row>
    <row r="9260">
      <c r="A9260" s="4" t="str">
        <f>IFERROR(__xludf.DUMMYFUNCTION("""COMPUTED_VALUE"""),"phteven")</f>
        <v>phteven</v>
      </c>
      <c r="B9260" s="4" t="str">
        <f>IFERROR(__xludf.DUMMYFUNCTION("""COMPUTED_VALUE"""),"phteve")</f>
        <v>phteve</v>
      </c>
      <c r="C9260" s="4" t="str">
        <f>IFERROR(__xludf.DUMMYFUNCTION("""COMPUTED_VALUE"""),"Phteven")</f>
        <v>Phteven</v>
      </c>
    </row>
    <row r="9261">
      <c r="A9261" s="4" t="str">
        <f>IFERROR(__xludf.DUMMYFUNCTION("""COMPUTED_VALUE"""),"phunk-vault-nftx")</f>
        <v>phunk-vault-nftx</v>
      </c>
      <c r="B9261" s="4" t="str">
        <f>IFERROR(__xludf.DUMMYFUNCTION("""COMPUTED_VALUE"""),"phunk")</f>
        <v>phunk</v>
      </c>
      <c r="C9261" s="4" t="str">
        <f>IFERROR(__xludf.DUMMYFUNCTION("""COMPUTED_VALUE"""),"PHUNK Vault (NFTX)")</f>
        <v>PHUNK Vault (NFTX)</v>
      </c>
    </row>
    <row r="9262">
      <c r="A9262" s="4" t="str">
        <f>IFERROR(__xludf.DUMMYFUNCTION("""COMPUTED_VALUE"""),"phuture")</f>
        <v>phuture</v>
      </c>
      <c r="B9262" s="4" t="str">
        <f>IFERROR(__xludf.DUMMYFUNCTION("""COMPUTED_VALUE"""),"phtr")</f>
        <v>phtr</v>
      </c>
      <c r="C9262" s="4" t="str">
        <f>IFERROR(__xludf.DUMMYFUNCTION("""COMPUTED_VALUE"""),"Phuture")</f>
        <v>Phuture</v>
      </c>
    </row>
    <row r="9263">
      <c r="A9263" s="4" t="str">
        <f>IFERROR(__xludf.DUMMYFUNCTION("""COMPUTED_VALUE"""),"phux-governance-token")</f>
        <v>phux-governance-token</v>
      </c>
      <c r="B9263" s="4" t="str">
        <f>IFERROR(__xludf.DUMMYFUNCTION("""COMPUTED_VALUE"""),"phux")</f>
        <v>phux</v>
      </c>
      <c r="C9263" s="4" t="str">
        <f>IFERROR(__xludf.DUMMYFUNCTION("""COMPUTED_VALUE"""),"PHUX Governance Token")</f>
        <v>PHUX Governance Token</v>
      </c>
    </row>
    <row r="9264">
      <c r="A9264" s="4" t="str">
        <f>IFERROR(__xludf.DUMMYFUNCTION("""COMPUTED_VALUE"""),"physics")</f>
        <v>physics</v>
      </c>
      <c r="B9264" s="4" t="str">
        <f>IFERROR(__xludf.DUMMYFUNCTION("""COMPUTED_VALUE"""),"physics")</f>
        <v>physics</v>
      </c>
      <c r="C9264" s="4" t="str">
        <f>IFERROR(__xludf.DUMMYFUNCTION("""COMPUTED_VALUE"""),"Physics")</f>
        <v>Physics</v>
      </c>
    </row>
    <row r="9265">
      <c r="A9265" s="4" t="str">
        <f>IFERROR(__xludf.DUMMYFUNCTION("""COMPUTED_VALUE"""),"physis")</f>
        <v>physis</v>
      </c>
      <c r="B9265" s="4" t="str">
        <f>IFERROR(__xludf.DUMMYFUNCTION("""COMPUTED_VALUE"""),"phy")</f>
        <v>phy</v>
      </c>
      <c r="C9265" s="4" t="str">
        <f>IFERROR(__xludf.DUMMYFUNCTION("""COMPUTED_VALUE"""),"Physis")</f>
        <v>Physis</v>
      </c>
    </row>
    <row r="9266">
      <c r="A9266" s="4" t="str">
        <f>IFERROR(__xludf.DUMMYFUNCTION("""COMPUTED_VALUE"""),"pias")</f>
        <v>pias</v>
      </c>
      <c r="B9266" s="4" t="str">
        <f>IFERROR(__xludf.DUMMYFUNCTION("""COMPUTED_VALUE"""),"pias")</f>
        <v>pias</v>
      </c>
      <c r="C9266" s="4" t="str">
        <f>IFERROR(__xludf.DUMMYFUNCTION("""COMPUTED_VALUE"""),"PIAS")</f>
        <v>PIAS</v>
      </c>
    </row>
    <row r="9267">
      <c r="A9267" s="4" t="str">
        <f>IFERROR(__xludf.DUMMYFUNCTION("""COMPUTED_VALUE"""),"pibble")</f>
        <v>pibble</v>
      </c>
      <c r="B9267" s="4" t="str">
        <f>IFERROR(__xludf.DUMMYFUNCTION("""COMPUTED_VALUE"""),"pib")</f>
        <v>pib</v>
      </c>
      <c r="C9267" s="4" t="str">
        <f>IFERROR(__xludf.DUMMYFUNCTION("""COMPUTED_VALUE"""),"Pibble")</f>
        <v>Pibble</v>
      </c>
    </row>
    <row r="9268">
      <c r="A9268" s="4" t="str">
        <f>IFERROR(__xludf.DUMMYFUNCTION("""COMPUTED_VALUE"""),"picasso")</f>
        <v>picasso</v>
      </c>
      <c r="B9268" s="4" t="str">
        <f>IFERROR(__xludf.DUMMYFUNCTION("""COMPUTED_VALUE"""),"pica")</f>
        <v>pica</v>
      </c>
      <c r="C9268" s="4" t="str">
        <f>IFERROR(__xludf.DUMMYFUNCTION("""COMPUTED_VALUE"""),"Picasso")</f>
        <v>Picasso</v>
      </c>
    </row>
    <row r="9269">
      <c r="A9269" s="4" t="str">
        <f>IFERROR(__xludf.DUMMYFUNCTION("""COMPUTED_VALUE"""),"piccolo-inu")</f>
        <v>piccolo-inu</v>
      </c>
      <c r="B9269" s="4" t="str">
        <f>IFERROR(__xludf.DUMMYFUNCTION("""COMPUTED_VALUE"""),"pinu")</f>
        <v>pinu</v>
      </c>
      <c r="C9269" s="4" t="str">
        <f>IFERROR(__xludf.DUMMYFUNCTION("""COMPUTED_VALUE"""),"Piccolo Inu")</f>
        <v>Piccolo Inu</v>
      </c>
    </row>
    <row r="9270">
      <c r="A9270" s="4" t="str">
        <f>IFERROR(__xludf.DUMMYFUNCTION("""COMPUTED_VALUE"""),"pickle")</f>
        <v>pickle</v>
      </c>
      <c r="B9270" s="4" t="str">
        <f>IFERROR(__xludf.DUMMYFUNCTION("""COMPUTED_VALUE"""),"pickle")</f>
        <v>pickle</v>
      </c>
      <c r="C9270" s="4" t="str">
        <f>IFERROR(__xludf.DUMMYFUNCTION("""COMPUTED_VALUE"""),"PICKLE")</f>
        <v>PICKLE</v>
      </c>
    </row>
    <row r="9271">
      <c r="A9271" s="4" t="str">
        <f>IFERROR(__xludf.DUMMYFUNCTION("""COMPUTED_VALUE"""),"pickle-finance")</f>
        <v>pickle-finance</v>
      </c>
      <c r="B9271" s="4" t="str">
        <f>IFERROR(__xludf.DUMMYFUNCTION("""COMPUTED_VALUE"""),"pickle")</f>
        <v>pickle</v>
      </c>
      <c r="C9271" s="4" t="str">
        <f>IFERROR(__xludf.DUMMYFUNCTION("""COMPUTED_VALUE"""),"Pickle Finance")</f>
        <v>Pickle Finance</v>
      </c>
    </row>
    <row r="9272">
      <c r="A9272" s="4" t="str">
        <f>IFERROR(__xludf.DUMMYFUNCTION("""COMPUTED_VALUE"""),"pick-or-rick")</f>
        <v>pick-or-rick</v>
      </c>
      <c r="B9272" s="4" t="str">
        <f>IFERROR(__xludf.DUMMYFUNCTION("""COMPUTED_VALUE"""),"rick")</f>
        <v>rick</v>
      </c>
      <c r="C9272" s="4" t="str">
        <f>IFERROR(__xludf.DUMMYFUNCTION("""COMPUTED_VALUE"""),"Pick Or Rick")</f>
        <v>Pick Or Rick</v>
      </c>
    </row>
    <row r="9273">
      <c r="A9273" s="4" t="str">
        <f>IFERROR(__xludf.DUMMYFUNCTION("""COMPUTED_VALUE"""),"pier-protocol")</f>
        <v>pier-protocol</v>
      </c>
      <c r="B9273" s="4" t="str">
        <f>IFERROR(__xludf.DUMMYFUNCTION("""COMPUTED_VALUE"""),"pier")</f>
        <v>pier</v>
      </c>
      <c r="C9273" s="4" t="str">
        <f>IFERROR(__xludf.DUMMYFUNCTION("""COMPUTED_VALUE"""),"Pier Protocol")</f>
        <v>Pier Protocol</v>
      </c>
    </row>
    <row r="9274">
      <c r="A9274" s="4" t="str">
        <f>IFERROR(__xludf.DUMMYFUNCTION("""COMPUTED_VALUE"""),"pigcatsol")</f>
        <v>pigcatsol</v>
      </c>
      <c r="B9274" s="4" t="str">
        <f>IFERROR(__xludf.DUMMYFUNCTION("""COMPUTED_VALUE"""),"pc")</f>
        <v>pc</v>
      </c>
      <c r="C9274" s="4" t="str">
        <f>IFERROR(__xludf.DUMMYFUNCTION("""COMPUTED_VALUE"""),"PigCatSol")</f>
        <v>PigCatSol</v>
      </c>
    </row>
    <row r="9275">
      <c r="A9275" s="4" t="str">
        <f>IFERROR(__xludf.DUMMYFUNCTION("""COMPUTED_VALUE"""),"pigcoin-2")</f>
        <v>pigcoin-2</v>
      </c>
      <c r="B9275" s="4" t="str">
        <f>IFERROR(__xludf.DUMMYFUNCTION("""COMPUTED_VALUE"""),"pig")</f>
        <v>pig</v>
      </c>
      <c r="C9275" s="4" t="str">
        <f>IFERROR(__xludf.DUMMYFUNCTION("""COMPUTED_VALUE"""),"Pigcoin")</f>
        <v>Pigcoin</v>
      </c>
    </row>
    <row r="9276">
      <c r="A9276" s="4" t="str">
        <f>IFERROR(__xludf.DUMMYFUNCTION("""COMPUTED_VALUE"""),"pigeoncoin")</f>
        <v>pigeoncoin</v>
      </c>
      <c r="B9276" s="4" t="str">
        <f>IFERROR(__xludf.DUMMYFUNCTION("""COMPUTED_VALUE"""),"pgn")</f>
        <v>pgn</v>
      </c>
      <c r="C9276" s="4" t="str">
        <f>IFERROR(__xludf.DUMMYFUNCTION("""COMPUTED_VALUE"""),"Pigeoncoin")</f>
        <v>Pigeoncoin</v>
      </c>
    </row>
    <row r="9277">
      <c r="A9277" s="4" t="str">
        <f>IFERROR(__xludf.DUMMYFUNCTION("""COMPUTED_VALUE"""),"pigeon-in-yellow-boots")</f>
        <v>pigeon-in-yellow-boots</v>
      </c>
      <c r="B9277" s="4" t="str">
        <f>IFERROR(__xludf.DUMMYFUNCTION("""COMPUTED_VALUE"""),"pigeon")</f>
        <v>pigeon</v>
      </c>
      <c r="C9277" s="4" t="str">
        <f>IFERROR(__xludf.DUMMYFUNCTION("""COMPUTED_VALUE"""),"Pigeon In Yellow Boots")</f>
        <v>Pigeon In Yellow Boots</v>
      </c>
    </row>
    <row r="9278">
      <c r="A9278" s="4" t="str">
        <f>IFERROR(__xludf.DUMMYFUNCTION("""COMPUTED_VALUE"""),"pigeon-park")</f>
        <v>pigeon-park</v>
      </c>
      <c r="B9278" s="4" t="str">
        <f>IFERROR(__xludf.DUMMYFUNCTION("""COMPUTED_VALUE"""),"pgenz")</f>
        <v>pgenz</v>
      </c>
      <c r="C9278" s="4" t="str">
        <f>IFERROR(__xludf.DUMMYFUNCTION("""COMPUTED_VALUE"""),"Pigeon Park")</f>
        <v>Pigeon Park</v>
      </c>
    </row>
    <row r="9279">
      <c r="A9279" s="4" t="str">
        <f>IFERROR(__xludf.DUMMYFUNCTION("""COMPUTED_VALUE"""),"pig-finance")</f>
        <v>pig-finance</v>
      </c>
      <c r="B9279" s="4" t="str">
        <f>IFERROR(__xludf.DUMMYFUNCTION("""COMPUTED_VALUE"""),"pig")</f>
        <v>pig</v>
      </c>
      <c r="C9279" s="4" t="str">
        <f>IFERROR(__xludf.DUMMYFUNCTION("""COMPUTED_VALUE"""),"Pig Finance")</f>
        <v>Pig Finance</v>
      </c>
    </row>
    <row r="9280">
      <c r="A9280" s="4" t="str">
        <f>IFERROR(__xludf.DUMMYFUNCTION("""COMPUTED_VALUE"""),"piggy-bank-2")</f>
        <v>piggy-bank-2</v>
      </c>
      <c r="B9280" s="4" t="str">
        <f>IFERROR(__xludf.DUMMYFUNCTION("""COMPUTED_VALUE"""),"piggy")</f>
        <v>piggy</v>
      </c>
      <c r="C9280" s="4" t="str">
        <f>IFERROR(__xludf.DUMMYFUNCTION("""COMPUTED_VALUE"""),"Piggy Bank")</f>
        <v>Piggy Bank</v>
      </c>
    </row>
    <row r="9281">
      <c r="A9281" s="4" t="str">
        <f>IFERROR(__xludf.DUMMYFUNCTION("""COMPUTED_VALUE"""),"pig-inu")</f>
        <v>pig-inu</v>
      </c>
      <c r="B9281" s="4" t="str">
        <f>IFERROR(__xludf.DUMMYFUNCTION("""COMPUTED_VALUE"""),"piginu")</f>
        <v>piginu</v>
      </c>
      <c r="C9281" s="4" t="str">
        <f>IFERROR(__xludf.DUMMYFUNCTION("""COMPUTED_VALUE"""),"Pig Inu")</f>
        <v>Pig Inu</v>
      </c>
    </row>
    <row r="9282">
      <c r="A9282" s="4" t="str">
        <f>IFERROR(__xludf.DUMMYFUNCTION("""COMPUTED_VALUE"""),"pikaboss")</f>
        <v>pikaboss</v>
      </c>
      <c r="B9282" s="4" t="str">
        <f>IFERROR(__xludf.DUMMYFUNCTION("""COMPUTED_VALUE"""),"pika")</f>
        <v>pika</v>
      </c>
      <c r="C9282" s="4" t="str">
        <f>IFERROR(__xludf.DUMMYFUNCTION("""COMPUTED_VALUE"""),"Pikaboss")</f>
        <v>Pikaboss</v>
      </c>
    </row>
    <row r="9283">
      <c r="A9283" s="4" t="str">
        <f>IFERROR(__xludf.DUMMYFUNCTION("""COMPUTED_VALUE"""),"pikachu")</f>
        <v>pikachu</v>
      </c>
      <c r="B9283" s="4" t="str">
        <f>IFERROR(__xludf.DUMMYFUNCTION("""COMPUTED_VALUE"""),"pika")</f>
        <v>pika</v>
      </c>
      <c r="C9283" s="4" t="str">
        <f>IFERROR(__xludf.DUMMYFUNCTION("""COMPUTED_VALUE"""),"Pika")</f>
        <v>Pika</v>
      </c>
    </row>
    <row r="9284">
      <c r="A9284" s="4" t="str">
        <f>IFERROR(__xludf.DUMMYFUNCTION("""COMPUTED_VALUE"""),"pikamoon")</f>
        <v>pikamoon</v>
      </c>
      <c r="B9284" s="4" t="str">
        <f>IFERROR(__xludf.DUMMYFUNCTION("""COMPUTED_VALUE"""),"pika")</f>
        <v>pika</v>
      </c>
      <c r="C9284" s="4" t="str">
        <f>IFERROR(__xludf.DUMMYFUNCTION("""COMPUTED_VALUE"""),"Pikamoon")</f>
        <v>Pikamoon</v>
      </c>
    </row>
    <row r="9285">
      <c r="A9285" s="4" t="str">
        <f>IFERROR(__xludf.DUMMYFUNCTION("""COMPUTED_VALUE"""),"pika-protocol")</f>
        <v>pika-protocol</v>
      </c>
      <c r="B9285" s="4" t="str">
        <f>IFERROR(__xludf.DUMMYFUNCTION("""COMPUTED_VALUE"""),"pika")</f>
        <v>pika</v>
      </c>
      <c r="C9285" s="4" t="str">
        <f>IFERROR(__xludf.DUMMYFUNCTION("""COMPUTED_VALUE"""),"Pika Protocol")</f>
        <v>Pika Protocol</v>
      </c>
    </row>
    <row r="9286">
      <c r="A9286" s="4" t="str">
        <f>IFERROR(__xludf.DUMMYFUNCTION("""COMPUTED_VALUE"""),"pikaster")</f>
        <v>pikaster</v>
      </c>
      <c r="B9286" s="4" t="str">
        <f>IFERROR(__xludf.DUMMYFUNCTION("""COMPUTED_VALUE"""),"mls")</f>
        <v>mls</v>
      </c>
      <c r="C9286" s="4" t="str">
        <f>IFERROR(__xludf.DUMMYFUNCTION("""COMPUTED_VALUE"""),"Metaland Shares")</f>
        <v>Metaland Shares</v>
      </c>
    </row>
    <row r="9287">
      <c r="A9287" s="4" t="str">
        <f>IFERROR(__xludf.DUMMYFUNCTION("""COMPUTED_VALUE"""),"pillar")</f>
        <v>pillar</v>
      </c>
      <c r="B9287" s="4" t="str">
        <f>IFERROR(__xludf.DUMMYFUNCTION("""COMPUTED_VALUE"""),"plr")</f>
        <v>plr</v>
      </c>
      <c r="C9287" s="4" t="str">
        <f>IFERROR(__xludf.DUMMYFUNCTION("""COMPUTED_VALUE"""),"Pillar")</f>
        <v>Pillar</v>
      </c>
    </row>
    <row r="9288">
      <c r="A9288" s="4" t="str">
        <f>IFERROR(__xludf.DUMMYFUNCTION("""COMPUTED_VALUE"""),"pilot")</f>
        <v>pilot</v>
      </c>
      <c r="B9288" s="4" t="str">
        <f>IFERROR(__xludf.DUMMYFUNCTION("""COMPUTED_VALUE"""),"ptd")</f>
        <v>ptd</v>
      </c>
      <c r="C9288" s="4" t="str">
        <f>IFERROR(__xludf.DUMMYFUNCTION("""COMPUTED_VALUE"""),"Pilot")</f>
        <v>Pilot</v>
      </c>
    </row>
    <row r="9289">
      <c r="A9289" s="4" t="str">
        <f>IFERROR(__xludf.DUMMYFUNCTION("""COMPUTED_VALUE"""),"pilotcoin")</f>
        <v>pilotcoin</v>
      </c>
      <c r="B9289" s="4" t="str">
        <f>IFERROR(__xludf.DUMMYFUNCTION("""COMPUTED_VALUE"""),"ptc")</f>
        <v>ptc</v>
      </c>
      <c r="C9289" s="4" t="str">
        <f>IFERROR(__xludf.DUMMYFUNCTION("""COMPUTED_VALUE"""),"PILOTCOIN")</f>
        <v>PILOTCOIN</v>
      </c>
    </row>
    <row r="9290">
      <c r="A9290" s="4" t="str">
        <f>IFERROR(__xludf.DUMMYFUNCTION("""COMPUTED_VALUE"""),"pine")</f>
        <v>pine</v>
      </c>
      <c r="B9290" s="4" t="str">
        <f>IFERROR(__xludf.DUMMYFUNCTION("""COMPUTED_VALUE"""),"pine")</f>
        <v>pine</v>
      </c>
      <c r="C9290" s="4" t="str">
        <f>IFERROR(__xludf.DUMMYFUNCTION("""COMPUTED_VALUE"""),"Pine")</f>
        <v>Pine</v>
      </c>
    </row>
    <row r="9291">
      <c r="A9291" s="4" t="str">
        <f>IFERROR(__xludf.DUMMYFUNCTION("""COMPUTED_VALUE"""),"pineapple-owl")</f>
        <v>pineapple-owl</v>
      </c>
      <c r="B9291" s="4" t="str">
        <f>IFERROR(__xludf.DUMMYFUNCTION("""COMPUTED_VALUE"""),"pineowl")</f>
        <v>pineowl</v>
      </c>
      <c r="C9291" s="4" t="str">
        <f>IFERROR(__xludf.DUMMYFUNCTION("""COMPUTED_VALUE"""),"Pineapple Owl")</f>
        <v>Pineapple Owl</v>
      </c>
    </row>
    <row r="9292">
      <c r="A9292" s="4" t="str">
        <f>IFERROR(__xludf.DUMMYFUNCTION("""COMPUTED_VALUE"""),"pi-network-iou")</f>
        <v>pi-network-iou</v>
      </c>
      <c r="B9292" s="4" t="str">
        <f>IFERROR(__xludf.DUMMYFUNCTION("""COMPUTED_VALUE"""),"pi")</f>
        <v>pi</v>
      </c>
      <c r="C9292" s="4" t="str">
        <f>IFERROR(__xludf.DUMMYFUNCTION("""COMPUTED_VALUE"""),"Pi Network")</f>
        <v>Pi Network</v>
      </c>
    </row>
    <row r="9293">
      <c r="A9293" s="4" t="str">
        <f>IFERROR(__xludf.DUMMYFUNCTION("""COMPUTED_VALUE"""),"pingu")</f>
        <v>pingu</v>
      </c>
      <c r="B9293" s="4" t="str">
        <f>IFERROR(__xludf.DUMMYFUNCTION("""COMPUTED_VALUE"""),"noot noot")</f>
        <v>noot noot</v>
      </c>
      <c r="C9293" s="4" t="str">
        <f>IFERROR(__xludf.DUMMYFUNCTION("""COMPUTED_VALUE"""),"PINGU")</f>
        <v>PINGU</v>
      </c>
    </row>
    <row r="9294">
      <c r="A9294" s="4" t="str">
        <f>IFERROR(__xludf.DUMMYFUNCTION("""COMPUTED_VALUE"""),"pingu-exchange")</f>
        <v>pingu-exchange</v>
      </c>
      <c r="B9294" s="4" t="str">
        <f>IFERROR(__xludf.DUMMYFUNCTION("""COMPUTED_VALUE"""),"pingu")</f>
        <v>pingu</v>
      </c>
      <c r="C9294" s="4" t="str">
        <f>IFERROR(__xludf.DUMMYFUNCTION("""COMPUTED_VALUE"""),"Pingu Exchange")</f>
        <v>Pingu Exchange</v>
      </c>
    </row>
    <row r="9295">
      <c r="A9295" s="4" t="str">
        <f>IFERROR(__xludf.DUMMYFUNCTION("""COMPUTED_VALUE"""),"pinjam-kava")</f>
        <v>pinjam-kava</v>
      </c>
      <c r="B9295" s="4" t="str">
        <f>IFERROR(__xludf.DUMMYFUNCTION("""COMPUTED_VALUE"""),"pinkav")</f>
        <v>pinkav</v>
      </c>
      <c r="C9295" s="4" t="str">
        <f>IFERROR(__xludf.DUMMYFUNCTION("""COMPUTED_VALUE"""),"Pinjam.Kava")</f>
        <v>Pinjam.Kava</v>
      </c>
    </row>
    <row r="9296">
      <c r="A9296" s="4" t="str">
        <f>IFERROR(__xludf.DUMMYFUNCTION("""COMPUTED_VALUE"""),"pinkmoon")</f>
        <v>pinkmoon</v>
      </c>
      <c r="B9296" s="4" t="str">
        <f>IFERROR(__xludf.DUMMYFUNCTION("""COMPUTED_VALUE"""),"pinkm")</f>
        <v>pinkm</v>
      </c>
      <c r="C9296" s="4" t="str">
        <f>IFERROR(__xludf.DUMMYFUNCTION("""COMPUTED_VALUE"""),"PinkMoon")</f>
        <v>PinkMoon</v>
      </c>
    </row>
    <row r="9297">
      <c r="A9297" s="4" t="str">
        <f>IFERROR(__xludf.DUMMYFUNCTION("""COMPUTED_VALUE"""),"pinksale")</f>
        <v>pinksale</v>
      </c>
      <c r="B9297" s="4" t="str">
        <f>IFERROR(__xludf.DUMMYFUNCTION("""COMPUTED_VALUE"""),"pinksale")</f>
        <v>pinksale</v>
      </c>
      <c r="C9297" s="4" t="str">
        <f>IFERROR(__xludf.DUMMYFUNCTION("""COMPUTED_VALUE"""),"PinkSale")</f>
        <v>PinkSale</v>
      </c>
    </row>
    <row r="9298">
      <c r="A9298" s="4" t="str">
        <f>IFERROR(__xludf.DUMMYFUNCTION("""COMPUTED_VALUE"""),"pinky-the-snail")</f>
        <v>pinky-the-snail</v>
      </c>
      <c r="B9298" s="4" t="str">
        <f>IFERROR(__xludf.DUMMYFUNCTION("""COMPUTED_VALUE"""),"snail")</f>
        <v>snail</v>
      </c>
      <c r="C9298" s="4" t="str">
        <f>IFERROR(__xludf.DUMMYFUNCTION("""COMPUTED_VALUE"""),"Pinky The Snail")</f>
        <v>Pinky The Snail</v>
      </c>
    </row>
    <row r="9299">
      <c r="A9299" s="4" t="str">
        <f>IFERROR(__xludf.DUMMYFUNCTION("""COMPUTED_VALUE"""),"pintswap")</f>
        <v>pintswap</v>
      </c>
      <c r="B9299" s="4" t="str">
        <f>IFERROR(__xludf.DUMMYFUNCTION("""COMPUTED_VALUE"""),"pint")</f>
        <v>pint</v>
      </c>
      <c r="C9299" s="4" t="str">
        <f>IFERROR(__xludf.DUMMYFUNCTION("""COMPUTED_VALUE"""),"PintSwap")</f>
        <v>PintSwap</v>
      </c>
    </row>
    <row r="9300">
      <c r="A9300" s="4" t="str">
        <f>IFERROR(__xludf.DUMMYFUNCTION("""COMPUTED_VALUE"""),"pintu-token")</f>
        <v>pintu-token</v>
      </c>
      <c r="B9300" s="4" t="str">
        <f>IFERROR(__xludf.DUMMYFUNCTION("""COMPUTED_VALUE"""),"ptu")</f>
        <v>ptu</v>
      </c>
      <c r="C9300" s="4" t="str">
        <f>IFERROR(__xludf.DUMMYFUNCTION("""COMPUTED_VALUE"""),"Pintu")</f>
        <v>Pintu</v>
      </c>
    </row>
    <row r="9301">
      <c r="A9301" s="4" t="str">
        <f>IFERROR(__xludf.DUMMYFUNCTION("""COMPUTED_VALUE"""),"pion")</f>
        <v>pion</v>
      </c>
      <c r="B9301" s="4" t="str">
        <f>IFERROR(__xludf.DUMMYFUNCTION("""COMPUTED_VALUE"""),"pion")</f>
        <v>pion</v>
      </c>
      <c r="C9301" s="4" t="str">
        <f>IFERROR(__xludf.DUMMYFUNCTION("""COMPUTED_VALUE"""),"Pion")</f>
        <v>Pion</v>
      </c>
    </row>
    <row r="9302">
      <c r="A9302" s="4" t="str">
        <f>IFERROR(__xludf.DUMMYFUNCTION("""COMPUTED_VALUE"""),"pip")</f>
        <v>pip</v>
      </c>
      <c r="B9302" s="4" t="str">
        <f>IFERROR(__xludf.DUMMYFUNCTION("""COMPUTED_VALUE"""),"pip")</f>
        <v>pip</v>
      </c>
      <c r="C9302" s="4" t="str">
        <f>IFERROR(__xludf.DUMMYFUNCTION("""COMPUTED_VALUE"""),"PIP")</f>
        <v>PIP</v>
      </c>
    </row>
    <row r="9303">
      <c r="A9303" s="4" t="str">
        <f>IFERROR(__xludf.DUMMYFUNCTION("""COMPUTED_VALUE"""),"pip-2")</f>
        <v>pip-2</v>
      </c>
      <c r="B9303" s="4" t="str">
        <f>IFERROR(__xludf.DUMMYFUNCTION("""COMPUTED_VALUE"""),"pip")</f>
        <v>pip</v>
      </c>
      <c r="C9303" s="4" t="str">
        <f>IFERROR(__xludf.DUMMYFUNCTION("""COMPUTED_VALUE"""),"PIP")</f>
        <v>PIP</v>
      </c>
    </row>
    <row r="9304">
      <c r="A9304" s="4" t="str">
        <f>IFERROR(__xludf.DUMMYFUNCTION("""COMPUTED_VALUE"""),"pipi-the-cat")</f>
        <v>pipi-the-cat</v>
      </c>
      <c r="B9304" s="4" t="str">
        <f>IFERROR(__xludf.DUMMYFUNCTION("""COMPUTED_VALUE"""),"pipi")</f>
        <v>pipi</v>
      </c>
      <c r="C9304" s="4" t="str">
        <f>IFERROR(__xludf.DUMMYFUNCTION("""COMPUTED_VALUE"""),"pipi the cat")</f>
        <v>pipi the cat</v>
      </c>
    </row>
    <row r="9305">
      <c r="A9305" s="4" t="str">
        <f>IFERROR(__xludf.DUMMYFUNCTION("""COMPUTED_VALUE"""),"pi-protocol")</f>
        <v>pi-protocol</v>
      </c>
      <c r="B9305" s="4" t="str">
        <f>IFERROR(__xludf.DUMMYFUNCTION("""COMPUTED_VALUE"""),"pip")</f>
        <v>pip</v>
      </c>
      <c r="C9305" s="4" t="str">
        <f>IFERROR(__xludf.DUMMYFUNCTION("""COMPUTED_VALUE"""),"Pi Protocol")</f>
        <v>Pi Protocol</v>
      </c>
    </row>
    <row r="9306">
      <c r="A9306" s="4" t="str">
        <f>IFERROR(__xludf.DUMMYFUNCTION("""COMPUTED_VALUE"""),"piratecash")</f>
        <v>piratecash</v>
      </c>
      <c r="B9306" s="4" t="str">
        <f>IFERROR(__xludf.DUMMYFUNCTION("""COMPUTED_VALUE"""),"pirate")</f>
        <v>pirate</v>
      </c>
      <c r="C9306" s="4" t="str">
        <f>IFERROR(__xludf.DUMMYFUNCTION("""COMPUTED_VALUE"""),"PirateCash")</f>
        <v>PirateCash</v>
      </c>
    </row>
    <row r="9307">
      <c r="A9307" s="4" t="str">
        <f>IFERROR(__xludf.DUMMYFUNCTION("""COMPUTED_VALUE"""),"pirate-chain")</f>
        <v>pirate-chain</v>
      </c>
      <c r="B9307" s="4" t="str">
        <f>IFERROR(__xludf.DUMMYFUNCTION("""COMPUTED_VALUE"""),"arrr")</f>
        <v>arrr</v>
      </c>
      <c r="C9307" s="4" t="str">
        <f>IFERROR(__xludf.DUMMYFUNCTION("""COMPUTED_VALUE"""),"Pirate Chain")</f>
        <v>Pirate Chain</v>
      </c>
    </row>
    <row r="9308">
      <c r="A9308" s="4" t="str">
        <f>IFERROR(__xludf.DUMMYFUNCTION("""COMPUTED_VALUE"""),"piratecoin")</f>
        <v>piratecoin</v>
      </c>
      <c r="B9308" s="4" t="str">
        <f>IFERROR(__xludf.DUMMYFUNCTION("""COMPUTED_VALUE"""),"piratecoin☠")</f>
        <v>piratecoin☠</v>
      </c>
      <c r="C9308" s="4" t="str">
        <f>IFERROR(__xludf.DUMMYFUNCTION("""COMPUTED_VALUE"""),"PirateCoin")</f>
        <v>PirateCoin</v>
      </c>
    </row>
    <row r="9309">
      <c r="A9309" s="4" t="str">
        <f>IFERROR(__xludf.DUMMYFUNCTION("""COMPUTED_VALUE"""),"pirate-dice")</f>
        <v>pirate-dice</v>
      </c>
      <c r="B9309" s="4" t="str">
        <f>IFERROR(__xludf.DUMMYFUNCTION("""COMPUTED_VALUE"""),"booty")</f>
        <v>booty</v>
      </c>
      <c r="C9309" s="4" t="str">
        <f>IFERROR(__xludf.DUMMYFUNCTION("""COMPUTED_VALUE"""),"Pirate Dice")</f>
        <v>Pirate Dice</v>
      </c>
    </row>
    <row r="9310">
      <c r="A9310" s="4" t="str">
        <f>IFERROR(__xludf.DUMMYFUNCTION("""COMPUTED_VALUE"""),"piratera")</f>
        <v>piratera</v>
      </c>
      <c r="B9310" s="4" t="str">
        <f>IFERROR(__xludf.DUMMYFUNCTION("""COMPUTED_VALUE"""),"pira")</f>
        <v>pira</v>
      </c>
      <c r="C9310" s="4" t="str">
        <f>IFERROR(__xludf.DUMMYFUNCTION("""COMPUTED_VALUE"""),"Piratera")</f>
        <v>Piratera</v>
      </c>
    </row>
    <row r="9311">
      <c r="A9311" s="4" t="str">
        <f>IFERROR(__xludf.DUMMYFUNCTION("""COMPUTED_VALUE"""),"pirate-x-pirate")</f>
        <v>pirate-x-pirate</v>
      </c>
      <c r="B9311" s="4" t="str">
        <f>IFERROR(__xludf.DUMMYFUNCTION("""COMPUTED_VALUE"""),"pxp")</f>
        <v>pxp</v>
      </c>
      <c r="C9311" s="4" t="str">
        <f>IFERROR(__xludf.DUMMYFUNCTION("""COMPUTED_VALUE"""),"Pirate x Pirate")</f>
        <v>Pirate x Pirate</v>
      </c>
    </row>
    <row r="9312">
      <c r="A9312" s="4" t="str">
        <f>IFERROR(__xludf.DUMMYFUNCTION("""COMPUTED_VALUE"""),"pirb")</f>
        <v>pirb</v>
      </c>
      <c r="B9312" s="4" t="str">
        <f>IFERROR(__xludf.DUMMYFUNCTION("""COMPUTED_VALUE"""),"pirb")</f>
        <v>pirb</v>
      </c>
      <c r="C9312" s="4" t="str">
        <f>IFERROR(__xludf.DUMMYFUNCTION("""COMPUTED_VALUE"""),"PIRB")</f>
        <v>PIRB</v>
      </c>
    </row>
    <row r="9313">
      <c r="A9313" s="4" t="str">
        <f>IFERROR(__xludf.DUMMYFUNCTION("""COMPUTED_VALUE"""),"pirichain")</f>
        <v>pirichain</v>
      </c>
      <c r="B9313" s="4" t="str">
        <f>IFERROR(__xludf.DUMMYFUNCTION("""COMPUTED_VALUE"""),"piri")</f>
        <v>piri</v>
      </c>
      <c r="C9313" s="4" t="str">
        <f>IFERROR(__xludf.DUMMYFUNCTION("""COMPUTED_VALUE"""),"Pirichain")</f>
        <v>Pirichain</v>
      </c>
    </row>
    <row r="9314">
      <c r="A9314" s="4" t="str">
        <f>IFERROR(__xludf.DUMMYFUNCTION("""COMPUTED_VALUE"""),"pisscoin")</f>
        <v>pisscoin</v>
      </c>
      <c r="B9314" s="4" t="str">
        <f>IFERROR(__xludf.DUMMYFUNCTION("""COMPUTED_VALUE"""),"piss")</f>
        <v>piss</v>
      </c>
      <c r="C9314" s="4" t="str">
        <f>IFERROR(__xludf.DUMMYFUNCTION("""COMPUTED_VALUE"""),"Pisscoin")</f>
        <v>Pisscoin</v>
      </c>
    </row>
    <row r="9315">
      <c r="A9315" s="4" t="str">
        <f>IFERROR(__xludf.DUMMYFUNCTION("""COMPUTED_VALUE"""),"pitbull")</f>
        <v>pitbull</v>
      </c>
      <c r="B9315" s="4" t="str">
        <f>IFERROR(__xludf.DUMMYFUNCTION("""COMPUTED_VALUE"""),"pit")</f>
        <v>pit</v>
      </c>
      <c r="C9315" s="4" t="str">
        <f>IFERROR(__xludf.DUMMYFUNCTION("""COMPUTED_VALUE"""),"Pitbull")</f>
        <v>Pitbull</v>
      </c>
    </row>
    <row r="9316">
      <c r="A9316" s="4" t="str">
        <f>IFERROR(__xludf.DUMMYFUNCTION("""COMPUTED_VALUE"""),"pitch-fxs")</f>
        <v>pitch-fxs</v>
      </c>
      <c r="B9316" s="4" t="str">
        <f>IFERROR(__xludf.DUMMYFUNCTION("""COMPUTED_VALUE"""),"pitchfxs")</f>
        <v>pitchfxs</v>
      </c>
      <c r="C9316" s="4" t="str">
        <f>IFERROR(__xludf.DUMMYFUNCTION("""COMPUTED_VALUE"""),"Pitch FXS")</f>
        <v>Pitch FXS</v>
      </c>
    </row>
    <row r="9317">
      <c r="A9317" s="4" t="str">
        <f>IFERROR(__xludf.DUMMYFUNCTION("""COMPUTED_VALUE"""),"piteas")</f>
        <v>piteas</v>
      </c>
      <c r="B9317" s="4" t="str">
        <f>IFERROR(__xludf.DUMMYFUNCTION("""COMPUTED_VALUE"""),"pts")</f>
        <v>pts</v>
      </c>
      <c r="C9317" s="4" t="str">
        <f>IFERROR(__xludf.DUMMYFUNCTION("""COMPUTED_VALUE"""),"Piteas")</f>
        <v>Piteas</v>
      </c>
    </row>
    <row r="9318">
      <c r="A9318" s="4" t="str">
        <f>IFERROR(__xludf.DUMMYFUNCTION("""COMPUTED_VALUE"""),"piuai")</f>
        <v>piuai</v>
      </c>
      <c r="B9318" s="4" t="str">
        <f>IFERROR(__xludf.DUMMYFUNCTION("""COMPUTED_VALUE"""),"pai")</f>
        <v>pai</v>
      </c>
      <c r="C9318" s="4" t="str">
        <f>IFERROR(__xludf.DUMMYFUNCTION("""COMPUTED_VALUE"""),"PiuAi")</f>
        <v>PiuAi</v>
      </c>
    </row>
    <row r="9319">
      <c r="A9319" s="4" t="str">
        <f>IFERROR(__xludf.DUMMYFUNCTION("""COMPUTED_VALUE"""),"pivn")</f>
        <v>pivn</v>
      </c>
      <c r="B9319" s="4" t="str">
        <f>IFERROR(__xludf.DUMMYFUNCTION("""COMPUTED_VALUE"""),"pivn")</f>
        <v>pivn</v>
      </c>
      <c r="C9319" s="4" t="str">
        <f>IFERROR(__xludf.DUMMYFUNCTION("""COMPUTED_VALUE"""),"PIVN")</f>
        <v>PIVN</v>
      </c>
    </row>
    <row r="9320">
      <c r="A9320" s="4" t="str">
        <f>IFERROR(__xludf.DUMMYFUNCTION("""COMPUTED_VALUE"""),"pivx")</f>
        <v>pivx</v>
      </c>
      <c r="B9320" s="4" t="str">
        <f>IFERROR(__xludf.DUMMYFUNCTION("""COMPUTED_VALUE"""),"pivx")</f>
        <v>pivx</v>
      </c>
      <c r="C9320" s="4" t="str">
        <f>IFERROR(__xludf.DUMMYFUNCTION("""COMPUTED_VALUE"""),"PIVX")</f>
        <v>PIVX</v>
      </c>
    </row>
    <row r="9321">
      <c r="A9321" s="4" t="str">
        <f>IFERROR(__xludf.DUMMYFUNCTION("""COMPUTED_VALUE"""),"pixel-2")</f>
        <v>pixel-2</v>
      </c>
      <c r="B9321" s="4" t="str">
        <f>IFERROR(__xludf.DUMMYFUNCTION("""COMPUTED_VALUE"""),"$pixe")</f>
        <v>$pixe</v>
      </c>
      <c r="C9321" s="4" t="str">
        <f>IFERROR(__xludf.DUMMYFUNCTION("""COMPUTED_VALUE"""),"Pixel")</f>
        <v>Pixel</v>
      </c>
    </row>
    <row r="9322">
      <c r="A9322" s="4" t="str">
        <f>IFERROR(__xludf.DUMMYFUNCTION("""COMPUTED_VALUE"""),"pixel-battle")</f>
        <v>pixel-battle</v>
      </c>
      <c r="B9322" s="4" t="str">
        <f>IFERROR(__xludf.DUMMYFUNCTION("""COMPUTED_VALUE"""),"pwc")</f>
        <v>pwc</v>
      </c>
      <c r="C9322" s="4" t="str">
        <f>IFERROR(__xludf.DUMMYFUNCTION("""COMPUTED_VALUE"""),"Pixel Battle")</f>
        <v>Pixel Battle</v>
      </c>
    </row>
    <row r="9323">
      <c r="A9323" s="4" t="str">
        <f>IFERROR(__xludf.DUMMYFUNCTION("""COMPUTED_VALUE"""),"pixelpotus")</f>
        <v>pixelpotus</v>
      </c>
      <c r="B9323" s="4" t="str">
        <f>IFERROR(__xludf.DUMMYFUNCTION("""COMPUTED_VALUE"""),"pxl")</f>
        <v>pxl</v>
      </c>
      <c r="C9323" s="4" t="str">
        <f>IFERROR(__xludf.DUMMYFUNCTION("""COMPUTED_VALUE"""),"PixelPotus")</f>
        <v>PixelPotus</v>
      </c>
    </row>
    <row r="9324">
      <c r="A9324" s="4" t="str">
        <f>IFERROR(__xludf.DUMMYFUNCTION("""COMPUTED_VALUE"""),"pixels")</f>
        <v>pixels</v>
      </c>
      <c r="B9324" s="4" t="str">
        <f>IFERROR(__xludf.DUMMYFUNCTION("""COMPUTED_VALUE"""),"pixel")</f>
        <v>pixel</v>
      </c>
      <c r="C9324" s="4" t="str">
        <f>IFERROR(__xludf.DUMMYFUNCTION("""COMPUTED_VALUE"""),"Pixels")</f>
        <v>Pixels</v>
      </c>
    </row>
    <row r="9325">
      <c r="A9325" s="4" t="str">
        <f>IFERROR(__xludf.DUMMYFUNCTION("""COMPUTED_VALUE"""),"pixelverse")</f>
        <v>pixelverse</v>
      </c>
      <c r="B9325" s="4" t="str">
        <f>IFERROR(__xludf.DUMMYFUNCTION("""COMPUTED_VALUE"""),"pixel")</f>
        <v>pixel</v>
      </c>
      <c r="C9325" s="4" t="str">
        <f>IFERROR(__xludf.DUMMYFUNCTION("""COMPUTED_VALUE"""),"PixelVerse")</f>
        <v>PixelVerse</v>
      </c>
    </row>
    <row r="9326">
      <c r="A9326" s="4" t="str">
        <f>IFERROR(__xludf.DUMMYFUNCTION("""COMPUTED_VALUE"""),"pixer-eternity")</f>
        <v>pixer-eternity</v>
      </c>
      <c r="B9326" s="4" t="str">
        <f>IFERROR(__xludf.DUMMYFUNCTION("""COMPUTED_VALUE"""),"pxt")</f>
        <v>pxt</v>
      </c>
      <c r="C9326" s="4" t="str">
        <f>IFERROR(__xludf.DUMMYFUNCTION("""COMPUTED_VALUE"""),"Pixer Eternity")</f>
        <v>Pixer Eternity</v>
      </c>
    </row>
    <row r="9327">
      <c r="A9327" s="4" t="str">
        <f>IFERROR(__xludf.DUMMYFUNCTION("""COMPUTED_VALUE"""),"pixie")</f>
        <v>pixie</v>
      </c>
      <c r="B9327" s="4" t="str">
        <f>IFERROR(__xludf.DUMMYFUNCTION("""COMPUTED_VALUE"""),"pix")</f>
        <v>pix</v>
      </c>
      <c r="C9327" s="4" t="str">
        <f>IFERROR(__xludf.DUMMYFUNCTION("""COMPUTED_VALUE"""),"Pixie")</f>
        <v>Pixie</v>
      </c>
    </row>
    <row r="9328">
      <c r="A9328" s="4" t="str">
        <f>IFERROR(__xludf.DUMMYFUNCTION("""COMPUTED_VALUE"""),"pixiu-finance")</f>
        <v>pixiu-finance</v>
      </c>
      <c r="B9328" s="4" t="str">
        <f>IFERROR(__xludf.DUMMYFUNCTION("""COMPUTED_VALUE"""),"pixiu")</f>
        <v>pixiu</v>
      </c>
      <c r="C9328" s="4" t="str">
        <f>IFERROR(__xludf.DUMMYFUNCTION("""COMPUTED_VALUE"""),"Pixiu Finance")</f>
        <v>Pixiu Finance</v>
      </c>
    </row>
    <row r="9329">
      <c r="A9329" s="4" t="str">
        <f>IFERROR(__xludf.DUMMYFUNCTION("""COMPUTED_VALUE"""),"pizabrc")</f>
        <v>pizabrc</v>
      </c>
      <c r="B9329" s="4" t="str">
        <f>IFERROR(__xludf.DUMMYFUNCTION("""COMPUTED_VALUE"""),"piza")</f>
        <v>piza</v>
      </c>
      <c r="C9329" s="4" t="str">
        <f>IFERROR(__xludf.DUMMYFUNCTION("""COMPUTED_VALUE"""),"PIZA (Ordinals)")</f>
        <v>PIZA (Ordinals)</v>
      </c>
    </row>
    <row r="9330">
      <c r="A9330" s="4" t="str">
        <f>IFERROR(__xludf.DUMMYFUNCTION("""COMPUTED_VALUE"""),"pizon")</f>
        <v>pizon</v>
      </c>
      <c r="B9330" s="4" t="str">
        <f>IFERROR(__xludf.DUMMYFUNCTION("""COMPUTED_VALUE"""),"pzt")</f>
        <v>pzt</v>
      </c>
      <c r="C9330" s="4" t="str">
        <f>IFERROR(__xludf.DUMMYFUNCTION("""COMPUTED_VALUE"""),"Pizon")</f>
        <v>Pizon</v>
      </c>
    </row>
    <row r="9331">
      <c r="A9331" s="4" t="str">
        <f>IFERROR(__xludf.DUMMYFUNCTION("""COMPUTED_VALUE"""),"pizza-game")</f>
        <v>pizza-game</v>
      </c>
      <c r="B9331" s="4" t="str">
        <f>IFERROR(__xludf.DUMMYFUNCTION("""COMPUTED_VALUE"""),"pizza")</f>
        <v>pizza</v>
      </c>
      <c r="C9331" s="4" t="str">
        <f>IFERROR(__xludf.DUMMYFUNCTION("""COMPUTED_VALUE"""),"Pizza Game")</f>
        <v>Pizza Game</v>
      </c>
    </row>
    <row r="9332">
      <c r="A9332" s="4" t="str">
        <f>IFERROR(__xludf.DUMMYFUNCTION("""COMPUTED_VALUE"""),"pkey")</f>
        <v>pkey</v>
      </c>
      <c r="B9332" s="4" t="str">
        <f>IFERROR(__xludf.DUMMYFUNCTION("""COMPUTED_VALUE"""),"pkey")</f>
        <v>pkey</v>
      </c>
      <c r="C9332" s="4" t="str">
        <f>IFERROR(__xludf.DUMMYFUNCTION("""COMPUTED_VALUE"""),"Pkey")</f>
        <v>Pkey</v>
      </c>
    </row>
    <row r="9333">
      <c r="A9333" s="4" t="str">
        <f>IFERROR(__xludf.DUMMYFUNCTION("""COMPUTED_VALUE"""),"pkt")</f>
        <v>pkt</v>
      </c>
      <c r="B9333" s="4" t="str">
        <f>IFERROR(__xludf.DUMMYFUNCTION("""COMPUTED_VALUE"""),"pkt")</f>
        <v>pkt</v>
      </c>
      <c r="C9333" s="4" t="str">
        <f>IFERROR(__xludf.DUMMYFUNCTION("""COMPUTED_VALUE"""),"PKT")</f>
        <v>PKT</v>
      </c>
    </row>
    <row r="9334">
      <c r="A9334" s="4" t="str">
        <f>IFERROR(__xludf.DUMMYFUNCTION("""COMPUTED_VALUE"""),"place-war")</f>
        <v>place-war</v>
      </c>
      <c r="B9334" s="4" t="str">
        <f>IFERROR(__xludf.DUMMYFUNCTION("""COMPUTED_VALUE"""),"place")</f>
        <v>place</v>
      </c>
      <c r="C9334" s="4" t="str">
        <f>IFERROR(__xludf.DUMMYFUNCTION("""COMPUTED_VALUE"""),"PlaceWar Governance")</f>
        <v>PlaceWar Governance</v>
      </c>
    </row>
    <row r="9335">
      <c r="A9335" s="4" t="str">
        <f>IFERROR(__xludf.DUMMYFUNCTION("""COMPUTED_VALUE"""),"plan-blui")</f>
        <v>plan-blui</v>
      </c>
      <c r="B9335" s="4" t="str">
        <f>IFERROR(__xludf.DUMMYFUNCTION("""COMPUTED_VALUE"""),"pblui")</f>
        <v>pblui</v>
      </c>
      <c r="C9335" s="4" t="str">
        <f>IFERROR(__xludf.DUMMYFUNCTION("""COMPUTED_VALUE"""),"Plan Blui")</f>
        <v>Plan Blui</v>
      </c>
    </row>
    <row r="9336">
      <c r="A9336" s="4" t="str">
        <f>IFERROR(__xludf.DUMMYFUNCTION("""COMPUTED_VALUE"""),"planetcats")</f>
        <v>planetcats</v>
      </c>
      <c r="B9336" s="4" t="str">
        <f>IFERROR(__xludf.DUMMYFUNCTION("""COMPUTED_VALUE"""),"catcoin")</f>
        <v>catcoin</v>
      </c>
      <c r="C9336" s="4" t="str">
        <f>IFERROR(__xludf.DUMMYFUNCTION("""COMPUTED_VALUE"""),"PlanetCats")</f>
        <v>PlanetCats</v>
      </c>
    </row>
    <row r="9337">
      <c r="A9337" s="4" t="str">
        <f>IFERROR(__xludf.DUMMYFUNCTION("""COMPUTED_VALUE"""),"planet-finance")</f>
        <v>planet-finance</v>
      </c>
      <c r="B9337" s="4" t="str">
        <f>IFERROR(__xludf.DUMMYFUNCTION("""COMPUTED_VALUE"""),"aqua")</f>
        <v>aqua</v>
      </c>
      <c r="C9337" s="4" t="str">
        <f>IFERROR(__xludf.DUMMYFUNCTION("""COMPUTED_VALUE"""),"Planet Finance")</f>
        <v>Planet Finance</v>
      </c>
    </row>
    <row r="9338">
      <c r="A9338" s="4" t="str">
        <f>IFERROR(__xludf.DUMMYFUNCTION("""COMPUTED_VALUE"""),"planet-hares")</f>
        <v>planet-hares</v>
      </c>
      <c r="B9338" s="4" t="str">
        <f>IFERROR(__xludf.DUMMYFUNCTION("""COMPUTED_VALUE"""),"hac")</f>
        <v>hac</v>
      </c>
      <c r="C9338" s="4" t="str">
        <f>IFERROR(__xludf.DUMMYFUNCTION("""COMPUTED_VALUE"""),"Planet Hares")</f>
        <v>Planet Hares</v>
      </c>
    </row>
    <row r="9339">
      <c r="A9339" s="4" t="str">
        <f>IFERROR(__xludf.DUMMYFUNCTION("""COMPUTED_VALUE"""),"planet-mojo")</f>
        <v>planet-mojo</v>
      </c>
      <c r="B9339" s="4" t="str">
        <f>IFERROR(__xludf.DUMMYFUNCTION("""COMPUTED_VALUE"""),"mojo")</f>
        <v>mojo</v>
      </c>
      <c r="C9339" s="4" t="str">
        <f>IFERROR(__xludf.DUMMYFUNCTION("""COMPUTED_VALUE"""),"Planet Mojo")</f>
        <v>Planet Mojo</v>
      </c>
    </row>
    <row r="9340">
      <c r="A9340" s="4" t="str">
        <f>IFERROR(__xludf.DUMMYFUNCTION("""COMPUTED_VALUE"""),"planet-sandbox")</f>
        <v>planet-sandbox</v>
      </c>
      <c r="B9340" s="4" t="str">
        <f>IFERROR(__xludf.DUMMYFUNCTION("""COMPUTED_VALUE"""),"psb")</f>
        <v>psb</v>
      </c>
      <c r="C9340" s="4" t="str">
        <f>IFERROR(__xludf.DUMMYFUNCTION("""COMPUTED_VALUE"""),"Planet Sandbox")</f>
        <v>Planet Sandbox</v>
      </c>
    </row>
    <row r="9341">
      <c r="A9341" s="4" t="str">
        <f>IFERROR(__xludf.DUMMYFUNCTION("""COMPUTED_VALUE"""),"planet-token")</f>
        <v>planet-token</v>
      </c>
      <c r="B9341" s="4" t="str">
        <f>IFERROR(__xludf.DUMMYFUNCTION("""COMPUTED_VALUE"""),"planet")</f>
        <v>planet</v>
      </c>
      <c r="C9341" s="4" t="str">
        <f>IFERROR(__xludf.DUMMYFUNCTION("""COMPUTED_VALUE"""),"Planet Token")</f>
        <v>Planet Token</v>
      </c>
    </row>
    <row r="9342">
      <c r="A9342" s="4" t="str">
        <f>IFERROR(__xludf.DUMMYFUNCTION("""COMPUTED_VALUE"""),"planetwatch")</f>
        <v>planetwatch</v>
      </c>
      <c r="B9342" s="4" t="str">
        <f>IFERROR(__xludf.DUMMYFUNCTION("""COMPUTED_VALUE"""),"planets")</f>
        <v>planets</v>
      </c>
      <c r="C9342" s="4" t="str">
        <f>IFERROR(__xludf.DUMMYFUNCTION("""COMPUTED_VALUE"""),"PlanetWatch")</f>
        <v>PlanetWatch</v>
      </c>
    </row>
    <row r="9343">
      <c r="A9343" s="4" t="str">
        <f>IFERROR(__xludf.DUMMYFUNCTION("""COMPUTED_VALUE"""),"plankton")</f>
        <v>plankton</v>
      </c>
      <c r="B9343" s="4" t="str">
        <f>IFERROR(__xludf.DUMMYFUNCTION("""COMPUTED_VALUE"""),"plnk")</f>
        <v>plnk</v>
      </c>
      <c r="C9343" s="4" t="str">
        <f>IFERROR(__xludf.DUMMYFUNCTION("""COMPUTED_VALUE"""),"Plankton")</f>
        <v>Plankton</v>
      </c>
    </row>
    <row r="9344">
      <c r="A9344" s="4" t="str">
        <f>IFERROR(__xludf.DUMMYFUNCTION("""COMPUTED_VALUE"""),"planktos")</f>
        <v>planktos</v>
      </c>
      <c r="B9344" s="4" t="str">
        <f>IFERROR(__xludf.DUMMYFUNCTION("""COMPUTED_VALUE"""),"plank")</f>
        <v>plank</v>
      </c>
      <c r="C9344" s="4" t="str">
        <f>IFERROR(__xludf.DUMMYFUNCTION("""COMPUTED_VALUE"""),"Planktos")</f>
        <v>Planktos</v>
      </c>
    </row>
    <row r="9345">
      <c r="A9345" s="4" t="str">
        <f>IFERROR(__xludf.DUMMYFUNCTION("""COMPUTED_VALUE"""),"planq")</f>
        <v>planq</v>
      </c>
      <c r="B9345" s="4" t="str">
        <f>IFERROR(__xludf.DUMMYFUNCTION("""COMPUTED_VALUE"""),"plq")</f>
        <v>plq</v>
      </c>
      <c r="C9345" s="4" t="str">
        <f>IFERROR(__xludf.DUMMYFUNCTION("""COMPUTED_VALUE"""),"Planq")</f>
        <v>Planq</v>
      </c>
    </row>
    <row r="9346">
      <c r="A9346" s="4" t="str">
        <f>IFERROR(__xludf.DUMMYFUNCTION("""COMPUTED_VALUE"""),"plant-vs-undead-token")</f>
        <v>plant-vs-undead-token</v>
      </c>
      <c r="B9346" s="4" t="str">
        <f>IFERROR(__xludf.DUMMYFUNCTION("""COMPUTED_VALUE"""),"pvu")</f>
        <v>pvu</v>
      </c>
      <c r="C9346" s="4" t="str">
        <f>IFERROR(__xludf.DUMMYFUNCTION("""COMPUTED_VALUE"""),"Plant vs Undead")</f>
        <v>Plant vs Undead</v>
      </c>
    </row>
    <row r="9347">
      <c r="A9347" s="4" t="str">
        <f>IFERROR(__xludf.DUMMYFUNCTION("""COMPUTED_VALUE"""),"plasma-finance")</f>
        <v>plasma-finance</v>
      </c>
      <c r="B9347" s="4" t="str">
        <f>IFERROR(__xludf.DUMMYFUNCTION("""COMPUTED_VALUE"""),"ppay")</f>
        <v>ppay</v>
      </c>
      <c r="C9347" s="4" t="str">
        <f>IFERROR(__xludf.DUMMYFUNCTION("""COMPUTED_VALUE"""),"Plasma Finance")</f>
        <v>Plasma Finance</v>
      </c>
    </row>
    <row r="9348">
      <c r="A9348" s="4" t="str">
        <f>IFERROR(__xludf.DUMMYFUNCTION("""COMPUTED_VALUE"""),"plastichero")</f>
        <v>plastichero</v>
      </c>
      <c r="B9348" s="4" t="str">
        <f>IFERROR(__xludf.DUMMYFUNCTION("""COMPUTED_VALUE"""),"pth")</f>
        <v>pth</v>
      </c>
      <c r="C9348" s="4" t="str">
        <f>IFERROR(__xludf.DUMMYFUNCTION("""COMPUTED_VALUE"""),"PlasticHero")</f>
        <v>PlasticHero</v>
      </c>
    </row>
    <row r="9349">
      <c r="A9349" s="4" t="str">
        <f>IFERROR(__xludf.DUMMYFUNCTION("""COMPUTED_VALUE"""),"plastiks")</f>
        <v>plastiks</v>
      </c>
      <c r="B9349" s="4" t="str">
        <f>IFERROR(__xludf.DUMMYFUNCTION("""COMPUTED_VALUE"""),"plastik")</f>
        <v>plastik</v>
      </c>
      <c r="C9349" s="4" t="str">
        <f>IFERROR(__xludf.DUMMYFUNCTION("""COMPUTED_VALUE"""),"Plastiks")</f>
        <v>Plastiks</v>
      </c>
    </row>
    <row r="9350">
      <c r="A9350" s="4" t="str">
        <f>IFERROR(__xludf.DUMMYFUNCTION("""COMPUTED_VALUE"""),"plata-network")</f>
        <v>plata-network</v>
      </c>
      <c r="B9350" s="4" t="str">
        <f>IFERROR(__xludf.DUMMYFUNCTION("""COMPUTED_VALUE"""),"plata")</f>
        <v>plata</v>
      </c>
      <c r="C9350" s="4" t="str">
        <f>IFERROR(__xludf.DUMMYFUNCTION("""COMPUTED_VALUE"""),"Plata Network")</f>
        <v>Plata Network</v>
      </c>
    </row>
    <row r="9351">
      <c r="A9351" s="4" t="str">
        <f>IFERROR(__xludf.DUMMYFUNCTION("""COMPUTED_VALUE"""),"platform-of-meme-coins")</f>
        <v>platform-of-meme-coins</v>
      </c>
      <c r="B9351" s="4" t="str">
        <f>IFERROR(__xludf.DUMMYFUNCTION("""COMPUTED_VALUE"""),"payu")</f>
        <v>payu</v>
      </c>
      <c r="C9351" s="4" t="str">
        <f>IFERROR(__xludf.DUMMYFUNCTION("""COMPUTED_VALUE"""),"Platform of meme coins")</f>
        <v>Platform of meme coins</v>
      </c>
    </row>
    <row r="9352">
      <c r="A9352" s="4" t="str">
        <f>IFERROR(__xludf.DUMMYFUNCTION("""COMPUTED_VALUE"""),"platincoin")</f>
        <v>platincoin</v>
      </c>
      <c r="B9352" s="4" t="str">
        <f>IFERROR(__xludf.DUMMYFUNCTION("""COMPUTED_VALUE"""),"plc")</f>
        <v>plc</v>
      </c>
      <c r="C9352" s="4" t="str">
        <f>IFERROR(__xludf.DUMMYFUNCTION("""COMPUTED_VALUE"""),"PlatinCoin")</f>
        <v>PlatinCoin</v>
      </c>
    </row>
    <row r="9353">
      <c r="A9353" s="4" t="str">
        <f>IFERROR(__xludf.DUMMYFUNCTION("""COMPUTED_VALUE"""),"platinx")</f>
        <v>platinx</v>
      </c>
      <c r="B9353" s="4" t="str">
        <f>IFERROR(__xludf.DUMMYFUNCTION("""COMPUTED_VALUE"""),"ptx")</f>
        <v>ptx</v>
      </c>
      <c r="C9353" s="4" t="str">
        <f>IFERROR(__xludf.DUMMYFUNCTION("""COMPUTED_VALUE"""),"PlatinX")</f>
        <v>PlatinX</v>
      </c>
    </row>
    <row r="9354">
      <c r="A9354" s="4" t="str">
        <f>IFERROR(__xludf.DUMMYFUNCTION("""COMPUTED_VALUE"""),"platon-network")</f>
        <v>platon-network</v>
      </c>
      <c r="B9354" s="4" t="str">
        <f>IFERROR(__xludf.DUMMYFUNCTION("""COMPUTED_VALUE"""),"lat")</f>
        <v>lat</v>
      </c>
      <c r="C9354" s="4" t="str">
        <f>IFERROR(__xludf.DUMMYFUNCTION("""COMPUTED_VALUE"""),"PlatON Network")</f>
        <v>PlatON Network</v>
      </c>
    </row>
    <row r="9355">
      <c r="A9355" s="4" t="str">
        <f>IFERROR(__xludf.DUMMYFUNCTION("""COMPUTED_VALUE"""),"platypus-finance")</f>
        <v>platypus-finance</v>
      </c>
      <c r="B9355" s="4" t="str">
        <f>IFERROR(__xludf.DUMMYFUNCTION("""COMPUTED_VALUE"""),"ptp")</f>
        <v>ptp</v>
      </c>
      <c r="C9355" s="4" t="str">
        <f>IFERROR(__xludf.DUMMYFUNCTION("""COMPUTED_VALUE"""),"Platypus Finance")</f>
        <v>Platypus Finance</v>
      </c>
    </row>
    <row r="9356">
      <c r="A9356" s="4" t="str">
        <f>IFERROR(__xludf.DUMMYFUNCTION("""COMPUTED_VALUE"""),"platypus-usd")</f>
        <v>platypus-usd</v>
      </c>
      <c r="B9356" s="4" t="str">
        <f>IFERROR(__xludf.DUMMYFUNCTION("""COMPUTED_VALUE"""),"usp")</f>
        <v>usp</v>
      </c>
      <c r="C9356" s="4" t="str">
        <f>IFERROR(__xludf.DUMMYFUNCTION("""COMPUTED_VALUE"""),"Platypus USD")</f>
        <v>Platypus USD</v>
      </c>
    </row>
    <row r="9357">
      <c r="A9357" s="4" t="str">
        <f>IFERROR(__xludf.DUMMYFUNCTION("""COMPUTED_VALUE"""),"playa3ull-games-2")</f>
        <v>playa3ull-games-2</v>
      </c>
      <c r="B9357" s="4" t="str">
        <f>IFERROR(__xludf.DUMMYFUNCTION("""COMPUTED_VALUE"""),"3ull")</f>
        <v>3ull</v>
      </c>
      <c r="C9357" s="4" t="str">
        <f>IFERROR(__xludf.DUMMYFUNCTION("""COMPUTED_VALUE"""),"PLAYA3ULL GAMES")</f>
        <v>PLAYA3ULL GAMES</v>
      </c>
    </row>
    <row r="9358">
      <c r="A9358" s="4" t="str">
        <f>IFERROR(__xludf.DUMMYFUNCTION("""COMPUTED_VALUE"""),"playbux")</f>
        <v>playbux</v>
      </c>
      <c r="B9358" s="4" t="str">
        <f>IFERROR(__xludf.DUMMYFUNCTION("""COMPUTED_VALUE"""),"pbux")</f>
        <v>pbux</v>
      </c>
      <c r="C9358" s="4" t="str">
        <f>IFERROR(__xludf.DUMMYFUNCTION("""COMPUTED_VALUE"""),"Playbux")</f>
        <v>Playbux</v>
      </c>
    </row>
    <row r="9359">
      <c r="A9359" s="4" t="str">
        <f>IFERROR(__xludf.DUMMYFUNCTION("""COMPUTED_VALUE"""),"playcent")</f>
        <v>playcent</v>
      </c>
      <c r="B9359" s="4" t="str">
        <f>IFERROR(__xludf.DUMMYFUNCTION("""COMPUTED_VALUE"""),"pcnt")</f>
        <v>pcnt</v>
      </c>
      <c r="C9359" s="4" t="str">
        <f>IFERROR(__xludf.DUMMYFUNCTION("""COMPUTED_VALUE"""),"Playcent")</f>
        <v>Playcent</v>
      </c>
    </row>
    <row r="9360">
      <c r="A9360" s="4" t="str">
        <f>IFERROR(__xludf.DUMMYFUNCTION("""COMPUTED_VALUE"""),"playchip")</f>
        <v>playchip</v>
      </c>
      <c r="B9360" s="4" t="str">
        <f>IFERROR(__xludf.DUMMYFUNCTION("""COMPUTED_VALUE"""),"pla")</f>
        <v>pla</v>
      </c>
      <c r="C9360" s="4" t="str">
        <f>IFERROR(__xludf.DUMMYFUNCTION("""COMPUTED_VALUE"""),"PlayChip")</f>
        <v>PlayChip</v>
      </c>
    </row>
    <row r="9361">
      <c r="A9361" s="4" t="str">
        <f>IFERROR(__xludf.DUMMYFUNCTION("""COMPUTED_VALUE"""),"playdapp")</f>
        <v>playdapp</v>
      </c>
      <c r="B9361" s="4" t="str">
        <f>IFERROR(__xludf.DUMMYFUNCTION("""COMPUTED_VALUE"""),"pda")</f>
        <v>pda</v>
      </c>
      <c r="C9361" s="4" t="str">
        <f>IFERROR(__xludf.DUMMYFUNCTION("""COMPUTED_VALUE"""),"PlayDapp")</f>
        <v>PlayDapp</v>
      </c>
    </row>
    <row r="9362">
      <c r="A9362" s="4" t="str">
        <f>IFERROR(__xludf.DUMMYFUNCTION("""COMPUTED_VALUE"""),"player-2")</f>
        <v>player-2</v>
      </c>
      <c r="B9362" s="4" t="str">
        <f>IFERROR(__xludf.DUMMYFUNCTION("""COMPUTED_VALUE"""),"deo")</f>
        <v>deo</v>
      </c>
      <c r="C9362" s="4" t="str">
        <f>IFERROR(__xludf.DUMMYFUNCTION("""COMPUTED_VALUE"""),"Player 2")</f>
        <v>Player 2</v>
      </c>
    </row>
    <row r="9363">
      <c r="A9363" s="4" t="str">
        <f>IFERROR(__xludf.DUMMYFUNCTION("""COMPUTED_VALUE"""),"playermon")</f>
        <v>playermon</v>
      </c>
      <c r="B9363" s="4" t="str">
        <f>IFERROR(__xludf.DUMMYFUNCTION("""COMPUTED_VALUE"""),"pym")</f>
        <v>pym</v>
      </c>
      <c r="C9363" s="4" t="str">
        <f>IFERROR(__xludf.DUMMYFUNCTION("""COMPUTED_VALUE"""),"Playermon")</f>
        <v>Playermon</v>
      </c>
    </row>
    <row r="9364">
      <c r="A9364" s="4" t="str">
        <f>IFERROR(__xludf.DUMMYFUNCTION("""COMPUTED_VALUE"""),"playfi")</f>
        <v>playfi</v>
      </c>
      <c r="B9364" s="4" t="str">
        <f>IFERROR(__xludf.DUMMYFUNCTION("""COMPUTED_VALUE"""),"playfi")</f>
        <v>playfi</v>
      </c>
      <c r="C9364" s="4" t="str">
        <f>IFERROR(__xludf.DUMMYFUNCTION("""COMPUTED_VALUE"""),"PlayFi")</f>
        <v>PlayFi</v>
      </c>
    </row>
    <row r="9365">
      <c r="A9365" s="4" t="str">
        <f>IFERROR(__xludf.DUMMYFUNCTION("""COMPUTED_VALUE"""),"playgame")</f>
        <v>playgame</v>
      </c>
      <c r="B9365" s="4" t="str">
        <f>IFERROR(__xludf.DUMMYFUNCTION("""COMPUTED_VALUE"""),"pxg")</f>
        <v>pxg</v>
      </c>
      <c r="C9365" s="4" t="str">
        <f>IFERROR(__xludf.DUMMYFUNCTION("""COMPUTED_VALUE"""),"PlayGame")</f>
        <v>PlayGame</v>
      </c>
    </row>
    <row r="9366">
      <c r="A9366" s="4" t="str">
        <f>IFERROR(__xludf.DUMMYFUNCTION("""COMPUTED_VALUE"""),"playground-waves-floor-index")</f>
        <v>playground-waves-floor-index</v>
      </c>
      <c r="B9366" s="4" t="str">
        <f>IFERROR(__xludf.DUMMYFUNCTION("""COMPUTED_VALUE"""),"waves")</f>
        <v>waves</v>
      </c>
      <c r="C9366" s="4" t="str">
        <f>IFERROR(__xludf.DUMMYFUNCTION("""COMPUTED_VALUE"""),"Playground Waves Floor Index")</f>
        <v>Playground Waves Floor Index</v>
      </c>
    </row>
    <row r="9367">
      <c r="A9367" s="4" t="str">
        <f>IFERROR(__xludf.DUMMYFUNCTION("""COMPUTED_VALUE"""),"play-kingdom")</f>
        <v>play-kingdom</v>
      </c>
      <c r="B9367" s="4" t="str">
        <f>IFERROR(__xludf.DUMMYFUNCTION("""COMPUTED_VALUE"""),"pkt")</f>
        <v>pkt</v>
      </c>
      <c r="C9367" s="4" t="str">
        <f>IFERROR(__xludf.DUMMYFUNCTION("""COMPUTED_VALUE"""),"Play Kingdom")</f>
        <v>Play Kingdom</v>
      </c>
    </row>
    <row r="9368">
      <c r="A9368" s="4" t="str">
        <f>IFERROR(__xludf.DUMMYFUNCTION("""COMPUTED_VALUE"""),"playnity")</f>
        <v>playnity</v>
      </c>
      <c r="B9368" s="4" t="str">
        <f>IFERROR(__xludf.DUMMYFUNCTION("""COMPUTED_VALUE"""),"ply")</f>
        <v>ply</v>
      </c>
      <c r="C9368" s="4" t="str">
        <f>IFERROR(__xludf.DUMMYFUNCTION("""COMPUTED_VALUE"""),"PlayNity")</f>
        <v>PlayNity</v>
      </c>
    </row>
    <row r="9369">
      <c r="A9369" s="4" t="str">
        <f>IFERROR(__xludf.DUMMYFUNCTION("""COMPUTED_VALUE"""),"playpad")</f>
        <v>playpad</v>
      </c>
      <c r="B9369" s="4" t="str">
        <f>IFERROR(__xludf.DUMMYFUNCTION("""COMPUTED_VALUE"""),"ppad")</f>
        <v>ppad</v>
      </c>
      <c r="C9369" s="4" t="str">
        <f>IFERROR(__xludf.DUMMYFUNCTION("""COMPUTED_VALUE"""),"PlayPad")</f>
        <v>PlayPad</v>
      </c>
    </row>
    <row r="9370">
      <c r="A9370" s="4" t="str">
        <f>IFERROR(__xludf.DUMMYFUNCTION("""COMPUTED_VALUE"""),"play-to-create")</f>
        <v>play-to-create</v>
      </c>
      <c r="B9370" s="4" t="str">
        <f>IFERROR(__xludf.DUMMYFUNCTION("""COMPUTED_VALUE"""),"drn")</f>
        <v>drn</v>
      </c>
      <c r="C9370" s="4" t="str">
        <f>IFERROR(__xludf.DUMMYFUNCTION("""COMPUTED_VALUE"""),"Play To Create")</f>
        <v>Play To Create</v>
      </c>
    </row>
    <row r="9371">
      <c r="A9371" s="4" t="str">
        <f>IFERROR(__xludf.DUMMYFUNCTION("""COMPUTED_VALUE"""),"playzap")</f>
        <v>playzap</v>
      </c>
      <c r="B9371" s="4" t="str">
        <f>IFERROR(__xludf.DUMMYFUNCTION("""COMPUTED_VALUE"""),"pzp")</f>
        <v>pzp</v>
      </c>
      <c r="C9371" s="4" t="str">
        <f>IFERROR(__xludf.DUMMYFUNCTION("""COMPUTED_VALUE"""),"PlayZap")</f>
        <v>PlayZap</v>
      </c>
    </row>
    <row r="9372">
      <c r="A9372" s="4" t="str">
        <f>IFERROR(__xludf.DUMMYFUNCTION("""COMPUTED_VALUE"""),"plaza-dao")</f>
        <v>plaza-dao</v>
      </c>
      <c r="B9372" s="4" t="str">
        <f>IFERROR(__xludf.DUMMYFUNCTION("""COMPUTED_VALUE"""),"plaz")</f>
        <v>plaz</v>
      </c>
      <c r="C9372" s="4" t="str">
        <f>IFERROR(__xludf.DUMMYFUNCTION("""COMPUTED_VALUE"""),"Plaza DAO")</f>
        <v>Plaza DAO</v>
      </c>
    </row>
    <row r="9373">
      <c r="A9373" s="4" t="str">
        <f>IFERROR(__xludf.DUMMYFUNCTION("""COMPUTED_VALUE"""),"plc-ultima")</f>
        <v>plc-ultima</v>
      </c>
      <c r="B9373" s="4" t="str">
        <f>IFERROR(__xludf.DUMMYFUNCTION("""COMPUTED_VALUE"""),"plcu")</f>
        <v>plcu</v>
      </c>
      <c r="C9373" s="4" t="str">
        <f>IFERROR(__xludf.DUMMYFUNCTION("""COMPUTED_VALUE"""),"PLC Ultima")</f>
        <v>PLC Ultima</v>
      </c>
    </row>
    <row r="9374">
      <c r="A9374" s="4" t="str">
        <f>IFERROR(__xludf.DUMMYFUNCTION("""COMPUTED_VALUE"""),"plc-ultima-classic")</f>
        <v>plc-ultima-classic</v>
      </c>
      <c r="B9374" s="4" t="str">
        <f>IFERROR(__xludf.DUMMYFUNCTION("""COMPUTED_VALUE"""),"plcuc")</f>
        <v>plcuc</v>
      </c>
      <c r="C9374" s="4" t="str">
        <f>IFERROR(__xludf.DUMMYFUNCTION("""COMPUTED_VALUE"""),"PLC Ultima Classic")</f>
        <v>PLC Ultima Classic</v>
      </c>
    </row>
    <row r="9375">
      <c r="A9375" s="4" t="str">
        <f>IFERROR(__xludf.DUMMYFUNCTION("""COMPUTED_VALUE"""),"plearn")</f>
        <v>plearn</v>
      </c>
      <c r="B9375" s="4" t="str">
        <f>IFERROR(__xludf.DUMMYFUNCTION("""COMPUTED_VALUE"""),"pln")</f>
        <v>pln</v>
      </c>
      <c r="C9375" s="4" t="str">
        <f>IFERROR(__xludf.DUMMYFUNCTION("""COMPUTED_VALUE"""),"PLEARN")</f>
        <v>PLEARN</v>
      </c>
    </row>
    <row r="9376">
      <c r="A9376" s="4" t="str">
        <f>IFERROR(__xludf.DUMMYFUNCTION("""COMPUTED_VALUE"""),"pleasure-coin")</f>
        <v>pleasure-coin</v>
      </c>
      <c r="B9376" s="4" t="str">
        <f>IFERROR(__xludf.DUMMYFUNCTION("""COMPUTED_VALUE"""),"nsfw")</f>
        <v>nsfw</v>
      </c>
      <c r="C9376" s="4" t="str">
        <f>IFERROR(__xludf.DUMMYFUNCTION("""COMPUTED_VALUE"""),"Pleasure Coin")</f>
        <v>Pleasure Coin</v>
      </c>
    </row>
    <row r="9377">
      <c r="A9377" s="4" t="str">
        <f>IFERROR(__xludf.DUMMYFUNCTION("""COMPUTED_VALUE"""),"pleb")</f>
        <v>pleb</v>
      </c>
      <c r="B9377" s="4" t="str">
        <f>IFERROR(__xludf.DUMMYFUNCTION("""COMPUTED_VALUE"""),"pleb")</f>
        <v>pleb</v>
      </c>
      <c r="C9377" s="4" t="str">
        <f>IFERROR(__xludf.DUMMYFUNCTION("""COMPUTED_VALUE"""),"Pleb")</f>
        <v>Pleb</v>
      </c>
    </row>
    <row r="9378">
      <c r="A9378" s="4" t="str">
        <f>IFERROR(__xludf.DUMMYFUNCTION("""COMPUTED_VALUE"""),"plebbit")</f>
        <v>plebbit</v>
      </c>
      <c r="B9378" s="4" t="str">
        <f>IFERROR(__xludf.DUMMYFUNCTION("""COMPUTED_VALUE"""),"pleb")</f>
        <v>pleb</v>
      </c>
      <c r="C9378" s="4" t="str">
        <f>IFERROR(__xludf.DUMMYFUNCTION("""COMPUTED_VALUE"""),"Plebbit")</f>
        <v>Plebbit</v>
      </c>
    </row>
    <row r="9379">
      <c r="A9379" s="4" t="str">
        <f>IFERROR(__xludf.DUMMYFUNCTION("""COMPUTED_VALUE"""),"pleb-token")</f>
        <v>pleb-token</v>
      </c>
      <c r="B9379" s="4" t="str">
        <f>IFERROR(__xludf.DUMMYFUNCTION("""COMPUTED_VALUE"""),"pleb")</f>
        <v>pleb</v>
      </c>
      <c r="C9379" s="4" t="str">
        <f>IFERROR(__xludf.DUMMYFUNCTION("""COMPUTED_VALUE"""),"PLEB Token")</f>
        <v>PLEB Token</v>
      </c>
    </row>
    <row r="9380">
      <c r="A9380" s="4" t="str">
        <f>IFERROR(__xludf.DUMMYFUNCTION("""COMPUTED_VALUE"""),"plebz")</f>
        <v>plebz</v>
      </c>
      <c r="B9380" s="4" t="str">
        <f>IFERROR(__xludf.DUMMYFUNCTION("""COMPUTED_VALUE"""),"pleb")</f>
        <v>pleb</v>
      </c>
      <c r="C9380" s="4" t="str">
        <f>IFERROR(__xludf.DUMMYFUNCTION("""COMPUTED_VALUE"""),"Plebz")</f>
        <v>Plebz</v>
      </c>
    </row>
    <row r="9381">
      <c r="A9381" s="4" t="str">
        <f>IFERROR(__xludf.DUMMYFUNCTION("""COMPUTED_VALUE"""),"plenty-dao")</f>
        <v>plenty-dao</v>
      </c>
      <c r="B9381" s="4" t="str">
        <f>IFERROR(__xludf.DUMMYFUNCTION("""COMPUTED_VALUE"""),"plenty")</f>
        <v>plenty</v>
      </c>
      <c r="C9381" s="4" t="str">
        <f>IFERROR(__xludf.DUMMYFUNCTION("""COMPUTED_VALUE"""),"Plenty DeFi")</f>
        <v>Plenty DeFi</v>
      </c>
    </row>
    <row r="9382">
      <c r="A9382" s="4" t="str">
        <f>IFERROR(__xludf.DUMMYFUNCTION("""COMPUTED_VALUE"""),"plenty-ply")</f>
        <v>plenty-ply</v>
      </c>
      <c r="B9382" s="4" t="str">
        <f>IFERROR(__xludf.DUMMYFUNCTION("""COMPUTED_VALUE"""),"ply")</f>
        <v>ply</v>
      </c>
      <c r="C9382" s="4" t="str">
        <f>IFERROR(__xludf.DUMMYFUNCTION("""COMPUTED_VALUE"""),"Plenty PLY")</f>
        <v>Plenty PLY</v>
      </c>
    </row>
    <row r="9383">
      <c r="A9383" s="4" t="str">
        <f>IFERROR(__xludf.DUMMYFUNCTION("""COMPUTED_VALUE"""),"plex")</f>
        <v>plex</v>
      </c>
      <c r="B9383" s="4" t="str">
        <f>IFERROR(__xludf.DUMMYFUNCTION("""COMPUTED_VALUE"""),"plex")</f>
        <v>plex</v>
      </c>
      <c r="C9383" s="4" t="str">
        <f>IFERROR(__xludf.DUMMYFUNCTION("""COMPUTED_VALUE"""),"PLEX")</f>
        <v>PLEX</v>
      </c>
    </row>
    <row r="9384">
      <c r="A9384" s="4" t="str">
        <f>IFERROR(__xludf.DUMMYFUNCTION("""COMPUTED_VALUE"""),"plexus-app")</f>
        <v>plexus-app</v>
      </c>
      <c r="B9384" s="4" t="str">
        <f>IFERROR(__xludf.DUMMYFUNCTION("""COMPUTED_VALUE"""),"plx")</f>
        <v>plx</v>
      </c>
      <c r="C9384" s="4" t="str">
        <f>IFERROR(__xludf.DUMMYFUNCTION("""COMPUTED_VALUE"""),"PLEXUS")</f>
        <v>PLEXUS</v>
      </c>
    </row>
    <row r="9385">
      <c r="A9385" s="4" t="str">
        <f>IFERROR(__xludf.DUMMYFUNCTION("""COMPUTED_VALUE"""),"plgnet")</f>
        <v>plgnet</v>
      </c>
      <c r="B9385" s="4" t="str">
        <f>IFERROR(__xludf.DUMMYFUNCTION("""COMPUTED_VALUE"""),"plug")</f>
        <v>plug</v>
      </c>
      <c r="C9385" s="4" t="str">
        <f>IFERROR(__xludf.DUMMYFUNCTION("""COMPUTED_VALUE"""),"PL^Gnet")</f>
        <v>PL^Gnet</v>
      </c>
    </row>
    <row r="9386">
      <c r="A9386" s="4" t="str">
        <f>IFERROR(__xludf.DUMMYFUNCTION("""COMPUTED_VALUE"""),"plink-cat")</f>
        <v>plink-cat</v>
      </c>
      <c r="B9386" s="4" t="str">
        <f>IFERROR(__xludf.DUMMYFUNCTION("""COMPUTED_VALUE"""),"plink")</f>
        <v>plink</v>
      </c>
      <c r="C9386" s="4" t="str">
        <f>IFERROR(__xludf.DUMMYFUNCTION("""COMPUTED_VALUE"""),"Plink Cat")</f>
        <v>Plink Cat</v>
      </c>
    </row>
    <row r="9387">
      <c r="A9387" s="4" t="str">
        <f>IFERROR(__xludf.DUMMYFUNCTION("""COMPUTED_VALUE"""),"plotx")</f>
        <v>plotx</v>
      </c>
      <c r="B9387" s="4" t="str">
        <f>IFERROR(__xludf.DUMMYFUNCTION("""COMPUTED_VALUE"""),"plot")</f>
        <v>plot</v>
      </c>
      <c r="C9387" s="4" t="str">
        <f>IFERROR(__xludf.DUMMYFUNCTION("""COMPUTED_VALUE"""),"PlotX")</f>
        <v>PlotX</v>
      </c>
    </row>
    <row r="9388">
      <c r="A9388" s="4" t="str">
        <f>IFERROR(__xludf.DUMMYFUNCTION("""COMPUTED_VALUE"""),"plsjones")</f>
        <v>plsjones</v>
      </c>
      <c r="B9388" s="4" t="str">
        <f>IFERROR(__xludf.DUMMYFUNCTION("""COMPUTED_VALUE"""),"plsjones")</f>
        <v>plsjones</v>
      </c>
      <c r="C9388" s="4" t="str">
        <f>IFERROR(__xludf.DUMMYFUNCTION("""COMPUTED_VALUE"""),"plsJONES")</f>
        <v>plsJONES</v>
      </c>
    </row>
    <row r="9389">
      <c r="A9389" s="4" t="str">
        <f>IFERROR(__xludf.DUMMYFUNCTION("""COMPUTED_VALUE"""),"plug-chain")</f>
        <v>plug-chain</v>
      </c>
      <c r="B9389" s="4" t="str">
        <f>IFERROR(__xludf.DUMMYFUNCTION("""COMPUTED_VALUE"""),"pc")</f>
        <v>pc</v>
      </c>
      <c r="C9389" s="4" t="str">
        <f>IFERROR(__xludf.DUMMYFUNCTION("""COMPUTED_VALUE"""),"Plug Chain")</f>
        <v>Plug Chain</v>
      </c>
    </row>
    <row r="9390">
      <c r="A9390" s="4" t="str">
        <f>IFERROR(__xludf.DUMMYFUNCTION("""COMPUTED_VALUE"""),"plugin")</f>
        <v>plugin</v>
      </c>
      <c r="B9390" s="4" t="str">
        <f>IFERROR(__xludf.DUMMYFUNCTION("""COMPUTED_VALUE"""),"pli")</f>
        <v>pli</v>
      </c>
      <c r="C9390" s="4" t="str">
        <f>IFERROR(__xludf.DUMMYFUNCTION("""COMPUTED_VALUE"""),"Plugin")</f>
        <v>Plugin</v>
      </c>
    </row>
    <row r="9391">
      <c r="A9391" s="4" t="str">
        <f>IFERROR(__xludf.DUMMYFUNCTION("""COMPUTED_VALUE"""),"plug-power-ai")</f>
        <v>plug-power-ai</v>
      </c>
      <c r="B9391" s="4" t="str">
        <f>IFERROR(__xludf.DUMMYFUNCTION("""COMPUTED_VALUE"""),"ppai")</f>
        <v>ppai</v>
      </c>
      <c r="C9391" s="4" t="str">
        <f>IFERROR(__xludf.DUMMYFUNCTION("""COMPUTED_VALUE"""),"Plug Power AI")</f>
        <v>Plug Power AI</v>
      </c>
    </row>
    <row r="9392">
      <c r="A9392" s="4" t="str">
        <f>IFERROR(__xludf.DUMMYFUNCTION("""COMPUTED_VALUE"""),"plumpy-dragons")</f>
        <v>plumpy-dragons</v>
      </c>
      <c r="B9392" s="4" t="str">
        <f>IFERROR(__xludf.DUMMYFUNCTION("""COMPUTED_VALUE"""),"loong")</f>
        <v>loong</v>
      </c>
      <c r="C9392" s="4" t="str">
        <f>IFERROR(__xludf.DUMMYFUNCTION("""COMPUTED_VALUE"""),"PLUMPY DRAGONS")</f>
        <v>PLUMPY DRAGONS</v>
      </c>
    </row>
    <row r="9393">
      <c r="A9393" s="4" t="str">
        <f>IFERROR(__xludf.DUMMYFUNCTION("""COMPUTED_VALUE"""),"plums")</f>
        <v>plums</v>
      </c>
      <c r="B9393" s="4" t="str">
        <f>IFERROR(__xludf.DUMMYFUNCTION("""COMPUTED_VALUE"""),"plums")</f>
        <v>plums</v>
      </c>
      <c r="C9393" s="4" t="str">
        <f>IFERROR(__xludf.DUMMYFUNCTION("""COMPUTED_VALUE"""),"PLUMS")</f>
        <v>PLUMS</v>
      </c>
    </row>
    <row r="9394">
      <c r="A9394" s="4" t="str">
        <f>IFERROR(__xludf.DUMMYFUNCTION("""COMPUTED_VALUE"""),"pluton")</f>
        <v>pluton</v>
      </c>
      <c r="B9394" s="4" t="str">
        <f>IFERROR(__xludf.DUMMYFUNCTION("""COMPUTED_VALUE"""),"plu")</f>
        <v>plu</v>
      </c>
      <c r="C9394" s="4" t="str">
        <f>IFERROR(__xludf.DUMMYFUNCTION("""COMPUTED_VALUE"""),"Pluton")</f>
        <v>Pluton</v>
      </c>
    </row>
    <row r="9395">
      <c r="A9395" s="4" t="str">
        <f>IFERROR(__xludf.DUMMYFUNCTION("""COMPUTED_VALUE"""),"plutonian-dao")</f>
        <v>plutonian-dao</v>
      </c>
      <c r="B9395" s="4" t="str">
        <f>IFERROR(__xludf.DUMMYFUNCTION("""COMPUTED_VALUE"""),"pld")</f>
        <v>pld</v>
      </c>
      <c r="C9395" s="4" t="str">
        <f>IFERROR(__xludf.DUMMYFUNCTION("""COMPUTED_VALUE"""),"Plutonian DAO")</f>
        <v>Plutonian DAO</v>
      </c>
    </row>
    <row r="9396">
      <c r="A9396" s="4" t="str">
        <f>IFERROR(__xludf.DUMMYFUNCTION("""COMPUTED_VALUE"""),"plutus-arb")</f>
        <v>plutus-arb</v>
      </c>
      <c r="B9396" s="4" t="str">
        <f>IFERROR(__xludf.DUMMYFUNCTION("""COMPUTED_VALUE"""),"plsarb")</f>
        <v>plsarb</v>
      </c>
      <c r="C9396" s="4" t="str">
        <f>IFERROR(__xludf.DUMMYFUNCTION("""COMPUTED_VALUE"""),"Plutus ARB")</f>
        <v>Plutus ARB</v>
      </c>
    </row>
    <row r="9397">
      <c r="A9397" s="4" t="str">
        <f>IFERROR(__xludf.DUMMYFUNCTION("""COMPUTED_VALUE"""),"plutusdao")</f>
        <v>plutusdao</v>
      </c>
      <c r="B9397" s="4" t="str">
        <f>IFERROR(__xludf.DUMMYFUNCTION("""COMPUTED_VALUE"""),"pls")</f>
        <v>pls</v>
      </c>
      <c r="C9397" s="4" t="str">
        <f>IFERROR(__xludf.DUMMYFUNCTION("""COMPUTED_VALUE"""),"PlutusDAO")</f>
        <v>PlutusDAO</v>
      </c>
    </row>
    <row r="9398">
      <c r="A9398" s="4" t="str">
        <f>IFERROR(__xludf.DUMMYFUNCTION("""COMPUTED_VALUE"""),"plutus-dpx")</f>
        <v>plutus-dpx</v>
      </c>
      <c r="B9398" s="4" t="str">
        <f>IFERROR(__xludf.DUMMYFUNCTION("""COMPUTED_VALUE"""),"plsdpx")</f>
        <v>plsdpx</v>
      </c>
      <c r="C9398" s="4" t="str">
        <f>IFERROR(__xludf.DUMMYFUNCTION("""COMPUTED_VALUE"""),"Plutus DPX")</f>
        <v>Plutus DPX</v>
      </c>
    </row>
    <row r="9399">
      <c r="A9399" s="4" t="str">
        <f>IFERROR(__xludf.DUMMYFUNCTION("""COMPUTED_VALUE"""),"plutus-rdnt")</f>
        <v>plutus-rdnt</v>
      </c>
      <c r="B9399" s="4" t="str">
        <f>IFERROR(__xludf.DUMMYFUNCTION("""COMPUTED_VALUE"""),"plsrdnt")</f>
        <v>plsrdnt</v>
      </c>
      <c r="C9399" s="4" t="str">
        <f>IFERROR(__xludf.DUMMYFUNCTION("""COMPUTED_VALUE"""),"Plutus RDNT")</f>
        <v>Plutus RDNT</v>
      </c>
    </row>
    <row r="9400">
      <c r="A9400" s="4" t="str">
        <f>IFERROR(__xludf.DUMMYFUNCTION("""COMPUTED_VALUE"""),"plvglp")</f>
        <v>plvglp</v>
      </c>
      <c r="B9400" s="4" t="str">
        <f>IFERROR(__xludf.DUMMYFUNCTION("""COMPUTED_VALUE"""),"plvglp")</f>
        <v>plvglp</v>
      </c>
      <c r="C9400" s="4" t="str">
        <f>IFERROR(__xludf.DUMMYFUNCTION("""COMPUTED_VALUE"""),"plvGLP")</f>
        <v>plvGLP</v>
      </c>
    </row>
    <row r="9401">
      <c r="A9401" s="4" t="str">
        <f>IFERROR(__xludf.DUMMYFUNCTION("""COMPUTED_VALUE"""),"plxyer")</f>
        <v>plxyer</v>
      </c>
      <c r="B9401" s="4" t="str">
        <f>IFERROR(__xludf.DUMMYFUNCTION("""COMPUTED_VALUE"""),"plxy")</f>
        <v>plxy</v>
      </c>
      <c r="C9401" s="4" t="str">
        <f>IFERROR(__xludf.DUMMYFUNCTION("""COMPUTED_VALUE"""),"Plxyer")</f>
        <v>Plxyer</v>
      </c>
    </row>
    <row r="9402">
      <c r="A9402" s="4" t="str">
        <f>IFERROR(__xludf.DUMMYFUNCTION("""COMPUTED_VALUE"""),"plz-come-back-to-eth")</f>
        <v>plz-come-back-to-eth</v>
      </c>
      <c r="B9402" s="4" t="str">
        <f>IFERROR(__xludf.DUMMYFUNCTION("""COMPUTED_VALUE"""),"plz")</f>
        <v>plz</v>
      </c>
      <c r="C9402" s="4" t="str">
        <f>IFERROR(__xludf.DUMMYFUNCTION("""COMPUTED_VALUE"""),"PLZ COME BACK TO ETH")</f>
        <v>PLZ COME BACK TO ETH</v>
      </c>
    </row>
    <row r="9403">
      <c r="A9403" s="4" t="str">
        <f>IFERROR(__xludf.DUMMYFUNCTION("""COMPUTED_VALUE"""),"pmg-coin")</f>
        <v>pmg-coin</v>
      </c>
      <c r="B9403" s="4" t="str">
        <f>IFERROR(__xludf.DUMMYFUNCTION("""COMPUTED_VALUE"""),"pmg")</f>
        <v>pmg</v>
      </c>
      <c r="C9403" s="4" t="str">
        <f>IFERROR(__xludf.DUMMYFUNCTION("""COMPUTED_VALUE"""),"PMG Coin")</f>
        <v>PMG Coin</v>
      </c>
    </row>
    <row r="9404">
      <c r="A9404" s="4" t="str">
        <f>IFERROR(__xludf.DUMMYFUNCTION("""COMPUTED_VALUE"""),"pmxx")</f>
        <v>pmxx</v>
      </c>
      <c r="B9404" s="4" t="str">
        <f>IFERROR(__xludf.DUMMYFUNCTION("""COMPUTED_VALUE"""),"pmxx")</f>
        <v>pmxx</v>
      </c>
      <c r="C9404" s="4" t="str">
        <f>IFERROR(__xludf.DUMMYFUNCTION("""COMPUTED_VALUE"""),"People’s Money PMXX")</f>
        <v>People’s Money PMXX</v>
      </c>
    </row>
    <row r="9405">
      <c r="A9405" s="4" t="str">
        <f>IFERROR(__xludf.DUMMYFUNCTION("""COMPUTED_VALUE"""),"pnear")</f>
        <v>pnear</v>
      </c>
      <c r="B9405" s="4" t="str">
        <f>IFERROR(__xludf.DUMMYFUNCTION("""COMPUTED_VALUE"""),"pnear")</f>
        <v>pnear</v>
      </c>
      <c r="C9405" s="4" t="str">
        <f>IFERROR(__xludf.DUMMYFUNCTION("""COMPUTED_VALUE"""),"pNEAR")</f>
        <v>pNEAR</v>
      </c>
    </row>
    <row r="9406">
      <c r="A9406" s="4" t="str">
        <f>IFERROR(__xludf.DUMMYFUNCTION("""COMPUTED_VALUE"""),"pnetwork")</f>
        <v>pnetwork</v>
      </c>
      <c r="B9406" s="4" t="str">
        <f>IFERROR(__xludf.DUMMYFUNCTION("""COMPUTED_VALUE"""),"pnt")</f>
        <v>pnt</v>
      </c>
      <c r="C9406" s="4" t="str">
        <f>IFERROR(__xludf.DUMMYFUNCTION("""COMPUTED_VALUE"""),"pNetwork")</f>
        <v>pNetwork</v>
      </c>
    </row>
    <row r="9407">
      <c r="A9407" s="4" t="str">
        <f>IFERROR(__xludf.DUMMYFUNCTION("""COMPUTED_VALUE"""),"pnpcoin")</f>
        <v>pnpcoin</v>
      </c>
      <c r="B9407" s="4" t="str">
        <f>IFERROR(__xludf.DUMMYFUNCTION("""COMPUTED_VALUE"""),"pnpc")</f>
        <v>pnpc</v>
      </c>
      <c r="C9407" s="4" t="str">
        <f>IFERROR(__xludf.DUMMYFUNCTION("""COMPUTED_VALUE"""),"PNPCoin")</f>
        <v>PNPCoin</v>
      </c>
    </row>
    <row r="9408">
      <c r="A9408" s="4" t="str">
        <f>IFERROR(__xludf.DUMMYFUNCTION("""COMPUTED_VALUE"""),"pnut")</f>
        <v>pnut</v>
      </c>
      <c r="B9408" s="4" t="str">
        <f>IFERROR(__xludf.DUMMYFUNCTION("""COMPUTED_VALUE"""),"pnut")</f>
        <v>pnut</v>
      </c>
      <c r="C9408" s="4" t="str">
        <f>IFERROR(__xludf.DUMMYFUNCTION("""COMPUTED_VALUE"""),"Pnut")</f>
        <v>Pnut</v>
      </c>
    </row>
    <row r="9409">
      <c r="A9409" s="4" t="str">
        <f>IFERROR(__xludf.DUMMYFUNCTION("""COMPUTED_VALUE"""),"poc-blockchain")</f>
        <v>poc-blockchain</v>
      </c>
      <c r="B9409" s="4" t="str">
        <f>IFERROR(__xludf.DUMMYFUNCTION("""COMPUTED_VALUE"""),"poc")</f>
        <v>poc</v>
      </c>
      <c r="C9409" s="4" t="str">
        <f>IFERROR(__xludf.DUMMYFUNCTION("""COMPUTED_VALUE"""),"POC Blockchain")</f>
        <v>POC Blockchain</v>
      </c>
    </row>
    <row r="9410">
      <c r="A9410" s="4" t="str">
        <f>IFERROR(__xludf.DUMMYFUNCTION("""COMPUTED_VALUE"""),"pocketcoin")</f>
        <v>pocketcoin</v>
      </c>
      <c r="B9410" s="4" t="str">
        <f>IFERROR(__xludf.DUMMYFUNCTION("""COMPUTED_VALUE"""),"pkoin")</f>
        <v>pkoin</v>
      </c>
      <c r="C9410" s="4" t="str">
        <f>IFERROR(__xludf.DUMMYFUNCTION("""COMPUTED_VALUE"""),"Pocketcoin")</f>
        <v>Pocketcoin</v>
      </c>
    </row>
    <row r="9411">
      <c r="A9411" s="4" t="str">
        <f>IFERROR(__xludf.DUMMYFUNCTION("""COMPUTED_VALUE"""),"pocket-network")</f>
        <v>pocket-network</v>
      </c>
      <c r="B9411" s="4" t="str">
        <f>IFERROR(__xludf.DUMMYFUNCTION("""COMPUTED_VALUE"""),"pokt")</f>
        <v>pokt</v>
      </c>
      <c r="C9411" s="4" t="str">
        <f>IFERROR(__xludf.DUMMYFUNCTION("""COMPUTED_VALUE"""),"Pocket Network")</f>
        <v>Pocket Network</v>
      </c>
    </row>
    <row r="9412">
      <c r="A9412" s="4" t="str">
        <f>IFERROR(__xludf.DUMMYFUNCTION("""COMPUTED_VALUE"""),"pocket-watcher-bot")</f>
        <v>pocket-watcher-bot</v>
      </c>
      <c r="B9412" s="4" t="str">
        <f>IFERROR(__xludf.DUMMYFUNCTION("""COMPUTED_VALUE"""),"pocket")</f>
        <v>pocket</v>
      </c>
      <c r="C9412" s="4" t="str">
        <f>IFERROR(__xludf.DUMMYFUNCTION("""COMPUTED_VALUE"""),"Pocket Watcher Bot")</f>
        <v>Pocket Watcher Bot</v>
      </c>
    </row>
    <row r="9413">
      <c r="A9413" s="4" t="str">
        <f>IFERROR(__xludf.DUMMYFUNCTION("""COMPUTED_VALUE"""),"pocoland")</f>
        <v>pocoland</v>
      </c>
      <c r="B9413" s="4" t="str">
        <f>IFERROR(__xludf.DUMMYFUNCTION("""COMPUTED_VALUE"""),"poco")</f>
        <v>poco</v>
      </c>
      <c r="C9413" s="4" t="str">
        <f>IFERROR(__xludf.DUMMYFUNCTION("""COMPUTED_VALUE"""),"Pocoland")</f>
        <v>Pocoland</v>
      </c>
    </row>
    <row r="9414">
      <c r="A9414" s="4" t="str">
        <f>IFERROR(__xludf.DUMMYFUNCTION("""COMPUTED_VALUE"""),"podfast")</f>
        <v>podfast</v>
      </c>
      <c r="B9414" s="4" t="str">
        <f>IFERROR(__xludf.DUMMYFUNCTION("""COMPUTED_VALUE"""),"$fast")</f>
        <v>$fast</v>
      </c>
      <c r="C9414" s="4" t="str">
        <f>IFERROR(__xludf.DUMMYFUNCTION("""COMPUTED_VALUE"""),"PodFast")</f>
        <v>PodFast</v>
      </c>
    </row>
    <row r="9415">
      <c r="A9415" s="4" t="str">
        <f>IFERROR(__xludf.DUMMYFUNCTION("""COMPUTED_VALUE"""),"pod-finance")</f>
        <v>pod-finance</v>
      </c>
      <c r="B9415" s="4" t="str">
        <f>IFERROR(__xludf.DUMMYFUNCTION("""COMPUTED_VALUE"""),"pod")</f>
        <v>pod</v>
      </c>
      <c r="C9415" s="4" t="str">
        <f>IFERROR(__xludf.DUMMYFUNCTION("""COMPUTED_VALUE"""),"Pod Finance")</f>
        <v>Pod Finance</v>
      </c>
    </row>
    <row r="9416">
      <c r="A9416" s="4" t="str">
        <f>IFERROR(__xludf.DUMMYFUNCTION("""COMPUTED_VALUE"""),"poet")</f>
        <v>poet</v>
      </c>
      <c r="B9416" s="4" t="str">
        <f>IFERROR(__xludf.DUMMYFUNCTION("""COMPUTED_VALUE"""),"poe")</f>
        <v>poe</v>
      </c>
      <c r="C9416" s="5" t="str">
        <f>IFERROR(__xludf.DUMMYFUNCTION("""COMPUTED_VALUE"""),"Po.et")</f>
        <v>Po.et</v>
      </c>
    </row>
    <row r="9417">
      <c r="A9417" s="4" t="str">
        <f>IFERROR(__xludf.DUMMYFUNCTION("""COMPUTED_VALUE"""),"pogai")</f>
        <v>pogai</v>
      </c>
      <c r="B9417" s="4" t="str">
        <f>IFERROR(__xludf.DUMMYFUNCTION("""COMPUTED_VALUE"""),"pogai")</f>
        <v>pogai</v>
      </c>
      <c r="C9417" s="4" t="str">
        <f>IFERROR(__xludf.DUMMYFUNCTION("""COMPUTED_VALUE"""),"POGAI")</f>
        <v>POGAI</v>
      </c>
    </row>
    <row r="9418">
      <c r="A9418" s="4" t="str">
        <f>IFERROR(__xludf.DUMMYFUNCTION("""COMPUTED_VALUE"""),"poglana")</f>
        <v>poglana</v>
      </c>
      <c r="B9418" s="4" t="str">
        <f>IFERROR(__xludf.DUMMYFUNCTION("""COMPUTED_VALUE"""),"pog")</f>
        <v>pog</v>
      </c>
      <c r="C9418" s="4" t="str">
        <f>IFERROR(__xludf.DUMMYFUNCTION("""COMPUTED_VALUE"""),"Poglana")</f>
        <v>Poglana</v>
      </c>
    </row>
    <row r="9419">
      <c r="A9419" s="4" t="str">
        <f>IFERROR(__xludf.DUMMYFUNCTION("""COMPUTED_VALUE"""),"pointpay")</f>
        <v>pointpay</v>
      </c>
      <c r="B9419" s="4" t="str">
        <f>IFERROR(__xludf.DUMMYFUNCTION("""COMPUTED_VALUE"""),"pxp")</f>
        <v>pxp</v>
      </c>
      <c r="C9419" s="4" t="str">
        <f>IFERROR(__xludf.DUMMYFUNCTION("""COMPUTED_VALUE"""),"PointPay")</f>
        <v>PointPay</v>
      </c>
    </row>
    <row r="9420">
      <c r="A9420" s="4" t="str">
        <f>IFERROR(__xludf.DUMMYFUNCTION("""COMPUTED_VALUE"""),"points")</f>
        <v>points</v>
      </c>
      <c r="B9420" s="4" t="str">
        <f>IFERROR(__xludf.DUMMYFUNCTION("""COMPUTED_VALUE"""),"points")</f>
        <v>points</v>
      </c>
      <c r="C9420" s="4" t="str">
        <f>IFERROR(__xludf.DUMMYFUNCTION("""COMPUTED_VALUE"""),"Points")</f>
        <v>Points</v>
      </c>
    </row>
    <row r="9421">
      <c r="A9421" s="4" t="str">
        <f>IFERROR(__xludf.DUMMYFUNCTION("""COMPUTED_VALUE"""),"points-on-solana")</f>
        <v>points-on-solana</v>
      </c>
      <c r="B9421" s="4" t="str">
        <f>IFERROR(__xludf.DUMMYFUNCTION("""COMPUTED_VALUE"""),"points")</f>
        <v>points</v>
      </c>
      <c r="C9421" s="4" t="str">
        <f>IFERROR(__xludf.DUMMYFUNCTION("""COMPUTED_VALUE"""),"Points on Solana")</f>
        <v>Points on Solana</v>
      </c>
    </row>
    <row r="9422">
      <c r="A9422" s="4" t="str">
        <f>IFERROR(__xludf.DUMMYFUNCTION("""COMPUTED_VALUE"""),"poison-finance")</f>
        <v>poison-finance</v>
      </c>
      <c r="B9422" s="4" t="str">
        <f>IFERROR(__xludf.DUMMYFUNCTION("""COMPUTED_VALUE"""),"poi$on")</f>
        <v>poi$on</v>
      </c>
      <c r="C9422" s="4" t="str">
        <f>IFERROR(__xludf.DUMMYFUNCTION("""COMPUTED_VALUE"""),"Poison Finance")</f>
        <v>Poison Finance</v>
      </c>
    </row>
    <row r="9423">
      <c r="A9423" s="4" t="str">
        <f>IFERROR(__xludf.DUMMYFUNCTION("""COMPUTED_VALUE"""),"pokedx")</f>
        <v>pokedx</v>
      </c>
      <c r="B9423" s="4" t="str">
        <f>IFERROR(__xludf.DUMMYFUNCTION("""COMPUTED_VALUE"""),"pdx")</f>
        <v>pdx</v>
      </c>
      <c r="C9423" s="4" t="str">
        <f>IFERROR(__xludf.DUMMYFUNCTION("""COMPUTED_VALUE"""),"PokeDX")</f>
        <v>PokeDX</v>
      </c>
    </row>
    <row r="9424">
      <c r="A9424" s="4" t="str">
        <f>IFERROR(__xludf.DUMMYFUNCTION("""COMPUTED_VALUE"""),"pokegrok")</f>
        <v>pokegrok</v>
      </c>
      <c r="B9424" s="4" t="str">
        <f>IFERROR(__xludf.DUMMYFUNCTION("""COMPUTED_VALUE"""),"pokegrok")</f>
        <v>pokegrok</v>
      </c>
      <c r="C9424" s="4" t="str">
        <f>IFERROR(__xludf.DUMMYFUNCTION("""COMPUTED_VALUE"""),"PokeGROK")</f>
        <v>PokeGROK</v>
      </c>
    </row>
    <row r="9425">
      <c r="A9425" s="4" t="str">
        <f>IFERROR(__xludf.DUMMYFUNCTION("""COMPUTED_VALUE"""),"poken")</f>
        <v>poken</v>
      </c>
      <c r="B9425" s="4" t="str">
        <f>IFERROR(__xludf.DUMMYFUNCTION("""COMPUTED_VALUE"""),"pkn")</f>
        <v>pkn</v>
      </c>
      <c r="C9425" s="4" t="str">
        <f>IFERROR(__xludf.DUMMYFUNCTION("""COMPUTED_VALUE"""),"Poken")</f>
        <v>Poken</v>
      </c>
    </row>
    <row r="9426">
      <c r="A9426" s="4" t="str">
        <f>IFERROR(__xludf.DUMMYFUNCTION("""COMPUTED_VALUE"""),"pokeplay-token")</f>
        <v>pokeplay-token</v>
      </c>
      <c r="B9426" s="4" t="str">
        <f>IFERROR(__xludf.DUMMYFUNCTION("""COMPUTED_VALUE"""),"ppc")</f>
        <v>ppc</v>
      </c>
      <c r="C9426" s="4" t="str">
        <f>IFERROR(__xludf.DUMMYFUNCTION("""COMPUTED_VALUE"""),"PokePlay Token")</f>
        <v>PokePlay Token</v>
      </c>
    </row>
    <row r="9427">
      <c r="A9427" s="4" t="str">
        <f>IFERROR(__xludf.DUMMYFUNCTION("""COMPUTED_VALUE"""),"poker-chads")</f>
        <v>poker-chads</v>
      </c>
      <c r="B9427" s="4" t="str">
        <f>IFERROR(__xludf.DUMMYFUNCTION("""COMPUTED_VALUE"""),"pkc")</f>
        <v>pkc</v>
      </c>
      <c r="C9427" s="4" t="str">
        <f>IFERROR(__xludf.DUMMYFUNCTION("""COMPUTED_VALUE"""),"Poker Chads")</f>
        <v>Poker Chads</v>
      </c>
    </row>
    <row r="9428">
      <c r="A9428" s="4" t="str">
        <f>IFERROR(__xludf.DUMMYFUNCTION("""COMPUTED_VALUE"""),"pokerfi")</f>
        <v>pokerfi</v>
      </c>
      <c r="B9428" s="4" t="str">
        <f>IFERROR(__xludf.DUMMYFUNCTION("""COMPUTED_VALUE"""),"pokerfi")</f>
        <v>pokerfi</v>
      </c>
      <c r="C9428" s="4" t="str">
        <f>IFERROR(__xludf.DUMMYFUNCTION("""COMPUTED_VALUE"""),"PokerFi")</f>
        <v>PokerFi</v>
      </c>
    </row>
    <row r="9429">
      <c r="A9429" s="4" t="str">
        <f>IFERROR(__xludf.DUMMYFUNCTION("""COMPUTED_VALUE"""),"poko")</f>
        <v>poko</v>
      </c>
      <c r="B9429" s="4" t="str">
        <f>IFERROR(__xludf.DUMMYFUNCTION("""COMPUTED_VALUE"""),"poko")</f>
        <v>poko</v>
      </c>
      <c r="C9429" s="4" t="str">
        <f>IFERROR(__xludf.DUMMYFUNCTION("""COMPUTED_VALUE"""),"POKO")</f>
        <v>POKO</v>
      </c>
    </row>
    <row r="9430">
      <c r="A9430" s="4" t="str">
        <f>IFERROR(__xludf.DUMMYFUNCTION("""COMPUTED_VALUE"""),"polar")</f>
        <v>polar</v>
      </c>
      <c r="B9430" s="4" t="str">
        <f>IFERROR(__xludf.DUMMYFUNCTION("""COMPUTED_VALUE"""),"polar")</f>
        <v>polar</v>
      </c>
      <c r="C9430" s="4" t="str">
        <f>IFERROR(__xludf.DUMMYFUNCTION("""COMPUTED_VALUE"""),"POLAR")</f>
        <v>POLAR</v>
      </c>
    </row>
    <row r="9431">
      <c r="A9431" s="4" t="str">
        <f>IFERROR(__xludf.DUMMYFUNCTION("""COMPUTED_VALUE"""),"polar-bear-2026")</f>
        <v>polar-bear-2026</v>
      </c>
      <c r="B9431" s="4" t="str">
        <f>IFERROR(__xludf.DUMMYFUNCTION("""COMPUTED_VALUE"""),"ойойойойой")</f>
        <v>ойойойойой</v>
      </c>
      <c r="C9431" s="4" t="str">
        <f>IFERROR(__xludf.DUMMYFUNCTION("""COMPUTED_VALUE"""),"Polar Bear 2026")</f>
        <v>Polar Bear 2026</v>
      </c>
    </row>
    <row r="9432">
      <c r="A9432" s="4" t="str">
        <f>IFERROR(__xludf.DUMMYFUNCTION("""COMPUTED_VALUE"""),"polaris-share")</f>
        <v>polaris-share</v>
      </c>
      <c r="B9432" s="4" t="str">
        <f>IFERROR(__xludf.DUMMYFUNCTION("""COMPUTED_VALUE"""),"pola")</f>
        <v>pola</v>
      </c>
      <c r="C9432" s="4" t="str">
        <f>IFERROR(__xludf.DUMMYFUNCTION("""COMPUTED_VALUE"""),"Polaris Share")</f>
        <v>Polaris Share</v>
      </c>
    </row>
    <row r="9433">
      <c r="A9433" s="4" t="str">
        <f>IFERROR(__xludf.DUMMYFUNCTION("""COMPUTED_VALUE"""),"polar-shares")</f>
        <v>polar-shares</v>
      </c>
      <c r="B9433" s="4" t="str">
        <f>IFERROR(__xludf.DUMMYFUNCTION("""COMPUTED_VALUE"""),"spolar")</f>
        <v>spolar</v>
      </c>
      <c r="C9433" s="4" t="str">
        <f>IFERROR(__xludf.DUMMYFUNCTION("""COMPUTED_VALUE"""),"Polar Shares")</f>
        <v>Polar Shares</v>
      </c>
    </row>
    <row r="9434">
      <c r="A9434" s="4" t="str">
        <f>IFERROR(__xludf.DUMMYFUNCTION("""COMPUTED_VALUE"""),"polar-sync")</f>
        <v>polar-sync</v>
      </c>
      <c r="B9434" s="4" t="str">
        <f>IFERROR(__xludf.DUMMYFUNCTION("""COMPUTED_VALUE"""),"polar")</f>
        <v>polar</v>
      </c>
      <c r="C9434" s="4" t="str">
        <f>IFERROR(__xludf.DUMMYFUNCTION("""COMPUTED_VALUE"""),"Polar Sync")</f>
        <v>Polar Sync</v>
      </c>
    </row>
    <row r="9435">
      <c r="A9435" s="4" t="str">
        <f>IFERROR(__xludf.DUMMYFUNCTION("""COMPUTED_VALUE"""),"polar-token")</f>
        <v>polar-token</v>
      </c>
      <c r="B9435" s="4" t="str">
        <f>IFERROR(__xludf.DUMMYFUNCTION("""COMPUTED_VALUE"""),"polar")</f>
        <v>polar</v>
      </c>
      <c r="C9435" s="4" t="str">
        <f>IFERROR(__xludf.DUMMYFUNCTION("""COMPUTED_VALUE"""),"Polaris Finance Polar")</f>
        <v>Polaris Finance Polar</v>
      </c>
    </row>
    <row r="9436">
      <c r="A9436" s="4" t="str">
        <f>IFERROR(__xludf.DUMMYFUNCTION("""COMPUTED_VALUE"""),"poldo")</f>
        <v>poldo</v>
      </c>
      <c r="B9436" s="4" t="str">
        <f>IFERROR(__xludf.DUMMYFUNCTION("""COMPUTED_VALUE"""),"poldo")</f>
        <v>poldo</v>
      </c>
      <c r="C9436" s="4" t="str">
        <f>IFERROR(__xludf.DUMMYFUNCTION("""COMPUTED_VALUE"""),"Poldo")</f>
        <v>Poldo</v>
      </c>
    </row>
    <row r="9437">
      <c r="A9437" s="4" t="str">
        <f>IFERROR(__xludf.DUMMYFUNCTION("""COMPUTED_VALUE"""),"polimec")</f>
        <v>polimec</v>
      </c>
      <c r="B9437" s="4" t="str">
        <f>IFERROR(__xludf.DUMMYFUNCTION("""COMPUTED_VALUE"""),"plmc")</f>
        <v>plmc</v>
      </c>
      <c r="C9437" s="4" t="str">
        <f>IFERROR(__xludf.DUMMYFUNCTION("""COMPUTED_VALUE"""),"Polimec")</f>
        <v>Polimec</v>
      </c>
    </row>
    <row r="9438">
      <c r="A9438" s="4" t="str">
        <f>IFERROR(__xludf.DUMMYFUNCTION("""COMPUTED_VALUE"""),"polinate")</f>
        <v>polinate</v>
      </c>
      <c r="B9438" s="4" t="str">
        <f>IFERROR(__xludf.DUMMYFUNCTION("""COMPUTED_VALUE"""),"poli")</f>
        <v>poli</v>
      </c>
      <c r="C9438" s="4" t="str">
        <f>IFERROR(__xludf.DUMMYFUNCTION("""COMPUTED_VALUE"""),"Polinate")</f>
        <v>Polinate</v>
      </c>
    </row>
    <row r="9439">
      <c r="A9439" s="4" t="str">
        <f>IFERROR(__xludf.DUMMYFUNCTION("""COMPUTED_VALUE"""),"polis")</f>
        <v>polis</v>
      </c>
      <c r="B9439" s="4" t="str">
        <f>IFERROR(__xludf.DUMMYFUNCTION("""COMPUTED_VALUE"""),"polis")</f>
        <v>polis</v>
      </c>
      <c r="C9439" s="4" t="str">
        <f>IFERROR(__xludf.DUMMYFUNCTION("""COMPUTED_VALUE"""),"Polis")</f>
        <v>Polis</v>
      </c>
    </row>
    <row r="9440">
      <c r="A9440" s="4" t="str">
        <f>IFERROR(__xludf.DUMMYFUNCTION("""COMPUTED_VALUE"""),"polkabridge")</f>
        <v>polkabridge</v>
      </c>
      <c r="B9440" s="4" t="str">
        <f>IFERROR(__xludf.DUMMYFUNCTION("""COMPUTED_VALUE"""),"pbr")</f>
        <v>pbr</v>
      </c>
      <c r="C9440" s="4" t="str">
        <f>IFERROR(__xludf.DUMMYFUNCTION("""COMPUTED_VALUE"""),"PolkaBridge")</f>
        <v>PolkaBridge</v>
      </c>
    </row>
    <row r="9441">
      <c r="A9441" s="4" t="str">
        <f>IFERROR(__xludf.DUMMYFUNCTION("""COMPUTED_VALUE"""),"polka-city")</f>
        <v>polka-city</v>
      </c>
      <c r="B9441" s="4" t="str">
        <f>IFERROR(__xludf.DUMMYFUNCTION("""COMPUTED_VALUE"""),"polc")</f>
        <v>polc</v>
      </c>
      <c r="C9441" s="4" t="str">
        <f>IFERROR(__xludf.DUMMYFUNCTION("""COMPUTED_VALUE"""),"Polkacity")</f>
        <v>Polkacity</v>
      </c>
    </row>
    <row r="9442">
      <c r="A9442" s="4" t="str">
        <f>IFERROR(__xludf.DUMMYFUNCTION("""COMPUTED_VALUE"""),"polkadex")</f>
        <v>polkadex</v>
      </c>
      <c r="B9442" s="4" t="str">
        <f>IFERROR(__xludf.DUMMYFUNCTION("""COMPUTED_VALUE"""),"pdex")</f>
        <v>pdex</v>
      </c>
      <c r="C9442" s="4" t="str">
        <f>IFERROR(__xludf.DUMMYFUNCTION("""COMPUTED_VALUE"""),"Polkadex")</f>
        <v>Polkadex</v>
      </c>
    </row>
    <row r="9443">
      <c r="A9443" s="4" t="str">
        <f>IFERROR(__xludf.DUMMYFUNCTION("""COMPUTED_VALUE"""),"polkadot")</f>
        <v>polkadot</v>
      </c>
      <c r="B9443" s="4" t="str">
        <f>IFERROR(__xludf.DUMMYFUNCTION("""COMPUTED_VALUE"""),"dot")</f>
        <v>dot</v>
      </c>
      <c r="C9443" s="4" t="str">
        <f>IFERROR(__xludf.DUMMYFUNCTION("""COMPUTED_VALUE"""),"Polkadot")</f>
        <v>Polkadot</v>
      </c>
    </row>
    <row r="9444">
      <c r="A9444" s="4" t="str">
        <f>IFERROR(__xludf.DUMMYFUNCTION("""COMPUTED_VALUE"""),"polkafoundry")</f>
        <v>polkafoundry</v>
      </c>
      <c r="B9444" s="4" t="str">
        <f>IFERROR(__xludf.DUMMYFUNCTION("""COMPUTED_VALUE"""),"pkf")</f>
        <v>pkf</v>
      </c>
      <c r="C9444" s="4" t="str">
        <f>IFERROR(__xludf.DUMMYFUNCTION("""COMPUTED_VALUE"""),"Red Kite")</f>
        <v>Red Kite</v>
      </c>
    </row>
    <row r="9445">
      <c r="A9445" s="4" t="str">
        <f>IFERROR(__xludf.DUMMYFUNCTION("""COMPUTED_VALUE"""),"polkagold")</f>
        <v>polkagold</v>
      </c>
      <c r="B9445" s="4" t="str">
        <f>IFERROR(__xludf.DUMMYFUNCTION("""COMPUTED_VALUE"""),"pgold")</f>
        <v>pgold</v>
      </c>
      <c r="C9445" s="4" t="str">
        <f>IFERROR(__xludf.DUMMYFUNCTION("""COMPUTED_VALUE"""),"Polkagold")</f>
        <v>Polkagold</v>
      </c>
    </row>
    <row r="9446">
      <c r="A9446" s="4" t="str">
        <f>IFERROR(__xludf.DUMMYFUNCTION("""COMPUTED_VALUE"""),"polkamarkets")</f>
        <v>polkamarkets</v>
      </c>
      <c r="B9446" s="4" t="str">
        <f>IFERROR(__xludf.DUMMYFUNCTION("""COMPUTED_VALUE"""),"polk")</f>
        <v>polk</v>
      </c>
      <c r="C9446" s="4" t="str">
        <f>IFERROR(__xludf.DUMMYFUNCTION("""COMPUTED_VALUE"""),"Polkamarkets")</f>
        <v>Polkamarkets</v>
      </c>
    </row>
    <row r="9447">
      <c r="A9447" s="4" t="str">
        <f>IFERROR(__xludf.DUMMYFUNCTION("""COMPUTED_VALUE"""),"polkapet-world")</f>
        <v>polkapet-world</v>
      </c>
      <c r="B9447" s="4" t="str">
        <f>IFERROR(__xludf.DUMMYFUNCTION("""COMPUTED_VALUE"""),"pets")</f>
        <v>pets</v>
      </c>
      <c r="C9447" s="4" t="str">
        <f>IFERROR(__xludf.DUMMYFUNCTION("""COMPUTED_VALUE"""),"PolkaPet World")</f>
        <v>PolkaPet World</v>
      </c>
    </row>
    <row r="9448">
      <c r="A9448" s="4" t="str">
        <f>IFERROR(__xludf.DUMMYFUNCTION("""COMPUTED_VALUE"""),"polkaplay")</f>
        <v>polkaplay</v>
      </c>
      <c r="B9448" s="4" t="str">
        <f>IFERROR(__xludf.DUMMYFUNCTION("""COMPUTED_VALUE"""),"polo")</f>
        <v>polo</v>
      </c>
      <c r="C9448" s="4" t="str">
        <f>IFERROR(__xludf.DUMMYFUNCTION("""COMPUTED_VALUE"""),"NftyPlay")</f>
        <v>NftyPlay</v>
      </c>
    </row>
    <row r="9449">
      <c r="A9449" s="4" t="str">
        <f>IFERROR(__xludf.DUMMYFUNCTION("""COMPUTED_VALUE"""),"polkarare")</f>
        <v>polkarare</v>
      </c>
      <c r="B9449" s="4" t="str">
        <f>IFERROR(__xludf.DUMMYFUNCTION("""COMPUTED_VALUE"""),"prare")</f>
        <v>prare</v>
      </c>
      <c r="C9449" s="4" t="str">
        <f>IFERROR(__xludf.DUMMYFUNCTION("""COMPUTED_VALUE"""),"Polkarare")</f>
        <v>Polkarare</v>
      </c>
    </row>
    <row r="9450">
      <c r="A9450" s="4" t="str">
        <f>IFERROR(__xludf.DUMMYFUNCTION("""COMPUTED_VALUE"""),"polkastarter")</f>
        <v>polkastarter</v>
      </c>
      <c r="B9450" s="4" t="str">
        <f>IFERROR(__xludf.DUMMYFUNCTION("""COMPUTED_VALUE"""),"pols")</f>
        <v>pols</v>
      </c>
      <c r="C9450" s="4" t="str">
        <f>IFERROR(__xludf.DUMMYFUNCTION("""COMPUTED_VALUE"""),"Polkastarter")</f>
        <v>Polkastarter</v>
      </c>
    </row>
    <row r="9451">
      <c r="A9451" s="4" t="str">
        <f>IFERROR(__xludf.DUMMYFUNCTION("""COMPUTED_VALUE"""),"polkaswap")</f>
        <v>polkaswap</v>
      </c>
      <c r="B9451" s="4" t="str">
        <f>IFERROR(__xludf.DUMMYFUNCTION("""COMPUTED_VALUE"""),"pswap")</f>
        <v>pswap</v>
      </c>
      <c r="C9451" s="4" t="str">
        <f>IFERROR(__xludf.DUMMYFUNCTION("""COMPUTED_VALUE"""),"Polkaswap")</f>
        <v>Polkaswap</v>
      </c>
    </row>
    <row r="9452">
      <c r="A9452" s="4" t="str">
        <f>IFERROR(__xludf.DUMMYFUNCTION("""COMPUTED_VALUE"""),"polkawar")</f>
        <v>polkawar</v>
      </c>
      <c r="B9452" s="4" t="str">
        <f>IFERROR(__xludf.DUMMYFUNCTION("""COMPUTED_VALUE"""),"pwar")</f>
        <v>pwar</v>
      </c>
      <c r="C9452" s="4" t="str">
        <f>IFERROR(__xludf.DUMMYFUNCTION("""COMPUTED_VALUE"""),"PolkaWar")</f>
        <v>PolkaWar</v>
      </c>
    </row>
    <row r="9453">
      <c r="A9453" s="4" t="str">
        <f>IFERROR(__xludf.DUMMYFUNCTION("""COMPUTED_VALUE"""),"polker")</f>
        <v>polker</v>
      </c>
      <c r="B9453" s="4" t="str">
        <f>IFERROR(__xludf.DUMMYFUNCTION("""COMPUTED_VALUE"""),"pkr")</f>
        <v>pkr</v>
      </c>
      <c r="C9453" s="4" t="str">
        <f>IFERROR(__xludf.DUMMYFUNCTION("""COMPUTED_VALUE"""),"Polker")</f>
        <v>Polker</v>
      </c>
    </row>
    <row r="9454">
      <c r="A9454" s="4" t="str">
        <f>IFERROR(__xludf.DUMMYFUNCTION("""COMPUTED_VALUE"""),"pollen")</f>
        <v>pollen</v>
      </c>
      <c r="B9454" s="4" t="str">
        <f>IFERROR(__xludf.DUMMYFUNCTION("""COMPUTED_VALUE"""),"pln")</f>
        <v>pln</v>
      </c>
      <c r="C9454" s="4" t="str">
        <f>IFERROR(__xludf.DUMMYFUNCTION("""COMPUTED_VALUE"""),"Pollen")</f>
        <v>Pollen</v>
      </c>
    </row>
    <row r="9455">
      <c r="A9455" s="4" t="str">
        <f>IFERROR(__xludf.DUMMYFUNCTION("""COMPUTED_VALUE"""),"pollux-coin")</f>
        <v>pollux-coin</v>
      </c>
      <c r="B9455" s="4" t="str">
        <f>IFERROR(__xludf.DUMMYFUNCTION("""COMPUTED_VALUE"""),"pox")</f>
        <v>pox</v>
      </c>
      <c r="C9455" s="4" t="str">
        <f>IFERROR(__xludf.DUMMYFUNCTION("""COMPUTED_VALUE"""),"Pollux Coin")</f>
        <v>Pollux Coin</v>
      </c>
    </row>
    <row r="9456">
      <c r="A9456" s="4" t="str">
        <f>IFERROR(__xludf.DUMMYFUNCTION("""COMPUTED_VALUE"""),"polly")</f>
        <v>polly</v>
      </c>
      <c r="B9456" s="4" t="str">
        <f>IFERROR(__xludf.DUMMYFUNCTION("""COMPUTED_VALUE"""),"polly")</f>
        <v>polly</v>
      </c>
      <c r="C9456" s="4" t="str">
        <f>IFERROR(__xludf.DUMMYFUNCTION("""COMPUTED_VALUE"""),"Polly Finance")</f>
        <v>Polly Finance</v>
      </c>
    </row>
    <row r="9457">
      <c r="A9457" s="4" t="str">
        <f>IFERROR(__xludf.DUMMYFUNCTION("""COMPUTED_VALUE"""),"polly-defi-nest")</f>
        <v>polly-defi-nest</v>
      </c>
      <c r="B9457" s="4" t="str">
        <f>IFERROR(__xludf.DUMMYFUNCTION("""COMPUTED_VALUE"""),"ndefi")</f>
        <v>ndefi</v>
      </c>
      <c r="C9457" s="4" t="str">
        <f>IFERROR(__xludf.DUMMYFUNCTION("""COMPUTED_VALUE"""),"Polly DeFi Nest")</f>
        <v>Polly DeFi Nest</v>
      </c>
    </row>
    <row r="9458">
      <c r="A9458" s="4" t="str">
        <f>IFERROR(__xludf.DUMMYFUNCTION("""COMPUTED_VALUE"""),"polter-finance")</f>
        <v>polter-finance</v>
      </c>
      <c r="B9458" s="4" t="str">
        <f>IFERROR(__xludf.DUMMYFUNCTION("""COMPUTED_VALUE"""),"polter")</f>
        <v>polter</v>
      </c>
      <c r="C9458" s="4" t="str">
        <f>IFERROR(__xludf.DUMMYFUNCTION("""COMPUTED_VALUE"""),"Polter.finance")</f>
        <v>Polter.finance</v>
      </c>
    </row>
    <row r="9459">
      <c r="A9459" s="4" t="str">
        <f>IFERROR(__xludf.DUMMYFUNCTION("""COMPUTED_VALUE"""),"polycat-finance")</f>
        <v>polycat-finance</v>
      </c>
      <c r="B9459" s="4" t="str">
        <f>IFERROR(__xludf.DUMMYFUNCTION("""COMPUTED_VALUE"""),"fish")</f>
        <v>fish</v>
      </c>
      <c r="C9459" s="4" t="str">
        <f>IFERROR(__xludf.DUMMYFUNCTION("""COMPUTED_VALUE"""),"Polycat Finance")</f>
        <v>Polycat Finance</v>
      </c>
    </row>
    <row r="9460">
      <c r="A9460" s="4" t="str">
        <f>IFERROR(__xludf.DUMMYFUNCTION("""COMPUTED_VALUE"""),"polychain-monsters")</f>
        <v>polychain-monsters</v>
      </c>
      <c r="B9460" s="4" t="str">
        <f>IFERROR(__xludf.DUMMYFUNCTION("""COMPUTED_VALUE"""),"pmon")</f>
        <v>pmon</v>
      </c>
      <c r="C9460" s="4" t="str">
        <f>IFERROR(__xludf.DUMMYFUNCTION("""COMPUTED_VALUE"""),"Polychain Monsters")</f>
        <v>Polychain Monsters</v>
      </c>
    </row>
    <row r="9461">
      <c r="A9461" s="4" t="str">
        <f>IFERROR(__xludf.DUMMYFUNCTION("""COMPUTED_VALUE"""),"polycub")</f>
        <v>polycub</v>
      </c>
      <c r="B9461" s="4" t="str">
        <f>IFERROR(__xludf.DUMMYFUNCTION("""COMPUTED_VALUE"""),"polycub")</f>
        <v>polycub</v>
      </c>
      <c r="C9461" s="4" t="str">
        <f>IFERROR(__xludf.DUMMYFUNCTION("""COMPUTED_VALUE"""),"PolyCub")</f>
        <v>PolyCub</v>
      </c>
    </row>
    <row r="9462">
      <c r="A9462" s="4" t="str">
        <f>IFERROR(__xludf.DUMMYFUNCTION("""COMPUTED_VALUE"""),"polydoge")</f>
        <v>polydoge</v>
      </c>
      <c r="B9462" s="4" t="str">
        <f>IFERROR(__xludf.DUMMYFUNCTION("""COMPUTED_VALUE"""),"polydoge")</f>
        <v>polydoge</v>
      </c>
      <c r="C9462" s="4" t="str">
        <f>IFERROR(__xludf.DUMMYFUNCTION("""COMPUTED_VALUE"""),"PolyDoge")</f>
        <v>PolyDoge</v>
      </c>
    </row>
    <row r="9463">
      <c r="A9463" s="4" t="str">
        <f>IFERROR(__xludf.DUMMYFUNCTION("""COMPUTED_VALUE"""),"polygame")</f>
        <v>polygame</v>
      </c>
      <c r="B9463" s="4" t="str">
        <f>IFERROR(__xludf.DUMMYFUNCTION("""COMPUTED_VALUE"""),"pgem")</f>
        <v>pgem</v>
      </c>
      <c r="C9463" s="4" t="str">
        <f>IFERROR(__xludf.DUMMYFUNCTION("""COMPUTED_VALUE"""),"Polygame")</f>
        <v>Polygame</v>
      </c>
    </row>
    <row r="9464">
      <c r="A9464" s="4" t="str">
        <f>IFERROR(__xludf.DUMMYFUNCTION("""COMPUTED_VALUE"""),"polygamma")</f>
        <v>polygamma</v>
      </c>
      <c r="B9464" s="4" t="str">
        <f>IFERROR(__xludf.DUMMYFUNCTION("""COMPUTED_VALUE"""),"gamma")</f>
        <v>gamma</v>
      </c>
      <c r="C9464" s="4" t="str">
        <f>IFERROR(__xludf.DUMMYFUNCTION("""COMPUTED_VALUE"""),"PolyGamma Finance")</f>
        <v>PolyGamma Finance</v>
      </c>
    </row>
    <row r="9465">
      <c r="A9465" s="4" t="str">
        <f>IFERROR(__xludf.DUMMYFUNCTION("""COMPUTED_VALUE"""),"polygen")</f>
        <v>polygen</v>
      </c>
      <c r="B9465" s="4" t="str">
        <f>IFERROR(__xludf.DUMMYFUNCTION("""COMPUTED_VALUE"""),"pgen")</f>
        <v>pgen</v>
      </c>
      <c r="C9465" s="4" t="str">
        <f>IFERROR(__xludf.DUMMYFUNCTION("""COMPUTED_VALUE"""),"Polygen")</f>
        <v>Polygen</v>
      </c>
    </row>
    <row r="9466">
      <c r="A9466" s="4" t="str">
        <f>IFERROR(__xludf.DUMMYFUNCTION("""COMPUTED_VALUE"""),"polygod")</f>
        <v>polygod</v>
      </c>
      <c r="B9466" s="4" t="str">
        <f>IFERROR(__xludf.DUMMYFUNCTION("""COMPUTED_VALUE"""),"gull")</f>
        <v>gull</v>
      </c>
      <c r="C9466" s="4" t="str">
        <f>IFERROR(__xludf.DUMMYFUNCTION("""COMPUTED_VALUE"""),"PolyGod")</f>
        <v>PolyGod</v>
      </c>
    </row>
    <row r="9467">
      <c r="A9467" s="4" t="str">
        <f>IFERROR(__xludf.DUMMYFUNCTION("""COMPUTED_VALUE"""),"polygold")</f>
        <v>polygold</v>
      </c>
      <c r="B9467" s="4" t="str">
        <f>IFERROR(__xludf.DUMMYFUNCTION("""COMPUTED_VALUE"""),"polygold")</f>
        <v>polygold</v>
      </c>
      <c r="C9467" s="4" t="str">
        <f>IFERROR(__xludf.DUMMYFUNCTION("""COMPUTED_VALUE"""),"PolyGold")</f>
        <v>PolyGold</v>
      </c>
    </row>
    <row r="9468">
      <c r="A9468" s="4" t="str">
        <f>IFERROR(__xludf.DUMMYFUNCTION("""COMPUTED_VALUE"""),"polygon-bridged-busd-polygon")</f>
        <v>polygon-bridged-busd-polygon</v>
      </c>
      <c r="B9468" s="4" t="str">
        <f>IFERROR(__xludf.DUMMYFUNCTION("""COMPUTED_VALUE"""),"busd")</f>
        <v>busd</v>
      </c>
      <c r="C9468" s="4" t="str">
        <f>IFERROR(__xludf.DUMMYFUNCTION("""COMPUTED_VALUE"""),"Polygon Bridged BUSD (Polygon)")</f>
        <v>Polygon Bridged BUSD (Polygon)</v>
      </c>
    </row>
    <row r="9469">
      <c r="A9469" s="4" t="str">
        <f>IFERROR(__xludf.DUMMYFUNCTION("""COMPUTED_VALUE"""),"polygon-bridged-usdt-polygon")</f>
        <v>polygon-bridged-usdt-polygon</v>
      </c>
      <c r="B9469" s="4" t="str">
        <f>IFERROR(__xludf.DUMMYFUNCTION("""COMPUTED_VALUE"""),"usdt")</f>
        <v>usdt</v>
      </c>
      <c r="C9469" s="4" t="str">
        <f>IFERROR(__xludf.DUMMYFUNCTION("""COMPUTED_VALUE"""),"Polygon Bridged USDT (Polygon)")</f>
        <v>Polygon Bridged USDT (Polygon)</v>
      </c>
    </row>
    <row r="9470">
      <c r="A9470" s="4" t="str">
        <f>IFERROR(__xludf.DUMMYFUNCTION("""COMPUTED_VALUE"""),"polygon-ecosystem-token")</f>
        <v>polygon-ecosystem-token</v>
      </c>
      <c r="B9470" s="4" t="str">
        <f>IFERROR(__xludf.DUMMYFUNCTION("""COMPUTED_VALUE"""),"pol")</f>
        <v>pol</v>
      </c>
      <c r="C9470" s="4" t="str">
        <f>IFERROR(__xludf.DUMMYFUNCTION("""COMPUTED_VALUE"""),"Polygon Ecosystem Token")</f>
        <v>Polygon Ecosystem Token</v>
      </c>
    </row>
    <row r="9471">
      <c r="A9471" s="4" t="str">
        <f>IFERROR(__xludf.DUMMYFUNCTION("""COMPUTED_VALUE"""),"polygonfarm-finance")</f>
        <v>polygonfarm-finance</v>
      </c>
      <c r="B9471" s="4" t="str">
        <f>IFERROR(__xludf.DUMMYFUNCTION("""COMPUTED_VALUE"""),"spade")</f>
        <v>spade</v>
      </c>
      <c r="C9471" s="4" t="str">
        <f>IFERROR(__xludf.DUMMYFUNCTION("""COMPUTED_VALUE"""),"PolygonFarm Finance")</f>
        <v>PolygonFarm Finance</v>
      </c>
    </row>
    <row r="9472">
      <c r="A9472" s="4" t="str">
        <f>IFERROR(__xludf.DUMMYFUNCTION("""COMPUTED_VALUE"""),"polygon-hbd")</f>
        <v>polygon-hbd</v>
      </c>
      <c r="B9472" s="4" t="str">
        <f>IFERROR(__xludf.DUMMYFUNCTION("""COMPUTED_VALUE"""),"phbd")</f>
        <v>phbd</v>
      </c>
      <c r="C9472" s="4" t="str">
        <f>IFERROR(__xludf.DUMMYFUNCTION("""COMPUTED_VALUE"""),"Polygon HBD")</f>
        <v>Polygon HBD</v>
      </c>
    </row>
    <row r="9473">
      <c r="A9473" s="4" t="str">
        <f>IFERROR(__xludf.DUMMYFUNCTION("""COMPUTED_VALUE"""),"polygon-hermez-bridged-usdc-polygon-zkevm")</f>
        <v>polygon-hermez-bridged-usdc-polygon-zkevm</v>
      </c>
      <c r="B9473" s="4" t="str">
        <f>IFERROR(__xludf.DUMMYFUNCTION("""COMPUTED_VALUE"""),"usdc")</f>
        <v>usdc</v>
      </c>
      <c r="C9473" s="4" t="str">
        <f>IFERROR(__xludf.DUMMYFUNCTION("""COMPUTED_VALUE"""),"Polygon Hermez Bridged USDC (Polygon zkEVM)")</f>
        <v>Polygon Hermez Bridged USDC (Polygon zkEVM)</v>
      </c>
    </row>
    <row r="9474">
      <c r="A9474" s="4" t="str">
        <f>IFERROR(__xludf.DUMMYFUNCTION("""COMPUTED_VALUE"""),"polygon-hermez-bridged-usdt-polygon-zkevm")</f>
        <v>polygon-hermez-bridged-usdt-polygon-zkevm</v>
      </c>
      <c r="B9474" s="4" t="str">
        <f>IFERROR(__xludf.DUMMYFUNCTION("""COMPUTED_VALUE"""),"usdt")</f>
        <v>usdt</v>
      </c>
      <c r="C9474" s="4" t="str">
        <f>IFERROR(__xludf.DUMMYFUNCTION("""COMPUTED_VALUE"""),"Polygon Hermez Bridged USDT (Polygon zkEVM)")</f>
        <v>Polygon Hermez Bridged USDT (Polygon zkEVM)</v>
      </c>
    </row>
    <row r="9475">
      <c r="A9475" s="4" t="str">
        <f>IFERROR(__xludf.DUMMYFUNCTION("""COMPUTED_VALUE"""),"polygon-star")</f>
        <v>polygon-star</v>
      </c>
      <c r="B9475" s="4" t="str">
        <f>IFERROR(__xludf.DUMMYFUNCTION("""COMPUTED_VALUE"""),"pos")</f>
        <v>pos</v>
      </c>
      <c r="C9475" s="4" t="str">
        <f>IFERROR(__xludf.DUMMYFUNCTION("""COMPUTED_VALUE"""),"Polygon Star")</f>
        <v>Polygon Star</v>
      </c>
    </row>
    <row r="9476">
      <c r="A9476" s="4" t="str">
        <f>IFERROR(__xludf.DUMMYFUNCTION("""COMPUTED_VALUE"""),"polyhedra-network")</f>
        <v>polyhedra-network</v>
      </c>
      <c r="B9476" s="4" t="str">
        <f>IFERROR(__xludf.DUMMYFUNCTION("""COMPUTED_VALUE"""),"zk")</f>
        <v>zk</v>
      </c>
      <c r="C9476" s="4" t="str">
        <f>IFERROR(__xludf.DUMMYFUNCTION("""COMPUTED_VALUE"""),"Polyhedra Network")</f>
        <v>Polyhedra Network</v>
      </c>
    </row>
    <row r="9477">
      <c r="A9477" s="4" t="str">
        <f>IFERROR(__xludf.DUMMYFUNCTION("""COMPUTED_VALUE"""),"polylastic")</f>
        <v>polylastic</v>
      </c>
      <c r="B9477" s="4" t="str">
        <f>IFERROR(__xludf.DUMMYFUNCTION("""COMPUTED_VALUE"""),"polx")</f>
        <v>polx</v>
      </c>
      <c r="C9477" s="4" t="str">
        <f>IFERROR(__xludf.DUMMYFUNCTION("""COMPUTED_VALUE"""),"Polylastic")</f>
        <v>Polylastic</v>
      </c>
    </row>
    <row r="9478">
      <c r="A9478" s="4" t="str">
        <f>IFERROR(__xludf.DUMMYFUNCTION("""COMPUTED_VALUE"""),"polylauncher")</f>
        <v>polylauncher</v>
      </c>
      <c r="B9478" s="4" t="str">
        <f>IFERROR(__xludf.DUMMYFUNCTION("""COMPUTED_VALUE"""),"angel")</f>
        <v>angel</v>
      </c>
      <c r="C9478" s="4" t="str">
        <f>IFERROR(__xludf.DUMMYFUNCTION("""COMPUTED_VALUE"""),"Polylauncher")</f>
        <v>Polylauncher</v>
      </c>
    </row>
    <row r="9479">
      <c r="A9479" s="4" t="str">
        <f>IFERROR(__xludf.DUMMYFUNCTION("""COMPUTED_VALUE"""),"polymath")</f>
        <v>polymath</v>
      </c>
      <c r="B9479" s="4" t="str">
        <f>IFERROR(__xludf.DUMMYFUNCTION("""COMPUTED_VALUE"""),"poly")</f>
        <v>poly</v>
      </c>
      <c r="C9479" s="4" t="str">
        <f>IFERROR(__xludf.DUMMYFUNCTION("""COMPUTED_VALUE"""),"Polymath")</f>
        <v>Polymath</v>
      </c>
    </row>
    <row r="9480">
      <c r="A9480" s="4" t="str">
        <f>IFERROR(__xludf.DUMMYFUNCTION("""COMPUTED_VALUE"""),"polymesh")</f>
        <v>polymesh</v>
      </c>
      <c r="B9480" s="4" t="str">
        <f>IFERROR(__xludf.DUMMYFUNCTION("""COMPUTED_VALUE"""),"polyx")</f>
        <v>polyx</v>
      </c>
      <c r="C9480" s="4" t="str">
        <f>IFERROR(__xludf.DUMMYFUNCTION("""COMPUTED_VALUE"""),"Polymesh")</f>
        <v>Polymesh</v>
      </c>
    </row>
    <row r="9481">
      <c r="A9481" s="4" t="str">
        <f>IFERROR(__xludf.DUMMYFUNCTION("""COMPUTED_VALUE"""),"polypad")</f>
        <v>polypad</v>
      </c>
      <c r="B9481" s="4" t="str">
        <f>IFERROR(__xludf.DUMMYFUNCTION("""COMPUTED_VALUE"""),"polypad")</f>
        <v>polypad</v>
      </c>
      <c r="C9481" s="4" t="str">
        <f>IFERROR(__xludf.DUMMYFUNCTION("""COMPUTED_VALUE"""),"PolyPad")</f>
        <v>PolyPad</v>
      </c>
    </row>
    <row r="9482">
      <c r="A9482" s="4" t="str">
        <f>IFERROR(__xludf.DUMMYFUNCTION("""COMPUTED_VALUE"""),"poly-peg-mdex")</f>
        <v>poly-peg-mdex</v>
      </c>
      <c r="B9482" s="4" t="str">
        <f>IFERROR(__xludf.DUMMYFUNCTION("""COMPUTED_VALUE"""),"hmdx")</f>
        <v>hmdx</v>
      </c>
      <c r="C9482" s="4" t="str">
        <f>IFERROR(__xludf.DUMMYFUNCTION("""COMPUTED_VALUE"""),"Poly-Peg Mdex")</f>
        <v>Poly-Peg Mdex</v>
      </c>
    </row>
    <row r="9483">
      <c r="A9483" s="4" t="str">
        <f>IFERROR(__xludf.DUMMYFUNCTION("""COMPUTED_VALUE"""),"polypup")</f>
        <v>polypup</v>
      </c>
      <c r="B9483" s="4" t="str">
        <f>IFERROR(__xludf.DUMMYFUNCTION("""COMPUTED_VALUE"""),"pup")</f>
        <v>pup</v>
      </c>
      <c r="C9483" s="4" t="str">
        <f>IFERROR(__xludf.DUMMYFUNCTION("""COMPUTED_VALUE"""),"PolyPup")</f>
        <v>PolyPup</v>
      </c>
    </row>
    <row r="9484">
      <c r="A9484" s="4" t="str">
        <f>IFERROR(__xludf.DUMMYFUNCTION("""COMPUTED_VALUE"""),"polyshark-finance")</f>
        <v>polyshark-finance</v>
      </c>
      <c r="B9484" s="4" t="str">
        <f>IFERROR(__xludf.DUMMYFUNCTION("""COMPUTED_VALUE"""),"shark")</f>
        <v>shark</v>
      </c>
      <c r="C9484" s="4" t="str">
        <f>IFERROR(__xludf.DUMMYFUNCTION("""COMPUTED_VALUE"""),"PolyShark Finance")</f>
        <v>PolyShark Finance</v>
      </c>
    </row>
    <row r="9485">
      <c r="A9485" s="4" t="str">
        <f>IFERROR(__xludf.DUMMYFUNCTION("""COMPUTED_VALUE"""),"polyshield")</f>
        <v>polyshield</v>
      </c>
      <c r="B9485" s="4" t="str">
        <f>IFERROR(__xludf.DUMMYFUNCTION("""COMPUTED_VALUE"""),"shi3ld")</f>
        <v>shi3ld</v>
      </c>
      <c r="C9485" s="4" t="str">
        <f>IFERROR(__xludf.DUMMYFUNCTION("""COMPUTED_VALUE"""),"PolyShield")</f>
        <v>PolyShield</v>
      </c>
    </row>
    <row r="9486">
      <c r="A9486" s="4" t="str">
        <f>IFERROR(__xludf.DUMMYFUNCTION("""COMPUTED_VALUE"""),"polysport-finance")</f>
        <v>polysport-finance</v>
      </c>
      <c r="B9486" s="4" t="str">
        <f>IFERROR(__xludf.DUMMYFUNCTION("""COMPUTED_VALUE"""),"pls")</f>
        <v>pls</v>
      </c>
      <c r="C9486" s="4" t="str">
        <f>IFERROR(__xludf.DUMMYFUNCTION("""COMPUTED_VALUE"""),"Polysport Finance")</f>
        <v>Polysport Finance</v>
      </c>
    </row>
    <row r="9487">
      <c r="A9487" s="4" t="str">
        <f>IFERROR(__xludf.DUMMYFUNCTION("""COMPUTED_VALUE"""),"polyswarm")</f>
        <v>polyswarm</v>
      </c>
      <c r="B9487" s="4" t="str">
        <f>IFERROR(__xludf.DUMMYFUNCTION("""COMPUTED_VALUE"""),"nct")</f>
        <v>nct</v>
      </c>
      <c r="C9487" s="4" t="str">
        <f>IFERROR(__xludf.DUMMYFUNCTION("""COMPUTED_VALUE"""),"PolySwarm")</f>
        <v>PolySwarm</v>
      </c>
    </row>
    <row r="9488">
      <c r="A9488" s="4" t="str">
        <f>IFERROR(__xludf.DUMMYFUNCTION("""COMPUTED_VALUE"""),"polytrade")</f>
        <v>polytrade</v>
      </c>
      <c r="B9488" s="4" t="str">
        <f>IFERROR(__xludf.DUMMYFUNCTION("""COMPUTED_VALUE"""),"trade")</f>
        <v>trade</v>
      </c>
      <c r="C9488" s="4" t="str">
        <f>IFERROR(__xludf.DUMMYFUNCTION("""COMPUTED_VALUE"""),"Polytrade")</f>
        <v>Polytrade</v>
      </c>
    </row>
    <row r="9489">
      <c r="A9489" s="4" t="str">
        <f>IFERROR(__xludf.DUMMYFUNCTION("""COMPUTED_VALUE"""),"polywhale")</f>
        <v>polywhale</v>
      </c>
      <c r="B9489" s="4" t="str">
        <f>IFERROR(__xludf.DUMMYFUNCTION("""COMPUTED_VALUE"""),"krill")</f>
        <v>krill</v>
      </c>
      <c r="C9489" s="4" t="str">
        <f>IFERROR(__xludf.DUMMYFUNCTION("""COMPUTED_VALUE"""),"Polywhale")</f>
        <v>Polywhale</v>
      </c>
    </row>
    <row r="9490">
      <c r="A9490" s="4" t="str">
        <f>IFERROR(__xludf.DUMMYFUNCTION("""COMPUTED_VALUE"""),"polywolf")</f>
        <v>polywolf</v>
      </c>
      <c r="B9490" s="4" t="str">
        <f>IFERROR(__xludf.DUMMYFUNCTION("""COMPUTED_VALUE"""),"moon")</f>
        <v>moon</v>
      </c>
      <c r="C9490" s="4" t="str">
        <f>IFERROR(__xludf.DUMMYFUNCTION("""COMPUTED_VALUE"""),"Polywolf")</f>
        <v>Polywolf</v>
      </c>
    </row>
    <row r="9491">
      <c r="A9491" s="4" t="str">
        <f>IFERROR(__xludf.DUMMYFUNCTION("""COMPUTED_VALUE"""),"polyyeld-token")</f>
        <v>polyyeld-token</v>
      </c>
      <c r="B9491" s="4" t="str">
        <f>IFERROR(__xludf.DUMMYFUNCTION("""COMPUTED_VALUE"""),"yeld")</f>
        <v>yeld</v>
      </c>
      <c r="C9491" s="4" t="str">
        <f>IFERROR(__xludf.DUMMYFUNCTION("""COMPUTED_VALUE"""),"PolyYeld")</f>
        <v>PolyYeld</v>
      </c>
    </row>
    <row r="9492">
      <c r="A9492" s="4" t="str">
        <f>IFERROR(__xludf.DUMMYFUNCTION("""COMPUTED_VALUE"""),"polyyield-token")</f>
        <v>polyyield-token</v>
      </c>
      <c r="B9492" s="4" t="str">
        <f>IFERROR(__xludf.DUMMYFUNCTION("""COMPUTED_VALUE"""),"yield")</f>
        <v>yield</v>
      </c>
      <c r="C9492" s="4" t="str">
        <f>IFERROR(__xludf.DUMMYFUNCTION("""COMPUTED_VALUE"""),"PolyYield")</f>
        <v>PolyYield</v>
      </c>
    </row>
    <row r="9493">
      <c r="A9493" s="4" t="str">
        <f>IFERROR(__xludf.DUMMYFUNCTION("""COMPUTED_VALUE"""),"polyzap")</f>
        <v>polyzap</v>
      </c>
      <c r="B9493" s="4" t="str">
        <f>IFERROR(__xludf.DUMMYFUNCTION("""COMPUTED_VALUE"""),"pzap")</f>
        <v>pzap</v>
      </c>
      <c r="C9493" s="4" t="str">
        <f>IFERROR(__xludf.DUMMYFUNCTION("""COMPUTED_VALUE"""),"PolyZap")</f>
        <v>PolyZap</v>
      </c>
    </row>
    <row r="9494">
      <c r="A9494" s="4" t="str">
        <f>IFERROR(__xludf.DUMMYFUNCTION("""COMPUTED_VALUE"""),"pomerium-community-meme-t")</f>
        <v>pomerium-community-meme-t</v>
      </c>
      <c r="B9494" s="4" t="str">
        <f>IFERROR(__xludf.DUMMYFUNCTION("""COMPUTED_VALUE"""),"pme")</f>
        <v>pme</v>
      </c>
      <c r="C9494" s="4" t="str">
        <f>IFERROR(__xludf.DUMMYFUNCTION("""COMPUTED_VALUE"""),"Pomerium Community Meme Token")</f>
        <v>Pomerium Community Meme Token</v>
      </c>
    </row>
    <row r="9495">
      <c r="A9495" s="4" t="str">
        <f>IFERROR(__xludf.DUMMYFUNCTION("""COMPUTED_VALUE"""),"pomerium-ecosystem")</f>
        <v>pomerium-ecosystem</v>
      </c>
      <c r="B9495" s="4" t="str">
        <f>IFERROR(__xludf.DUMMYFUNCTION("""COMPUTED_VALUE"""),"pmg")</f>
        <v>pmg</v>
      </c>
      <c r="C9495" s="4" t="str">
        <f>IFERROR(__xludf.DUMMYFUNCTION("""COMPUTED_VALUE"""),"Pomerium Ecosystem Token")</f>
        <v>Pomerium Ecosystem Token</v>
      </c>
    </row>
    <row r="9496">
      <c r="A9496" s="4" t="str">
        <f>IFERROR(__xludf.DUMMYFUNCTION("""COMPUTED_VALUE"""),"pom-governance")</f>
        <v>pom-governance</v>
      </c>
      <c r="B9496" s="4" t="str">
        <f>IFERROR(__xludf.DUMMYFUNCTION("""COMPUTED_VALUE"""),"pomg")</f>
        <v>pomg</v>
      </c>
      <c r="C9496" s="4" t="str">
        <f>IFERROR(__xludf.DUMMYFUNCTION("""COMPUTED_VALUE"""),"POM Governance")</f>
        <v>POM Governance</v>
      </c>
    </row>
    <row r="9497">
      <c r="A9497" s="4" t="str">
        <f>IFERROR(__xludf.DUMMYFUNCTION("""COMPUTED_VALUE"""),"poncho")</f>
        <v>poncho</v>
      </c>
      <c r="B9497" s="4" t="str">
        <f>IFERROR(__xludf.DUMMYFUNCTION("""COMPUTED_VALUE"""),"poncho")</f>
        <v>poncho</v>
      </c>
      <c r="C9497" s="4" t="str">
        <f>IFERROR(__xludf.DUMMYFUNCTION("""COMPUTED_VALUE"""),"Poncho")</f>
        <v>Poncho</v>
      </c>
    </row>
    <row r="9498">
      <c r="A9498" s="4" t="str">
        <f>IFERROR(__xludf.DUMMYFUNCTION("""COMPUTED_VALUE"""),"pond-coin")</f>
        <v>pond-coin</v>
      </c>
      <c r="B9498" s="4" t="str">
        <f>IFERROR(__xludf.DUMMYFUNCTION("""COMPUTED_VALUE"""),"pndc")</f>
        <v>pndc</v>
      </c>
      <c r="C9498" s="4" t="str">
        <f>IFERROR(__xludf.DUMMYFUNCTION("""COMPUTED_VALUE"""),"PondCoin")</f>
        <v>PondCoin</v>
      </c>
    </row>
    <row r="9499">
      <c r="A9499" s="4" t="str">
        <f>IFERROR(__xludf.DUMMYFUNCTION("""COMPUTED_VALUE"""),"pong-heroes")</f>
        <v>pong-heroes</v>
      </c>
      <c r="B9499" s="4" t="str">
        <f>IFERROR(__xludf.DUMMYFUNCTION("""COMPUTED_VALUE"""),"pong")</f>
        <v>pong</v>
      </c>
      <c r="C9499" s="4" t="str">
        <f>IFERROR(__xludf.DUMMYFUNCTION("""COMPUTED_VALUE"""),"Pong Heroes")</f>
        <v>Pong Heroes</v>
      </c>
    </row>
    <row r="9500">
      <c r="A9500" s="4" t="str">
        <f>IFERROR(__xludf.DUMMYFUNCTION("""COMPUTED_VALUE"""),"ponk")</f>
        <v>ponk</v>
      </c>
      <c r="B9500" s="4" t="str">
        <f>IFERROR(__xludf.DUMMYFUNCTION("""COMPUTED_VALUE"""),"ponk")</f>
        <v>ponk</v>
      </c>
      <c r="C9500" s="4" t="str">
        <f>IFERROR(__xludf.DUMMYFUNCTION("""COMPUTED_VALUE"""),"Ponk")</f>
        <v>Ponk</v>
      </c>
    </row>
    <row r="9501">
      <c r="A9501" s="4" t="str">
        <f>IFERROR(__xludf.DUMMYFUNCTION("""COMPUTED_VALUE"""),"ponke")</f>
        <v>ponke</v>
      </c>
      <c r="B9501" s="4" t="str">
        <f>IFERROR(__xludf.DUMMYFUNCTION("""COMPUTED_VALUE"""),"ponke")</f>
        <v>ponke</v>
      </c>
      <c r="C9501" s="4" t="str">
        <f>IFERROR(__xludf.DUMMYFUNCTION("""COMPUTED_VALUE"""),"PONKE")</f>
        <v>PONKE</v>
      </c>
    </row>
    <row r="9502">
      <c r="A9502" s="4" t="str">
        <f>IFERROR(__xludf.DUMMYFUNCTION("""COMPUTED_VALUE"""),"ponke-bnb")</f>
        <v>ponke-bnb</v>
      </c>
      <c r="B9502" s="4" t="str">
        <f>IFERROR(__xludf.DUMMYFUNCTION("""COMPUTED_VALUE"""),"ponke bnb")</f>
        <v>ponke bnb</v>
      </c>
      <c r="C9502" s="4" t="str">
        <f>IFERROR(__xludf.DUMMYFUNCTION("""COMPUTED_VALUE"""),"Ponke BNB")</f>
        <v>Ponke BNB</v>
      </c>
    </row>
    <row r="9503">
      <c r="A9503" s="4" t="str">
        <f>IFERROR(__xludf.DUMMYFUNCTION("""COMPUTED_VALUE"""),"ponkefork")</f>
        <v>ponkefork</v>
      </c>
      <c r="B9503" s="4" t="str">
        <f>IFERROR(__xludf.DUMMYFUNCTION("""COMPUTED_VALUE"""),"porke")</f>
        <v>porke</v>
      </c>
      <c r="C9503" s="4" t="str">
        <f>IFERROR(__xludf.DUMMYFUNCTION("""COMPUTED_VALUE"""),"PonkeFork")</f>
        <v>PonkeFork</v>
      </c>
    </row>
    <row r="9504">
      <c r="A9504" s="4" t="str">
        <f>IFERROR(__xludf.DUMMYFUNCTION("""COMPUTED_VALUE"""),"pontoon")</f>
        <v>pontoon</v>
      </c>
      <c r="B9504" s="4" t="str">
        <f>IFERROR(__xludf.DUMMYFUNCTION("""COMPUTED_VALUE"""),"toon")</f>
        <v>toon</v>
      </c>
      <c r="C9504" s="4" t="str">
        <f>IFERROR(__xludf.DUMMYFUNCTION("""COMPUTED_VALUE"""),"Pontoon")</f>
        <v>Pontoon</v>
      </c>
    </row>
    <row r="9505">
      <c r="A9505" s="4" t="str">
        <f>IFERROR(__xludf.DUMMYFUNCTION("""COMPUTED_VALUE"""),"ponyhawk")</f>
        <v>ponyhawk</v>
      </c>
      <c r="B9505" s="4" t="str">
        <f>IFERROR(__xludf.DUMMYFUNCTION("""COMPUTED_VALUE"""),"skate")</f>
        <v>skate</v>
      </c>
      <c r="C9505" s="4" t="str">
        <f>IFERROR(__xludf.DUMMYFUNCTION("""COMPUTED_VALUE"""),"PONYHAWK")</f>
        <v>PONYHAWK</v>
      </c>
    </row>
    <row r="9506">
      <c r="A9506" s="4" t="str">
        <f>IFERROR(__xludf.DUMMYFUNCTION("""COMPUTED_VALUE"""),"ponzy")</f>
        <v>ponzy</v>
      </c>
      <c r="B9506" s="4" t="str">
        <f>IFERROR(__xludf.DUMMYFUNCTION("""COMPUTED_VALUE"""),"ponzy")</f>
        <v>ponzy</v>
      </c>
      <c r="C9506" s="4" t="str">
        <f>IFERROR(__xludf.DUMMYFUNCTION("""COMPUTED_VALUE"""),"Ponzy")</f>
        <v>Ponzy</v>
      </c>
    </row>
    <row r="9507">
      <c r="A9507" s="4" t="str">
        <f>IFERROR(__xludf.DUMMYFUNCTION("""COMPUTED_VALUE"""),"pooch")</f>
        <v>pooch</v>
      </c>
      <c r="B9507" s="4" t="str">
        <f>IFERROR(__xludf.DUMMYFUNCTION("""COMPUTED_VALUE"""),"pooch")</f>
        <v>pooch</v>
      </c>
      <c r="C9507" s="4" t="str">
        <f>IFERROR(__xludf.DUMMYFUNCTION("""COMPUTED_VALUE"""),"Pooch")</f>
        <v>Pooch</v>
      </c>
    </row>
    <row r="9508">
      <c r="A9508" s="4" t="str">
        <f>IFERROR(__xludf.DUMMYFUNCTION("""COMPUTED_VALUE"""),"poocoin")</f>
        <v>poocoin</v>
      </c>
      <c r="B9508" s="4" t="str">
        <f>IFERROR(__xludf.DUMMYFUNCTION("""COMPUTED_VALUE"""),"poocoin")</f>
        <v>poocoin</v>
      </c>
      <c r="C9508" s="4" t="str">
        <f>IFERROR(__xludf.DUMMYFUNCTION("""COMPUTED_VALUE"""),"PooCoin")</f>
        <v>PooCoin</v>
      </c>
    </row>
    <row r="9509">
      <c r="A9509" s="4" t="str">
        <f>IFERROR(__xludf.DUMMYFUNCTION("""COMPUTED_VALUE"""),"poodle")</f>
        <v>poodle</v>
      </c>
      <c r="B9509" s="4" t="str">
        <f>IFERROR(__xludf.DUMMYFUNCTION("""COMPUTED_VALUE"""),"poodl")</f>
        <v>poodl</v>
      </c>
      <c r="C9509" s="4" t="str">
        <f>IFERROR(__xludf.DUMMYFUNCTION("""COMPUTED_VALUE"""),"Poodl")</f>
        <v>Poodl</v>
      </c>
    </row>
    <row r="9510">
      <c r="A9510" s="4" t="str">
        <f>IFERROR(__xludf.DUMMYFUNCTION("""COMPUTED_VALUE"""),"poodl-exchange-token")</f>
        <v>poodl-exchange-token</v>
      </c>
      <c r="B9510" s="4" t="str">
        <f>IFERROR(__xludf.DUMMYFUNCTION("""COMPUTED_VALUE"""),"pet")</f>
        <v>pet</v>
      </c>
      <c r="C9510" s="4" t="str">
        <f>IFERROR(__xludf.DUMMYFUNCTION("""COMPUTED_VALUE"""),"Poodl Exchange Token")</f>
        <v>Poodl Exchange Token</v>
      </c>
    </row>
    <row r="9511">
      <c r="A9511" s="4" t="str">
        <f>IFERROR(__xludf.DUMMYFUNCTION("""COMPUTED_VALUE"""),"poo-doge")</f>
        <v>poo-doge</v>
      </c>
      <c r="B9511" s="4" t="str">
        <f>IFERROR(__xludf.DUMMYFUNCTION("""COMPUTED_VALUE"""),"poo doge")</f>
        <v>poo doge</v>
      </c>
      <c r="C9511" s="4" t="str">
        <f>IFERROR(__xludf.DUMMYFUNCTION("""COMPUTED_VALUE"""),"Poo Doge")</f>
        <v>Poo Doge</v>
      </c>
    </row>
    <row r="9512">
      <c r="A9512" s="4" t="str">
        <f>IFERROR(__xludf.DUMMYFUNCTION("""COMPUTED_VALUE"""),"poofcash")</f>
        <v>poofcash</v>
      </c>
      <c r="B9512" s="4" t="str">
        <f>IFERROR(__xludf.DUMMYFUNCTION("""COMPUTED_VALUE"""),"poof")</f>
        <v>poof</v>
      </c>
      <c r="C9512" s="4" t="str">
        <f>IFERROR(__xludf.DUMMYFUNCTION("""COMPUTED_VALUE"""),"PoofCash")</f>
        <v>PoofCash</v>
      </c>
    </row>
    <row r="9513">
      <c r="A9513" s="4" t="str">
        <f>IFERROR(__xludf.DUMMYFUNCTION("""COMPUTED_VALUE"""),"pooh")</f>
        <v>pooh</v>
      </c>
      <c r="B9513" s="4" t="str">
        <f>IFERROR(__xludf.DUMMYFUNCTION("""COMPUTED_VALUE"""),"pooh")</f>
        <v>pooh</v>
      </c>
      <c r="C9513" s="4" t="str">
        <f>IFERROR(__xludf.DUMMYFUNCTION("""COMPUTED_VALUE"""),"POOH")</f>
        <v>POOH</v>
      </c>
    </row>
    <row r="9514">
      <c r="A9514" s="4" t="str">
        <f>IFERROR(__xludf.DUMMYFUNCTION("""COMPUTED_VALUE"""),"poollotto-finance")</f>
        <v>poollotto-finance</v>
      </c>
      <c r="B9514" s="4" t="str">
        <f>IFERROR(__xludf.DUMMYFUNCTION("""COMPUTED_VALUE"""),"plt")</f>
        <v>plt</v>
      </c>
      <c r="C9514" s="4" t="str">
        <f>IFERROR(__xludf.DUMMYFUNCTION("""COMPUTED_VALUE"""),"Poollotto.finance")</f>
        <v>Poollotto.finance</v>
      </c>
    </row>
    <row r="9515">
      <c r="A9515" s="4" t="str">
        <f>IFERROR(__xludf.DUMMYFUNCTION("""COMPUTED_VALUE"""),"pool-partyyy")</f>
        <v>pool-partyyy</v>
      </c>
      <c r="B9515" s="4" t="str">
        <f>IFERROR(__xludf.DUMMYFUNCTION("""COMPUTED_VALUE"""),"party")</f>
        <v>party</v>
      </c>
      <c r="C9515" s="4" t="str">
        <f>IFERROR(__xludf.DUMMYFUNCTION("""COMPUTED_VALUE"""),"Pool Partyyy")</f>
        <v>Pool Partyyy</v>
      </c>
    </row>
    <row r="9516">
      <c r="A9516" s="4" t="str">
        <f>IFERROR(__xludf.DUMMYFUNCTION("""COMPUTED_VALUE"""),"poolshark")</f>
        <v>poolshark</v>
      </c>
      <c r="B9516" s="4" t="str">
        <f>IFERROR(__xludf.DUMMYFUNCTION("""COMPUTED_VALUE"""),"fin")</f>
        <v>fin</v>
      </c>
      <c r="C9516" s="4" t="str">
        <f>IFERROR(__xludf.DUMMYFUNCTION("""COMPUTED_VALUE"""),"Poolshark")</f>
        <v>Poolshark</v>
      </c>
    </row>
    <row r="9517">
      <c r="A9517" s="4" t="str">
        <f>IFERROR(__xludf.DUMMYFUNCTION("""COMPUTED_VALUE"""),"pooltogether")</f>
        <v>pooltogether</v>
      </c>
      <c r="B9517" s="4" t="str">
        <f>IFERROR(__xludf.DUMMYFUNCTION("""COMPUTED_VALUE"""),"pool")</f>
        <v>pool</v>
      </c>
      <c r="C9517" s="4" t="str">
        <f>IFERROR(__xludf.DUMMYFUNCTION("""COMPUTED_VALUE"""),"PoolTogether")</f>
        <v>PoolTogether</v>
      </c>
    </row>
    <row r="9518">
      <c r="A9518" s="4" t="str">
        <f>IFERROR(__xludf.DUMMYFUNCTION("""COMPUTED_VALUE"""),"pooltogether-prize-usdc")</f>
        <v>pooltogether-prize-usdc</v>
      </c>
      <c r="B9518" s="4" t="str">
        <f>IFERROR(__xludf.DUMMYFUNCTION("""COMPUTED_VALUE"""),"pusdc.e")</f>
        <v>pusdc.e</v>
      </c>
      <c r="C9518" s="4" t="str">
        <f>IFERROR(__xludf.DUMMYFUNCTION("""COMPUTED_VALUE"""),"PoolTogether Prize USD Coin")</f>
        <v>PoolTogether Prize USD Coin</v>
      </c>
    </row>
    <row r="9519">
      <c r="A9519" s="4" t="str">
        <f>IFERROR(__xludf.DUMMYFUNCTION("""COMPUTED_VALUE"""),"pooltogether-prize-weth-aave")</f>
        <v>pooltogether-prize-weth-aave</v>
      </c>
      <c r="B9519" s="4" t="str">
        <f>IFERROR(__xludf.DUMMYFUNCTION("""COMPUTED_VALUE"""),"pweth")</f>
        <v>pweth</v>
      </c>
      <c r="C9519" s="4" t="str">
        <f>IFERROR(__xludf.DUMMYFUNCTION("""COMPUTED_VALUE"""),"PoolTogether Prize WETH - Aave")</f>
        <v>PoolTogether Prize WETH - Aave</v>
      </c>
    </row>
    <row r="9520">
      <c r="A9520" s="4" t="str">
        <f>IFERROR(__xludf.DUMMYFUNCTION("""COMPUTED_VALUE"""),"poolz-finance")</f>
        <v>poolz-finance</v>
      </c>
      <c r="B9520" s="4" t="str">
        <f>IFERROR(__xludf.DUMMYFUNCTION("""COMPUTED_VALUE"""),"poolz")</f>
        <v>poolz</v>
      </c>
      <c r="C9520" s="4" t="str">
        <f>IFERROR(__xludf.DUMMYFUNCTION("""COMPUTED_VALUE"""),"Poolz Finance [OLD]")</f>
        <v>Poolz Finance [OLD]</v>
      </c>
    </row>
    <row r="9521">
      <c r="A9521" s="4" t="str">
        <f>IFERROR(__xludf.DUMMYFUNCTION("""COMPUTED_VALUE"""),"poolz-finance-2")</f>
        <v>poolz-finance-2</v>
      </c>
      <c r="B9521" s="4" t="str">
        <f>IFERROR(__xludf.DUMMYFUNCTION("""COMPUTED_VALUE"""),"poolx")</f>
        <v>poolx</v>
      </c>
      <c r="C9521" s="4" t="str">
        <f>IFERROR(__xludf.DUMMYFUNCTION("""COMPUTED_VALUE"""),"Poolz Finance")</f>
        <v>Poolz Finance</v>
      </c>
    </row>
    <row r="9522">
      <c r="A9522" s="4" t="str">
        <f>IFERROR(__xludf.DUMMYFUNCTION("""COMPUTED_VALUE"""),"poopcoin-poop")</f>
        <v>poopcoin-poop</v>
      </c>
      <c r="B9522" s="4" t="str">
        <f>IFERROR(__xludf.DUMMYFUNCTION("""COMPUTED_VALUE"""),"poop")</f>
        <v>poop</v>
      </c>
      <c r="C9522" s="4" t="str">
        <f>IFERROR(__xludf.DUMMYFUNCTION("""COMPUTED_VALUE"""),"Poopcoin")</f>
        <v>Poopcoin</v>
      </c>
    </row>
    <row r="9523">
      <c r="A9523" s="4" t="str">
        <f>IFERROR(__xludf.DUMMYFUNCTION("""COMPUTED_VALUE"""),"poopsicle")</f>
        <v>poopsicle</v>
      </c>
      <c r="B9523" s="4" t="str">
        <f>IFERROR(__xludf.DUMMYFUNCTION("""COMPUTED_VALUE"""),"poop")</f>
        <v>poop</v>
      </c>
      <c r="C9523" s="4" t="str">
        <f>IFERROR(__xludf.DUMMYFUNCTION("""COMPUTED_VALUE"""),"Poopsicle")</f>
        <v>Poopsicle</v>
      </c>
    </row>
    <row r="9524">
      <c r="A9524" s="4" t="str">
        <f>IFERROR(__xludf.DUMMYFUNCTION("""COMPUTED_VALUE"""),"poorpleb")</f>
        <v>poorpleb</v>
      </c>
      <c r="B9524" s="4" t="str">
        <f>IFERROR(__xludf.DUMMYFUNCTION("""COMPUTED_VALUE"""),"pp")</f>
        <v>pp</v>
      </c>
      <c r="C9524" s="4" t="str">
        <f>IFERROR(__xludf.DUMMYFUNCTION("""COMPUTED_VALUE"""),"PoorPleb")</f>
        <v>PoorPleb</v>
      </c>
    </row>
    <row r="9525">
      <c r="A9525" s="4" t="str">
        <f>IFERROR(__xludf.DUMMYFUNCTION("""COMPUTED_VALUE"""),"popcat")</f>
        <v>popcat</v>
      </c>
      <c r="B9525" s="4" t="str">
        <f>IFERROR(__xludf.DUMMYFUNCTION("""COMPUTED_VALUE"""),"popcat")</f>
        <v>popcat</v>
      </c>
      <c r="C9525" s="4" t="str">
        <f>IFERROR(__xludf.DUMMYFUNCTION("""COMPUTED_VALUE"""),"Popcat")</f>
        <v>Popcat</v>
      </c>
    </row>
    <row r="9526">
      <c r="A9526" s="4" t="str">
        <f>IFERROR(__xludf.DUMMYFUNCTION("""COMPUTED_VALUE"""),"pop-chest-token")</f>
        <v>pop-chest-token</v>
      </c>
      <c r="B9526" s="4" t="str">
        <f>IFERROR(__xludf.DUMMYFUNCTION("""COMPUTED_VALUE"""),"pop")</f>
        <v>pop</v>
      </c>
      <c r="C9526" s="4" t="str">
        <f>IFERROR(__xludf.DUMMYFUNCTION("""COMPUTED_VALUE"""),"POP Network")</f>
        <v>POP Network</v>
      </c>
    </row>
    <row r="9527">
      <c r="A9527" s="4" t="str">
        <f>IFERROR(__xludf.DUMMYFUNCTION("""COMPUTED_VALUE"""),"popcoin")</f>
        <v>popcoin</v>
      </c>
      <c r="B9527" s="4" t="str">
        <f>IFERROR(__xludf.DUMMYFUNCTION("""COMPUTED_VALUE"""),"pop")</f>
        <v>pop</v>
      </c>
      <c r="C9527" s="4" t="str">
        <f>IFERROR(__xludf.DUMMYFUNCTION("""COMPUTED_VALUE"""),"Popcoin")</f>
        <v>Popcoin</v>
      </c>
    </row>
    <row r="9528">
      <c r="A9528" s="4" t="str">
        <f>IFERROR(__xludf.DUMMYFUNCTION("""COMPUTED_VALUE"""),"popcorn")</f>
        <v>popcorn</v>
      </c>
      <c r="B9528" s="4" t="str">
        <f>IFERROR(__xludf.DUMMYFUNCTION("""COMPUTED_VALUE"""),"pop")</f>
        <v>pop</v>
      </c>
      <c r="C9528" s="4" t="str">
        <f>IFERROR(__xludf.DUMMYFUNCTION("""COMPUTED_VALUE"""),"Popcorn")</f>
        <v>Popcorn</v>
      </c>
    </row>
    <row r="9529">
      <c r="A9529" s="4" t="str">
        <f>IFERROR(__xludf.DUMMYFUNCTION("""COMPUTED_VALUE"""),"popdog")</f>
        <v>popdog</v>
      </c>
      <c r="B9529" s="4" t="str">
        <f>IFERROR(__xludf.DUMMYFUNCTION("""COMPUTED_VALUE"""),"popdog")</f>
        <v>popdog</v>
      </c>
      <c r="C9529" s="4" t="str">
        <f>IFERROR(__xludf.DUMMYFUNCTION("""COMPUTED_VALUE"""),"POPDOG")</f>
        <v>POPDOG</v>
      </c>
    </row>
    <row r="9530">
      <c r="A9530" s="4" t="str">
        <f>IFERROR(__xludf.DUMMYFUNCTION("""COMPUTED_VALUE"""),"popecoin")</f>
        <v>popecoin</v>
      </c>
      <c r="B9530" s="4" t="str">
        <f>IFERROR(__xludf.DUMMYFUNCTION("""COMPUTED_VALUE"""),"pope")</f>
        <v>pope</v>
      </c>
      <c r="C9530" s="4" t="str">
        <f>IFERROR(__xludf.DUMMYFUNCTION("""COMPUTED_VALUE"""),"PopeCoin")</f>
        <v>PopeCoin</v>
      </c>
    </row>
    <row r="9531">
      <c r="A9531" s="4" t="str">
        <f>IFERROR(__xludf.DUMMYFUNCTION("""COMPUTED_VALUE"""),"popkon")</f>
        <v>popkon</v>
      </c>
      <c r="B9531" s="4" t="str">
        <f>IFERROR(__xludf.DUMMYFUNCTION("""COMPUTED_VALUE"""),"popk")</f>
        <v>popk</v>
      </c>
      <c r="C9531" s="4" t="str">
        <f>IFERROR(__xludf.DUMMYFUNCTION("""COMPUTED_VALUE"""),"POPKON")</f>
        <v>POPKON</v>
      </c>
    </row>
    <row r="9532">
      <c r="A9532" s="4" t="str">
        <f>IFERROR(__xludf.DUMMYFUNCTION("""COMPUTED_VALUE"""),"popo-pepe-s-dog")</f>
        <v>popo-pepe-s-dog</v>
      </c>
      <c r="B9532" s="4" t="str">
        <f>IFERROR(__xludf.DUMMYFUNCTION("""COMPUTED_VALUE"""),"$popo")</f>
        <v>$popo</v>
      </c>
      <c r="C9532" s="4" t="str">
        <f>IFERROR(__xludf.DUMMYFUNCTION("""COMPUTED_VALUE"""),"Popo, Pepe's Dog")</f>
        <v>Popo, Pepe's Dog</v>
      </c>
    </row>
    <row r="9533">
      <c r="A9533" s="4" t="str">
        <f>IFERROR(__xludf.DUMMYFUNCTION("""COMPUTED_VALUE"""),"pop-token")</f>
        <v>pop-token</v>
      </c>
      <c r="B9533" s="4" t="str">
        <f>IFERROR(__xludf.DUMMYFUNCTION("""COMPUTED_VALUE"""),"ppt")</f>
        <v>ppt</v>
      </c>
      <c r="C9533" s="4" t="str">
        <f>IFERROR(__xludf.DUMMYFUNCTION("""COMPUTED_VALUE"""),"Pop Token")</f>
        <v>Pop Token</v>
      </c>
    </row>
    <row r="9534">
      <c r="A9534" s="4" t="str">
        <f>IFERROR(__xludf.DUMMYFUNCTION("""COMPUTED_VALUE"""),"populous")</f>
        <v>populous</v>
      </c>
      <c r="B9534" s="4" t="str">
        <f>IFERROR(__xludf.DUMMYFUNCTION("""COMPUTED_VALUE"""),"ppt")</f>
        <v>ppt</v>
      </c>
      <c r="C9534" s="4" t="str">
        <f>IFERROR(__xludf.DUMMYFUNCTION("""COMPUTED_VALUE"""),"Populous")</f>
        <v>Populous</v>
      </c>
    </row>
    <row r="9535">
      <c r="A9535" s="4" t="str">
        <f>IFERROR(__xludf.DUMMYFUNCTION("""COMPUTED_VALUE"""),"pora-ai")</f>
        <v>pora-ai</v>
      </c>
      <c r="B9535" s="4" t="str">
        <f>IFERROR(__xludf.DUMMYFUNCTION("""COMPUTED_VALUE"""),"pora")</f>
        <v>pora</v>
      </c>
      <c r="C9535" s="4" t="str">
        <f>IFERROR(__xludf.DUMMYFUNCTION("""COMPUTED_VALUE"""),"PORA AI")</f>
        <v>PORA AI</v>
      </c>
    </row>
    <row r="9536">
      <c r="A9536" s="4" t="str">
        <f>IFERROR(__xludf.DUMMYFUNCTION("""COMPUTED_VALUE"""),"pork")</f>
        <v>pork</v>
      </c>
      <c r="B9536" s="4" t="str">
        <f>IFERROR(__xludf.DUMMYFUNCTION("""COMPUTED_VALUE"""),"pork")</f>
        <v>pork</v>
      </c>
      <c r="C9536" s="4" t="str">
        <f>IFERROR(__xludf.DUMMYFUNCTION("""COMPUTED_VALUE"""),"Pork")</f>
        <v>Pork</v>
      </c>
    </row>
    <row r="9537">
      <c r="A9537" s="4" t="str">
        <f>IFERROR(__xludf.DUMMYFUNCTION("""COMPUTED_VALUE"""),"pornrocket")</f>
        <v>pornrocket</v>
      </c>
      <c r="B9537" s="4" t="str">
        <f>IFERROR(__xludf.DUMMYFUNCTION("""COMPUTED_VALUE"""),"pornrocket")</f>
        <v>pornrocket</v>
      </c>
      <c r="C9537" s="4" t="str">
        <f>IFERROR(__xludf.DUMMYFUNCTION("""COMPUTED_VALUE"""),"PornRocket")</f>
        <v>PornRocket</v>
      </c>
    </row>
    <row r="9538">
      <c r="A9538" s="4" t="str">
        <f>IFERROR(__xludf.DUMMYFUNCTION("""COMPUTED_VALUE"""),"port3-network")</f>
        <v>port3-network</v>
      </c>
      <c r="B9538" s="4" t="str">
        <f>IFERROR(__xludf.DUMMYFUNCTION("""COMPUTED_VALUE"""),"port3")</f>
        <v>port3</v>
      </c>
      <c r="C9538" s="4" t="str">
        <f>IFERROR(__xludf.DUMMYFUNCTION("""COMPUTED_VALUE"""),"Port3 Network")</f>
        <v>Port3 Network</v>
      </c>
    </row>
    <row r="9539">
      <c r="A9539" s="4" t="str">
        <f>IFERROR(__xludf.DUMMYFUNCTION("""COMPUTED_VALUE"""),"port-ai")</f>
        <v>port-ai</v>
      </c>
      <c r="B9539" s="4" t="str">
        <f>IFERROR(__xludf.DUMMYFUNCTION("""COMPUTED_VALUE"""),"poai")</f>
        <v>poai</v>
      </c>
      <c r="C9539" s="4" t="str">
        <f>IFERROR(__xludf.DUMMYFUNCTION("""COMPUTED_VALUE"""),"Port AI")</f>
        <v>Port AI</v>
      </c>
    </row>
    <row r="9540">
      <c r="A9540" s="4" t="str">
        <f>IFERROR(__xludf.DUMMYFUNCTION("""COMPUTED_VALUE"""),"portal-2")</f>
        <v>portal-2</v>
      </c>
      <c r="B9540" s="4" t="str">
        <f>IFERROR(__xludf.DUMMYFUNCTION("""COMPUTED_VALUE"""),"portal")</f>
        <v>portal</v>
      </c>
      <c r="C9540" s="4" t="str">
        <f>IFERROR(__xludf.DUMMYFUNCTION("""COMPUTED_VALUE"""),"Portal")</f>
        <v>Portal</v>
      </c>
    </row>
    <row r="9541">
      <c r="A9541" s="4" t="str">
        <f>IFERROR(__xludf.DUMMYFUNCTION("""COMPUTED_VALUE"""),"port-finance")</f>
        <v>port-finance</v>
      </c>
      <c r="B9541" s="4" t="str">
        <f>IFERROR(__xludf.DUMMYFUNCTION("""COMPUTED_VALUE"""),"port")</f>
        <v>port</v>
      </c>
      <c r="C9541" s="4" t="str">
        <f>IFERROR(__xludf.DUMMYFUNCTION("""COMPUTED_VALUE"""),"Port Finance")</f>
        <v>Port Finance</v>
      </c>
    </row>
    <row r="9542">
      <c r="A9542" s="4" t="str">
        <f>IFERROR(__xludf.DUMMYFUNCTION("""COMPUTED_VALUE"""),"portion")</f>
        <v>portion</v>
      </c>
      <c r="B9542" s="4" t="str">
        <f>IFERROR(__xludf.DUMMYFUNCTION("""COMPUTED_VALUE"""),"prt")</f>
        <v>prt</v>
      </c>
      <c r="C9542" s="4" t="str">
        <f>IFERROR(__xludf.DUMMYFUNCTION("""COMPUTED_VALUE"""),"Portion")</f>
        <v>Portion</v>
      </c>
    </row>
    <row r="9543">
      <c r="A9543" s="4" t="str">
        <f>IFERROR(__xludf.DUMMYFUNCTION("""COMPUTED_VALUE"""),"portugal-national-team-fan-token")</f>
        <v>portugal-national-team-fan-token</v>
      </c>
      <c r="B9543" s="4" t="str">
        <f>IFERROR(__xludf.DUMMYFUNCTION("""COMPUTED_VALUE"""),"por")</f>
        <v>por</v>
      </c>
      <c r="C9543" s="4" t="str">
        <f>IFERROR(__xludf.DUMMYFUNCTION("""COMPUTED_VALUE"""),"Portugal National Team Fan Token")</f>
        <v>Portugal National Team Fan Token</v>
      </c>
    </row>
    <row r="9544">
      <c r="A9544" s="4" t="str">
        <f>IFERROR(__xludf.DUMMYFUNCTION("""COMPUTED_VALUE"""),"portuma")</f>
        <v>portuma</v>
      </c>
      <c r="B9544" s="4" t="str">
        <f>IFERROR(__xludf.DUMMYFUNCTION("""COMPUTED_VALUE"""),"por")</f>
        <v>por</v>
      </c>
      <c r="C9544" s="4" t="str">
        <f>IFERROR(__xludf.DUMMYFUNCTION("""COMPUTED_VALUE"""),"Portuma")</f>
        <v>Portuma</v>
      </c>
    </row>
    <row r="9545">
      <c r="A9545" s="4" t="str">
        <f>IFERROR(__xludf.DUMMYFUNCTION("""COMPUTED_VALUE"""),"porygon")</f>
        <v>porygon</v>
      </c>
      <c r="B9545" s="4" t="str">
        <f>IFERROR(__xludf.DUMMYFUNCTION("""COMPUTED_VALUE"""),"pory")</f>
        <v>pory</v>
      </c>
      <c r="C9545" s="4" t="str">
        <f>IFERROR(__xludf.DUMMYFUNCTION("""COMPUTED_VALUE"""),"Porygon")</f>
        <v>Porygon</v>
      </c>
    </row>
    <row r="9546">
      <c r="A9546" s="4" t="str">
        <f>IFERROR(__xludf.DUMMYFUNCTION("""COMPUTED_VALUE"""),"pos-32")</f>
        <v>pos-32</v>
      </c>
      <c r="B9546" s="4" t="str">
        <f>IFERROR(__xludf.DUMMYFUNCTION("""COMPUTED_VALUE"""),"pos32")</f>
        <v>pos32</v>
      </c>
      <c r="C9546" s="4" t="str">
        <f>IFERROR(__xludf.DUMMYFUNCTION("""COMPUTED_VALUE"""),"PoS-32")</f>
        <v>PoS-32</v>
      </c>
    </row>
    <row r="9547">
      <c r="A9547" s="4" t="str">
        <f>IFERROR(__xludf.DUMMYFUNCTION("""COMPUTED_VALUE"""),"poseidollar")</f>
        <v>poseidollar</v>
      </c>
      <c r="B9547" s="4" t="str">
        <f>IFERROR(__xludf.DUMMYFUNCTION("""COMPUTED_VALUE"""),"pdo")</f>
        <v>pdo</v>
      </c>
      <c r="C9547" s="4" t="str">
        <f>IFERROR(__xludf.DUMMYFUNCTION("""COMPUTED_VALUE"""),"Poseidollar")</f>
        <v>Poseidollar</v>
      </c>
    </row>
    <row r="9548">
      <c r="A9548" s="4" t="str">
        <f>IFERROR(__xludf.DUMMYFUNCTION("""COMPUTED_VALUE"""),"poseidollar-shares")</f>
        <v>poseidollar-shares</v>
      </c>
      <c r="B9548" s="4" t="str">
        <f>IFERROR(__xludf.DUMMYFUNCTION("""COMPUTED_VALUE"""),"psh")</f>
        <v>psh</v>
      </c>
      <c r="C9548" s="4" t="str">
        <f>IFERROR(__xludf.DUMMYFUNCTION("""COMPUTED_VALUE"""),"Poseidollar Shares")</f>
        <v>Poseidollar Shares</v>
      </c>
    </row>
    <row r="9549">
      <c r="A9549" s="4" t="str">
        <f>IFERROR(__xludf.DUMMYFUNCTION("""COMPUTED_VALUE"""),"poseidon-2")</f>
        <v>poseidon-2</v>
      </c>
      <c r="B9549" s="4" t="str">
        <f>IFERROR(__xludf.DUMMYFUNCTION("""COMPUTED_VALUE"""),"psdn")</f>
        <v>psdn</v>
      </c>
      <c r="C9549" s="4" t="str">
        <f>IFERROR(__xludf.DUMMYFUNCTION("""COMPUTED_VALUE"""),"Poseidon")</f>
        <v>Poseidon</v>
      </c>
    </row>
    <row r="9550">
      <c r="A9550" s="4" t="str">
        <f>IFERROR(__xludf.DUMMYFUNCTION("""COMPUTED_VALUE"""),"poseidon-finance")</f>
        <v>poseidon-finance</v>
      </c>
      <c r="B9550" s="4" t="str">
        <f>IFERROR(__xludf.DUMMYFUNCTION("""COMPUTED_VALUE"""),"psdn")</f>
        <v>psdn</v>
      </c>
      <c r="C9550" s="4" t="str">
        <f>IFERROR(__xludf.DUMMYFUNCTION("""COMPUTED_VALUE"""),"Poseidon Finance")</f>
        <v>Poseidon Finance</v>
      </c>
    </row>
    <row r="9551">
      <c r="A9551" s="4" t="str">
        <f>IFERROR(__xludf.DUMMYFUNCTION("""COMPUTED_VALUE"""),"poseidon-ocean")</f>
        <v>poseidon-ocean</v>
      </c>
      <c r="B9551" s="4" t="str">
        <f>IFERROR(__xludf.DUMMYFUNCTION("""COMPUTED_VALUE"""),"psdnocean")</f>
        <v>psdnocean</v>
      </c>
      <c r="C9551" s="4" t="str">
        <f>IFERROR(__xludf.DUMMYFUNCTION("""COMPUTED_VALUE"""),"Poseidon OCEAN")</f>
        <v>Poseidon OCEAN</v>
      </c>
    </row>
    <row r="9552">
      <c r="A9552" s="4" t="str">
        <f>IFERROR(__xludf.DUMMYFUNCTION("""COMPUTED_VALUE"""),"position-token")</f>
        <v>position-token</v>
      </c>
      <c r="B9552" s="4" t="str">
        <f>IFERROR(__xludf.DUMMYFUNCTION("""COMPUTED_VALUE"""),"posi")</f>
        <v>posi</v>
      </c>
      <c r="C9552" s="4" t="str">
        <f>IFERROR(__xludf.DUMMYFUNCTION("""COMPUTED_VALUE"""),"Position")</f>
        <v>Position</v>
      </c>
    </row>
    <row r="9553">
      <c r="A9553" s="4" t="str">
        <f>IFERROR(__xludf.DUMMYFUNCTION("""COMPUTED_VALUE"""),"possum")</f>
        <v>possum</v>
      </c>
      <c r="B9553" s="4" t="str">
        <f>IFERROR(__xludf.DUMMYFUNCTION("""COMPUTED_VALUE"""),"psm")</f>
        <v>psm</v>
      </c>
      <c r="C9553" s="4" t="str">
        <f>IFERROR(__xludf.DUMMYFUNCTION("""COMPUTED_VALUE"""),"Possum")</f>
        <v>Possum</v>
      </c>
    </row>
    <row r="9554">
      <c r="A9554" s="4" t="str">
        <f>IFERROR(__xludf.DUMMYFUNCTION("""COMPUTED_VALUE"""),"posthuman")</f>
        <v>posthuman</v>
      </c>
      <c r="B9554" s="4" t="str">
        <f>IFERROR(__xludf.DUMMYFUNCTION("""COMPUTED_VALUE"""),"phmn")</f>
        <v>phmn</v>
      </c>
      <c r="C9554" s="4" t="str">
        <f>IFERROR(__xludf.DUMMYFUNCTION("""COMPUTED_VALUE"""),"POSTHUMAN")</f>
        <v>POSTHUMAN</v>
      </c>
    </row>
    <row r="9555">
      <c r="A9555" s="4" t="str">
        <f>IFERROR(__xludf.DUMMYFUNCTION("""COMPUTED_VALUE"""),"post-tech")</f>
        <v>post-tech</v>
      </c>
      <c r="B9555" s="4" t="str">
        <f>IFERROR(__xludf.DUMMYFUNCTION("""COMPUTED_VALUE"""),"post")</f>
        <v>post</v>
      </c>
      <c r="C9555" s="4" t="str">
        <f>IFERROR(__xludf.DUMMYFUNCTION("""COMPUTED_VALUE"""),"Post.Tech")</f>
        <v>Post.Tech</v>
      </c>
    </row>
    <row r="9556">
      <c r="A9556" s="4" t="str">
        <f>IFERROR(__xludf.DUMMYFUNCTION("""COMPUTED_VALUE"""),"pot")</f>
        <v>pot</v>
      </c>
      <c r="B9556" s="4" t="str">
        <f>IFERROR(__xludf.DUMMYFUNCTION("""COMPUTED_VALUE"""),"pot")</f>
        <v>pot</v>
      </c>
      <c r="C9556" s="4" t="str">
        <f>IFERROR(__xludf.DUMMYFUNCTION("""COMPUTED_VALUE"""),"POT")</f>
        <v>POT</v>
      </c>
    </row>
    <row r="9557">
      <c r="A9557" s="4" t="str">
        <f>IFERROR(__xludf.DUMMYFUNCTION("""COMPUTED_VALUE"""),"potato")</f>
        <v>potato</v>
      </c>
      <c r="B9557" s="4" t="str">
        <f>IFERROR(__xludf.DUMMYFUNCTION("""COMPUTED_VALUE"""),"potato")</f>
        <v>potato</v>
      </c>
      <c r="C9557" s="4" t="str">
        <f>IFERROR(__xludf.DUMMYFUNCTION("""COMPUTED_VALUE"""),"Potato")</f>
        <v>Potato</v>
      </c>
    </row>
    <row r="9558">
      <c r="A9558" s="4" t="str">
        <f>IFERROR(__xludf.DUMMYFUNCTION("""COMPUTED_VALUE"""),"potato-2")</f>
        <v>potato-2</v>
      </c>
      <c r="B9558" s="4" t="str">
        <f>IFERROR(__xludf.DUMMYFUNCTION("""COMPUTED_VALUE"""),"tato")</f>
        <v>tato</v>
      </c>
      <c r="C9558" s="4" t="str">
        <f>IFERROR(__xludf.DUMMYFUNCTION("""COMPUTED_VALUE"""),"POTATO")</f>
        <v>POTATO</v>
      </c>
    </row>
    <row r="9559">
      <c r="A9559" s="4" t="str">
        <f>IFERROR(__xludf.DUMMYFUNCTION("""COMPUTED_VALUE"""),"potato-3")</f>
        <v>potato-3</v>
      </c>
      <c r="B9559" s="4" t="str">
        <f>IFERROR(__xludf.DUMMYFUNCTION("""COMPUTED_VALUE"""),"potato")</f>
        <v>potato</v>
      </c>
      <c r="C9559" s="4" t="str">
        <f>IFERROR(__xludf.DUMMYFUNCTION("""COMPUTED_VALUE"""),"Potato")</f>
        <v>Potato</v>
      </c>
    </row>
    <row r="9560">
      <c r="A9560" s="4" t="str">
        <f>IFERROR(__xludf.DUMMYFUNCTION("""COMPUTED_VALUE"""),"potcoin")</f>
        <v>potcoin</v>
      </c>
      <c r="B9560" s="4" t="str">
        <f>IFERROR(__xludf.DUMMYFUNCTION("""COMPUTED_VALUE"""),"pot")</f>
        <v>pot</v>
      </c>
      <c r="C9560" s="4" t="str">
        <f>IFERROR(__xludf.DUMMYFUNCTION("""COMPUTED_VALUE"""),"Potcoin")</f>
        <v>Potcoin</v>
      </c>
    </row>
    <row r="9561">
      <c r="A9561" s="4" t="str">
        <f>IFERROR(__xludf.DUMMYFUNCTION("""COMPUTED_VALUE"""),"potfolio")</f>
        <v>potfolio</v>
      </c>
      <c r="B9561" s="4" t="str">
        <f>IFERROR(__xludf.DUMMYFUNCTION("""COMPUTED_VALUE"""),"ptf")</f>
        <v>ptf</v>
      </c>
      <c r="C9561" s="4" t="str">
        <f>IFERROR(__xludf.DUMMYFUNCTION("""COMPUTED_VALUE"""),"Potfolio")</f>
        <v>Potfolio</v>
      </c>
    </row>
    <row r="9562">
      <c r="A9562" s="4" t="str">
        <f>IFERROR(__xludf.DUMMYFUNCTION("""COMPUTED_VALUE"""),"potion-404")</f>
        <v>potion-404</v>
      </c>
      <c r="B9562" s="4" t="str">
        <f>IFERROR(__xludf.DUMMYFUNCTION("""COMPUTED_VALUE"""),"p404")</f>
        <v>p404</v>
      </c>
      <c r="C9562" s="4" t="str">
        <f>IFERROR(__xludf.DUMMYFUNCTION("""COMPUTED_VALUE"""),"Potion 404")</f>
        <v>Potion 404</v>
      </c>
    </row>
    <row r="9563">
      <c r="A9563" s="4" t="str">
        <f>IFERROR(__xludf.DUMMYFUNCTION("""COMPUTED_VALUE"""),"potion-exchange")</f>
        <v>potion-exchange</v>
      </c>
      <c r="B9563" s="4" t="str">
        <f>IFERROR(__xludf.DUMMYFUNCTION("""COMPUTED_VALUE"""),"ptn")</f>
        <v>ptn</v>
      </c>
      <c r="C9563" s="4" t="str">
        <f>IFERROR(__xludf.DUMMYFUNCTION("""COMPUTED_VALUE"""),"Potion Exchange")</f>
        <v>Potion Exchange</v>
      </c>
    </row>
    <row r="9564">
      <c r="A9564" s="4" t="str">
        <f>IFERROR(__xludf.DUMMYFUNCTION("""COMPUTED_VALUE"""),"potter-predator")</f>
        <v>potter-predator</v>
      </c>
      <c r="B9564" s="4" t="str">
        <f>IFERROR(__xludf.DUMMYFUNCTION("""COMPUTED_VALUE"""),"voldemort")</f>
        <v>voldemort</v>
      </c>
      <c r="C9564" s="4" t="str">
        <f>IFERROR(__xludf.DUMMYFUNCTION("""COMPUTED_VALUE"""),"Potter Predator")</f>
        <v>Potter Predator</v>
      </c>
    </row>
    <row r="9565">
      <c r="A9565" s="4" t="str">
        <f>IFERROR(__xludf.DUMMYFUNCTION("""COMPUTED_VALUE"""),"pou")</f>
        <v>pou</v>
      </c>
      <c r="B9565" s="4" t="str">
        <f>IFERROR(__xludf.DUMMYFUNCTION("""COMPUTED_VALUE"""),"pou")</f>
        <v>pou</v>
      </c>
      <c r="C9565" s="4" t="str">
        <f>IFERROR(__xludf.DUMMYFUNCTION("""COMPUTED_VALUE"""),"Pou")</f>
        <v>Pou</v>
      </c>
    </row>
    <row r="9566">
      <c r="A9566" s="4" t="str">
        <f>IFERROR(__xludf.DUMMYFUNCTION("""COMPUTED_VALUE"""),"poundtoken")</f>
        <v>poundtoken</v>
      </c>
      <c r="B9566" s="4" t="str">
        <f>IFERROR(__xludf.DUMMYFUNCTION("""COMPUTED_VALUE"""),"gbpt")</f>
        <v>gbpt</v>
      </c>
      <c r="C9566" s="4" t="str">
        <f>IFERROR(__xludf.DUMMYFUNCTION("""COMPUTED_VALUE"""),"poundtoken")</f>
        <v>poundtoken</v>
      </c>
    </row>
    <row r="9567">
      <c r="A9567" s="4" t="str">
        <f>IFERROR(__xludf.DUMMYFUNCTION("""COMPUTED_VALUE"""),"powblocks")</f>
        <v>powblocks</v>
      </c>
      <c r="B9567" s="4" t="str">
        <f>IFERROR(__xludf.DUMMYFUNCTION("""COMPUTED_VALUE"""),"xpb")</f>
        <v>xpb</v>
      </c>
      <c r="C9567" s="4" t="str">
        <f>IFERROR(__xludf.DUMMYFUNCTION("""COMPUTED_VALUE"""),"PowBlocks")</f>
        <v>PowBlocks</v>
      </c>
    </row>
    <row r="9568">
      <c r="A9568" s="4" t="str">
        <f>IFERROR(__xludf.DUMMYFUNCTION("""COMPUTED_VALUE"""),"power")</f>
        <v>power</v>
      </c>
      <c r="B9568" s="4" t="str">
        <f>IFERROR(__xludf.DUMMYFUNCTION("""COMPUTED_VALUE"""),"pwr")</f>
        <v>pwr</v>
      </c>
      <c r="C9568" s="4" t="str">
        <f>IFERROR(__xludf.DUMMYFUNCTION("""COMPUTED_VALUE"""),"MaxxChain")</f>
        <v>MaxxChain</v>
      </c>
    </row>
    <row r="9569">
      <c r="A9569" s="4" t="str">
        <f>IFERROR(__xludf.DUMMYFUNCTION("""COMPUTED_VALUE"""),"powercity-earn-protocol")</f>
        <v>powercity-earn-protocol</v>
      </c>
      <c r="B9569" s="4" t="str">
        <f>IFERROR(__xludf.DUMMYFUNCTION("""COMPUTED_VALUE"""),"earn")</f>
        <v>earn</v>
      </c>
      <c r="C9569" s="4" t="str">
        <f>IFERROR(__xludf.DUMMYFUNCTION("""COMPUTED_VALUE"""),"POWERCITY Earn Protocol")</f>
        <v>POWERCITY Earn Protocol</v>
      </c>
    </row>
    <row r="9570">
      <c r="A9570" s="4" t="str">
        <f>IFERROR(__xludf.DUMMYFUNCTION("""COMPUTED_VALUE"""),"powercity-pxdc")</f>
        <v>powercity-pxdc</v>
      </c>
      <c r="B9570" s="4" t="str">
        <f>IFERROR(__xludf.DUMMYFUNCTION("""COMPUTED_VALUE"""),"pxdc")</f>
        <v>pxdc</v>
      </c>
      <c r="C9570" s="4" t="str">
        <f>IFERROR(__xludf.DUMMYFUNCTION("""COMPUTED_VALUE"""),"PXDC")</f>
        <v>PXDC</v>
      </c>
    </row>
    <row r="9571">
      <c r="A9571" s="4" t="str">
        <f>IFERROR(__xludf.DUMMYFUNCTION("""COMPUTED_VALUE"""),"powercity-watt")</f>
        <v>powercity-watt</v>
      </c>
      <c r="B9571" s="4" t="str">
        <f>IFERROR(__xludf.DUMMYFUNCTION("""COMPUTED_VALUE"""),"watt")</f>
        <v>watt</v>
      </c>
      <c r="C9571" s="4" t="str">
        <f>IFERROR(__xludf.DUMMYFUNCTION("""COMPUTED_VALUE"""),"POWERCITY WATT")</f>
        <v>POWERCITY WATT</v>
      </c>
    </row>
    <row r="9572">
      <c r="A9572" s="4" t="str">
        <f>IFERROR(__xludf.DUMMYFUNCTION("""COMPUTED_VALUE"""),"powercoin")</f>
        <v>powercoin</v>
      </c>
      <c r="B9572" s="4" t="str">
        <f>IFERROR(__xludf.DUMMYFUNCTION("""COMPUTED_VALUE"""),"pwr")</f>
        <v>pwr</v>
      </c>
      <c r="C9572" s="4" t="str">
        <f>IFERROR(__xludf.DUMMYFUNCTION("""COMPUTED_VALUE"""),"PWR Coin")</f>
        <v>PWR Coin</v>
      </c>
    </row>
    <row r="9573">
      <c r="A9573" s="4" t="str">
        <f>IFERROR(__xludf.DUMMYFUNCTION("""COMPUTED_VALUE"""),"powerful")</f>
        <v>powerful</v>
      </c>
      <c r="B9573" s="4" t="str">
        <f>IFERROR(__xludf.DUMMYFUNCTION("""COMPUTED_VALUE"""),"pwfl")</f>
        <v>pwfl</v>
      </c>
      <c r="C9573" s="4" t="str">
        <f>IFERROR(__xludf.DUMMYFUNCTION("""COMPUTED_VALUE"""),"Powerful")</f>
        <v>Powerful</v>
      </c>
    </row>
    <row r="9574">
      <c r="A9574" s="4" t="str">
        <f>IFERROR(__xludf.DUMMYFUNCTION("""COMPUTED_VALUE"""),"power-ledger")</f>
        <v>power-ledger</v>
      </c>
      <c r="B9574" s="4" t="str">
        <f>IFERROR(__xludf.DUMMYFUNCTION("""COMPUTED_VALUE"""),"powr")</f>
        <v>powr</v>
      </c>
      <c r="C9574" s="4" t="str">
        <f>IFERROR(__xludf.DUMMYFUNCTION("""COMPUTED_VALUE"""),"Powerledger")</f>
        <v>Powerledger</v>
      </c>
    </row>
    <row r="9575">
      <c r="A9575" s="4" t="str">
        <f>IFERROR(__xludf.DUMMYFUNCTION("""COMPUTED_VALUE"""),"power-nodes")</f>
        <v>power-nodes</v>
      </c>
      <c r="B9575" s="4" t="str">
        <f>IFERROR(__xludf.DUMMYFUNCTION("""COMPUTED_VALUE"""),"power")</f>
        <v>power</v>
      </c>
      <c r="C9575" s="4" t="str">
        <f>IFERROR(__xludf.DUMMYFUNCTION("""COMPUTED_VALUE"""),"Power Nodes")</f>
        <v>Power Nodes</v>
      </c>
    </row>
    <row r="9576">
      <c r="A9576" s="4" t="str">
        <f>IFERROR(__xludf.DUMMYFUNCTION("""COMPUTED_VALUE"""),"power-of-deep-ocean")</f>
        <v>power-of-deep-ocean</v>
      </c>
      <c r="B9576" s="4" t="str">
        <f>IFERROR(__xludf.DUMMYFUNCTION("""COMPUTED_VALUE"""),"podo")</f>
        <v>podo</v>
      </c>
      <c r="C9576" s="4" t="str">
        <f>IFERROR(__xludf.DUMMYFUNCTION("""COMPUTED_VALUE"""),"Power Of Deep Ocean")</f>
        <v>Power Of Deep Ocean</v>
      </c>
    </row>
    <row r="9577">
      <c r="A9577" s="4" t="str">
        <f>IFERROR(__xludf.DUMMYFUNCTION("""COMPUTED_VALUE"""),"power-token")</f>
        <v>power-token</v>
      </c>
      <c r="B9577" s="4" t="str">
        <f>IFERROR(__xludf.DUMMYFUNCTION("""COMPUTED_VALUE"""),"pwr")</f>
        <v>pwr</v>
      </c>
      <c r="C9577" s="4" t="str">
        <f>IFERROR(__xludf.DUMMYFUNCTION("""COMPUTED_VALUE"""),"Power Token")</f>
        <v>Power Token</v>
      </c>
    </row>
    <row r="9578">
      <c r="A9578" s="4" t="str">
        <f>IFERROR(__xludf.DUMMYFUNCTION("""COMPUTED_VALUE"""),"powertrade-fuel")</f>
        <v>powertrade-fuel</v>
      </c>
      <c r="B9578" s="4" t="str">
        <f>IFERROR(__xludf.DUMMYFUNCTION("""COMPUTED_VALUE"""),"ptf")</f>
        <v>ptf</v>
      </c>
      <c r="C9578" s="4" t="str">
        <f>IFERROR(__xludf.DUMMYFUNCTION("""COMPUTED_VALUE"""),"PowerTrade Fuel")</f>
        <v>PowerTrade Fuel</v>
      </c>
    </row>
    <row r="9579">
      <c r="A9579" s="4" t="str">
        <f>IFERROR(__xludf.DUMMYFUNCTION("""COMPUTED_VALUE"""),"powswap")</f>
        <v>powswap</v>
      </c>
      <c r="B9579" s="4" t="str">
        <f>IFERROR(__xludf.DUMMYFUNCTION("""COMPUTED_VALUE"""),"pow")</f>
        <v>pow</v>
      </c>
      <c r="C9579" s="4" t="str">
        <f>IFERROR(__xludf.DUMMYFUNCTION("""COMPUTED_VALUE"""),"Powswap")</f>
        <v>Powswap</v>
      </c>
    </row>
    <row r="9580">
      <c r="A9580" s="4" t="str">
        <f>IFERROR(__xludf.DUMMYFUNCTION("""COMPUTED_VALUE"""),"ppizza")</f>
        <v>ppizza</v>
      </c>
      <c r="B9580" s="4" t="str">
        <f>IFERROR(__xludf.DUMMYFUNCTION("""COMPUTED_VALUE"""),"ppizza")</f>
        <v>ppizza</v>
      </c>
      <c r="C9580" s="4" t="str">
        <f>IFERROR(__xludf.DUMMYFUNCTION("""COMPUTED_VALUE"""),"PPizza")</f>
        <v>PPizza</v>
      </c>
    </row>
    <row r="9581">
      <c r="A9581" s="4" t="str">
        <f>IFERROR(__xludf.DUMMYFUNCTION("""COMPUTED_VALUE"""),"pqx")</f>
        <v>pqx</v>
      </c>
      <c r="B9581" s="4" t="str">
        <f>IFERROR(__xludf.DUMMYFUNCTION("""COMPUTED_VALUE"""),"pqx")</f>
        <v>pqx</v>
      </c>
      <c r="C9581" s="4" t="str">
        <f>IFERROR(__xludf.DUMMYFUNCTION("""COMPUTED_VALUE"""),"PQX")</f>
        <v>PQX</v>
      </c>
    </row>
    <row r="9582">
      <c r="A9582" s="4" t="str">
        <f>IFERROR(__xludf.DUMMYFUNCTION("""COMPUTED_VALUE"""),"pracht-pay")</f>
        <v>pracht-pay</v>
      </c>
      <c r="B9582" s="4" t="str">
        <f>IFERROR(__xludf.DUMMYFUNCTION("""COMPUTED_VALUE"""),"prachtpay")</f>
        <v>prachtpay</v>
      </c>
      <c r="C9582" s="4" t="str">
        <f>IFERROR(__xludf.DUMMYFUNCTION("""COMPUTED_VALUE"""),"Pracht Pay")</f>
        <v>Pracht Pay</v>
      </c>
    </row>
    <row r="9583">
      <c r="A9583" s="4" t="str">
        <f>IFERROR(__xludf.DUMMYFUNCTION("""COMPUTED_VALUE"""),"prcy-coin")</f>
        <v>prcy-coin</v>
      </c>
      <c r="B9583" s="4" t="str">
        <f>IFERROR(__xludf.DUMMYFUNCTION("""COMPUTED_VALUE"""),"prcy")</f>
        <v>prcy</v>
      </c>
      <c r="C9583" s="4" t="str">
        <f>IFERROR(__xludf.DUMMYFUNCTION("""COMPUTED_VALUE"""),"PRivaCY Coin")</f>
        <v>PRivaCY Coin</v>
      </c>
    </row>
    <row r="9584">
      <c r="A9584" s="4" t="str">
        <f>IFERROR(__xludf.DUMMYFUNCTION("""COMPUTED_VALUE"""),"pre")</f>
        <v>pre</v>
      </c>
      <c r="B9584" s="4" t="str">
        <f>IFERROR(__xludf.DUMMYFUNCTION("""COMPUTED_VALUE"""),"pre")</f>
        <v>pre</v>
      </c>
      <c r="C9584" s="4" t="str">
        <f>IFERROR(__xludf.DUMMYFUNCTION("""COMPUTED_VALUE"""),"Pre")</f>
        <v>Pre</v>
      </c>
    </row>
    <row r="9585">
      <c r="A9585" s="4" t="str">
        <f>IFERROR(__xludf.DUMMYFUNCTION("""COMPUTED_VALUE"""),"precipitate-ai")</f>
        <v>precipitate-ai</v>
      </c>
      <c r="B9585" s="4" t="str">
        <f>IFERROR(__xludf.DUMMYFUNCTION("""COMPUTED_VALUE"""),"rain")</f>
        <v>rain</v>
      </c>
      <c r="C9585" s="5" t="str">
        <f>IFERROR(__xludf.DUMMYFUNCTION("""COMPUTED_VALUE"""),"Precipitate.ai")</f>
        <v>Precipitate.ai</v>
      </c>
    </row>
    <row r="9586">
      <c r="A9586" s="4" t="str">
        <f>IFERROR(__xludf.DUMMYFUNCTION("""COMPUTED_VALUE"""),"predictcoin")</f>
        <v>predictcoin</v>
      </c>
      <c r="B9586" s="4" t="str">
        <f>IFERROR(__xludf.DUMMYFUNCTION("""COMPUTED_VALUE"""),"pred")</f>
        <v>pred</v>
      </c>
      <c r="C9586" s="4" t="str">
        <f>IFERROR(__xludf.DUMMYFUNCTION("""COMPUTED_VALUE"""),"Predictcoin")</f>
        <v>Predictcoin</v>
      </c>
    </row>
    <row r="9587">
      <c r="A9587" s="4" t="str">
        <f>IFERROR(__xludf.DUMMYFUNCTION("""COMPUTED_VALUE"""),"prema")</f>
        <v>prema</v>
      </c>
      <c r="B9587" s="4" t="str">
        <f>IFERROR(__xludf.DUMMYFUNCTION("""COMPUTED_VALUE"""),"prmx")</f>
        <v>prmx</v>
      </c>
      <c r="C9587" s="4" t="str">
        <f>IFERROR(__xludf.DUMMYFUNCTION("""COMPUTED_VALUE"""),"PREMA")</f>
        <v>PREMA</v>
      </c>
    </row>
    <row r="9588">
      <c r="A9588" s="4" t="str">
        <f>IFERROR(__xludf.DUMMYFUNCTION("""COMPUTED_VALUE"""),"preme-token")</f>
        <v>preme-token</v>
      </c>
      <c r="B9588" s="4" t="str">
        <f>IFERROR(__xludf.DUMMYFUNCTION("""COMPUTED_VALUE"""),"preme")</f>
        <v>preme</v>
      </c>
      <c r="C9588" s="4" t="str">
        <f>IFERROR(__xludf.DUMMYFUNCTION("""COMPUTED_VALUE"""),"PREME Token")</f>
        <v>PREME Token</v>
      </c>
    </row>
    <row r="9589">
      <c r="A9589" s="4" t="str">
        <f>IFERROR(__xludf.DUMMYFUNCTION("""COMPUTED_VALUE"""),"premia")</f>
        <v>premia</v>
      </c>
      <c r="B9589" s="4" t="str">
        <f>IFERROR(__xludf.DUMMYFUNCTION("""COMPUTED_VALUE"""),"premia")</f>
        <v>premia</v>
      </c>
      <c r="C9589" s="4" t="str">
        <f>IFERROR(__xludf.DUMMYFUNCTION("""COMPUTED_VALUE"""),"Premia")</f>
        <v>Premia</v>
      </c>
    </row>
    <row r="9590">
      <c r="A9590" s="4" t="str">
        <f>IFERROR(__xludf.DUMMYFUNCTION("""COMPUTED_VALUE"""),"preon-finance-star")</f>
        <v>preon-finance-star</v>
      </c>
      <c r="B9590" s="4" t="str">
        <f>IFERROR(__xludf.DUMMYFUNCTION("""COMPUTED_VALUE"""),"star")</f>
        <v>star</v>
      </c>
      <c r="C9590" s="4" t="str">
        <f>IFERROR(__xludf.DUMMYFUNCTION("""COMPUTED_VALUE"""),"Preon Finance STAR")</f>
        <v>Preon Finance STAR</v>
      </c>
    </row>
    <row r="9591">
      <c r="A9591" s="4" t="str">
        <f>IFERROR(__xludf.DUMMYFUNCTION("""COMPUTED_VALUE"""),"preon-star")</f>
        <v>preon-star</v>
      </c>
      <c r="B9591" s="4" t="str">
        <f>IFERROR(__xludf.DUMMYFUNCTION("""COMPUTED_VALUE"""),"star")</f>
        <v>star</v>
      </c>
      <c r="C9591" s="4" t="str">
        <f>IFERROR(__xludf.DUMMYFUNCTION("""COMPUTED_VALUE"""),"Star")</f>
        <v>Star</v>
      </c>
    </row>
    <row r="9592">
      <c r="A9592" s="4" t="str">
        <f>IFERROR(__xludf.DUMMYFUNCTION("""COMPUTED_VALUE"""),"pre-retogeum")</f>
        <v>pre-retogeum</v>
      </c>
      <c r="B9592" s="4" t="str">
        <f>IFERROR(__xludf.DUMMYFUNCTION("""COMPUTED_VALUE"""),"prtg")</f>
        <v>prtg</v>
      </c>
      <c r="C9592" s="4" t="str">
        <f>IFERROR(__xludf.DUMMYFUNCTION("""COMPUTED_VALUE"""),"Pre-Retogeum")</f>
        <v>Pre-Retogeum</v>
      </c>
    </row>
    <row r="9593">
      <c r="A9593" s="4" t="str">
        <f>IFERROR(__xludf.DUMMYFUNCTION("""COMPUTED_VALUE"""),"presearch")</f>
        <v>presearch</v>
      </c>
      <c r="B9593" s="4" t="str">
        <f>IFERROR(__xludf.DUMMYFUNCTION("""COMPUTED_VALUE"""),"pre")</f>
        <v>pre</v>
      </c>
      <c r="C9593" s="4" t="str">
        <f>IFERROR(__xludf.DUMMYFUNCTION("""COMPUTED_VALUE"""),"Presearch")</f>
        <v>Presearch</v>
      </c>
    </row>
    <row r="9594">
      <c r="A9594" s="4" t="str">
        <f>IFERROR(__xludf.DUMMYFUNCTION("""COMPUTED_VALUE"""),"president-ron-desantis")</f>
        <v>president-ron-desantis</v>
      </c>
      <c r="B9594" s="4" t="str">
        <f>IFERROR(__xludf.DUMMYFUNCTION("""COMPUTED_VALUE"""),"ron")</f>
        <v>ron</v>
      </c>
      <c r="C9594" s="4" t="str">
        <f>IFERROR(__xludf.DUMMYFUNCTION("""COMPUTED_VALUE"""),"President Ron DeSantis")</f>
        <v>President Ron DeSantis</v>
      </c>
    </row>
    <row r="9595">
      <c r="A9595" s="4" t="str">
        <f>IFERROR(__xludf.DUMMYFUNCTION("""COMPUTED_VALUE"""),"pricetools")</f>
        <v>pricetools</v>
      </c>
      <c r="B9595" s="4" t="str">
        <f>IFERROR(__xludf.DUMMYFUNCTION("""COMPUTED_VALUE"""),"ptools")</f>
        <v>ptools</v>
      </c>
      <c r="C9595" s="4" t="str">
        <f>IFERROR(__xludf.DUMMYFUNCTION("""COMPUTED_VALUE"""),"Pricetools")</f>
        <v>Pricetools</v>
      </c>
    </row>
    <row r="9596">
      <c r="A9596" s="4" t="str">
        <f>IFERROR(__xludf.DUMMYFUNCTION("""COMPUTED_VALUE"""),"primal-b3099cd0-995a-4311-80d5-9c133153b38e")</f>
        <v>primal-b3099cd0-995a-4311-80d5-9c133153b38e</v>
      </c>
      <c r="B9596" s="4" t="str">
        <f>IFERROR(__xludf.DUMMYFUNCTION("""COMPUTED_VALUE"""),"primal")</f>
        <v>primal</v>
      </c>
      <c r="C9596" s="4" t="str">
        <f>IFERROR(__xludf.DUMMYFUNCTION("""COMPUTED_VALUE"""),"PRIMAL")</f>
        <v>PRIMAL</v>
      </c>
    </row>
    <row r="9597">
      <c r="A9597" s="4" t="str">
        <f>IFERROR(__xludf.DUMMYFUNCTION("""COMPUTED_VALUE"""),"primas")</f>
        <v>primas</v>
      </c>
      <c r="B9597" s="4" t="str">
        <f>IFERROR(__xludf.DUMMYFUNCTION("""COMPUTED_VALUE"""),"pst")</f>
        <v>pst</v>
      </c>
      <c r="C9597" s="4" t="str">
        <f>IFERROR(__xludf.DUMMYFUNCTION("""COMPUTED_VALUE"""),"Primas")</f>
        <v>Primas</v>
      </c>
    </row>
    <row r="9598">
      <c r="A9598" s="4" t="str">
        <f>IFERROR(__xludf.DUMMYFUNCTION("""COMPUTED_VALUE"""),"primate")</f>
        <v>primate</v>
      </c>
      <c r="B9598" s="4" t="str">
        <f>IFERROR(__xludf.DUMMYFUNCTION("""COMPUTED_VALUE"""),"primate")</f>
        <v>primate</v>
      </c>
      <c r="C9598" s="4" t="str">
        <f>IFERROR(__xludf.DUMMYFUNCTION("""COMPUTED_VALUE"""),"Primate")</f>
        <v>Primate</v>
      </c>
    </row>
    <row r="9599">
      <c r="A9599" s="4" t="str">
        <f>IFERROR(__xludf.DUMMYFUNCTION("""COMPUTED_VALUE"""),"prime")</f>
        <v>prime</v>
      </c>
      <c r="B9599" s="4" t="str">
        <f>IFERROR(__xludf.DUMMYFUNCTION("""COMPUTED_VALUE"""),"d2d")</f>
        <v>d2d</v>
      </c>
      <c r="C9599" s="4" t="str">
        <f>IFERROR(__xludf.DUMMYFUNCTION("""COMPUTED_VALUE"""),"Prime")</f>
        <v>Prime</v>
      </c>
    </row>
    <row r="9600">
      <c r="A9600" s="4" t="str">
        <f>IFERROR(__xludf.DUMMYFUNCTION("""COMPUTED_VALUE"""),"primecoin")</f>
        <v>primecoin</v>
      </c>
      <c r="B9600" s="4" t="str">
        <f>IFERROR(__xludf.DUMMYFUNCTION("""COMPUTED_VALUE"""),"xpm")</f>
        <v>xpm</v>
      </c>
      <c r="C9600" s="4" t="str">
        <f>IFERROR(__xludf.DUMMYFUNCTION("""COMPUTED_VALUE"""),"Primecoin")</f>
        <v>Primecoin</v>
      </c>
    </row>
    <row r="9601">
      <c r="A9601" s="4" t="str">
        <f>IFERROR(__xludf.DUMMYFUNCTION("""COMPUTED_VALUE"""),"prime-numbers")</f>
        <v>prime-numbers</v>
      </c>
      <c r="B9601" s="4" t="str">
        <f>IFERROR(__xludf.DUMMYFUNCTION("""COMPUTED_VALUE"""),"prnt")</f>
        <v>prnt</v>
      </c>
      <c r="C9601" s="4" t="str">
        <f>IFERROR(__xludf.DUMMYFUNCTION("""COMPUTED_VALUE"""),"Prime Numbers Ecosystem")</f>
        <v>Prime Numbers Ecosystem</v>
      </c>
    </row>
    <row r="9602">
      <c r="A9602" s="4" t="str">
        <f>IFERROR(__xludf.DUMMYFUNCTION("""COMPUTED_VALUE"""),"prime-staked-eth")</f>
        <v>prime-staked-eth</v>
      </c>
      <c r="B9602" s="4" t="str">
        <f>IFERROR(__xludf.DUMMYFUNCTION("""COMPUTED_VALUE"""),"primeeth")</f>
        <v>primeeth</v>
      </c>
      <c r="C9602" s="4" t="str">
        <f>IFERROR(__xludf.DUMMYFUNCTION("""COMPUTED_VALUE"""),"Prime Staked ETH")</f>
        <v>Prime Staked ETH</v>
      </c>
    </row>
    <row r="9603">
      <c r="A9603" s="4" t="str">
        <f>IFERROR(__xludf.DUMMYFUNCTION("""COMPUTED_VALUE"""),"primex-finance")</f>
        <v>primex-finance</v>
      </c>
      <c r="B9603" s="4" t="str">
        <f>IFERROR(__xludf.DUMMYFUNCTION("""COMPUTED_VALUE"""),"pmx")</f>
        <v>pmx</v>
      </c>
      <c r="C9603" s="4" t="str">
        <f>IFERROR(__xludf.DUMMYFUNCTION("""COMPUTED_VALUE"""),"Primex Finance")</f>
        <v>Primex Finance</v>
      </c>
    </row>
    <row r="9604">
      <c r="A9604" s="4" t="str">
        <f>IFERROR(__xludf.DUMMYFUNCTION("""COMPUTED_VALUE"""),"print-cash")</f>
        <v>print-cash</v>
      </c>
      <c r="B9604" s="4" t="str">
        <f>IFERROR(__xludf.DUMMYFUNCTION("""COMPUTED_VALUE"""),"$cash")</f>
        <v>$cash</v>
      </c>
      <c r="C9604" s="4" t="str">
        <f>IFERROR(__xludf.DUMMYFUNCTION("""COMPUTED_VALUE"""),"Print Cash")</f>
        <v>Print Cash</v>
      </c>
    </row>
    <row r="9605">
      <c r="A9605" s="4" t="str">
        <f>IFERROR(__xludf.DUMMYFUNCTION("""COMPUTED_VALUE"""),"print-mining")</f>
        <v>print-mining</v>
      </c>
      <c r="B9605" s="4" t="str">
        <f>IFERROR(__xludf.DUMMYFUNCTION("""COMPUTED_VALUE"""),"print")</f>
        <v>print</v>
      </c>
      <c r="C9605" s="4" t="str">
        <f>IFERROR(__xludf.DUMMYFUNCTION("""COMPUTED_VALUE"""),"Print Mining")</f>
        <v>Print Mining</v>
      </c>
    </row>
    <row r="9606">
      <c r="A9606" s="4" t="str">
        <f>IFERROR(__xludf.DUMMYFUNCTION("""COMPUTED_VALUE"""),"print-protocol")</f>
        <v>print-protocol</v>
      </c>
      <c r="B9606" s="4" t="str">
        <f>IFERROR(__xludf.DUMMYFUNCTION("""COMPUTED_VALUE"""),"print")</f>
        <v>print</v>
      </c>
      <c r="C9606" s="4" t="str">
        <f>IFERROR(__xludf.DUMMYFUNCTION("""COMPUTED_VALUE"""),"Print Protocol")</f>
        <v>Print Protocol</v>
      </c>
    </row>
    <row r="9607">
      <c r="A9607" s="4" t="str">
        <f>IFERROR(__xludf.DUMMYFUNCTION("""COMPUTED_VALUE"""),"print-the-pepe")</f>
        <v>print-the-pepe</v>
      </c>
      <c r="B9607" s="4" t="str">
        <f>IFERROR(__xludf.DUMMYFUNCTION("""COMPUTED_VALUE"""),"$pp")</f>
        <v>$pp</v>
      </c>
      <c r="C9607" s="4" t="str">
        <f>IFERROR(__xludf.DUMMYFUNCTION("""COMPUTED_VALUE"""),"Print The Pepe")</f>
        <v>Print The Pepe</v>
      </c>
    </row>
    <row r="9608">
      <c r="A9608" s="4" t="str">
        <f>IFERROR(__xludf.DUMMYFUNCTION("""COMPUTED_VALUE"""),"prism")</f>
        <v>prism</v>
      </c>
      <c r="B9608" s="4" t="str">
        <f>IFERROR(__xludf.DUMMYFUNCTION("""COMPUTED_VALUE"""),"prism")</f>
        <v>prism</v>
      </c>
      <c r="C9608" s="4" t="str">
        <f>IFERROR(__xludf.DUMMYFUNCTION("""COMPUTED_VALUE"""),"Prism")</f>
        <v>Prism</v>
      </c>
    </row>
    <row r="9609">
      <c r="A9609" s="4" t="str">
        <f>IFERROR(__xludf.DUMMYFUNCTION("""COMPUTED_VALUE"""),"prism-2")</f>
        <v>prism-2</v>
      </c>
      <c r="B9609" s="4" t="str">
        <f>IFERROR(__xludf.DUMMYFUNCTION("""COMPUTED_VALUE"""),"prism")</f>
        <v>prism</v>
      </c>
      <c r="C9609" s="4" t="str">
        <f>IFERROR(__xludf.DUMMYFUNCTION("""COMPUTED_VALUE"""),"Prism")</f>
        <v>Prism</v>
      </c>
    </row>
    <row r="9610">
      <c r="A9610" s="4" t="str">
        <f>IFERROR(__xludf.DUMMYFUNCTION("""COMPUTED_VALUE"""),"prisma-governance-token")</f>
        <v>prisma-governance-token</v>
      </c>
      <c r="B9610" s="4" t="str">
        <f>IFERROR(__xludf.DUMMYFUNCTION("""COMPUTED_VALUE"""),"prisma")</f>
        <v>prisma</v>
      </c>
      <c r="C9610" s="4" t="str">
        <f>IFERROR(__xludf.DUMMYFUNCTION("""COMPUTED_VALUE"""),"Prisma Governance Token")</f>
        <v>Prisma Governance Token</v>
      </c>
    </row>
    <row r="9611">
      <c r="A9611" s="4" t="str">
        <f>IFERROR(__xludf.DUMMYFUNCTION("""COMPUTED_VALUE"""),"prisma-mkusd")</f>
        <v>prisma-mkusd</v>
      </c>
      <c r="B9611" s="4" t="str">
        <f>IFERROR(__xludf.DUMMYFUNCTION("""COMPUTED_VALUE"""),"mkusd")</f>
        <v>mkusd</v>
      </c>
      <c r="C9611" s="4" t="str">
        <f>IFERROR(__xludf.DUMMYFUNCTION("""COMPUTED_VALUE"""),"Prisma mkUSD")</f>
        <v>Prisma mkUSD</v>
      </c>
    </row>
    <row r="9612">
      <c r="A9612" s="4" t="str">
        <f>IFERROR(__xludf.DUMMYFUNCTION("""COMPUTED_VALUE"""),"privacoin")</f>
        <v>privacoin</v>
      </c>
      <c r="B9612" s="4" t="str">
        <f>IFERROR(__xludf.DUMMYFUNCTION("""COMPUTED_VALUE"""),"prvc")</f>
        <v>prvc</v>
      </c>
      <c r="C9612" s="4" t="str">
        <f>IFERROR(__xludf.DUMMYFUNCTION("""COMPUTED_VALUE"""),"PrivaCoin")</f>
        <v>PrivaCoin</v>
      </c>
    </row>
    <row r="9613">
      <c r="A9613" s="4" t="str">
        <f>IFERROR(__xludf.DUMMYFUNCTION("""COMPUTED_VALUE"""),"privago-ai")</f>
        <v>privago-ai</v>
      </c>
      <c r="B9613" s="4" t="str">
        <f>IFERROR(__xludf.DUMMYFUNCTION("""COMPUTED_VALUE"""),"pvgo")</f>
        <v>pvgo</v>
      </c>
      <c r="C9613" s="4" t="str">
        <f>IFERROR(__xludf.DUMMYFUNCTION("""COMPUTED_VALUE"""),"Privago AI")</f>
        <v>Privago AI</v>
      </c>
    </row>
    <row r="9614">
      <c r="A9614" s="4" t="str">
        <f>IFERROR(__xludf.DUMMYFUNCTION("""COMPUTED_VALUE"""),"privapp-network")</f>
        <v>privapp-network</v>
      </c>
      <c r="B9614" s="4" t="str">
        <f>IFERROR(__xludf.DUMMYFUNCTION("""COMPUTED_VALUE"""),"bpriva")</f>
        <v>bpriva</v>
      </c>
      <c r="C9614" s="4" t="str">
        <f>IFERROR(__xludf.DUMMYFUNCTION("""COMPUTED_VALUE"""),"Privapp Network")</f>
        <v>Privapp Network</v>
      </c>
    </row>
    <row r="9615">
      <c r="A9615" s="4" t="str">
        <f>IFERROR(__xludf.DUMMYFUNCTION("""COMPUTED_VALUE"""),"privateum")</f>
        <v>privateum</v>
      </c>
      <c r="B9615" s="4" t="str">
        <f>IFERROR(__xludf.DUMMYFUNCTION("""COMPUTED_VALUE"""),"pri")</f>
        <v>pri</v>
      </c>
      <c r="C9615" s="4" t="str">
        <f>IFERROR(__xludf.DUMMYFUNCTION("""COMPUTED_VALUE"""),"Privateum Global")</f>
        <v>Privateum Global</v>
      </c>
    </row>
    <row r="9616">
      <c r="A9616" s="4" t="str">
        <f>IFERROR(__xludf.DUMMYFUNCTION("""COMPUTED_VALUE"""),"private-wrapped-ix")</f>
        <v>private-wrapped-ix</v>
      </c>
      <c r="B9616" s="4" t="str">
        <f>IFERROR(__xludf.DUMMYFUNCTION("""COMPUTED_VALUE"""),"pix")</f>
        <v>pix</v>
      </c>
      <c r="C9616" s="4" t="str">
        <f>IFERROR(__xludf.DUMMYFUNCTION("""COMPUTED_VALUE"""),"Private Wrapped IX")</f>
        <v>Private Wrapped IX</v>
      </c>
    </row>
    <row r="9617">
      <c r="A9617" s="4" t="str">
        <f>IFERROR(__xludf.DUMMYFUNCTION("""COMPUTED_VALUE"""),"private-wrapped-wrose")</f>
        <v>private-wrapped-wrose</v>
      </c>
      <c r="B9617" s="4" t="str">
        <f>IFERROR(__xludf.DUMMYFUNCTION("""COMPUTED_VALUE"""),"pwrose")</f>
        <v>pwrose</v>
      </c>
      <c r="C9617" s="4" t="str">
        <f>IFERROR(__xludf.DUMMYFUNCTION("""COMPUTED_VALUE"""),"Private Wrapped wROSE")</f>
        <v>Private Wrapped wROSE</v>
      </c>
    </row>
    <row r="9618">
      <c r="A9618" s="4" t="str">
        <f>IFERROR(__xludf.DUMMYFUNCTION("""COMPUTED_VALUE"""),"privcy")</f>
        <v>privcy</v>
      </c>
      <c r="B9618" s="4" t="str">
        <f>IFERROR(__xludf.DUMMYFUNCTION("""COMPUTED_VALUE"""),"priv")</f>
        <v>priv</v>
      </c>
      <c r="C9618" s="4" t="str">
        <f>IFERROR(__xludf.DUMMYFUNCTION("""COMPUTED_VALUE"""),"PRiVCY")</f>
        <v>PRiVCY</v>
      </c>
    </row>
    <row r="9619">
      <c r="A9619" s="4" t="str">
        <f>IFERROR(__xludf.DUMMYFUNCTION("""COMPUTED_VALUE"""),"prizm")</f>
        <v>prizm</v>
      </c>
      <c r="B9619" s="4" t="str">
        <f>IFERROR(__xludf.DUMMYFUNCTION("""COMPUTED_VALUE"""),"pzm")</f>
        <v>pzm</v>
      </c>
      <c r="C9619" s="4" t="str">
        <f>IFERROR(__xludf.DUMMYFUNCTION("""COMPUTED_VALUE"""),"Prizm")</f>
        <v>Prizm</v>
      </c>
    </row>
    <row r="9620">
      <c r="A9620" s="4" t="str">
        <f>IFERROR(__xludf.DUMMYFUNCTION("""COMPUTED_VALUE"""),"prm-token")</f>
        <v>prm-token</v>
      </c>
      <c r="B9620" s="4" t="str">
        <f>IFERROR(__xludf.DUMMYFUNCTION("""COMPUTED_VALUE"""),"prm")</f>
        <v>prm</v>
      </c>
      <c r="C9620" s="4" t="str">
        <f>IFERROR(__xludf.DUMMYFUNCTION("""COMPUTED_VALUE"""),"PRM Token")</f>
        <v>PRM Token</v>
      </c>
    </row>
    <row r="9621">
      <c r="A9621" s="4" t="str">
        <f>IFERROR(__xludf.DUMMYFUNCTION("""COMPUTED_VALUE"""),"prnt")</f>
        <v>prnt</v>
      </c>
      <c r="B9621" s="4" t="str">
        <f>IFERROR(__xludf.DUMMYFUNCTION("""COMPUTED_VALUE"""),"prnt")</f>
        <v>prnt</v>
      </c>
      <c r="C9621" s="4" t="str">
        <f>IFERROR(__xludf.DUMMYFUNCTION("""COMPUTED_VALUE"""),"PRNT")</f>
        <v>PRNT</v>
      </c>
    </row>
    <row r="9622">
      <c r="A9622" s="4" t="str">
        <f>IFERROR(__xludf.DUMMYFUNCTION("""COMPUTED_VALUE"""),"probinex")</f>
        <v>probinex</v>
      </c>
      <c r="B9622" s="4" t="str">
        <f>IFERROR(__xludf.DUMMYFUNCTION("""COMPUTED_VALUE"""),"pbx")</f>
        <v>pbx</v>
      </c>
      <c r="C9622" s="4" t="str">
        <f>IFERROR(__xludf.DUMMYFUNCTION("""COMPUTED_VALUE"""),"Probinex")</f>
        <v>Probinex</v>
      </c>
    </row>
    <row r="9623">
      <c r="A9623" s="4" t="str">
        <f>IFERROR(__xludf.DUMMYFUNCTION("""COMPUTED_VALUE"""),"probit-exchange")</f>
        <v>probit-exchange</v>
      </c>
      <c r="B9623" s="4" t="str">
        <f>IFERROR(__xludf.DUMMYFUNCTION("""COMPUTED_VALUE"""),"prob")</f>
        <v>prob</v>
      </c>
      <c r="C9623" s="4" t="str">
        <f>IFERROR(__xludf.DUMMYFUNCTION("""COMPUTED_VALUE"""),"Probit")</f>
        <v>Probit</v>
      </c>
    </row>
    <row r="9624">
      <c r="A9624" s="4" t="str">
        <f>IFERROR(__xludf.DUMMYFUNCTION("""COMPUTED_VALUE"""),"procyon-coon-coin")</f>
        <v>procyon-coon-coin</v>
      </c>
      <c r="B9624" s="4" t="str">
        <f>IFERROR(__xludf.DUMMYFUNCTION("""COMPUTED_VALUE"""),"prco")</f>
        <v>prco</v>
      </c>
      <c r="C9624" s="4" t="str">
        <f>IFERROR(__xludf.DUMMYFUNCTION("""COMPUTED_VALUE"""),"Procyon Coon Coin")</f>
        <v>Procyon Coon Coin</v>
      </c>
    </row>
    <row r="9625">
      <c r="A9625" s="4" t="str">
        <f>IFERROR(__xludf.DUMMYFUNCTION("""COMPUTED_VALUE"""),"prodigy-bot")</f>
        <v>prodigy-bot</v>
      </c>
      <c r="B9625" s="4" t="str">
        <f>IFERROR(__xludf.DUMMYFUNCTION("""COMPUTED_VALUE"""),"pro")</f>
        <v>pro</v>
      </c>
      <c r="C9625" s="4" t="str">
        <f>IFERROR(__xludf.DUMMYFUNCTION("""COMPUTED_VALUE"""),"Prodigy Bot")</f>
        <v>Prodigy Bot</v>
      </c>
    </row>
    <row r="9626">
      <c r="A9626" s="4" t="str">
        <f>IFERROR(__xludf.DUMMYFUNCTION("""COMPUTED_VALUE"""),"produce-ai")</f>
        <v>produce-ai</v>
      </c>
      <c r="B9626" s="4" t="str">
        <f>IFERROR(__xludf.DUMMYFUNCTION("""COMPUTED_VALUE"""),"prai")</f>
        <v>prai</v>
      </c>
      <c r="C9626" s="4" t="str">
        <f>IFERROR(__xludf.DUMMYFUNCTION("""COMPUTED_VALUE"""),"Produce AI")</f>
        <v>Produce AI</v>
      </c>
    </row>
    <row r="9627">
      <c r="A9627" s="4" t="str">
        <f>IFERROR(__xludf.DUMMYFUNCTION("""COMPUTED_VALUE"""),"professional-fighters-league-fan-token")</f>
        <v>professional-fighters-league-fan-token</v>
      </c>
      <c r="B9627" s="4" t="str">
        <f>IFERROR(__xludf.DUMMYFUNCTION("""COMPUTED_VALUE"""),"pfl")</f>
        <v>pfl</v>
      </c>
      <c r="C9627" s="4" t="str">
        <f>IFERROR(__xludf.DUMMYFUNCTION("""COMPUTED_VALUE"""),"Professional Fighters League Fan Token")</f>
        <v>Professional Fighters League Fan Token</v>
      </c>
    </row>
    <row r="9628">
      <c r="A9628" s="4" t="str">
        <f>IFERROR(__xludf.DUMMYFUNCTION("""COMPUTED_VALUE"""),"profit-blue")</f>
        <v>profit-blue</v>
      </c>
      <c r="B9628" s="4" t="str">
        <f>IFERROR(__xludf.DUMMYFUNCTION("""COMPUTED_VALUE"""),"blue")</f>
        <v>blue</v>
      </c>
      <c r="C9628" s="4" t="str">
        <f>IFERROR(__xludf.DUMMYFUNCTION("""COMPUTED_VALUE"""),"Profit Blue")</f>
        <v>Profit Blue</v>
      </c>
    </row>
    <row r="9629">
      <c r="A9629" s="4" t="str">
        <f>IFERROR(__xludf.DUMMYFUNCTION("""COMPUTED_VALUE"""),"project-dojo")</f>
        <v>project-dojo</v>
      </c>
      <c r="B9629" s="4" t="str">
        <f>IFERROR(__xludf.DUMMYFUNCTION("""COMPUTED_VALUE"""),"dojo")</f>
        <v>dojo</v>
      </c>
      <c r="C9629" s="4" t="str">
        <f>IFERROR(__xludf.DUMMYFUNCTION("""COMPUTED_VALUE"""),"Project Dojo")</f>
        <v>Project Dojo</v>
      </c>
    </row>
    <row r="9630">
      <c r="A9630" s="4" t="str">
        <f>IFERROR(__xludf.DUMMYFUNCTION("""COMPUTED_VALUE"""),"project-galaxy")</f>
        <v>project-galaxy</v>
      </c>
      <c r="B9630" s="4" t="str">
        <f>IFERROR(__xludf.DUMMYFUNCTION("""COMPUTED_VALUE"""),"gal")</f>
        <v>gal</v>
      </c>
      <c r="C9630" s="4" t="str">
        <f>IFERROR(__xludf.DUMMYFUNCTION("""COMPUTED_VALUE"""),"Galxe")</f>
        <v>Galxe</v>
      </c>
    </row>
    <row r="9631">
      <c r="A9631" s="4" t="str">
        <f>IFERROR(__xludf.DUMMYFUNCTION("""COMPUTED_VALUE"""),"project-oasis")</f>
        <v>project-oasis</v>
      </c>
      <c r="B9631" s="4" t="str">
        <f>IFERROR(__xludf.DUMMYFUNCTION("""COMPUTED_VALUE"""),"oasis")</f>
        <v>oasis</v>
      </c>
      <c r="C9631" s="4" t="str">
        <f>IFERROR(__xludf.DUMMYFUNCTION("""COMPUTED_VALUE"""),"ProjectOasis")</f>
        <v>ProjectOasis</v>
      </c>
    </row>
    <row r="9632">
      <c r="A9632" s="4" t="str">
        <f>IFERROR(__xludf.DUMMYFUNCTION("""COMPUTED_VALUE"""),"project-quantum")</f>
        <v>project-quantum</v>
      </c>
      <c r="B9632" s="4" t="str">
        <f>IFERROR(__xludf.DUMMYFUNCTION("""COMPUTED_VALUE"""),"qbit")</f>
        <v>qbit</v>
      </c>
      <c r="C9632" s="4" t="str">
        <f>IFERROR(__xludf.DUMMYFUNCTION("""COMPUTED_VALUE"""),"Project Quantum")</f>
        <v>Project Quantum</v>
      </c>
    </row>
    <row r="9633">
      <c r="A9633" s="4" t="str">
        <f>IFERROR(__xludf.DUMMYFUNCTION("""COMPUTED_VALUE"""),"project-with")</f>
        <v>project-with</v>
      </c>
      <c r="B9633" s="4" t="str">
        <f>IFERROR(__xludf.DUMMYFUNCTION("""COMPUTED_VALUE"""),"wiken")</f>
        <v>wiken</v>
      </c>
      <c r="C9633" s="4" t="str">
        <f>IFERROR(__xludf.DUMMYFUNCTION("""COMPUTED_VALUE"""),"Project WITH")</f>
        <v>Project WITH</v>
      </c>
    </row>
    <row r="9634">
      <c r="A9634" s="4" t="str">
        <f>IFERROR(__xludf.DUMMYFUNCTION("""COMPUTED_VALUE"""),"projectx")</f>
        <v>projectx</v>
      </c>
      <c r="B9634" s="4" t="str">
        <f>IFERROR(__xludf.DUMMYFUNCTION("""COMPUTED_VALUE"""),"xil")</f>
        <v>xil</v>
      </c>
      <c r="C9634" s="4" t="str">
        <f>IFERROR(__xludf.DUMMYFUNCTION("""COMPUTED_VALUE"""),"Xillion")</f>
        <v>Xillion</v>
      </c>
    </row>
    <row r="9635">
      <c r="A9635" s="4" t="str">
        <f>IFERROR(__xludf.DUMMYFUNCTION("""COMPUTED_VALUE"""),"projectx-d78dc2ae-9c8a-45ed-bd6a-22291d9d0812")</f>
        <v>projectx-d78dc2ae-9c8a-45ed-bd6a-22291d9d0812</v>
      </c>
      <c r="B9635" s="4" t="str">
        <f>IFERROR(__xludf.DUMMYFUNCTION("""COMPUTED_VALUE"""),"prox")</f>
        <v>prox</v>
      </c>
      <c r="C9635" s="4" t="str">
        <f>IFERROR(__xludf.DUMMYFUNCTION("""COMPUTED_VALUE"""),"ProjectX")</f>
        <v>ProjectX</v>
      </c>
    </row>
    <row r="9636">
      <c r="A9636" s="4" t="str">
        <f>IFERROR(__xludf.DUMMYFUNCTION("""COMPUTED_VALUE"""),"project-xeno")</f>
        <v>project-xeno</v>
      </c>
      <c r="B9636" s="4" t="str">
        <f>IFERROR(__xludf.DUMMYFUNCTION("""COMPUTED_VALUE"""),"gxe")</f>
        <v>gxe</v>
      </c>
      <c r="C9636" s="4" t="str">
        <f>IFERROR(__xludf.DUMMYFUNCTION("""COMPUTED_VALUE"""),"PROJECT XENO")</f>
        <v>PROJECT XENO</v>
      </c>
    </row>
    <row r="9637">
      <c r="A9637" s="4" t="str">
        <f>IFERROR(__xludf.DUMMYFUNCTION("""COMPUTED_VALUE"""),"project-zed-zed")</f>
        <v>project-zed-zed</v>
      </c>
      <c r="B9637" s="4" t="str">
        <f>IFERROR(__xludf.DUMMYFUNCTION("""COMPUTED_VALUE"""),"zed")</f>
        <v>zed</v>
      </c>
      <c r="C9637" s="4" t="str">
        <f>IFERROR(__xludf.DUMMYFUNCTION("""COMPUTED_VALUE"""),"ZED")</f>
        <v>ZED</v>
      </c>
    </row>
    <row r="9638">
      <c r="A9638" s="4" t="str">
        <f>IFERROR(__xludf.DUMMYFUNCTION("""COMPUTED_VALUE"""),"prometeus")</f>
        <v>prometeus</v>
      </c>
      <c r="B9638" s="4" t="str">
        <f>IFERROR(__xludf.DUMMYFUNCTION("""COMPUTED_VALUE"""),"prom")</f>
        <v>prom</v>
      </c>
      <c r="C9638" s="4" t="str">
        <f>IFERROR(__xludf.DUMMYFUNCTION("""COMPUTED_VALUE"""),"Prom")</f>
        <v>Prom</v>
      </c>
    </row>
    <row r="9639">
      <c r="A9639" s="4" t="str">
        <f>IFERROR(__xludf.DUMMYFUNCTION("""COMPUTED_VALUE"""),"prometheum-prodigy")</f>
        <v>prometheum-prodigy</v>
      </c>
      <c r="B9639" s="4" t="str">
        <f>IFERROR(__xludf.DUMMYFUNCTION("""COMPUTED_VALUE"""),"pmpy")</f>
        <v>pmpy</v>
      </c>
      <c r="C9639" s="4" t="str">
        <f>IFERROR(__xludf.DUMMYFUNCTION("""COMPUTED_VALUE"""),"Prometheum Prodigy")</f>
        <v>Prometheum Prodigy</v>
      </c>
    </row>
    <row r="9640">
      <c r="A9640" s="4" t="str">
        <f>IFERROR(__xludf.DUMMYFUNCTION("""COMPUTED_VALUE"""),"prometheus-token")</f>
        <v>prometheus-token</v>
      </c>
      <c r="B9640" s="4" t="str">
        <f>IFERROR(__xludf.DUMMYFUNCTION("""COMPUTED_VALUE"""),"pro")</f>
        <v>pro</v>
      </c>
      <c r="C9640" s="4" t="str">
        <f>IFERROR(__xludf.DUMMYFUNCTION("""COMPUTED_VALUE"""),"Peak Finance Prometheus")</f>
        <v>Peak Finance Prometheus</v>
      </c>
    </row>
    <row r="9641">
      <c r="A9641" s="4" t="str">
        <f>IFERROR(__xludf.DUMMYFUNCTION("""COMPUTED_VALUE"""),"promptide")</f>
        <v>promptide</v>
      </c>
      <c r="B9641" s="4" t="str">
        <f>IFERROR(__xludf.DUMMYFUNCTION("""COMPUTED_VALUE"""),"promptide")</f>
        <v>promptide</v>
      </c>
      <c r="C9641" s="4" t="str">
        <f>IFERROR(__xludf.DUMMYFUNCTION("""COMPUTED_VALUE"""),"PromptIDE")</f>
        <v>PromptIDE</v>
      </c>
    </row>
    <row r="9642">
      <c r="A9642" s="4" t="str">
        <f>IFERROR(__xludf.DUMMYFUNCTION("""COMPUTED_VALUE"""),"proof-of-anon")</f>
        <v>proof-of-anon</v>
      </c>
      <c r="B9642" s="4" t="str">
        <f>IFERROR(__xludf.DUMMYFUNCTION("""COMPUTED_VALUE"""),"prf")</f>
        <v>prf</v>
      </c>
      <c r="C9642" s="4" t="str">
        <f>IFERROR(__xludf.DUMMYFUNCTION("""COMPUTED_VALUE"""),"Proof of Anon")</f>
        <v>Proof of Anon</v>
      </c>
    </row>
    <row r="9643">
      <c r="A9643" s="4" t="str">
        <f>IFERROR(__xludf.DUMMYFUNCTION("""COMPUTED_VALUE"""),"proof-of-gorila")</f>
        <v>proof-of-gorila</v>
      </c>
      <c r="B9643" s="4" t="str">
        <f>IFERROR(__xludf.DUMMYFUNCTION("""COMPUTED_VALUE"""),"pog")</f>
        <v>pog</v>
      </c>
      <c r="C9643" s="4" t="str">
        <f>IFERROR(__xludf.DUMMYFUNCTION("""COMPUTED_VALUE"""),"Proof Of Gorila")</f>
        <v>Proof Of Gorila</v>
      </c>
    </row>
    <row r="9644">
      <c r="A9644" s="4" t="str">
        <f>IFERROR(__xludf.DUMMYFUNCTION("""COMPUTED_VALUE"""),"proof-of-liquidity")</f>
        <v>proof-of-liquidity</v>
      </c>
      <c r="B9644" s="4" t="str">
        <f>IFERROR(__xludf.DUMMYFUNCTION("""COMPUTED_VALUE"""),"pol")</f>
        <v>pol</v>
      </c>
      <c r="C9644" s="4" t="str">
        <f>IFERROR(__xludf.DUMMYFUNCTION("""COMPUTED_VALUE"""),"Proof Of Liquidity")</f>
        <v>Proof Of Liquidity</v>
      </c>
    </row>
    <row r="9645">
      <c r="A9645" s="4" t="str">
        <f>IFERROR(__xludf.DUMMYFUNCTION("""COMPUTED_VALUE"""),"proof-of-pepe")</f>
        <v>proof-of-pepe</v>
      </c>
      <c r="B9645" s="4" t="str">
        <f>IFERROR(__xludf.DUMMYFUNCTION("""COMPUTED_VALUE"""),"pop")</f>
        <v>pop</v>
      </c>
      <c r="C9645" s="4" t="str">
        <f>IFERROR(__xludf.DUMMYFUNCTION("""COMPUTED_VALUE"""),"Proof Of Pepe")</f>
        <v>Proof Of Pepe</v>
      </c>
    </row>
    <row r="9646">
      <c r="A9646" s="4" t="str">
        <f>IFERROR(__xludf.DUMMYFUNCTION("""COMPUTED_VALUE"""),"proof-platform")</f>
        <v>proof-platform</v>
      </c>
      <c r="B9646" s="4" t="str">
        <f>IFERROR(__xludf.DUMMYFUNCTION("""COMPUTED_VALUE"""),"proof")</f>
        <v>proof</v>
      </c>
      <c r="C9646" s="4" t="str">
        <f>IFERROR(__xludf.DUMMYFUNCTION("""COMPUTED_VALUE"""),"PROOF Platform")</f>
        <v>PROOF Platform</v>
      </c>
    </row>
    <row r="9647">
      <c r="A9647" s="4" t="str">
        <f>IFERROR(__xludf.DUMMYFUNCTION("""COMPUTED_VALUE"""),"propbase")</f>
        <v>propbase</v>
      </c>
      <c r="B9647" s="4" t="str">
        <f>IFERROR(__xludf.DUMMYFUNCTION("""COMPUTED_VALUE"""),"props")</f>
        <v>props</v>
      </c>
      <c r="C9647" s="4" t="str">
        <f>IFERROR(__xludf.DUMMYFUNCTION("""COMPUTED_VALUE"""),"Propbase")</f>
        <v>Propbase</v>
      </c>
    </row>
    <row r="9648">
      <c r="A9648" s="4" t="str">
        <f>IFERROR(__xludf.DUMMYFUNCTION("""COMPUTED_VALUE"""),"propchain")</f>
        <v>propchain</v>
      </c>
      <c r="B9648" s="4" t="str">
        <f>IFERROR(__xludf.DUMMYFUNCTION("""COMPUTED_VALUE"""),"propc")</f>
        <v>propc</v>
      </c>
      <c r="C9648" s="4" t="str">
        <f>IFERROR(__xludf.DUMMYFUNCTION("""COMPUTED_VALUE"""),"Propchain")</f>
        <v>Propchain</v>
      </c>
    </row>
    <row r="9649">
      <c r="A9649" s="4" t="str">
        <f>IFERROR(__xludf.DUMMYFUNCTION("""COMPUTED_VALUE"""),"propel-token")</f>
        <v>propel-token</v>
      </c>
      <c r="B9649" s="4" t="str">
        <f>IFERROR(__xludf.DUMMYFUNCTION("""COMPUTED_VALUE"""),"pel")</f>
        <v>pel</v>
      </c>
      <c r="C9649" s="4" t="str">
        <f>IFERROR(__xludf.DUMMYFUNCTION("""COMPUTED_VALUE"""),"Propel")</f>
        <v>Propel</v>
      </c>
    </row>
    <row r="9650">
      <c r="A9650" s="4" t="str">
        <f>IFERROR(__xludf.DUMMYFUNCTION("""COMPUTED_VALUE"""),"property-blockchain-trade")</f>
        <v>property-blockchain-trade</v>
      </c>
      <c r="B9650" s="4" t="str">
        <f>IFERROR(__xludf.DUMMYFUNCTION("""COMPUTED_VALUE"""),"pbt")</f>
        <v>pbt</v>
      </c>
      <c r="C9650" s="4" t="str">
        <f>IFERROR(__xludf.DUMMYFUNCTION("""COMPUTED_VALUE"""),"PROPERTY BLOCKCHAIN TRADE")</f>
        <v>PROPERTY BLOCKCHAIN TRADE</v>
      </c>
    </row>
    <row r="9651">
      <c r="A9651" s="4" t="str">
        <f>IFERROR(__xludf.DUMMYFUNCTION("""COMPUTED_VALUE"""),"prophet")</f>
        <v>prophet</v>
      </c>
      <c r="B9651" s="4" t="str">
        <f>IFERROR(__xludf.DUMMYFUNCTION("""COMPUTED_VALUE"""),"pro")</f>
        <v>pro</v>
      </c>
      <c r="C9651" s="4" t="str">
        <f>IFERROR(__xludf.DUMMYFUNCTION("""COMPUTED_VALUE"""),"Prophet")</f>
        <v>Prophet</v>
      </c>
    </row>
    <row r="9652">
      <c r="A9652" s="4" t="str">
        <f>IFERROR(__xludf.DUMMYFUNCTION("""COMPUTED_VALUE"""),"prophet-2")</f>
        <v>prophet-2</v>
      </c>
      <c r="B9652" s="4" t="str">
        <f>IFERROR(__xludf.DUMMYFUNCTION("""COMPUTED_VALUE"""),"prophet")</f>
        <v>prophet</v>
      </c>
      <c r="C9652" s="4" t="str">
        <f>IFERROR(__xludf.DUMMYFUNCTION("""COMPUTED_VALUE"""),"Prophet")</f>
        <v>Prophet</v>
      </c>
    </row>
    <row r="9653">
      <c r="A9653" s="4" t="str">
        <f>IFERROR(__xludf.DUMMYFUNCTION("""COMPUTED_VALUE"""),"props")</f>
        <v>props</v>
      </c>
      <c r="B9653" s="4" t="str">
        <f>IFERROR(__xludf.DUMMYFUNCTION("""COMPUTED_VALUE"""),"props")</f>
        <v>props</v>
      </c>
      <c r="C9653" s="4" t="str">
        <f>IFERROR(__xludf.DUMMYFUNCTION("""COMPUTED_VALUE"""),"Props")</f>
        <v>Props</v>
      </c>
    </row>
    <row r="9654">
      <c r="A9654" s="4" t="str">
        <f>IFERROR(__xludf.DUMMYFUNCTION("""COMPUTED_VALUE"""),"propy")</f>
        <v>propy</v>
      </c>
      <c r="B9654" s="4" t="str">
        <f>IFERROR(__xludf.DUMMYFUNCTION("""COMPUTED_VALUE"""),"pro")</f>
        <v>pro</v>
      </c>
      <c r="C9654" s="4" t="str">
        <f>IFERROR(__xludf.DUMMYFUNCTION("""COMPUTED_VALUE"""),"Propy")</f>
        <v>Propy</v>
      </c>
    </row>
    <row r="9655">
      <c r="A9655" s="4" t="str">
        <f>IFERROR(__xludf.DUMMYFUNCTION("""COMPUTED_VALUE"""),"prosper")</f>
        <v>prosper</v>
      </c>
      <c r="B9655" s="4" t="str">
        <f>IFERROR(__xludf.DUMMYFUNCTION("""COMPUTED_VALUE"""),"pros")</f>
        <v>pros</v>
      </c>
      <c r="C9655" s="4" t="str">
        <f>IFERROR(__xludf.DUMMYFUNCTION("""COMPUTED_VALUE"""),"Prosper")</f>
        <v>Prosper</v>
      </c>
    </row>
    <row r="9656">
      <c r="A9656" s="4" t="str">
        <f>IFERROR(__xludf.DUMMYFUNCTION("""COMPUTED_VALUE"""),"prospera-tax-credit")</f>
        <v>prospera-tax-credit</v>
      </c>
      <c r="B9656" s="4" t="str">
        <f>IFERROR(__xludf.DUMMYFUNCTION("""COMPUTED_VALUE"""),"ptc")</f>
        <v>ptc</v>
      </c>
      <c r="C9656" s="4" t="str">
        <f>IFERROR(__xludf.DUMMYFUNCTION("""COMPUTED_VALUE"""),"Prospera Tax Credit")</f>
        <v>Prospera Tax Credit</v>
      </c>
    </row>
    <row r="9657">
      <c r="A9657" s="4" t="str">
        <f>IFERROR(__xludf.DUMMYFUNCTION("""COMPUTED_VALUE"""),"prostarter-token")</f>
        <v>prostarter-token</v>
      </c>
      <c r="B9657" s="4" t="str">
        <f>IFERROR(__xludf.DUMMYFUNCTION("""COMPUTED_VALUE"""),"prot")</f>
        <v>prot</v>
      </c>
      <c r="C9657" s="4" t="str">
        <f>IFERROR(__xludf.DUMMYFUNCTION("""COMPUTED_VALUE"""),"ProStarter")</f>
        <v>ProStarter</v>
      </c>
    </row>
    <row r="9658">
      <c r="A9658" s="4" t="str">
        <f>IFERROR(__xludf.DUMMYFUNCTION("""COMPUTED_VALUE"""),"protectorate-protocol")</f>
        <v>protectorate-protocol</v>
      </c>
      <c r="B9658" s="4" t="str">
        <f>IFERROR(__xludf.DUMMYFUNCTION("""COMPUTED_VALUE"""),"prtc")</f>
        <v>prtc</v>
      </c>
      <c r="C9658" s="4" t="str">
        <f>IFERROR(__xludf.DUMMYFUNCTION("""COMPUTED_VALUE"""),"Protectorate Protocol")</f>
        <v>Protectorate Protocol</v>
      </c>
    </row>
    <row r="9659">
      <c r="A9659" s="4" t="str">
        <f>IFERROR(__xludf.DUMMYFUNCTION("""COMPUTED_VALUE"""),"proteo-defi")</f>
        <v>proteo-defi</v>
      </c>
      <c r="B9659" s="4" t="str">
        <f>IFERROR(__xludf.DUMMYFUNCTION("""COMPUTED_VALUE"""),"proteo")</f>
        <v>proteo</v>
      </c>
      <c r="C9659" s="4" t="str">
        <f>IFERROR(__xludf.DUMMYFUNCTION("""COMPUTED_VALUE"""),"Proteo DeFi")</f>
        <v>Proteo DeFi</v>
      </c>
    </row>
    <row r="9660">
      <c r="A9660" s="4" t="str">
        <f>IFERROR(__xludf.DUMMYFUNCTION("""COMPUTED_VALUE"""),"protocon")</f>
        <v>protocon</v>
      </c>
      <c r="B9660" s="4" t="str">
        <f>IFERROR(__xludf.DUMMYFUNCTION("""COMPUTED_VALUE"""),"pen")</f>
        <v>pen</v>
      </c>
      <c r="C9660" s="4" t="str">
        <f>IFERROR(__xludf.DUMMYFUNCTION("""COMPUTED_VALUE"""),"Protocon")</f>
        <v>Protocon</v>
      </c>
    </row>
    <row r="9661">
      <c r="A9661" s="4" t="str">
        <f>IFERROR(__xludf.DUMMYFUNCTION("""COMPUTED_VALUE"""),"protofi")</f>
        <v>protofi</v>
      </c>
      <c r="B9661" s="4" t="str">
        <f>IFERROR(__xludf.DUMMYFUNCTION("""COMPUTED_VALUE"""),"proto")</f>
        <v>proto</v>
      </c>
      <c r="C9661" s="4" t="str">
        <f>IFERROR(__xludf.DUMMYFUNCTION("""COMPUTED_VALUE"""),"Protofi")</f>
        <v>Protofi</v>
      </c>
    </row>
    <row r="9662">
      <c r="A9662" s="4" t="str">
        <f>IFERROR(__xludf.DUMMYFUNCTION("""COMPUTED_VALUE"""),"proto-gyro-dollar")</f>
        <v>proto-gyro-dollar</v>
      </c>
      <c r="B9662" s="4" t="str">
        <f>IFERROR(__xludf.DUMMYFUNCTION("""COMPUTED_VALUE"""),"p-gyd")</f>
        <v>p-gyd</v>
      </c>
      <c r="C9662" s="4" t="str">
        <f>IFERROR(__xludf.DUMMYFUNCTION("""COMPUTED_VALUE"""),"Proto Gyro Dollar")</f>
        <v>Proto Gyro Dollar</v>
      </c>
    </row>
    <row r="9663">
      <c r="A9663" s="4" t="str">
        <f>IFERROR(__xludf.DUMMYFUNCTION("""COMPUTED_VALUE"""),"proton")</f>
        <v>proton</v>
      </c>
      <c r="B9663" s="4" t="str">
        <f>IFERROR(__xludf.DUMMYFUNCTION("""COMPUTED_VALUE"""),"xpr")</f>
        <v>xpr</v>
      </c>
      <c r="C9663" s="4" t="str">
        <f>IFERROR(__xludf.DUMMYFUNCTION("""COMPUTED_VALUE"""),"XPR Network")</f>
        <v>XPR Network</v>
      </c>
    </row>
    <row r="9664">
      <c r="A9664" s="4" t="str">
        <f>IFERROR(__xludf.DUMMYFUNCTION("""COMPUTED_VALUE"""),"proton-coin")</f>
        <v>proton-coin</v>
      </c>
      <c r="B9664" s="4" t="str">
        <f>IFERROR(__xludf.DUMMYFUNCTION("""COMPUTED_VALUE"""),"pro")</f>
        <v>pro</v>
      </c>
      <c r="C9664" s="4" t="str">
        <f>IFERROR(__xludf.DUMMYFUNCTION("""COMPUTED_VALUE"""),"Proton Coin")</f>
        <v>Proton Coin</v>
      </c>
    </row>
    <row r="9665">
      <c r="A9665" s="4" t="str">
        <f>IFERROR(__xludf.DUMMYFUNCTION("""COMPUTED_VALUE"""),"proton-loan")</f>
        <v>proton-loan</v>
      </c>
      <c r="B9665" s="4" t="str">
        <f>IFERROR(__xludf.DUMMYFUNCTION("""COMPUTED_VALUE"""),"loan")</f>
        <v>loan</v>
      </c>
      <c r="C9665" s="4" t="str">
        <f>IFERROR(__xludf.DUMMYFUNCTION("""COMPUTED_VALUE"""),"Loan Protocol")</f>
        <v>Loan Protocol</v>
      </c>
    </row>
    <row r="9666">
      <c r="A9666" s="4" t="str">
        <f>IFERROR(__xludf.DUMMYFUNCTION("""COMPUTED_VALUE"""),"proton-project")</f>
        <v>proton-project</v>
      </c>
      <c r="B9666" s="4" t="str">
        <f>IFERROR(__xludf.DUMMYFUNCTION("""COMPUTED_VALUE"""),"prtn")</f>
        <v>prtn</v>
      </c>
      <c r="C9666" s="4" t="str">
        <f>IFERROR(__xludf.DUMMYFUNCTION("""COMPUTED_VALUE"""),"Proton Project")</f>
        <v>Proton Project</v>
      </c>
    </row>
    <row r="9667">
      <c r="A9667" s="4" t="str">
        <f>IFERROR(__xludf.DUMMYFUNCTION("""COMPUTED_VALUE"""),"proton-protocol")</f>
        <v>proton-protocol</v>
      </c>
      <c r="B9667" s="4" t="str">
        <f>IFERROR(__xludf.DUMMYFUNCTION("""COMPUTED_VALUE"""),"proton")</f>
        <v>proton</v>
      </c>
      <c r="C9667" s="4" t="str">
        <f>IFERROR(__xludf.DUMMYFUNCTION("""COMPUTED_VALUE"""),"Proton Protocol")</f>
        <v>Proton Protocol</v>
      </c>
    </row>
    <row r="9668">
      <c r="A9668" s="4" t="str">
        <f>IFERROR(__xludf.DUMMYFUNCTION("""COMPUTED_VALUE"""),"provenance-blockchain")</f>
        <v>provenance-blockchain</v>
      </c>
      <c r="B9668" s="4" t="str">
        <f>IFERROR(__xludf.DUMMYFUNCTION("""COMPUTED_VALUE"""),"hash")</f>
        <v>hash</v>
      </c>
      <c r="C9668" s="4" t="str">
        <f>IFERROR(__xludf.DUMMYFUNCTION("""COMPUTED_VALUE"""),"Provenance Blockchain")</f>
        <v>Provenance Blockchain</v>
      </c>
    </row>
    <row r="9669">
      <c r="A9669" s="4" t="str">
        <f>IFERROR(__xludf.DUMMYFUNCTION("""COMPUTED_VALUE"""),"proxima")</f>
        <v>proxima</v>
      </c>
      <c r="B9669" s="4" t="str">
        <f>IFERROR(__xludf.DUMMYFUNCTION("""COMPUTED_VALUE"""),"prox")</f>
        <v>prox</v>
      </c>
      <c r="C9669" s="4" t="str">
        <f>IFERROR(__xludf.DUMMYFUNCTION("""COMPUTED_VALUE"""),"Proxima")</f>
        <v>Proxima</v>
      </c>
    </row>
    <row r="9670">
      <c r="A9670" s="4" t="str">
        <f>IFERROR(__xludf.DUMMYFUNCTION("""COMPUTED_VALUE"""),"proximax")</f>
        <v>proximax</v>
      </c>
      <c r="B9670" s="4" t="str">
        <f>IFERROR(__xludf.DUMMYFUNCTION("""COMPUTED_VALUE"""),"xpx")</f>
        <v>xpx</v>
      </c>
      <c r="C9670" s="4" t="str">
        <f>IFERROR(__xludf.DUMMYFUNCTION("""COMPUTED_VALUE"""),"Sirius Chain")</f>
        <v>Sirius Chain</v>
      </c>
    </row>
    <row r="9671">
      <c r="A9671" s="4" t="str">
        <f>IFERROR(__xludf.DUMMYFUNCTION("""COMPUTED_VALUE"""),"proxy")</f>
        <v>proxy</v>
      </c>
      <c r="B9671" s="4" t="str">
        <f>IFERROR(__xludf.DUMMYFUNCTION("""COMPUTED_VALUE"""),"prxy")</f>
        <v>prxy</v>
      </c>
      <c r="C9671" s="4" t="str">
        <f>IFERROR(__xludf.DUMMYFUNCTION("""COMPUTED_VALUE"""),"Proxy")</f>
        <v>Proxy</v>
      </c>
    </row>
    <row r="9672">
      <c r="A9672" s="4" t="str">
        <f>IFERROR(__xludf.DUMMYFUNCTION("""COMPUTED_VALUE"""),"psi-gate")</f>
        <v>psi-gate</v>
      </c>
      <c r="B9672" s="4" t="str">
        <f>IFERROR(__xludf.DUMMYFUNCTION("""COMPUTED_VALUE"""),"psi/acc")</f>
        <v>psi/acc</v>
      </c>
      <c r="C9672" s="4" t="str">
        <f>IFERROR(__xludf.DUMMYFUNCTION("""COMPUTED_VALUE"""),"PSI Gate")</f>
        <v>PSI Gate</v>
      </c>
    </row>
    <row r="9673">
      <c r="A9673" s="4" t="str">
        <f>IFERROR(__xludf.DUMMYFUNCTION("""COMPUTED_VALUE"""),"pstake-finance")</f>
        <v>pstake-finance</v>
      </c>
      <c r="B9673" s="4" t="str">
        <f>IFERROR(__xludf.DUMMYFUNCTION("""COMPUTED_VALUE"""),"pstake")</f>
        <v>pstake</v>
      </c>
      <c r="C9673" s="4" t="str">
        <f>IFERROR(__xludf.DUMMYFUNCTION("""COMPUTED_VALUE"""),"pSTAKE Finance")</f>
        <v>pSTAKE Finance</v>
      </c>
    </row>
    <row r="9674">
      <c r="A9674" s="4" t="str">
        <f>IFERROR(__xludf.DUMMYFUNCTION("""COMPUTED_VALUE"""),"pstake-staked-bnb")</f>
        <v>pstake-staked-bnb</v>
      </c>
      <c r="B9674" s="4" t="str">
        <f>IFERROR(__xludf.DUMMYFUNCTION("""COMPUTED_VALUE"""),"stkbnb")</f>
        <v>stkbnb</v>
      </c>
      <c r="C9674" s="4" t="str">
        <f>IFERROR(__xludf.DUMMYFUNCTION("""COMPUTED_VALUE"""),"pSTAKE Staked BNB")</f>
        <v>pSTAKE Staked BNB</v>
      </c>
    </row>
    <row r="9675">
      <c r="A9675" s="4" t="str">
        <f>IFERROR(__xludf.DUMMYFUNCTION("""COMPUTED_VALUE"""),"pstake-staked-dydx")</f>
        <v>pstake-staked-dydx</v>
      </c>
      <c r="B9675" s="4" t="str">
        <f>IFERROR(__xludf.DUMMYFUNCTION("""COMPUTED_VALUE"""),"stkdydx")</f>
        <v>stkdydx</v>
      </c>
      <c r="C9675" s="4" t="str">
        <f>IFERROR(__xludf.DUMMYFUNCTION("""COMPUTED_VALUE"""),"pSTAKE Staked DYDX")</f>
        <v>pSTAKE Staked DYDX</v>
      </c>
    </row>
    <row r="9676">
      <c r="A9676" s="4" t="str">
        <f>IFERROR(__xludf.DUMMYFUNCTION("""COMPUTED_VALUE"""),"pstake-staked-osmo")</f>
        <v>pstake-staked-osmo</v>
      </c>
      <c r="B9676" s="4" t="str">
        <f>IFERROR(__xludf.DUMMYFUNCTION("""COMPUTED_VALUE"""),"stkosmo")</f>
        <v>stkosmo</v>
      </c>
      <c r="C9676" s="4" t="str">
        <f>IFERROR(__xludf.DUMMYFUNCTION("""COMPUTED_VALUE"""),"pSTAKE Staked OSMO")</f>
        <v>pSTAKE Staked OSMO</v>
      </c>
    </row>
    <row r="9677">
      <c r="A9677" s="4" t="str">
        <f>IFERROR(__xludf.DUMMYFUNCTION("""COMPUTED_VALUE"""),"pstake-staked-stars")</f>
        <v>pstake-staked-stars</v>
      </c>
      <c r="B9677" s="4" t="str">
        <f>IFERROR(__xludf.DUMMYFUNCTION("""COMPUTED_VALUE"""),"stkstars")</f>
        <v>stkstars</v>
      </c>
      <c r="C9677" s="4" t="str">
        <f>IFERROR(__xludf.DUMMYFUNCTION("""COMPUTED_VALUE"""),"pSTAKE Staked STARS")</f>
        <v>pSTAKE Staked STARS</v>
      </c>
    </row>
    <row r="9678">
      <c r="A9678" s="4" t="str">
        <f>IFERROR(__xludf.DUMMYFUNCTION("""COMPUTED_VALUE"""),"psyche")</f>
        <v>psyche</v>
      </c>
      <c r="B9678" s="4" t="str">
        <f>IFERROR(__xludf.DUMMYFUNCTION("""COMPUTED_VALUE"""),"usd1")</f>
        <v>usd1</v>
      </c>
      <c r="C9678" s="4" t="str">
        <f>IFERROR(__xludf.DUMMYFUNCTION("""COMPUTED_VALUE"""),"Psyche")</f>
        <v>Psyche</v>
      </c>
    </row>
    <row r="9679">
      <c r="A9679" s="4" t="str">
        <f>IFERROR(__xludf.DUMMYFUNCTION("""COMPUTED_VALUE"""),"psyop")</f>
        <v>psyop</v>
      </c>
      <c r="B9679" s="4" t="str">
        <f>IFERROR(__xludf.DUMMYFUNCTION("""COMPUTED_VALUE"""),"psyop")</f>
        <v>psyop</v>
      </c>
      <c r="C9679" s="4" t="str">
        <f>IFERROR(__xludf.DUMMYFUNCTION("""COMPUTED_VALUE"""),"PSYOP")</f>
        <v>PSYOP</v>
      </c>
    </row>
    <row r="9680">
      <c r="A9680" s="4" t="str">
        <f>IFERROR(__xludf.DUMMYFUNCTION("""COMPUTED_VALUE"""),"psyoptions")</f>
        <v>psyoptions</v>
      </c>
      <c r="B9680" s="4" t="str">
        <f>IFERROR(__xludf.DUMMYFUNCTION("""COMPUTED_VALUE"""),"psy")</f>
        <v>psy</v>
      </c>
      <c r="C9680" s="4" t="str">
        <f>IFERROR(__xludf.DUMMYFUNCTION("""COMPUTED_VALUE"""),"PsyFi")</f>
        <v>PsyFi</v>
      </c>
    </row>
    <row r="9681">
      <c r="A9681" s="4" t="str">
        <f>IFERROR(__xludf.DUMMYFUNCTION("""COMPUTED_VALUE"""),"pterosaur-finance")</f>
        <v>pterosaur-finance</v>
      </c>
      <c r="B9681" s="4" t="str">
        <f>IFERROR(__xludf.DUMMYFUNCTION("""COMPUTED_VALUE"""),"pter")</f>
        <v>pter</v>
      </c>
      <c r="C9681" s="4" t="str">
        <f>IFERROR(__xludf.DUMMYFUNCTION("""COMPUTED_VALUE"""),"Pterosaur Finance")</f>
        <v>Pterosaur Finance</v>
      </c>
    </row>
    <row r="9682">
      <c r="A9682" s="4" t="str">
        <f>IFERROR(__xludf.DUMMYFUNCTION("""COMPUTED_VALUE"""),"ptokens-btc")</f>
        <v>ptokens-btc</v>
      </c>
      <c r="B9682" s="4" t="str">
        <f>IFERROR(__xludf.DUMMYFUNCTION("""COMPUTED_VALUE"""),"pbtc")</f>
        <v>pbtc</v>
      </c>
      <c r="C9682" s="4" t="str">
        <f>IFERROR(__xludf.DUMMYFUNCTION("""COMPUTED_VALUE"""),"pTokens BTC [OLD]")</f>
        <v>pTokens BTC [OLD]</v>
      </c>
    </row>
    <row r="9683">
      <c r="A9683" s="4" t="str">
        <f>IFERROR(__xludf.DUMMYFUNCTION("""COMPUTED_VALUE"""),"ptokens-btc-2")</f>
        <v>ptokens-btc-2</v>
      </c>
      <c r="B9683" s="4" t="str">
        <f>IFERROR(__xludf.DUMMYFUNCTION("""COMPUTED_VALUE"""),"pbtc")</f>
        <v>pbtc</v>
      </c>
      <c r="C9683" s="4" t="str">
        <f>IFERROR(__xludf.DUMMYFUNCTION("""COMPUTED_VALUE"""),"pTokens BTC")</f>
        <v>pTokens BTC</v>
      </c>
    </row>
    <row r="9684">
      <c r="A9684" s="4" t="str">
        <f>IFERROR(__xludf.DUMMYFUNCTION("""COMPUTED_VALUE"""),"ptokens-ore")</f>
        <v>ptokens-ore</v>
      </c>
      <c r="B9684" s="4" t="str">
        <f>IFERROR(__xludf.DUMMYFUNCTION("""COMPUTED_VALUE"""),"ore")</f>
        <v>ore</v>
      </c>
      <c r="C9684" s="4" t="str">
        <f>IFERROR(__xludf.DUMMYFUNCTION("""COMPUTED_VALUE"""),"ORE Network")</f>
        <v>ORE Network</v>
      </c>
    </row>
    <row r="9685">
      <c r="A9685" s="4" t="str">
        <f>IFERROR(__xludf.DUMMYFUNCTION("""COMPUTED_VALUE"""),"pube-finance")</f>
        <v>pube-finance</v>
      </c>
      <c r="B9685" s="4" t="str">
        <f>IFERROR(__xludf.DUMMYFUNCTION("""COMPUTED_VALUE"""),"pube")</f>
        <v>pube</v>
      </c>
      <c r="C9685" s="4" t="str">
        <f>IFERROR(__xludf.DUMMYFUNCTION("""COMPUTED_VALUE"""),"Pube Finance")</f>
        <v>Pube Finance</v>
      </c>
    </row>
    <row r="9686">
      <c r="A9686" s="4" t="str">
        <f>IFERROR(__xludf.DUMMYFUNCTION("""COMPUTED_VALUE"""),"pubgame-coin")</f>
        <v>pubgame-coin</v>
      </c>
      <c r="B9686" s="4" t="str">
        <f>IFERROR(__xludf.DUMMYFUNCTION("""COMPUTED_VALUE"""),"pgc")</f>
        <v>pgc</v>
      </c>
      <c r="C9686" s="4" t="str">
        <f>IFERROR(__xludf.DUMMYFUNCTION("""COMPUTED_VALUE"""),"PubGame Coin")</f>
        <v>PubGame Coin</v>
      </c>
    </row>
    <row r="9687">
      <c r="A9687" s="4" t="str">
        <f>IFERROR(__xludf.DUMMYFUNCTION("""COMPUTED_VALUE"""),"publc")</f>
        <v>publc</v>
      </c>
      <c r="B9687" s="4" t="str">
        <f>IFERROR(__xludf.DUMMYFUNCTION("""COMPUTED_VALUE"""),"publx")</f>
        <v>publx</v>
      </c>
      <c r="C9687" s="4" t="str">
        <f>IFERROR(__xludf.DUMMYFUNCTION("""COMPUTED_VALUE"""),"PUBLC")</f>
        <v>PUBLC</v>
      </c>
    </row>
    <row r="9688">
      <c r="A9688" s="4" t="str">
        <f>IFERROR(__xludf.DUMMYFUNCTION("""COMPUTED_VALUE"""),"public-meme-token")</f>
        <v>public-meme-token</v>
      </c>
      <c r="B9688" s="4" t="str">
        <f>IFERROR(__xludf.DUMMYFUNCTION("""COMPUTED_VALUE"""),"pmt")</f>
        <v>pmt</v>
      </c>
      <c r="C9688" s="4" t="str">
        <f>IFERROR(__xludf.DUMMYFUNCTION("""COMPUTED_VALUE"""),"Public Meme Token")</f>
        <v>Public Meme Token</v>
      </c>
    </row>
    <row r="9689">
      <c r="A9689" s="4" t="str">
        <f>IFERROR(__xludf.DUMMYFUNCTION("""COMPUTED_VALUE"""),"public-mint")</f>
        <v>public-mint</v>
      </c>
      <c r="B9689" s="4" t="str">
        <f>IFERROR(__xludf.DUMMYFUNCTION("""COMPUTED_VALUE"""),"mint")</f>
        <v>mint</v>
      </c>
      <c r="C9689" s="4" t="str">
        <f>IFERROR(__xludf.DUMMYFUNCTION("""COMPUTED_VALUE"""),"Public Mint")</f>
        <v>Public Mint</v>
      </c>
    </row>
    <row r="9690">
      <c r="A9690" s="4" t="str">
        <f>IFERROR(__xludf.DUMMYFUNCTION("""COMPUTED_VALUE"""),"public-violet-fybo")</f>
        <v>public-violet-fybo</v>
      </c>
      <c r="B9690" s="4" t="str">
        <f>IFERROR(__xludf.DUMMYFUNCTION("""COMPUTED_VALUE"""),"pvfybo")</f>
        <v>pvfybo</v>
      </c>
      <c r="C9690" s="4" t="str">
        <f>IFERROR(__xludf.DUMMYFUNCTION("""COMPUTED_VALUE"""),"Public Violet Fybo")</f>
        <v>Public Violet Fybo</v>
      </c>
    </row>
    <row r="9691">
      <c r="A9691" s="4" t="str">
        <f>IFERROR(__xludf.DUMMYFUNCTION("""COMPUTED_VALUE"""),"publish")</f>
        <v>publish</v>
      </c>
      <c r="B9691" s="4" t="str">
        <f>IFERROR(__xludf.DUMMYFUNCTION("""COMPUTED_VALUE"""),"news")</f>
        <v>news</v>
      </c>
      <c r="C9691" s="4" t="str">
        <f>IFERROR(__xludf.DUMMYFUNCTION("""COMPUTED_VALUE"""),"PUBLISH")</f>
        <v>PUBLISH</v>
      </c>
    </row>
    <row r="9692">
      <c r="A9692" s="4" t="str">
        <f>IFERROR(__xludf.DUMMYFUNCTION("""COMPUTED_VALUE"""),"pudgy-cat")</f>
        <v>pudgy-cat</v>
      </c>
      <c r="B9692" s="4" t="str">
        <f>IFERROR(__xludf.DUMMYFUNCTION("""COMPUTED_VALUE"""),"$pudgy")</f>
        <v>$pudgy</v>
      </c>
      <c r="C9692" s="4" t="str">
        <f>IFERROR(__xludf.DUMMYFUNCTION("""COMPUTED_VALUE"""),"Pudgy Cat")</f>
        <v>Pudgy Cat</v>
      </c>
    </row>
    <row r="9693">
      <c r="A9693" s="4" t="str">
        <f>IFERROR(__xludf.DUMMYFUNCTION("""COMPUTED_VALUE"""),"pufeth")</f>
        <v>pufeth</v>
      </c>
      <c r="B9693" s="4" t="str">
        <f>IFERROR(__xludf.DUMMYFUNCTION("""COMPUTED_VALUE"""),"pufeth")</f>
        <v>pufeth</v>
      </c>
      <c r="C9693" s="4" t="str">
        <f>IFERROR(__xludf.DUMMYFUNCTION("""COMPUTED_VALUE"""),"pufETH")</f>
        <v>pufETH</v>
      </c>
    </row>
    <row r="9694">
      <c r="A9694" s="4" t="str">
        <f>IFERROR(__xludf.DUMMYFUNCTION("""COMPUTED_VALUE"""),"puff")</f>
        <v>puff</v>
      </c>
      <c r="B9694" s="4" t="str">
        <f>IFERROR(__xludf.DUMMYFUNCTION("""COMPUTED_VALUE"""),"puff")</f>
        <v>puff</v>
      </c>
      <c r="C9694" s="4" t="str">
        <f>IFERROR(__xludf.DUMMYFUNCTION("""COMPUTED_VALUE"""),"PUFF")</f>
        <v>PUFF</v>
      </c>
    </row>
    <row r="9695">
      <c r="A9695" s="4" t="str">
        <f>IFERROR(__xludf.DUMMYFUNCTION("""COMPUTED_VALUE"""),"puffin-global")</f>
        <v>puffin-global</v>
      </c>
      <c r="B9695" s="4" t="str">
        <f>IFERROR(__xludf.DUMMYFUNCTION("""COMPUTED_VALUE"""),"puffin")</f>
        <v>puffin</v>
      </c>
      <c r="C9695" s="4" t="str">
        <f>IFERROR(__xludf.DUMMYFUNCTION("""COMPUTED_VALUE"""),"Puffin Global")</f>
        <v>Puffin Global</v>
      </c>
    </row>
    <row r="9696">
      <c r="A9696" s="4" t="str">
        <f>IFERROR(__xludf.DUMMYFUNCTION("""COMPUTED_VALUE"""),"puff-the-dragon")</f>
        <v>puff-the-dragon</v>
      </c>
      <c r="B9696" s="4" t="str">
        <f>IFERROR(__xludf.DUMMYFUNCTION("""COMPUTED_VALUE"""),"puff")</f>
        <v>puff</v>
      </c>
      <c r="C9696" s="4" t="str">
        <f>IFERROR(__xludf.DUMMYFUNCTION("""COMPUTED_VALUE"""),"Puff The Dragon")</f>
        <v>Puff The Dragon</v>
      </c>
    </row>
    <row r="9697">
      <c r="A9697" s="4" t="str">
        <f>IFERROR(__xludf.DUMMYFUNCTION("""COMPUTED_VALUE"""),"pug-ai")</f>
        <v>pug-ai</v>
      </c>
      <c r="B9697" s="4" t="str">
        <f>IFERROR(__xludf.DUMMYFUNCTION("""COMPUTED_VALUE"""),"pugai")</f>
        <v>pugai</v>
      </c>
      <c r="C9697" s="4" t="str">
        <f>IFERROR(__xludf.DUMMYFUNCTION("""COMPUTED_VALUE"""),"PUG AI")</f>
        <v>PUG AI</v>
      </c>
    </row>
    <row r="9698">
      <c r="A9698" s="4" t="str">
        <f>IFERROR(__xludf.DUMMYFUNCTION("""COMPUTED_VALUE"""),"puggleverse")</f>
        <v>puggleverse</v>
      </c>
      <c r="B9698" s="4" t="str">
        <f>IFERROR(__xludf.DUMMYFUNCTION("""COMPUTED_VALUE"""),"puggle")</f>
        <v>puggle</v>
      </c>
      <c r="C9698" s="4" t="str">
        <f>IFERROR(__xludf.DUMMYFUNCTION("""COMPUTED_VALUE"""),"PuggleVerse")</f>
        <v>PuggleVerse</v>
      </c>
    </row>
    <row r="9699">
      <c r="A9699" s="4" t="str">
        <f>IFERROR(__xludf.DUMMYFUNCTION("""COMPUTED_VALUE"""),"pullix")</f>
        <v>pullix</v>
      </c>
      <c r="B9699" s="4" t="str">
        <f>IFERROR(__xludf.DUMMYFUNCTION("""COMPUTED_VALUE"""),"plx")</f>
        <v>plx</v>
      </c>
      <c r="C9699" s="4" t="str">
        <f>IFERROR(__xludf.DUMMYFUNCTION("""COMPUTED_VALUE"""),"Pullix")</f>
        <v>Pullix</v>
      </c>
    </row>
    <row r="9700">
      <c r="A9700" s="4" t="str">
        <f>IFERROR(__xludf.DUMMYFUNCTION("""COMPUTED_VALUE"""),"pulsara")</f>
        <v>pulsara</v>
      </c>
      <c r="B9700" s="4" t="str">
        <f>IFERROR(__xludf.DUMMYFUNCTION("""COMPUTED_VALUE"""),"sara")</f>
        <v>sara</v>
      </c>
      <c r="C9700" s="4" t="str">
        <f>IFERROR(__xludf.DUMMYFUNCTION("""COMPUTED_VALUE"""),"Pulsara")</f>
        <v>Pulsara</v>
      </c>
    </row>
    <row r="9701">
      <c r="A9701" s="4" t="str">
        <f>IFERROR(__xludf.DUMMYFUNCTION("""COMPUTED_VALUE"""),"pulsar-coin")</f>
        <v>pulsar-coin</v>
      </c>
      <c r="B9701" s="4" t="str">
        <f>IFERROR(__xludf.DUMMYFUNCTION("""COMPUTED_VALUE"""),"plsr")</f>
        <v>plsr</v>
      </c>
      <c r="C9701" s="4" t="str">
        <f>IFERROR(__xludf.DUMMYFUNCTION("""COMPUTED_VALUE"""),"Pulsar Coin")</f>
        <v>Pulsar Coin</v>
      </c>
    </row>
    <row r="9702">
      <c r="A9702" s="4" t="str">
        <f>IFERROR(__xludf.DUMMYFUNCTION("""COMPUTED_VALUE"""),"pulseai")</f>
        <v>pulseai</v>
      </c>
      <c r="B9702" s="4" t="str">
        <f>IFERROR(__xludf.DUMMYFUNCTION("""COMPUTED_VALUE"""),"pulse")</f>
        <v>pulse</v>
      </c>
      <c r="C9702" s="4" t="str">
        <f>IFERROR(__xludf.DUMMYFUNCTION("""COMPUTED_VALUE"""),"PulseAI")</f>
        <v>PulseAI</v>
      </c>
    </row>
    <row r="9703">
      <c r="A9703" s="4" t="str">
        <f>IFERROR(__xludf.DUMMYFUNCTION("""COMPUTED_VALUE"""),"pulse-ai")</f>
        <v>pulse-ai</v>
      </c>
      <c r="B9703" s="4" t="str">
        <f>IFERROR(__xludf.DUMMYFUNCTION("""COMPUTED_VALUE"""),"pulse")</f>
        <v>pulse</v>
      </c>
      <c r="C9703" s="4" t="str">
        <f>IFERROR(__xludf.DUMMYFUNCTION("""COMPUTED_VALUE"""),"Pulse AI")</f>
        <v>Pulse AI</v>
      </c>
    </row>
    <row r="9704">
      <c r="A9704" s="4" t="str">
        <f>IFERROR(__xludf.DUMMYFUNCTION("""COMPUTED_VALUE"""),"pulsebitcoin")</f>
        <v>pulsebitcoin</v>
      </c>
      <c r="B9704" s="4" t="str">
        <f>IFERROR(__xludf.DUMMYFUNCTION("""COMPUTED_VALUE"""),"plsb")</f>
        <v>plsb</v>
      </c>
      <c r="C9704" s="4" t="str">
        <f>IFERROR(__xludf.DUMMYFUNCTION("""COMPUTED_VALUE"""),"PulseBitcoin")</f>
        <v>PulseBitcoin</v>
      </c>
    </row>
    <row r="9705">
      <c r="A9705" s="4" t="str">
        <f>IFERROR(__xludf.DUMMYFUNCTION("""COMPUTED_VALUE"""),"pulsebitcoin-pulsechain")</f>
        <v>pulsebitcoin-pulsechain</v>
      </c>
      <c r="B9705" s="4" t="str">
        <f>IFERROR(__xludf.DUMMYFUNCTION("""COMPUTED_VALUE"""),"plsb")</f>
        <v>plsb</v>
      </c>
      <c r="C9705" s="4" t="str">
        <f>IFERROR(__xludf.DUMMYFUNCTION("""COMPUTED_VALUE"""),"PulseBitcoin (PulseChain)")</f>
        <v>PulseBitcoin (PulseChain)</v>
      </c>
    </row>
    <row r="9706">
      <c r="A9706" s="4" t="str">
        <f>IFERROR(__xludf.DUMMYFUNCTION("""COMPUTED_VALUE"""),"pulsechain")</f>
        <v>pulsechain</v>
      </c>
      <c r="B9706" s="4" t="str">
        <f>IFERROR(__xludf.DUMMYFUNCTION("""COMPUTED_VALUE"""),"pls")</f>
        <v>pls</v>
      </c>
      <c r="C9706" s="4" t="str">
        <f>IFERROR(__xludf.DUMMYFUNCTION("""COMPUTED_VALUE"""),"PulseChain")</f>
        <v>PulseChain</v>
      </c>
    </row>
    <row r="9707">
      <c r="A9707" s="4" t="str">
        <f>IFERROR(__xludf.DUMMYFUNCTION("""COMPUTED_VALUE"""),"pulsechain-flow")</f>
        <v>pulsechain-flow</v>
      </c>
      <c r="B9707" s="4" t="str">
        <f>IFERROR(__xludf.DUMMYFUNCTION("""COMPUTED_VALUE"""),"flow")</f>
        <v>flow</v>
      </c>
      <c r="C9707" s="4" t="str">
        <f>IFERROR(__xludf.DUMMYFUNCTION("""COMPUTED_VALUE"""),"Pulsechain FLOW")</f>
        <v>Pulsechain FLOW</v>
      </c>
    </row>
    <row r="9708">
      <c r="A9708" s="4" t="str">
        <f>IFERROR(__xludf.DUMMYFUNCTION("""COMPUTED_VALUE"""),"pulsecrypt")</f>
        <v>pulsecrypt</v>
      </c>
      <c r="B9708" s="4" t="str">
        <f>IFERROR(__xludf.DUMMYFUNCTION("""COMPUTED_VALUE"""),"plscx")</f>
        <v>plscx</v>
      </c>
      <c r="C9708" s="4" t="str">
        <f>IFERROR(__xludf.DUMMYFUNCTION("""COMPUTED_VALUE"""),"PulseCrypt")</f>
        <v>PulseCrypt</v>
      </c>
    </row>
    <row r="9709">
      <c r="A9709" s="4" t="str">
        <f>IFERROR(__xludf.DUMMYFUNCTION("""COMPUTED_VALUE"""),"pulsedoge")</f>
        <v>pulsedoge</v>
      </c>
      <c r="B9709" s="4" t="str">
        <f>IFERROR(__xludf.DUMMYFUNCTION("""COMPUTED_VALUE"""),"pulsedoge")</f>
        <v>pulsedoge</v>
      </c>
      <c r="C9709" s="4" t="str">
        <f>IFERROR(__xludf.DUMMYFUNCTION("""COMPUTED_VALUE"""),"PulseDoge")</f>
        <v>PulseDoge</v>
      </c>
    </row>
    <row r="9710">
      <c r="A9710" s="4" t="str">
        <f>IFERROR(__xludf.DUMMYFUNCTION("""COMPUTED_VALUE"""),"pulsefolio")</f>
        <v>pulsefolio</v>
      </c>
      <c r="B9710" s="4" t="str">
        <f>IFERROR(__xludf.DUMMYFUNCTION("""COMPUTED_VALUE"""),"pulse")</f>
        <v>pulse</v>
      </c>
      <c r="C9710" s="4" t="str">
        <f>IFERROR(__xludf.DUMMYFUNCTION("""COMPUTED_VALUE"""),"PulseFolio")</f>
        <v>PulseFolio</v>
      </c>
    </row>
    <row r="9711">
      <c r="A9711" s="4" t="str">
        <f>IFERROR(__xludf.DUMMYFUNCTION("""COMPUTED_VALUE"""),"pulse-inu")</f>
        <v>pulse-inu</v>
      </c>
      <c r="B9711" s="4" t="str">
        <f>IFERROR(__xludf.DUMMYFUNCTION("""COMPUTED_VALUE"""),"pinu")</f>
        <v>pinu</v>
      </c>
      <c r="C9711" s="4" t="str">
        <f>IFERROR(__xludf.DUMMYFUNCTION("""COMPUTED_VALUE"""),"Pulse Inu")</f>
        <v>Pulse Inu</v>
      </c>
    </row>
    <row r="9712">
      <c r="A9712" s="4" t="str">
        <f>IFERROR(__xludf.DUMMYFUNCTION("""COMPUTED_VALUE"""),"pulse-inu-2")</f>
        <v>pulse-inu-2</v>
      </c>
      <c r="B9712" s="4" t="str">
        <f>IFERROR(__xludf.DUMMYFUNCTION("""COMPUTED_VALUE"""),"pinu")</f>
        <v>pinu</v>
      </c>
      <c r="C9712" s="4" t="str">
        <f>IFERROR(__xludf.DUMMYFUNCTION("""COMPUTED_VALUE"""),"Pulse Inu")</f>
        <v>Pulse Inu</v>
      </c>
    </row>
    <row r="9713">
      <c r="A9713" s="4" t="str">
        <f>IFERROR(__xludf.DUMMYFUNCTION("""COMPUTED_VALUE"""),"pulselaunch")</f>
        <v>pulselaunch</v>
      </c>
      <c r="B9713" s="4" t="str">
        <f>IFERROR(__xludf.DUMMYFUNCTION("""COMPUTED_VALUE"""),"launch")</f>
        <v>launch</v>
      </c>
      <c r="C9713" s="4" t="str">
        <f>IFERROR(__xludf.DUMMYFUNCTION("""COMPUTED_VALUE"""),"PulseLaunch")</f>
        <v>PulseLaunch</v>
      </c>
    </row>
    <row r="9714">
      <c r="A9714" s="4" t="str">
        <f>IFERROR(__xludf.DUMMYFUNCTION("""COMPUTED_VALUE"""),"pulseln")</f>
        <v>pulseln</v>
      </c>
      <c r="B9714" s="4" t="str">
        <f>IFERROR(__xludf.DUMMYFUNCTION("""COMPUTED_VALUE"""),"pln")</f>
        <v>pln</v>
      </c>
      <c r="C9714" s="4" t="str">
        <f>IFERROR(__xludf.DUMMYFUNCTION("""COMPUTED_VALUE"""),"PulseLN")</f>
        <v>PulseLN</v>
      </c>
    </row>
    <row r="9715">
      <c r="A9715" s="4" t="str">
        <f>IFERROR(__xludf.DUMMYFUNCTION("""COMPUTED_VALUE"""),"pulsepad")</f>
        <v>pulsepad</v>
      </c>
      <c r="B9715" s="4" t="str">
        <f>IFERROR(__xludf.DUMMYFUNCTION("""COMPUTED_VALUE"""),"plspad")</f>
        <v>plspad</v>
      </c>
      <c r="C9715" s="4" t="str">
        <f>IFERROR(__xludf.DUMMYFUNCTION("""COMPUTED_VALUE"""),"PulsePad")</f>
        <v>PulsePad</v>
      </c>
    </row>
    <row r="9716">
      <c r="A9716" s="4" t="str">
        <f>IFERROR(__xludf.DUMMYFUNCTION("""COMPUTED_VALUE"""),"pulsepot")</f>
        <v>pulsepot</v>
      </c>
      <c r="B9716" s="4" t="str">
        <f>IFERROR(__xludf.DUMMYFUNCTION("""COMPUTED_VALUE"""),"plsp")</f>
        <v>plsp</v>
      </c>
      <c r="C9716" s="4" t="str">
        <f>IFERROR(__xludf.DUMMYFUNCTION("""COMPUTED_VALUE"""),"PulsePot")</f>
        <v>PulsePot</v>
      </c>
    </row>
    <row r="9717">
      <c r="A9717" s="4" t="str">
        <f>IFERROR(__xludf.DUMMYFUNCTION("""COMPUTED_VALUE"""),"pulsereflections")</f>
        <v>pulsereflections</v>
      </c>
      <c r="B9717" s="4" t="str">
        <f>IFERROR(__xludf.DUMMYFUNCTION("""COMPUTED_VALUE"""),"prs")</f>
        <v>prs</v>
      </c>
      <c r="C9717" s="4" t="str">
        <f>IFERROR(__xludf.DUMMYFUNCTION("""COMPUTED_VALUE"""),"PulseReflections")</f>
        <v>PulseReflections</v>
      </c>
    </row>
    <row r="9718">
      <c r="A9718" s="4" t="str">
        <f>IFERROR(__xludf.DUMMYFUNCTION("""COMPUTED_VALUE"""),"pulse-token")</f>
        <v>pulse-token</v>
      </c>
      <c r="B9718" s="4" t="str">
        <f>IFERROR(__xludf.DUMMYFUNCTION("""COMPUTED_VALUE"""),"pulse")</f>
        <v>pulse</v>
      </c>
      <c r="C9718" s="4" t="str">
        <f>IFERROR(__xludf.DUMMYFUNCTION("""COMPUTED_VALUE"""),"PulseMarkets")</f>
        <v>PulseMarkets</v>
      </c>
    </row>
    <row r="9719">
      <c r="A9719" s="4" t="str">
        <f>IFERROR(__xludf.DUMMYFUNCTION("""COMPUTED_VALUE"""),"pulsetrailerpark")</f>
        <v>pulsetrailerpark</v>
      </c>
      <c r="B9719" s="4" t="str">
        <f>IFERROR(__xludf.DUMMYFUNCTION("""COMPUTED_VALUE"""),"ptp")</f>
        <v>ptp</v>
      </c>
      <c r="C9719" s="4" t="str">
        <f>IFERROR(__xludf.DUMMYFUNCTION("""COMPUTED_VALUE"""),"PulseTrailerPark")</f>
        <v>PulseTrailerPark</v>
      </c>
    </row>
    <row r="9720">
      <c r="A9720" s="4" t="str">
        <f>IFERROR(__xludf.DUMMYFUNCTION("""COMPUTED_VALUE"""),"pulsex")</f>
        <v>pulsex</v>
      </c>
      <c r="B9720" s="4" t="str">
        <f>IFERROR(__xludf.DUMMYFUNCTION("""COMPUTED_VALUE"""),"plsx")</f>
        <v>plsx</v>
      </c>
      <c r="C9720" s="4" t="str">
        <f>IFERROR(__xludf.DUMMYFUNCTION("""COMPUTED_VALUE"""),"PulseX")</f>
        <v>PulseX</v>
      </c>
    </row>
    <row r="9721">
      <c r="A9721" s="4" t="str">
        <f>IFERROR(__xludf.DUMMYFUNCTION("""COMPUTED_VALUE"""),"pulsex-incentive-token")</f>
        <v>pulsex-incentive-token</v>
      </c>
      <c r="B9721" s="4" t="str">
        <f>IFERROR(__xludf.DUMMYFUNCTION("""COMPUTED_VALUE"""),"inc")</f>
        <v>inc</v>
      </c>
      <c r="C9721" s="4" t="str">
        <f>IFERROR(__xludf.DUMMYFUNCTION("""COMPUTED_VALUE"""),"PulseX Incentive Token")</f>
        <v>PulseX Incentive Token</v>
      </c>
    </row>
    <row r="9722">
      <c r="A9722" s="4" t="str">
        <f>IFERROR(__xludf.DUMMYFUNCTION("""COMPUTED_VALUE"""),"puma")</f>
        <v>puma</v>
      </c>
      <c r="B9722" s="4" t="str">
        <f>IFERROR(__xludf.DUMMYFUNCTION("""COMPUTED_VALUE"""),"puma")</f>
        <v>puma</v>
      </c>
      <c r="C9722" s="4" t="str">
        <f>IFERROR(__xludf.DUMMYFUNCTION("""COMPUTED_VALUE"""),"Puma")</f>
        <v>Puma</v>
      </c>
    </row>
    <row r="9723">
      <c r="A9723" s="4" t="str">
        <f>IFERROR(__xludf.DUMMYFUNCTION("""COMPUTED_VALUE"""),"pumapay")</f>
        <v>pumapay</v>
      </c>
      <c r="B9723" s="4" t="str">
        <f>IFERROR(__xludf.DUMMYFUNCTION("""COMPUTED_VALUE"""),"pma")</f>
        <v>pma</v>
      </c>
      <c r="C9723" s="4" t="str">
        <f>IFERROR(__xludf.DUMMYFUNCTION("""COMPUTED_VALUE"""),"PumaPay")</f>
        <v>PumaPay</v>
      </c>
    </row>
    <row r="9724">
      <c r="A9724" s="4" t="str">
        <f>IFERROR(__xludf.DUMMYFUNCTION("""COMPUTED_VALUE"""),"puml-better-health")</f>
        <v>puml-better-health</v>
      </c>
      <c r="B9724" s="4" t="str">
        <f>IFERROR(__xludf.DUMMYFUNCTION("""COMPUTED_VALUE"""),"puml")</f>
        <v>puml</v>
      </c>
      <c r="C9724" s="4" t="str">
        <f>IFERROR(__xludf.DUMMYFUNCTION("""COMPUTED_VALUE"""),"PUML Better Health")</f>
        <v>PUML Better Health</v>
      </c>
    </row>
    <row r="9725">
      <c r="A9725" s="4" t="str">
        <f>IFERROR(__xludf.DUMMYFUNCTION("""COMPUTED_VALUE"""),"pumlx")</f>
        <v>pumlx</v>
      </c>
      <c r="B9725" s="4" t="str">
        <f>IFERROR(__xludf.DUMMYFUNCTION("""COMPUTED_VALUE"""),"pumlx")</f>
        <v>pumlx</v>
      </c>
      <c r="C9725" s="4" t="str">
        <f>IFERROR(__xludf.DUMMYFUNCTION("""COMPUTED_VALUE"""),"PUMLx")</f>
        <v>PUMLx</v>
      </c>
    </row>
    <row r="9726">
      <c r="A9726" s="4" t="str">
        <f>IFERROR(__xludf.DUMMYFUNCTION("""COMPUTED_VALUE"""),"pump")</f>
        <v>pump</v>
      </c>
      <c r="B9726" s="4" t="str">
        <f>IFERROR(__xludf.DUMMYFUNCTION("""COMPUTED_VALUE"""),"pump")</f>
        <v>pump</v>
      </c>
      <c r="C9726" s="4" t="str">
        <f>IFERROR(__xludf.DUMMYFUNCTION("""COMPUTED_VALUE"""),"Pump")</f>
        <v>Pump</v>
      </c>
    </row>
    <row r="9727">
      <c r="A9727" s="4" t="str">
        <f>IFERROR(__xludf.DUMMYFUNCTION("""COMPUTED_VALUE"""),"pump-it-up")</f>
        <v>pump-it-up</v>
      </c>
      <c r="B9727" s="4" t="str">
        <f>IFERROR(__xludf.DUMMYFUNCTION("""COMPUTED_VALUE"""),"pumpit")</f>
        <v>pumpit</v>
      </c>
      <c r="C9727" s="4" t="str">
        <f>IFERROR(__xludf.DUMMYFUNCTION("""COMPUTED_VALUE"""),"Pump It Up")</f>
        <v>Pump It Up</v>
      </c>
    </row>
    <row r="9728">
      <c r="A9728" s="4" t="str">
        <f>IFERROR(__xludf.DUMMYFUNCTION("""COMPUTED_VALUE"""),"pumpkin")</f>
        <v>pumpkin</v>
      </c>
      <c r="B9728" s="4" t="str">
        <f>IFERROR(__xludf.DUMMYFUNCTION("""COMPUTED_VALUE"""),"pump")</f>
        <v>pump</v>
      </c>
      <c r="C9728" s="4" t="str">
        <f>IFERROR(__xludf.DUMMYFUNCTION("""COMPUTED_VALUE"""),"Pumpkin")</f>
        <v>Pumpkin</v>
      </c>
    </row>
    <row r="9729">
      <c r="A9729" s="4" t="str">
        <f>IFERROR(__xludf.DUMMYFUNCTION("""COMPUTED_VALUE"""),"pumpkin-2")</f>
        <v>pumpkin-2</v>
      </c>
      <c r="B9729" s="4" t="str">
        <f>IFERROR(__xludf.DUMMYFUNCTION("""COMPUTED_VALUE"""),"pumpkin")</f>
        <v>pumpkin</v>
      </c>
      <c r="C9729" s="4" t="str">
        <f>IFERROR(__xludf.DUMMYFUNCTION("""COMPUTED_VALUE"""),"Pumpkin")</f>
        <v>Pumpkin</v>
      </c>
    </row>
    <row r="9730">
      <c r="A9730" s="4" t="str">
        <f>IFERROR(__xludf.DUMMYFUNCTION("""COMPUTED_VALUE"""),"pumpkin-monster-token")</f>
        <v>pumpkin-monster-token</v>
      </c>
      <c r="B9730" s="4" t="str">
        <f>IFERROR(__xludf.DUMMYFUNCTION("""COMPUTED_VALUE"""),"pum")</f>
        <v>pum</v>
      </c>
      <c r="C9730" s="4" t="str">
        <f>IFERROR(__xludf.DUMMYFUNCTION("""COMPUTED_VALUE"""),"Pumpkin Monster Token")</f>
        <v>Pumpkin Monster Token</v>
      </c>
    </row>
    <row r="9731">
      <c r="A9731" s="4" t="str">
        <f>IFERROR(__xludf.DUMMYFUNCTION("""COMPUTED_VALUE"""),"pumpopoly")</f>
        <v>pumpopoly</v>
      </c>
      <c r="B9731" s="4" t="str">
        <f>IFERROR(__xludf.DUMMYFUNCTION("""COMPUTED_VALUE"""),"pumpopoly")</f>
        <v>pumpopoly</v>
      </c>
      <c r="C9731" s="4" t="str">
        <f>IFERROR(__xludf.DUMMYFUNCTION("""COMPUTED_VALUE"""),"Pumpopoly")</f>
        <v>Pumpopoly</v>
      </c>
    </row>
    <row r="9732">
      <c r="A9732" s="4" t="str">
        <f>IFERROR(__xludf.DUMMYFUNCTION("""COMPUTED_VALUE"""),"pumpr")</f>
        <v>pumpr</v>
      </c>
      <c r="B9732" s="4" t="str">
        <f>IFERROR(__xludf.DUMMYFUNCTION("""COMPUTED_VALUE"""),"pumpr")</f>
        <v>pumpr</v>
      </c>
      <c r="C9732" s="4" t="str">
        <f>IFERROR(__xludf.DUMMYFUNCTION("""COMPUTED_VALUE"""),"Pumpr")</f>
        <v>Pumpr</v>
      </c>
    </row>
    <row r="9733">
      <c r="A9733" s="4" t="str">
        <f>IFERROR(__xludf.DUMMYFUNCTION("""COMPUTED_VALUE"""),"punchy-token")</f>
        <v>punchy-token</v>
      </c>
      <c r="B9733" s="4" t="str">
        <f>IFERROR(__xludf.DUMMYFUNCTION("""COMPUTED_VALUE"""),"punch")</f>
        <v>punch</v>
      </c>
      <c r="C9733" s="4" t="str">
        <f>IFERROR(__xludf.DUMMYFUNCTION("""COMPUTED_VALUE"""),"Punchy Token")</f>
        <v>Punchy Token</v>
      </c>
    </row>
    <row r="9734">
      <c r="A9734" s="4" t="str">
        <f>IFERROR(__xludf.DUMMYFUNCTION("""COMPUTED_VALUE"""),"pundi-x")</f>
        <v>pundi-x</v>
      </c>
      <c r="B9734" s="4" t="str">
        <f>IFERROR(__xludf.DUMMYFUNCTION("""COMPUTED_VALUE"""),"npxs")</f>
        <v>npxs</v>
      </c>
      <c r="C9734" s="4" t="str">
        <f>IFERROR(__xludf.DUMMYFUNCTION("""COMPUTED_VALUE"""),"Pundi X [OLD]")</f>
        <v>Pundi X [OLD]</v>
      </c>
    </row>
    <row r="9735">
      <c r="A9735" s="4" t="str">
        <f>IFERROR(__xludf.DUMMYFUNCTION("""COMPUTED_VALUE"""),"pundi-x-2")</f>
        <v>pundi-x-2</v>
      </c>
      <c r="B9735" s="4" t="str">
        <f>IFERROR(__xludf.DUMMYFUNCTION("""COMPUTED_VALUE"""),"pundix")</f>
        <v>pundix</v>
      </c>
      <c r="C9735" s="4" t="str">
        <f>IFERROR(__xludf.DUMMYFUNCTION("""COMPUTED_VALUE"""),"Pundi X")</f>
        <v>Pundi X</v>
      </c>
    </row>
    <row r="9736">
      <c r="A9736" s="4" t="str">
        <f>IFERROR(__xludf.DUMMYFUNCTION("""COMPUTED_VALUE"""),"pundi-x-purse")</f>
        <v>pundi-x-purse</v>
      </c>
      <c r="B9736" s="4" t="str">
        <f>IFERROR(__xludf.DUMMYFUNCTION("""COMPUTED_VALUE"""),"purse")</f>
        <v>purse</v>
      </c>
      <c r="C9736" s="4" t="str">
        <f>IFERROR(__xludf.DUMMYFUNCTION("""COMPUTED_VALUE"""),"Pundi X PURSE")</f>
        <v>Pundi X PURSE</v>
      </c>
    </row>
    <row r="9737">
      <c r="A9737" s="4" t="str">
        <f>IFERROR(__xludf.DUMMYFUNCTION("""COMPUTED_VALUE"""),"punk-2")</f>
        <v>punk-2</v>
      </c>
      <c r="B9737" s="4" t="str">
        <f>IFERROR(__xludf.DUMMYFUNCTION("""COMPUTED_VALUE"""),"punk")</f>
        <v>punk</v>
      </c>
      <c r="C9737" s="4" t="str">
        <f>IFERROR(__xludf.DUMMYFUNCTION("""COMPUTED_VALUE"""),"PunkCity")</f>
        <v>PunkCity</v>
      </c>
    </row>
    <row r="9738">
      <c r="A9738" s="4" t="str">
        <f>IFERROR(__xludf.DUMMYFUNCTION("""COMPUTED_VALUE"""),"punkai")</f>
        <v>punkai</v>
      </c>
      <c r="B9738" s="4" t="str">
        <f>IFERROR(__xludf.DUMMYFUNCTION("""COMPUTED_VALUE"""),"punkai")</f>
        <v>punkai</v>
      </c>
      <c r="C9738" s="4" t="str">
        <f>IFERROR(__xludf.DUMMYFUNCTION("""COMPUTED_VALUE"""),"PunkAI")</f>
        <v>PunkAI</v>
      </c>
    </row>
    <row r="9739">
      <c r="A9739" s="4" t="str">
        <f>IFERROR(__xludf.DUMMYFUNCTION("""COMPUTED_VALUE"""),"punk-sat")</f>
        <v>punk-sat</v>
      </c>
      <c r="B9739" s="4" t="str">
        <f>IFERROR(__xludf.DUMMYFUNCTION("""COMPUTED_VALUE"""),"psat")</f>
        <v>psat</v>
      </c>
      <c r="C9739" s="4" t="str">
        <f>IFERROR(__xludf.DUMMYFUNCTION("""COMPUTED_VALUE"""),"Punk Sat")</f>
        <v>Punk Sat</v>
      </c>
    </row>
    <row r="9740">
      <c r="A9740" s="4" t="str">
        <f>IFERROR(__xludf.DUMMYFUNCTION("""COMPUTED_VALUE"""),"punks-comic-pow")</f>
        <v>punks-comic-pow</v>
      </c>
      <c r="B9740" s="4" t="str">
        <f>IFERROR(__xludf.DUMMYFUNCTION("""COMPUTED_VALUE"""),"pow")</f>
        <v>pow</v>
      </c>
      <c r="C9740" s="4" t="str">
        <f>IFERROR(__xludf.DUMMYFUNCTION("""COMPUTED_VALUE"""),"POW")</f>
        <v>POW</v>
      </c>
    </row>
    <row r="9741">
      <c r="A9741" s="4" t="str">
        <f>IFERROR(__xludf.DUMMYFUNCTION("""COMPUTED_VALUE"""),"punkswap")</f>
        <v>punkswap</v>
      </c>
      <c r="B9741" s="4" t="str">
        <f>IFERROR(__xludf.DUMMYFUNCTION("""COMPUTED_VALUE"""),"punk")</f>
        <v>punk</v>
      </c>
      <c r="C9741" s="4" t="str">
        <f>IFERROR(__xludf.DUMMYFUNCTION("""COMPUTED_VALUE"""),"PunkSwap")</f>
        <v>PunkSwap</v>
      </c>
    </row>
    <row r="9742">
      <c r="A9742" s="4" t="str">
        <f>IFERROR(__xludf.DUMMYFUNCTION("""COMPUTED_VALUE"""),"punk-vault-nftx")</f>
        <v>punk-vault-nftx</v>
      </c>
      <c r="B9742" s="4" t="str">
        <f>IFERROR(__xludf.DUMMYFUNCTION("""COMPUTED_VALUE"""),"punk")</f>
        <v>punk</v>
      </c>
      <c r="C9742" s="4" t="str">
        <f>IFERROR(__xludf.DUMMYFUNCTION("""COMPUTED_VALUE"""),"Punk Vault (NFTX)")</f>
        <v>Punk Vault (NFTX)</v>
      </c>
    </row>
    <row r="9743">
      <c r="A9743" s="4" t="str">
        <f>IFERROR(__xludf.DUMMYFUNCTION("""COMPUTED_VALUE"""),"punk-x")</f>
        <v>punk-x</v>
      </c>
      <c r="B9743" s="4" t="str">
        <f>IFERROR(__xludf.DUMMYFUNCTION("""COMPUTED_VALUE"""),"punk")</f>
        <v>punk</v>
      </c>
      <c r="C9743" s="4" t="str">
        <f>IFERROR(__xludf.DUMMYFUNCTION("""COMPUTED_VALUE"""),"Punk X")</f>
        <v>Punk X</v>
      </c>
    </row>
    <row r="9744">
      <c r="A9744" s="4" t="str">
        <f>IFERROR(__xludf.DUMMYFUNCTION("""COMPUTED_VALUE"""),"pup-doge")</f>
        <v>pup-doge</v>
      </c>
      <c r="B9744" s="4" t="str">
        <f>IFERROR(__xludf.DUMMYFUNCTION("""COMPUTED_VALUE"""),"pupdoge")</f>
        <v>pupdoge</v>
      </c>
      <c r="C9744" s="4" t="str">
        <f>IFERROR(__xludf.DUMMYFUNCTION("""COMPUTED_VALUE"""),"Pup Doge")</f>
        <v>Pup Doge</v>
      </c>
    </row>
    <row r="9745">
      <c r="A9745" s="4" t="str">
        <f>IFERROR(__xludf.DUMMYFUNCTION("""COMPUTED_VALUE"""),"puppets-arts-2")</f>
        <v>puppets-arts-2</v>
      </c>
      <c r="B9745" s="4" t="str">
        <f>IFERROR(__xludf.DUMMYFUNCTION("""COMPUTED_VALUE"""),"puppets")</f>
        <v>puppets</v>
      </c>
      <c r="C9745" s="4" t="str">
        <f>IFERROR(__xludf.DUMMYFUNCTION("""COMPUTED_VALUE"""),"Puppets Coin")</f>
        <v>Puppets Coin</v>
      </c>
    </row>
    <row r="9746">
      <c r="A9746" s="4" t="str">
        <f>IFERROR(__xludf.DUMMYFUNCTION("""COMPUTED_VALUE"""),"pups-ordinals")</f>
        <v>pups-ordinals</v>
      </c>
      <c r="B9746" s="4" t="str">
        <f>IFERROR(__xludf.DUMMYFUNCTION("""COMPUTED_VALUE"""),"pups")</f>
        <v>pups</v>
      </c>
      <c r="C9746" s="4" t="str">
        <f>IFERROR(__xludf.DUMMYFUNCTION("""COMPUTED_VALUE"""),"PUPS (Ordinals)")</f>
        <v>PUPS (Ordinals)</v>
      </c>
    </row>
    <row r="9747">
      <c r="A9747" s="4" t="str">
        <f>IFERROR(__xludf.DUMMYFUNCTION("""COMPUTED_VALUE"""),"purchasa")</f>
        <v>purchasa</v>
      </c>
      <c r="B9747" s="4" t="str">
        <f>IFERROR(__xludf.DUMMYFUNCTION("""COMPUTED_VALUE"""),"pca")</f>
        <v>pca</v>
      </c>
      <c r="C9747" s="4" t="str">
        <f>IFERROR(__xludf.DUMMYFUNCTION("""COMPUTED_VALUE"""),"Purchasa")</f>
        <v>Purchasa</v>
      </c>
    </row>
    <row r="9748">
      <c r="A9748" s="4" t="str">
        <f>IFERROR(__xludf.DUMMYFUNCTION("""COMPUTED_VALUE"""),"purefi")</f>
        <v>purefi</v>
      </c>
      <c r="B9748" s="4" t="str">
        <f>IFERROR(__xludf.DUMMYFUNCTION("""COMPUTED_VALUE"""),"ufi")</f>
        <v>ufi</v>
      </c>
      <c r="C9748" s="4" t="str">
        <f>IFERROR(__xludf.DUMMYFUNCTION("""COMPUTED_VALUE"""),"PureFi")</f>
        <v>PureFi</v>
      </c>
    </row>
    <row r="9749">
      <c r="A9749" s="4" t="str">
        <f>IFERROR(__xludf.DUMMYFUNCTION("""COMPUTED_VALUE"""),"puriever")</f>
        <v>puriever</v>
      </c>
      <c r="B9749" s="4" t="str">
        <f>IFERROR(__xludf.DUMMYFUNCTION("""COMPUTED_VALUE"""),"pure")</f>
        <v>pure</v>
      </c>
      <c r="C9749" s="4" t="str">
        <f>IFERROR(__xludf.DUMMYFUNCTION("""COMPUTED_VALUE"""),"Puriever")</f>
        <v>Puriever</v>
      </c>
    </row>
    <row r="9750">
      <c r="A9750" s="4" t="str">
        <f>IFERROR(__xludf.DUMMYFUNCTION("""COMPUTED_VALUE"""),"purple-ai")</f>
        <v>purple-ai</v>
      </c>
      <c r="B9750" s="4" t="str">
        <f>IFERROR(__xludf.DUMMYFUNCTION("""COMPUTED_VALUE"""),"pai")</f>
        <v>pai</v>
      </c>
      <c r="C9750" s="4" t="str">
        <f>IFERROR(__xludf.DUMMYFUNCTION("""COMPUTED_VALUE"""),"Purple AI")</f>
        <v>Purple AI</v>
      </c>
    </row>
    <row r="9751">
      <c r="A9751" s="4" t="str">
        <f>IFERROR(__xludf.DUMMYFUNCTION("""COMPUTED_VALUE"""),"purpose")</f>
        <v>purpose</v>
      </c>
      <c r="B9751" s="4" t="str">
        <f>IFERROR(__xludf.DUMMYFUNCTION("""COMPUTED_VALUE"""),"prps")</f>
        <v>prps</v>
      </c>
      <c r="C9751" s="4" t="str">
        <f>IFERROR(__xludf.DUMMYFUNCTION("""COMPUTED_VALUE"""),"Purpose")</f>
        <v>Purpose</v>
      </c>
    </row>
    <row r="9752">
      <c r="A9752" s="4" t="str">
        <f>IFERROR(__xludf.DUMMYFUNCTION("""COMPUTED_VALUE"""),"pusd")</f>
        <v>pusd</v>
      </c>
      <c r="B9752" s="4" t="str">
        <f>IFERROR(__xludf.DUMMYFUNCTION("""COMPUTED_VALUE"""),"pusd")</f>
        <v>pusd</v>
      </c>
      <c r="C9752" s="4" t="str">
        <f>IFERROR(__xludf.DUMMYFUNCTION("""COMPUTED_VALUE"""),"PUSD_Polyquity")</f>
        <v>PUSD_Polyquity</v>
      </c>
    </row>
    <row r="9753">
      <c r="A9753" s="4" t="str">
        <f>IFERROR(__xludf.DUMMYFUNCTION("""COMPUTED_VALUE"""),"pushd")</f>
        <v>pushd</v>
      </c>
      <c r="B9753" s="4" t="str">
        <f>IFERROR(__xludf.DUMMYFUNCTION("""COMPUTED_VALUE"""),"pushd")</f>
        <v>pushd</v>
      </c>
      <c r="C9753" s="4" t="str">
        <f>IFERROR(__xludf.DUMMYFUNCTION("""COMPUTED_VALUE"""),"PUSHD")</f>
        <v>PUSHD</v>
      </c>
    </row>
    <row r="9754">
      <c r="A9754" s="4" t="str">
        <f>IFERROR(__xludf.DUMMYFUNCTION("""COMPUTED_VALUE"""),"pussy-financial")</f>
        <v>pussy-financial</v>
      </c>
      <c r="B9754" s="4" t="str">
        <f>IFERROR(__xludf.DUMMYFUNCTION("""COMPUTED_VALUE"""),"pussy")</f>
        <v>pussy</v>
      </c>
      <c r="C9754" s="4" t="str">
        <f>IFERROR(__xludf.DUMMYFUNCTION("""COMPUTED_VALUE"""),"Pussy Financial")</f>
        <v>Pussy Financial</v>
      </c>
    </row>
    <row r="9755">
      <c r="A9755" s="4" t="str">
        <f>IFERROR(__xludf.DUMMYFUNCTION("""COMPUTED_VALUE"""),"pusuke-inu")</f>
        <v>pusuke-inu</v>
      </c>
      <c r="B9755" s="4" t="str">
        <f>IFERROR(__xludf.DUMMYFUNCTION("""COMPUTED_VALUE"""),"pusuke")</f>
        <v>pusuke</v>
      </c>
      <c r="C9755" s="4" t="str">
        <f>IFERROR(__xludf.DUMMYFUNCTION("""COMPUTED_VALUE"""),"Pusuke Inu")</f>
        <v>Pusuke Inu</v>
      </c>
    </row>
    <row r="9756">
      <c r="A9756" s="4" t="str">
        <f>IFERROR(__xludf.DUMMYFUNCTION("""COMPUTED_VALUE"""),"putincoin")</f>
        <v>putincoin</v>
      </c>
      <c r="B9756" s="4" t="str">
        <f>IFERROR(__xludf.DUMMYFUNCTION("""COMPUTED_VALUE"""),"put")</f>
        <v>put</v>
      </c>
      <c r="C9756" s="4" t="str">
        <f>IFERROR(__xludf.DUMMYFUNCTION("""COMPUTED_VALUE"""),"PUTinCoin")</f>
        <v>PUTinCoin</v>
      </c>
    </row>
    <row r="9757">
      <c r="A9757" s="4" t="str">
        <f>IFERROR(__xludf.DUMMYFUNCTION("""COMPUTED_VALUE"""),"puzzle-swap")</f>
        <v>puzzle-swap</v>
      </c>
      <c r="B9757" s="4" t="str">
        <f>IFERROR(__xludf.DUMMYFUNCTION("""COMPUTED_VALUE"""),"puzzle")</f>
        <v>puzzle</v>
      </c>
      <c r="C9757" s="4" t="str">
        <f>IFERROR(__xludf.DUMMYFUNCTION("""COMPUTED_VALUE"""),"Puzzle Swap")</f>
        <v>Puzzle Swap</v>
      </c>
    </row>
    <row r="9758">
      <c r="A9758" s="4" t="str">
        <f>IFERROR(__xludf.DUMMYFUNCTION("""COMPUTED_VALUE"""),"pvc-meta")</f>
        <v>pvc-meta</v>
      </c>
      <c r="B9758" s="4" t="str">
        <f>IFERROR(__xludf.DUMMYFUNCTION("""COMPUTED_VALUE"""),"pvc")</f>
        <v>pvc</v>
      </c>
      <c r="C9758" s="4" t="str">
        <f>IFERROR(__xludf.DUMMYFUNCTION("""COMPUTED_VALUE"""),"PVC META")</f>
        <v>PVC META</v>
      </c>
    </row>
    <row r="9759">
      <c r="A9759" s="4" t="str">
        <f>IFERROR(__xludf.DUMMYFUNCTION("""COMPUTED_VALUE"""),"pvp")</f>
        <v>pvp</v>
      </c>
      <c r="B9759" s="4" t="str">
        <f>IFERROR(__xludf.DUMMYFUNCTION("""COMPUTED_VALUE"""),"pvp")</f>
        <v>pvp</v>
      </c>
      <c r="C9759" s="4" t="str">
        <f>IFERROR(__xludf.DUMMYFUNCTION("""COMPUTED_VALUE"""),"PVP")</f>
        <v>PVP</v>
      </c>
    </row>
    <row r="9760">
      <c r="A9760" s="4" t="str">
        <f>IFERROR(__xludf.DUMMYFUNCTION("""COMPUTED_VALUE"""),"pwrcash")</f>
        <v>pwrcash</v>
      </c>
      <c r="B9760" s="4" t="str">
        <f>IFERROR(__xludf.DUMMYFUNCTION("""COMPUTED_VALUE"""),"pwrc")</f>
        <v>pwrc</v>
      </c>
      <c r="C9760" s="4" t="str">
        <f>IFERROR(__xludf.DUMMYFUNCTION("""COMPUTED_VALUE"""),"PWRCASH")</f>
        <v>PWRCASH</v>
      </c>
    </row>
    <row r="9761">
      <c r="A9761" s="4" t="str">
        <f>IFERROR(__xludf.DUMMYFUNCTION("""COMPUTED_VALUE"""),"pylons-bedrock")</f>
        <v>pylons-bedrock</v>
      </c>
      <c r="B9761" s="4" t="str">
        <f>IFERROR(__xludf.DUMMYFUNCTION("""COMPUTED_VALUE"""),"rock")</f>
        <v>rock</v>
      </c>
      <c r="C9761" s="4" t="str">
        <f>IFERROR(__xludf.DUMMYFUNCTION("""COMPUTED_VALUE"""),"Pylons Bedrock")</f>
        <v>Pylons Bedrock</v>
      </c>
    </row>
    <row r="9762">
      <c r="A9762" s="4" t="str">
        <f>IFERROR(__xludf.DUMMYFUNCTION("""COMPUTED_VALUE"""),"pymedao")</f>
        <v>pymedao</v>
      </c>
      <c r="B9762" s="4" t="str">
        <f>IFERROR(__xludf.DUMMYFUNCTION("""COMPUTED_VALUE"""),"pyme")</f>
        <v>pyme</v>
      </c>
      <c r="C9762" s="4" t="str">
        <f>IFERROR(__xludf.DUMMYFUNCTION("""COMPUTED_VALUE"""),"PymeDAO")</f>
        <v>PymeDAO</v>
      </c>
    </row>
    <row r="9763">
      <c r="A9763" s="4" t="str">
        <f>IFERROR(__xludf.DUMMYFUNCTION("""COMPUTED_VALUE"""),"pyrin")</f>
        <v>pyrin</v>
      </c>
      <c r="B9763" s="4" t="str">
        <f>IFERROR(__xludf.DUMMYFUNCTION("""COMPUTED_VALUE"""),"pyi")</f>
        <v>pyi</v>
      </c>
      <c r="C9763" s="4" t="str">
        <f>IFERROR(__xludf.DUMMYFUNCTION("""COMPUTED_VALUE"""),"Pyrin")</f>
        <v>Pyrin</v>
      </c>
    </row>
    <row r="9764">
      <c r="A9764" s="4" t="str">
        <f>IFERROR(__xludf.DUMMYFUNCTION("""COMPUTED_VALUE"""),"pyro-2")</f>
        <v>pyro-2</v>
      </c>
      <c r="B9764" s="4" t="str">
        <f>IFERROR(__xludf.DUMMYFUNCTION("""COMPUTED_VALUE"""),"pyro")</f>
        <v>pyro</v>
      </c>
      <c r="C9764" s="4" t="str">
        <f>IFERROR(__xludf.DUMMYFUNCTION("""COMPUTED_VALUE"""),"Pyro")</f>
        <v>Pyro</v>
      </c>
    </row>
    <row r="9765">
      <c r="A9765" s="4" t="str">
        <f>IFERROR(__xludf.DUMMYFUNCTION("""COMPUTED_VALUE"""),"pyrrho-defi")</f>
        <v>pyrrho-defi</v>
      </c>
      <c r="B9765" s="4" t="str">
        <f>IFERROR(__xludf.DUMMYFUNCTION("""COMPUTED_VALUE"""),"pyo")</f>
        <v>pyo</v>
      </c>
      <c r="C9765" s="4" t="str">
        <f>IFERROR(__xludf.DUMMYFUNCTION("""COMPUTED_VALUE"""),"Pyrrho")</f>
        <v>Pyrrho</v>
      </c>
    </row>
    <row r="9766">
      <c r="A9766" s="4" t="str">
        <f>IFERROR(__xludf.DUMMYFUNCTION("""COMPUTED_VALUE"""),"pyth-network")</f>
        <v>pyth-network</v>
      </c>
      <c r="B9766" s="4" t="str">
        <f>IFERROR(__xludf.DUMMYFUNCTION("""COMPUTED_VALUE"""),"pyth")</f>
        <v>pyth</v>
      </c>
      <c r="C9766" s="4" t="str">
        <f>IFERROR(__xludf.DUMMYFUNCTION("""COMPUTED_VALUE"""),"Pyth Network")</f>
        <v>Pyth Network</v>
      </c>
    </row>
    <row r="9767">
      <c r="A9767" s="4" t="str">
        <f>IFERROR(__xludf.DUMMYFUNCTION("""COMPUTED_VALUE"""),"qanplatform")</f>
        <v>qanplatform</v>
      </c>
      <c r="B9767" s="4" t="str">
        <f>IFERROR(__xludf.DUMMYFUNCTION("""COMPUTED_VALUE"""),"qanx")</f>
        <v>qanx</v>
      </c>
      <c r="C9767" s="4" t="str">
        <f>IFERROR(__xludf.DUMMYFUNCTION("""COMPUTED_VALUE"""),"QANplatform")</f>
        <v>QANplatform</v>
      </c>
    </row>
    <row r="9768">
      <c r="A9768" s="4" t="str">
        <f>IFERROR(__xludf.DUMMYFUNCTION("""COMPUTED_VALUE"""),"qash")</f>
        <v>qash</v>
      </c>
      <c r="B9768" s="4" t="str">
        <f>IFERROR(__xludf.DUMMYFUNCTION("""COMPUTED_VALUE"""),"qash")</f>
        <v>qash</v>
      </c>
      <c r="C9768" s="4" t="str">
        <f>IFERROR(__xludf.DUMMYFUNCTION("""COMPUTED_VALUE"""),"QASH")</f>
        <v>QASH</v>
      </c>
    </row>
    <row r="9769">
      <c r="A9769" s="4" t="str">
        <f>IFERROR(__xludf.DUMMYFUNCTION("""COMPUTED_VALUE"""),"qatargrow")</f>
        <v>qatargrow</v>
      </c>
      <c r="B9769" s="4" t="str">
        <f>IFERROR(__xludf.DUMMYFUNCTION("""COMPUTED_VALUE"""),"qatargrow")</f>
        <v>qatargrow</v>
      </c>
      <c r="C9769" s="4" t="str">
        <f>IFERROR(__xludf.DUMMYFUNCTION("""COMPUTED_VALUE"""),"QatarGrow")</f>
        <v>QatarGrow</v>
      </c>
    </row>
    <row r="9770">
      <c r="A9770" s="4" t="str">
        <f>IFERROR(__xludf.DUMMYFUNCTION("""COMPUTED_VALUE"""),"qatom")</f>
        <v>qatom</v>
      </c>
      <c r="B9770" s="4" t="str">
        <f>IFERROR(__xludf.DUMMYFUNCTION("""COMPUTED_VALUE"""),"qatom")</f>
        <v>qatom</v>
      </c>
      <c r="C9770" s="4" t="str">
        <f>IFERROR(__xludf.DUMMYFUNCTION("""COMPUTED_VALUE"""),"qATOM")</f>
        <v>qATOM</v>
      </c>
    </row>
    <row r="9771">
      <c r="A9771" s="4" t="str">
        <f>IFERROR(__xludf.DUMMYFUNCTION("""COMPUTED_VALUE"""),"qawalla")</f>
        <v>qawalla</v>
      </c>
      <c r="B9771" s="4" t="str">
        <f>IFERROR(__xludf.DUMMYFUNCTION("""COMPUTED_VALUE"""),"qwla")</f>
        <v>qwla</v>
      </c>
      <c r="C9771" s="4" t="str">
        <f>IFERROR(__xludf.DUMMYFUNCTION("""COMPUTED_VALUE"""),"Qawalla")</f>
        <v>Qawalla</v>
      </c>
    </row>
    <row r="9772">
      <c r="A9772" s="4" t="str">
        <f>IFERROR(__xludf.DUMMYFUNCTION("""COMPUTED_VALUE"""),"qbao")</f>
        <v>qbao</v>
      </c>
      <c r="B9772" s="4" t="str">
        <f>IFERROR(__xludf.DUMMYFUNCTION("""COMPUTED_VALUE"""),"qbt")</f>
        <v>qbt</v>
      </c>
      <c r="C9772" s="4" t="str">
        <f>IFERROR(__xludf.DUMMYFUNCTION("""COMPUTED_VALUE"""),"Qbao")</f>
        <v>Qbao</v>
      </c>
    </row>
    <row r="9773">
      <c r="A9773" s="4" t="str">
        <f>IFERROR(__xludf.DUMMYFUNCTION("""COMPUTED_VALUE"""),"qcash")</f>
        <v>qcash</v>
      </c>
      <c r="B9773" s="4" t="str">
        <f>IFERROR(__xludf.DUMMYFUNCTION("""COMPUTED_VALUE"""),"qc")</f>
        <v>qc</v>
      </c>
      <c r="C9773" s="4" t="str">
        <f>IFERROR(__xludf.DUMMYFUNCTION("""COMPUTED_VALUE"""),"Qcash")</f>
        <v>Qcash</v>
      </c>
    </row>
    <row r="9774">
      <c r="A9774" s="4" t="str">
        <f>IFERROR(__xludf.DUMMYFUNCTION("""COMPUTED_VALUE"""),"qchain-qdt")</f>
        <v>qchain-qdt</v>
      </c>
      <c r="B9774" s="4" t="str">
        <f>IFERROR(__xludf.DUMMYFUNCTION("""COMPUTED_VALUE"""),"qdt")</f>
        <v>qdt</v>
      </c>
      <c r="C9774" s="4" t="str">
        <f>IFERROR(__xludf.DUMMYFUNCTION("""COMPUTED_VALUE"""),"QChain QDT")</f>
        <v>QChain QDT</v>
      </c>
    </row>
    <row r="9775">
      <c r="A9775" s="4" t="str">
        <f>IFERROR(__xludf.DUMMYFUNCTION("""COMPUTED_VALUE"""),"qie")</f>
        <v>qie</v>
      </c>
      <c r="B9775" s="4" t="str">
        <f>IFERROR(__xludf.DUMMYFUNCTION("""COMPUTED_VALUE"""),"qie")</f>
        <v>qie</v>
      </c>
      <c r="C9775" s="4" t="str">
        <f>IFERROR(__xludf.DUMMYFUNCTION("""COMPUTED_VALUE"""),"QI Blockchain")</f>
        <v>QI Blockchain</v>
      </c>
    </row>
    <row r="9776">
      <c r="A9776" s="4" t="str">
        <f>IFERROR(__xludf.DUMMYFUNCTION("""COMPUTED_VALUE"""),"qiswap")</f>
        <v>qiswap</v>
      </c>
      <c r="B9776" s="4" t="str">
        <f>IFERROR(__xludf.DUMMYFUNCTION("""COMPUTED_VALUE"""),"qi")</f>
        <v>qi</v>
      </c>
      <c r="C9776" s="4" t="str">
        <f>IFERROR(__xludf.DUMMYFUNCTION("""COMPUTED_VALUE"""),"QiSwap")</f>
        <v>QiSwap</v>
      </c>
    </row>
    <row r="9777">
      <c r="A9777" s="4" t="str">
        <f>IFERROR(__xludf.DUMMYFUNCTION("""COMPUTED_VALUE"""),"qitchain-network")</f>
        <v>qitchain-network</v>
      </c>
      <c r="B9777" s="4" t="str">
        <f>IFERROR(__xludf.DUMMYFUNCTION("""COMPUTED_VALUE"""),"qtc")</f>
        <v>qtc</v>
      </c>
      <c r="C9777" s="4" t="str">
        <f>IFERROR(__xludf.DUMMYFUNCTION("""COMPUTED_VALUE"""),"Qitcoin")</f>
        <v>Qitcoin</v>
      </c>
    </row>
    <row r="9778">
      <c r="A9778" s="4" t="str">
        <f>IFERROR(__xludf.DUMMYFUNCTION("""COMPUTED_VALUE"""),"qitmeer-network")</f>
        <v>qitmeer-network</v>
      </c>
      <c r="B9778" s="4" t="str">
        <f>IFERROR(__xludf.DUMMYFUNCTION("""COMPUTED_VALUE"""),"meer")</f>
        <v>meer</v>
      </c>
      <c r="C9778" s="4" t="str">
        <f>IFERROR(__xludf.DUMMYFUNCTION("""COMPUTED_VALUE"""),"Qitmeer Network")</f>
        <v>Qitmeer Network</v>
      </c>
    </row>
    <row r="9779">
      <c r="A9779" s="4" t="str">
        <f>IFERROR(__xludf.DUMMYFUNCTION("""COMPUTED_VALUE"""),"qiusd")</f>
        <v>qiusd</v>
      </c>
      <c r="B9779" s="4" t="str">
        <f>IFERROR(__xludf.DUMMYFUNCTION("""COMPUTED_VALUE"""),"qiusd")</f>
        <v>qiusd</v>
      </c>
      <c r="C9779" s="4" t="str">
        <f>IFERROR(__xludf.DUMMYFUNCTION("""COMPUTED_VALUE"""),"QiUSD")</f>
        <v>QiUSD</v>
      </c>
    </row>
    <row r="9780">
      <c r="A9780" s="4" t="str">
        <f>IFERROR(__xludf.DUMMYFUNCTION("""COMPUTED_VALUE"""),"qjuno")</f>
        <v>qjuno</v>
      </c>
      <c r="B9780" s="4" t="str">
        <f>IFERROR(__xludf.DUMMYFUNCTION("""COMPUTED_VALUE"""),"qjuno")</f>
        <v>qjuno</v>
      </c>
      <c r="C9780" s="4" t="str">
        <f>IFERROR(__xludf.DUMMYFUNCTION("""COMPUTED_VALUE"""),"qJUNO")</f>
        <v>qJUNO</v>
      </c>
    </row>
    <row r="9781">
      <c r="A9781" s="4" t="str">
        <f>IFERROR(__xludf.DUMMYFUNCTION("""COMPUTED_VALUE"""),"qlindo")</f>
        <v>qlindo</v>
      </c>
      <c r="B9781" s="4" t="str">
        <f>IFERROR(__xludf.DUMMYFUNCTION("""COMPUTED_VALUE"""),"qlindo")</f>
        <v>qlindo</v>
      </c>
      <c r="C9781" s="4" t="str">
        <f>IFERROR(__xludf.DUMMYFUNCTION("""COMPUTED_VALUE"""),"QLINDO")</f>
        <v>QLINDO</v>
      </c>
    </row>
    <row r="9782">
      <c r="A9782" s="4" t="str">
        <f>IFERROR(__xludf.DUMMYFUNCTION("""COMPUTED_VALUE"""),"qlink")</f>
        <v>qlink</v>
      </c>
      <c r="B9782" s="4" t="str">
        <f>IFERROR(__xludf.DUMMYFUNCTION("""COMPUTED_VALUE"""),"qlc")</f>
        <v>qlc</v>
      </c>
      <c r="C9782" s="4" t="str">
        <f>IFERROR(__xludf.DUMMYFUNCTION("""COMPUTED_VALUE"""),"Kepple [OLD]")</f>
        <v>Kepple [OLD]</v>
      </c>
    </row>
    <row r="9783">
      <c r="A9783" s="4" t="str">
        <f>IFERROR(__xludf.DUMMYFUNCTION("""COMPUTED_VALUE"""),"qmall")</f>
        <v>qmall</v>
      </c>
      <c r="B9783" s="4" t="str">
        <f>IFERROR(__xludf.DUMMYFUNCTION("""COMPUTED_VALUE"""),"qmall")</f>
        <v>qmall</v>
      </c>
      <c r="C9783" s="4" t="str">
        <f>IFERROR(__xludf.DUMMYFUNCTION("""COMPUTED_VALUE"""),"Qmall")</f>
        <v>Qmall</v>
      </c>
    </row>
    <row r="9784">
      <c r="A9784" s="4" t="str">
        <f>IFERROR(__xludf.DUMMYFUNCTION("""COMPUTED_VALUE"""),"qmcoin")</f>
        <v>qmcoin</v>
      </c>
      <c r="B9784" s="4" t="str">
        <f>IFERROR(__xludf.DUMMYFUNCTION("""COMPUTED_VALUE"""),"qmc")</f>
        <v>qmc</v>
      </c>
      <c r="C9784" s="4" t="str">
        <f>IFERROR(__xludf.DUMMYFUNCTION("""COMPUTED_VALUE"""),"QMCoin")</f>
        <v>QMCoin</v>
      </c>
    </row>
    <row r="9785">
      <c r="A9785" s="4" t="str">
        <f>IFERROR(__xludf.DUMMYFUNCTION("""COMPUTED_VALUE"""),"qna3-ai")</f>
        <v>qna3-ai</v>
      </c>
      <c r="B9785" s="4" t="str">
        <f>IFERROR(__xludf.DUMMYFUNCTION("""COMPUTED_VALUE"""),"gpt")</f>
        <v>gpt</v>
      </c>
      <c r="C9785" s="5" t="str">
        <f>IFERROR(__xludf.DUMMYFUNCTION("""COMPUTED_VALUE"""),"QnA3.AI")</f>
        <v>QnA3.AI</v>
      </c>
    </row>
    <row r="9786">
      <c r="A9786" s="4" t="str">
        <f>IFERROR(__xludf.DUMMYFUNCTION("""COMPUTED_VALUE"""),"qoodo")</f>
        <v>qoodo</v>
      </c>
      <c r="B9786" s="4" t="str">
        <f>IFERROR(__xludf.DUMMYFUNCTION("""COMPUTED_VALUE"""),"qdo")</f>
        <v>qdo</v>
      </c>
      <c r="C9786" s="4" t="str">
        <f>IFERROR(__xludf.DUMMYFUNCTION("""COMPUTED_VALUE"""),"Qoodo")</f>
        <v>Qoodo</v>
      </c>
    </row>
    <row r="9787">
      <c r="A9787" s="4" t="str">
        <f>IFERROR(__xludf.DUMMYFUNCTION("""COMPUTED_VALUE"""),"qopro")</f>
        <v>qopro</v>
      </c>
      <c r="B9787" s="4" t="str">
        <f>IFERROR(__xludf.DUMMYFUNCTION("""COMPUTED_VALUE"""),"qorpo")</f>
        <v>qorpo</v>
      </c>
      <c r="C9787" s="4" t="str">
        <f>IFERROR(__xludf.DUMMYFUNCTION("""COMPUTED_VALUE"""),"QORPO WORLD")</f>
        <v>QORPO WORLD</v>
      </c>
    </row>
    <row r="9788">
      <c r="A9788" s="4" t="str">
        <f>IFERROR(__xludf.DUMMYFUNCTION("""COMPUTED_VALUE"""),"qosmo")</f>
        <v>qosmo</v>
      </c>
      <c r="B9788" s="4" t="str">
        <f>IFERROR(__xludf.DUMMYFUNCTION("""COMPUTED_VALUE"""),"qosmo")</f>
        <v>qosmo</v>
      </c>
      <c r="C9788" s="4" t="str">
        <f>IFERROR(__xludf.DUMMYFUNCTION("""COMPUTED_VALUE"""),"qOSMO")</f>
        <v>qOSMO</v>
      </c>
    </row>
    <row r="9789">
      <c r="A9789" s="4" t="str">
        <f>IFERROR(__xludf.DUMMYFUNCTION("""COMPUTED_VALUE"""),"qowatt")</f>
        <v>qowatt</v>
      </c>
      <c r="B9789" s="4" t="str">
        <f>IFERROR(__xludf.DUMMYFUNCTION("""COMPUTED_VALUE"""),"qwt")</f>
        <v>qwt</v>
      </c>
      <c r="C9789" s="4" t="str">
        <f>IFERROR(__xludf.DUMMYFUNCTION("""COMPUTED_VALUE"""),"QoWatt")</f>
        <v>QoWatt</v>
      </c>
    </row>
    <row r="9790">
      <c r="A9790" s="4" t="str">
        <f>IFERROR(__xludf.DUMMYFUNCTION("""COMPUTED_VALUE"""),"qqq-tokenized-stock-defichain")</f>
        <v>qqq-tokenized-stock-defichain</v>
      </c>
      <c r="B9790" s="4" t="str">
        <f>IFERROR(__xludf.DUMMYFUNCTION("""COMPUTED_VALUE"""),"dqqq")</f>
        <v>dqqq</v>
      </c>
      <c r="C9790" s="4" t="str">
        <f>IFERROR(__xludf.DUMMYFUNCTION("""COMPUTED_VALUE"""),"Invesco QQQ Trust Defichain")</f>
        <v>Invesco QQQ Trust Defichain</v>
      </c>
    </row>
    <row r="9791">
      <c r="A9791" s="4" t="str">
        <f>IFERROR(__xludf.DUMMYFUNCTION("""COMPUTED_VALUE"""),"qredit")</f>
        <v>qredit</v>
      </c>
      <c r="B9791" s="4" t="str">
        <f>IFERROR(__xludf.DUMMYFUNCTION("""COMPUTED_VALUE"""),"xqr")</f>
        <v>xqr</v>
      </c>
      <c r="C9791" s="4" t="str">
        <f>IFERROR(__xludf.DUMMYFUNCTION("""COMPUTED_VALUE"""),"Qredit")</f>
        <v>Qredit</v>
      </c>
    </row>
    <row r="9792">
      <c r="A9792" s="4" t="str">
        <f>IFERROR(__xludf.DUMMYFUNCTION("""COMPUTED_VALUE"""),"qredo")</f>
        <v>qredo</v>
      </c>
      <c r="B9792" s="4" t="str">
        <f>IFERROR(__xludf.DUMMYFUNCTION("""COMPUTED_VALUE"""),"qrdo")</f>
        <v>qrdo</v>
      </c>
      <c r="C9792" s="4" t="str">
        <f>IFERROR(__xludf.DUMMYFUNCTION("""COMPUTED_VALUE"""),"Qredo")</f>
        <v>Qredo</v>
      </c>
    </row>
    <row r="9793">
      <c r="A9793" s="4" t="str">
        <f>IFERROR(__xludf.DUMMYFUNCTION("""COMPUTED_VALUE"""),"qregen")</f>
        <v>qregen</v>
      </c>
      <c r="B9793" s="4" t="str">
        <f>IFERROR(__xludf.DUMMYFUNCTION("""COMPUTED_VALUE"""),"qregen")</f>
        <v>qregen</v>
      </c>
      <c r="C9793" s="4" t="str">
        <f>IFERROR(__xludf.DUMMYFUNCTION("""COMPUTED_VALUE"""),"qREGEN")</f>
        <v>qREGEN</v>
      </c>
    </row>
    <row r="9794">
      <c r="A9794" s="4" t="str">
        <f>IFERROR(__xludf.DUMMYFUNCTION("""COMPUTED_VALUE"""),"qrkita-token")</f>
        <v>qrkita-token</v>
      </c>
      <c r="B9794" s="4" t="str">
        <f>IFERROR(__xludf.DUMMYFUNCTION("""COMPUTED_VALUE"""),"qrt")</f>
        <v>qrt</v>
      </c>
      <c r="C9794" s="4" t="str">
        <f>IFERROR(__xludf.DUMMYFUNCTION("""COMPUTED_VALUE"""),"Qrkita")</f>
        <v>Qrkita</v>
      </c>
    </row>
    <row r="9795">
      <c r="A9795" s="4" t="str">
        <f>IFERROR(__xludf.DUMMYFUNCTION("""COMPUTED_VALUE"""),"qro")</f>
        <v>qro</v>
      </c>
      <c r="B9795" s="4" t="str">
        <f>IFERROR(__xludf.DUMMYFUNCTION("""COMPUTED_VALUE"""),"qro")</f>
        <v>qro</v>
      </c>
      <c r="C9795" s="4" t="str">
        <f>IFERROR(__xludf.DUMMYFUNCTION("""COMPUTED_VALUE"""),"Querio")</f>
        <v>Querio</v>
      </c>
    </row>
    <row r="9796">
      <c r="A9796" s="4" t="str">
        <f>IFERROR(__xludf.DUMMYFUNCTION("""COMPUTED_VALUE"""),"qrolli")</f>
        <v>qrolli</v>
      </c>
      <c r="B9796" s="4" t="str">
        <f>IFERROR(__xludf.DUMMYFUNCTION("""COMPUTED_VALUE"""),"qr")</f>
        <v>qr</v>
      </c>
      <c r="C9796" s="4" t="str">
        <f>IFERROR(__xludf.DUMMYFUNCTION("""COMPUTED_VALUE"""),"Qrolli")</f>
        <v>Qrolli</v>
      </c>
    </row>
    <row r="9797">
      <c r="A9797" s="4" t="str">
        <f>IFERROR(__xludf.DUMMYFUNCTION("""COMPUTED_VALUE"""),"qsomm")</f>
        <v>qsomm</v>
      </c>
      <c r="B9797" s="4" t="str">
        <f>IFERROR(__xludf.DUMMYFUNCTION("""COMPUTED_VALUE"""),"qsomm")</f>
        <v>qsomm</v>
      </c>
      <c r="C9797" s="4" t="str">
        <f>IFERROR(__xludf.DUMMYFUNCTION("""COMPUTED_VALUE"""),"qSOMM")</f>
        <v>qSOMM</v>
      </c>
    </row>
    <row r="9798">
      <c r="A9798" s="4" t="str">
        <f>IFERROR(__xludf.DUMMYFUNCTION("""COMPUTED_VALUE"""),"qstar")</f>
        <v>qstar</v>
      </c>
      <c r="B9798" s="4" t="str">
        <f>IFERROR(__xludf.DUMMYFUNCTION("""COMPUTED_VALUE"""),"q*")</f>
        <v>q*</v>
      </c>
      <c r="C9798" s="4" t="str">
        <f>IFERROR(__xludf.DUMMYFUNCTION("""COMPUTED_VALUE"""),"QSTAR")</f>
        <v>QSTAR</v>
      </c>
    </row>
    <row r="9799">
      <c r="A9799" s="4" t="str">
        <f>IFERROR(__xludf.DUMMYFUNCTION("""COMPUTED_VALUE"""),"qstar-2")</f>
        <v>qstar-2</v>
      </c>
      <c r="B9799" s="4" t="str">
        <f>IFERROR(__xludf.DUMMYFUNCTION("""COMPUTED_VALUE"""),"qstar")</f>
        <v>qstar</v>
      </c>
      <c r="C9799" s="4" t="str">
        <f>IFERROR(__xludf.DUMMYFUNCTION("""COMPUTED_VALUE"""),"qSTAR")</f>
        <v>qSTAR</v>
      </c>
    </row>
    <row r="9800">
      <c r="A9800" s="4" t="str">
        <f>IFERROR(__xludf.DUMMYFUNCTION("""COMPUTED_VALUE"""),"qtoken")</f>
        <v>qtoken</v>
      </c>
      <c r="B9800" s="4" t="str">
        <f>IFERROR(__xludf.DUMMYFUNCTION("""COMPUTED_VALUE"""),"qto")</f>
        <v>qto</v>
      </c>
      <c r="C9800" s="4" t="str">
        <f>IFERROR(__xludf.DUMMYFUNCTION("""COMPUTED_VALUE"""),"Qtoken")</f>
        <v>Qtoken</v>
      </c>
    </row>
    <row r="9801">
      <c r="A9801" s="4" t="str">
        <f>IFERROR(__xludf.DUMMYFUNCTION("""COMPUTED_VALUE"""),"qtum")</f>
        <v>qtum</v>
      </c>
      <c r="B9801" s="4" t="str">
        <f>IFERROR(__xludf.DUMMYFUNCTION("""COMPUTED_VALUE"""),"qtum")</f>
        <v>qtum</v>
      </c>
      <c r="C9801" s="4" t="str">
        <f>IFERROR(__xludf.DUMMYFUNCTION("""COMPUTED_VALUE"""),"Qtum")</f>
        <v>Qtum</v>
      </c>
    </row>
    <row r="9802">
      <c r="A9802" s="4" t="str">
        <f>IFERROR(__xludf.DUMMYFUNCTION("""COMPUTED_VALUE"""),"quack")</f>
        <v>quack</v>
      </c>
      <c r="B9802" s="4" t="str">
        <f>IFERROR(__xludf.DUMMYFUNCTION("""COMPUTED_VALUE"""),"quack")</f>
        <v>quack</v>
      </c>
      <c r="C9802" s="4" t="str">
        <f>IFERROR(__xludf.DUMMYFUNCTION("""COMPUTED_VALUE"""),"QUACK")</f>
        <v>QUACK</v>
      </c>
    </row>
    <row r="9803">
      <c r="A9803" s="4" t="str">
        <f>IFERROR(__xludf.DUMMYFUNCTION("""COMPUTED_VALUE"""),"quacks")</f>
        <v>quacks</v>
      </c>
      <c r="B9803" s="4" t="str">
        <f>IFERROR(__xludf.DUMMYFUNCTION("""COMPUTED_VALUE"""),"quacks")</f>
        <v>quacks</v>
      </c>
      <c r="C9803" s="4" t="str">
        <f>IFERROR(__xludf.DUMMYFUNCTION("""COMPUTED_VALUE"""),"QUACKS")</f>
        <v>QUACKS</v>
      </c>
    </row>
    <row r="9804">
      <c r="A9804" s="4" t="str">
        <f>IFERROR(__xludf.DUMMYFUNCTION("""COMPUTED_VALUE"""),"quack-token")</f>
        <v>quack-token</v>
      </c>
      <c r="B9804" s="4" t="str">
        <f>IFERROR(__xludf.DUMMYFUNCTION("""COMPUTED_VALUE"""),"quack")</f>
        <v>quack</v>
      </c>
      <c r="C9804" s="4" t="str">
        <f>IFERROR(__xludf.DUMMYFUNCTION("""COMPUTED_VALUE"""),"Quack Token")</f>
        <v>Quack Token</v>
      </c>
    </row>
    <row r="9805">
      <c r="A9805" s="4" t="str">
        <f>IFERROR(__xludf.DUMMYFUNCTION("""COMPUTED_VALUE"""),"quadency")</f>
        <v>quadency</v>
      </c>
      <c r="B9805" s="4" t="str">
        <f>IFERROR(__xludf.DUMMYFUNCTION("""COMPUTED_VALUE"""),"quad")</f>
        <v>quad</v>
      </c>
      <c r="C9805" s="4" t="str">
        <f>IFERROR(__xludf.DUMMYFUNCTION("""COMPUTED_VALUE"""),"Quadency Token")</f>
        <v>Quadency Token</v>
      </c>
    </row>
    <row r="9806">
      <c r="A9806" s="4" t="str">
        <f>IFERROR(__xludf.DUMMYFUNCTION("""COMPUTED_VALUE"""),"quadrant-protocol")</f>
        <v>quadrant-protocol</v>
      </c>
      <c r="B9806" s="4" t="str">
        <f>IFERROR(__xludf.DUMMYFUNCTION("""COMPUTED_VALUE"""),"equad")</f>
        <v>equad</v>
      </c>
      <c r="C9806" s="4" t="str">
        <f>IFERROR(__xludf.DUMMYFUNCTION("""COMPUTED_VALUE"""),"Quadrant Protocol")</f>
        <v>Quadrant Protocol</v>
      </c>
    </row>
    <row r="9807">
      <c r="A9807" s="4" t="str">
        <f>IFERROR(__xludf.DUMMYFUNCTION("""COMPUTED_VALUE"""),"quantfury")</f>
        <v>quantfury</v>
      </c>
      <c r="B9807" s="4" t="str">
        <f>IFERROR(__xludf.DUMMYFUNCTION("""COMPUTED_VALUE"""),"qtf")</f>
        <v>qtf</v>
      </c>
      <c r="C9807" s="4" t="str">
        <f>IFERROR(__xludf.DUMMYFUNCTION("""COMPUTED_VALUE"""),"Quantfury")</f>
        <v>Quantfury</v>
      </c>
    </row>
    <row r="9808">
      <c r="A9808" s="4" t="str">
        <f>IFERROR(__xludf.DUMMYFUNCTION("""COMPUTED_VALUE"""),"quantic-protocol")</f>
        <v>quantic-protocol</v>
      </c>
      <c r="B9808" s="4" t="str">
        <f>IFERROR(__xludf.DUMMYFUNCTION("""COMPUTED_VALUE"""),"quantic")</f>
        <v>quantic</v>
      </c>
      <c r="C9808" s="4" t="str">
        <f>IFERROR(__xludf.DUMMYFUNCTION("""COMPUTED_VALUE"""),"Quantic Protocol")</f>
        <v>Quantic Protocol</v>
      </c>
    </row>
    <row r="9809">
      <c r="A9809" s="4" t="str">
        <f>IFERROR(__xludf.DUMMYFUNCTION("""COMPUTED_VALUE"""),"quantixai")</f>
        <v>quantixai</v>
      </c>
      <c r="B9809" s="4" t="str">
        <f>IFERROR(__xludf.DUMMYFUNCTION("""COMPUTED_VALUE"""),"qai")</f>
        <v>qai</v>
      </c>
      <c r="C9809" s="4" t="str">
        <f>IFERROR(__xludf.DUMMYFUNCTION("""COMPUTED_VALUE"""),"QuantixAI")</f>
        <v>QuantixAI</v>
      </c>
    </row>
    <row r="9810">
      <c r="A9810" s="4" t="str">
        <f>IFERROR(__xludf.DUMMYFUNCTION("""COMPUTED_VALUE"""),"quantland")</f>
        <v>quantland</v>
      </c>
      <c r="B9810" s="4" t="str">
        <f>IFERROR(__xludf.DUMMYFUNCTION("""COMPUTED_VALUE"""),"qlt")</f>
        <v>qlt</v>
      </c>
      <c r="C9810" s="4" t="str">
        <f>IFERROR(__xludf.DUMMYFUNCTION("""COMPUTED_VALUE"""),"Quantland")</f>
        <v>Quantland</v>
      </c>
    </row>
    <row r="9811">
      <c r="A9811" s="4" t="str">
        <f>IFERROR(__xludf.DUMMYFUNCTION("""COMPUTED_VALUE"""),"quant-network")</f>
        <v>quant-network</v>
      </c>
      <c r="B9811" s="4" t="str">
        <f>IFERROR(__xludf.DUMMYFUNCTION("""COMPUTED_VALUE"""),"qnt")</f>
        <v>qnt</v>
      </c>
      <c r="C9811" s="4" t="str">
        <f>IFERROR(__xludf.DUMMYFUNCTION("""COMPUTED_VALUE"""),"Quant")</f>
        <v>Quant</v>
      </c>
    </row>
    <row r="9812">
      <c r="A9812" s="4" t="str">
        <f>IFERROR(__xludf.DUMMYFUNCTION("""COMPUTED_VALUE"""),"quantoz-eurd")</f>
        <v>quantoz-eurd</v>
      </c>
      <c r="B9812" s="4" t="str">
        <f>IFERROR(__xludf.DUMMYFUNCTION("""COMPUTED_VALUE"""),"eurd")</f>
        <v>eurd</v>
      </c>
      <c r="C9812" s="4" t="str">
        <f>IFERROR(__xludf.DUMMYFUNCTION("""COMPUTED_VALUE"""),"Quantoz EURD")</f>
        <v>Quantoz EURD</v>
      </c>
    </row>
    <row r="9813">
      <c r="A9813" s="4" t="str">
        <f>IFERROR(__xludf.DUMMYFUNCTION("""COMPUTED_VALUE"""),"quantum-chaos")</f>
        <v>quantum-chaos</v>
      </c>
      <c r="B9813" s="4" t="str">
        <f>IFERROR(__xludf.DUMMYFUNCTION("""COMPUTED_VALUE"""),"chaos")</f>
        <v>chaos</v>
      </c>
      <c r="C9813" s="4" t="str">
        <f>IFERROR(__xludf.DUMMYFUNCTION("""COMPUTED_VALUE"""),"Quantum Chaos")</f>
        <v>Quantum Chaos</v>
      </c>
    </row>
    <row r="9814">
      <c r="A9814" s="4" t="str">
        <f>IFERROR(__xludf.DUMMYFUNCTION("""COMPUTED_VALUE"""),"quantum-hub")</f>
        <v>quantum-hub</v>
      </c>
      <c r="B9814" s="4" t="str">
        <f>IFERROR(__xludf.DUMMYFUNCTION("""COMPUTED_VALUE"""),"quantum")</f>
        <v>quantum</v>
      </c>
      <c r="C9814" s="4" t="str">
        <f>IFERROR(__xludf.DUMMYFUNCTION("""COMPUTED_VALUE"""),"QUANTUM HUB")</f>
        <v>QUANTUM HUB</v>
      </c>
    </row>
    <row r="9815">
      <c r="A9815" s="4" t="str">
        <f>IFERROR(__xludf.DUMMYFUNCTION("""COMPUTED_VALUE"""),"quantum-resistant-ledger")</f>
        <v>quantum-resistant-ledger</v>
      </c>
      <c r="B9815" s="4" t="str">
        <f>IFERROR(__xludf.DUMMYFUNCTION("""COMPUTED_VALUE"""),"qrl")</f>
        <v>qrl</v>
      </c>
      <c r="C9815" s="4" t="str">
        <f>IFERROR(__xludf.DUMMYFUNCTION("""COMPUTED_VALUE"""),"Quantum Resistant Ledger")</f>
        <v>Quantum Resistant Ledger</v>
      </c>
    </row>
    <row r="9816">
      <c r="A9816" s="4" t="str">
        <f>IFERROR(__xludf.DUMMYFUNCTION("""COMPUTED_VALUE"""),"quantum-tech")</f>
        <v>quantum-tech</v>
      </c>
      <c r="B9816" s="4" t="str">
        <f>IFERROR(__xludf.DUMMYFUNCTION("""COMPUTED_VALUE"""),"qua")</f>
        <v>qua</v>
      </c>
      <c r="C9816" s="4" t="str">
        <f>IFERROR(__xludf.DUMMYFUNCTION("""COMPUTED_VALUE"""),"Quantum Tech")</f>
        <v>Quantum Tech</v>
      </c>
    </row>
    <row r="9817">
      <c r="A9817" s="4" t="str">
        <f>IFERROR(__xludf.DUMMYFUNCTION("""COMPUTED_VALUE"""),"quantum-x")</f>
        <v>quantum-x</v>
      </c>
      <c r="B9817" s="4" t="str">
        <f>IFERROR(__xludf.DUMMYFUNCTION("""COMPUTED_VALUE"""),"qtx")</f>
        <v>qtx</v>
      </c>
      <c r="C9817" s="4" t="str">
        <f>IFERROR(__xludf.DUMMYFUNCTION("""COMPUTED_VALUE"""),"Quantum X")</f>
        <v>Quantum X</v>
      </c>
    </row>
    <row r="9818">
      <c r="A9818" s="4" t="str">
        <f>IFERROR(__xludf.DUMMYFUNCTION("""COMPUTED_VALUE"""),"quark")</f>
        <v>quark</v>
      </c>
      <c r="B9818" s="4" t="str">
        <f>IFERROR(__xludf.DUMMYFUNCTION("""COMPUTED_VALUE"""),"qrk")</f>
        <v>qrk</v>
      </c>
      <c r="C9818" s="4" t="str">
        <f>IFERROR(__xludf.DUMMYFUNCTION("""COMPUTED_VALUE"""),"Quark")</f>
        <v>Quark</v>
      </c>
    </row>
    <row r="9819">
      <c r="A9819" s="4" t="str">
        <f>IFERROR(__xludf.DUMMYFUNCTION("""COMPUTED_VALUE"""),"quark-chain")</f>
        <v>quark-chain</v>
      </c>
      <c r="B9819" s="4" t="str">
        <f>IFERROR(__xludf.DUMMYFUNCTION("""COMPUTED_VALUE"""),"qkc")</f>
        <v>qkc</v>
      </c>
      <c r="C9819" s="4" t="str">
        <f>IFERROR(__xludf.DUMMYFUNCTION("""COMPUTED_VALUE"""),"QuarkChain")</f>
        <v>QuarkChain</v>
      </c>
    </row>
    <row r="9820">
      <c r="A9820" s="4" t="str">
        <f>IFERROR(__xludf.DUMMYFUNCTION("""COMPUTED_VALUE"""),"quark-protocol-staked-kuji")</f>
        <v>quark-protocol-staked-kuji</v>
      </c>
      <c r="B9820" s="4" t="str">
        <f>IFERROR(__xludf.DUMMYFUNCTION("""COMPUTED_VALUE"""),"qckuji")</f>
        <v>qckuji</v>
      </c>
      <c r="C9820" s="4" t="str">
        <f>IFERROR(__xludf.DUMMYFUNCTION("""COMPUTED_VALUE"""),"Quark Protocol Staked KUJI")</f>
        <v>Quark Protocol Staked KUJI</v>
      </c>
    </row>
    <row r="9821">
      <c r="A9821" s="4" t="str">
        <f>IFERROR(__xludf.DUMMYFUNCTION("""COMPUTED_VALUE"""),"quark-protocol-staked-mnta")</f>
        <v>quark-protocol-staked-mnta</v>
      </c>
      <c r="B9821" s="4" t="str">
        <f>IFERROR(__xludf.DUMMYFUNCTION("""COMPUTED_VALUE"""),"qcmnta")</f>
        <v>qcmnta</v>
      </c>
      <c r="C9821" s="4" t="str">
        <f>IFERROR(__xludf.DUMMYFUNCTION("""COMPUTED_VALUE"""),"Quark Protocol Staked MNTA")</f>
        <v>Quark Protocol Staked MNTA</v>
      </c>
    </row>
    <row r="9822">
      <c r="A9822" s="4" t="str">
        <f>IFERROR(__xludf.DUMMYFUNCTION("""COMPUTED_VALUE"""),"quartz")</f>
        <v>quartz</v>
      </c>
      <c r="B9822" s="4" t="str">
        <f>IFERROR(__xludf.DUMMYFUNCTION("""COMPUTED_VALUE"""),"qtz")</f>
        <v>qtz</v>
      </c>
      <c r="C9822" s="4" t="str">
        <f>IFERROR(__xludf.DUMMYFUNCTION("""COMPUTED_VALUE"""),"Quartz")</f>
        <v>Quartz</v>
      </c>
    </row>
    <row r="9823">
      <c r="A9823" s="4" t="str">
        <f>IFERROR(__xludf.DUMMYFUNCTION("""COMPUTED_VALUE"""),"quasacoin")</f>
        <v>quasacoin</v>
      </c>
      <c r="B9823" s="4" t="str">
        <f>IFERROR(__xludf.DUMMYFUNCTION("""COMPUTED_VALUE"""),"qua")</f>
        <v>qua</v>
      </c>
      <c r="C9823" s="4" t="str">
        <f>IFERROR(__xludf.DUMMYFUNCTION("""COMPUTED_VALUE"""),"Quasacoin")</f>
        <v>Quasacoin</v>
      </c>
    </row>
    <row r="9824">
      <c r="A9824" s="4" t="str">
        <f>IFERROR(__xludf.DUMMYFUNCTION("""COMPUTED_VALUE"""),"quasar-2")</f>
        <v>quasar-2</v>
      </c>
      <c r="B9824" s="4" t="str">
        <f>IFERROR(__xludf.DUMMYFUNCTION("""COMPUTED_VALUE"""),"qsr")</f>
        <v>qsr</v>
      </c>
      <c r="C9824" s="4" t="str">
        <f>IFERROR(__xludf.DUMMYFUNCTION("""COMPUTED_VALUE"""),"Quasar")</f>
        <v>Quasar</v>
      </c>
    </row>
    <row r="9825">
      <c r="A9825" s="4" t="str">
        <f>IFERROR(__xludf.DUMMYFUNCTION("""COMPUTED_VALUE"""),"qubic-finance")</f>
        <v>qubic-finance</v>
      </c>
      <c r="B9825" s="4" t="str">
        <f>IFERROR(__xludf.DUMMYFUNCTION("""COMPUTED_VALUE"""),"qubic")</f>
        <v>qubic</v>
      </c>
      <c r="C9825" s="4" t="str">
        <f>IFERROR(__xludf.DUMMYFUNCTION("""COMPUTED_VALUE"""),"Qubic Finance")</f>
        <v>Qubic Finance</v>
      </c>
    </row>
    <row r="9826">
      <c r="A9826" s="4" t="str">
        <f>IFERROR(__xludf.DUMMYFUNCTION("""COMPUTED_VALUE"""),"qubic-network")</f>
        <v>qubic-network</v>
      </c>
      <c r="B9826" s="4" t="str">
        <f>IFERROR(__xludf.DUMMYFUNCTION("""COMPUTED_VALUE"""),"qubic")</f>
        <v>qubic</v>
      </c>
      <c r="C9826" s="4" t="str">
        <f>IFERROR(__xludf.DUMMYFUNCTION("""COMPUTED_VALUE"""),"Qubic")</f>
        <v>Qubic</v>
      </c>
    </row>
    <row r="9827">
      <c r="A9827" s="4" t="str">
        <f>IFERROR(__xludf.DUMMYFUNCTION("""COMPUTED_VALUE"""),"qubit")</f>
        <v>qubit</v>
      </c>
      <c r="B9827" s="4" t="str">
        <f>IFERROR(__xludf.DUMMYFUNCTION("""COMPUTED_VALUE"""),"qbt")</f>
        <v>qbt</v>
      </c>
      <c r="C9827" s="4" t="str">
        <f>IFERROR(__xludf.DUMMYFUNCTION("""COMPUTED_VALUE"""),"Qubit")</f>
        <v>Qubit</v>
      </c>
    </row>
    <row r="9828">
      <c r="A9828" s="4" t="str">
        <f>IFERROR(__xludf.DUMMYFUNCTION("""COMPUTED_VALUE"""),"quebecoin")</f>
        <v>quebecoin</v>
      </c>
      <c r="B9828" s="4" t="str">
        <f>IFERROR(__xludf.DUMMYFUNCTION("""COMPUTED_VALUE"""),"qbc")</f>
        <v>qbc</v>
      </c>
      <c r="C9828" s="4" t="str">
        <f>IFERROR(__xludf.DUMMYFUNCTION("""COMPUTED_VALUE"""),"Quebecoin")</f>
        <v>Quebecoin</v>
      </c>
    </row>
    <row r="9829">
      <c r="A9829" s="4" t="str">
        <f>IFERROR(__xludf.DUMMYFUNCTION("""COMPUTED_VALUE"""),"queenbee-2")</f>
        <v>queenbee-2</v>
      </c>
      <c r="B9829" s="4" t="str">
        <f>IFERROR(__xludf.DUMMYFUNCTION("""COMPUTED_VALUE"""),"qube")</f>
        <v>qube</v>
      </c>
      <c r="C9829" s="4" t="str">
        <f>IFERROR(__xludf.DUMMYFUNCTION("""COMPUTED_VALUE"""),"QueenBee")</f>
        <v>QueenBee</v>
      </c>
    </row>
    <row r="9830">
      <c r="A9830" s="4" t="str">
        <f>IFERROR(__xludf.DUMMYFUNCTION("""COMPUTED_VALUE"""),"quick")</f>
        <v>quick</v>
      </c>
      <c r="B9830" s="4" t="str">
        <f>IFERROR(__xludf.DUMMYFUNCTION("""COMPUTED_VALUE"""),"quick")</f>
        <v>quick</v>
      </c>
      <c r="C9830" s="4" t="str">
        <f>IFERROR(__xludf.DUMMYFUNCTION("""COMPUTED_VALUE"""),"Quickswap [OLD]")</f>
        <v>Quickswap [OLD]</v>
      </c>
    </row>
    <row r="9831">
      <c r="A9831" s="4" t="str">
        <f>IFERROR(__xludf.DUMMYFUNCTION("""COMPUTED_VALUE"""),"quick-intel")</f>
        <v>quick-intel</v>
      </c>
      <c r="B9831" s="4" t="str">
        <f>IFERROR(__xludf.DUMMYFUNCTION("""COMPUTED_VALUE"""),"qkntl")</f>
        <v>qkntl</v>
      </c>
      <c r="C9831" s="4" t="str">
        <f>IFERROR(__xludf.DUMMYFUNCTION("""COMPUTED_VALUE"""),"Quick Intel")</f>
        <v>Quick Intel</v>
      </c>
    </row>
    <row r="9832">
      <c r="A9832" s="4" t="str">
        <f>IFERROR(__xludf.DUMMYFUNCTION("""COMPUTED_VALUE"""),"quicksilver")</f>
        <v>quicksilver</v>
      </c>
      <c r="B9832" s="4" t="str">
        <f>IFERROR(__xludf.DUMMYFUNCTION("""COMPUTED_VALUE"""),"qck")</f>
        <v>qck</v>
      </c>
      <c r="C9832" s="4" t="str">
        <f>IFERROR(__xludf.DUMMYFUNCTION("""COMPUTED_VALUE"""),"Quicksilver")</f>
        <v>Quicksilver</v>
      </c>
    </row>
    <row r="9833">
      <c r="A9833" s="4" t="str">
        <f>IFERROR(__xludf.DUMMYFUNCTION("""COMPUTED_VALUE"""),"quickswap")</f>
        <v>quickswap</v>
      </c>
      <c r="B9833" s="4" t="str">
        <f>IFERROR(__xludf.DUMMYFUNCTION("""COMPUTED_VALUE"""),"quick")</f>
        <v>quick</v>
      </c>
      <c r="C9833" s="4" t="str">
        <f>IFERROR(__xludf.DUMMYFUNCTION("""COMPUTED_VALUE"""),"Quickswap")</f>
        <v>Quickswap</v>
      </c>
    </row>
    <row r="9834">
      <c r="A9834" s="4" t="str">
        <f>IFERROR(__xludf.DUMMYFUNCTION("""COMPUTED_VALUE"""),"quidax")</f>
        <v>quidax</v>
      </c>
      <c r="B9834" s="4" t="str">
        <f>IFERROR(__xludf.DUMMYFUNCTION("""COMPUTED_VALUE"""),"qdx")</f>
        <v>qdx</v>
      </c>
      <c r="C9834" s="4" t="str">
        <f>IFERROR(__xludf.DUMMYFUNCTION("""COMPUTED_VALUE"""),"Quidax")</f>
        <v>Quidax</v>
      </c>
    </row>
    <row r="9835">
      <c r="A9835" s="4" t="str">
        <f>IFERROR(__xludf.DUMMYFUNCTION("""COMPUTED_VALUE"""),"quidd")</f>
        <v>quidd</v>
      </c>
      <c r="B9835" s="4" t="str">
        <f>IFERROR(__xludf.DUMMYFUNCTION("""COMPUTED_VALUE"""),"quidd")</f>
        <v>quidd</v>
      </c>
      <c r="C9835" s="4" t="str">
        <f>IFERROR(__xludf.DUMMYFUNCTION("""COMPUTED_VALUE"""),"Quidd")</f>
        <v>Quidd</v>
      </c>
    </row>
    <row r="9836">
      <c r="A9836" s="4" t="str">
        <f>IFERROR(__xludf.DUMMYFUNCTION("""COMPUTED_VALUE"""),"quincoin")</f>
        <v>quincoin</v>
      </c>
      <c r="B9836" s="4" t="str">
        <f>IFERROR(__xludf.DUMMYFUNCTION("""COMPUTED_VALUE"""),"qin")</f>
        <v>qin</v>
      </c>
      <c r="C9836" s="4" t="str">
        <f>IFERROR(__xludf.DUMMYFUNCTION("""COMPUTED_VALUE"""),"QUINCOIN")</f>
        <v>QUINCOIN</v>
      </c>
    </row>
    <row r="9837">
      <c r="A9837" s="4" t="str">
        <f>IFERROR(__xludf.DUMMYFUNCTION("""COMPUTED_VALUE"""),"quint")</f>
        <v>quint</v>
      </c>
      <c r="B9837" s="4" t="str">
        <f>IFERROR(__xludf.DUMMYFUNCTION("""COMPUTED_VALUE"""),"quint")</f>
        <v>quint</v>
      </c>
      <c r="C9837" s="4" t="str">
        <f>IFERROR(__xludf.DUMMYFUNCTION("""COMPUTED_VALUE"""),"Quint")</f>
        <v>Quint</v>
      </c>
    </row>
    <row r="9838">
      <c r="A9838" s="4" t="str">
        <f>IFERROR(__xludf.DUMMYFUNCTION("""COMPUTED_VALUE"""),"quipuswap-governance-token")</f>
        <v>quipuswap-governance-token</v>
      </c>
      <c r="B9838" s="4" t="str">
        <f>IFERROR(__xludf.DUMMYFUNCTION("""COMPUTED_VALUE"""),"quipu")</f>
        <v>quipu</v>
      </c>
      <c r="C9838" s="4" t="str">
        <f>IFERROR(__xludf.DUMMYFUNCTION("""COMPUTED_VALUE"""),"QuipuSwap Governance")</f>
        <v>QuipuSwap Governance</v>
      </c>
    </row>
    <row r="9839">
      <c r="A9839" s="4" t="str">
        <f>IFERROR(__xludf.DUMMYFUNCTION("""COMPUTED_VALUE"""),"quiverx")</f>
        <v>quiverx</v>
      </c>
      <c r="B9839" s="4" t="str">
        <f>IFERROR(__xludf.DUMMYFUNCTION("""COMPUTED_VALUE"""),"qrx")</f>
        <v>qrx</v>
      </c>
      <c r="C9839" s="4" t="str">
        <f>IFERROR(__xludf.DUMMYFUNCTION("""COMPUTED_VALUE"""),"QuiverX")</f>
        <v>QuiverX</v>
      </c>
    </row>
    <row r="9840">
      <c r="A9840" s="4" t="str">
        <f>IFERROR(__xludf.DUMMYFUNCTION("""COMPUTED_VALUE"""),"quiztok")</f>
        <v>quiztok</v>
      </c>
      <c r="B9840" s="4" t="str">
        <f>IFERROR(__xludf.DUMMYFUNCTION("""COMPUTED_VALUE"""),"qtcon")</f>
        <v>qtcon</v>
      </c>
      <c r="C9840" s="4" t="str">
        <f>IFERROR(__xludf.DUMMYFUNCTION("""COMPUTED_VALUE"""),"Quiztok")</f>
        <v>Quiztok</v>
      </c>
    </row>
    <row r="9841">
      <c r="A9841" s="4" t="str">
        <f>IFERROR(__xludf.DUMMYFUNCTION("""COMPUTED_VALUE"""),"quo")</f>
        <v>quo</v>
      </c>
      <c r="B9841" s="4" t="str">
        <f>IFERROR(__xludf.DUMMYFUNCTION("""COMPUTED_VALUE"""),"quo")</f>
        <v>quo</v>
      </c>
      <c r="C9841" s="4" t="str">
        <f>IFERROR(__xludf.DUMMYFUNCTION("""COMPUTED_VALUE"""),"Quoll Finance")</f>
        <v>Quoll Finance</v>
      </c>
    </row>
    <row r="9842">
      <c r="A9842" s="4" t="str">
        <f>IFERROR(__xludf.DUMMYFUNCTION("""COMPUTED_VALUE"""),"quorium")</f>
        <v>quorium</v>
      </c>
      <c r="B9842" s="4" t="str">
        <f>IFERROR(__xludf.DUMMYFUNCTION("""COMPUTED_VALUE"""),"qgold")</f>
        <v>qgold</v>
      </c>
      <c r="C9842" s="4" t="str">
        <f>IFERROR(__xludf.DUMMYFUNCTION("""COMPUTED_VALUE"""),"Quorium")</f>
        <v>Quorium</v>
      </c>
    </row>
    <row r="9843">
      <c r="A9843" s="4" t="str">
        <f>IFERROR(__xludf.DUMMYFUNCTION("""COMPUTED_VALUE"""),"qwoyn")</f>
        <v>qwoyn</v>
      </c>
      <c r="B9843" s="4" t="str">
        <f>IFERROR(__xludf.DUMMYFUNCTION("""COMPUTED_VALUE"""),"qwoyn")</f>
        <v>qwoyn</v>
      </c>
      <c r="C9843" s="4" t="str">
        <f>IFERROR(__xludf.DUMMYFUNCTION("""COMPUTED_VALUE"""),"Qwoyn")</f>
        <v>Qwoyn</v>
      </c>
    </row>
    <row r="9844">
      <c r="A9844" s="4" t="str">
        <f>IFERROR(__xludf.DUMMYFUNCTION("""COMPUTED_VALUE"""),"r")</f>
        <v>r</v>
      </c>
      <c r="B9844" s="4" t="str">
        <f>IFERROR(__xludf.DUMMYFUNCTION("""COMPUTED_VALUE"""),"r")</f>
        <v>r</v>
      </c>
      <c r="C9844" s="4" t="str">
        <f>IFERROR(__xludf.DUMMYFUNCTION("""COMPUTED_VALUE"""),"R")</f>
        <v>R</v>
      </c>
    </row>
    <row r="9845">
      <c r="A9845" s="4" t="str">
        <f>IFERROR(__xludf.DUMMYFUNCTION("""COMPUTED_VALUE"""),"r34p")</f>
        <v>r34p</v>
      </c>
      <c r="B9845" s="4" t="str">
        <f>IFERROR(__xludf.DUMMYFUNCTION("""COMPUTED_VALUE"""),"r34p")</f>
        <v>r34p</v>
      </c>
      <c r="C9845" s="4" t="str">
        <f>IFERROR(__xludf.DUMMYFUNCTION("""COMPUTED_VALUE"""),"R34P")</f>
        <v>R34P</v>
      </c>
    </row>
    <row r="9846">
      <c r="A9846" s="4" t="str">
        <f>IFERROR(__xludf.DUMMYFUNCTION("""COMPUTED_VALUE"""),"r4re")</f>
        <v>r4re</v>
      </c>
      <c r="B9846" s="4" t="str">
        <f>IFERROR(__xludf.DUMMYFUNCTION("""COMPUTED_VALUE"""),"r4re")</f>
        <v>r4re</v>
      </c>
      <c r="C9846" s="4" t="str">
        <f>IFERROR(__xludf.DUMMYFUNCTION("""COMPUTED_VALUE"""),"R4RE")</f>
        <v>R4RE</v>
      </c>
    </row>
    <row r="9847">
      <c r="A9847" s="4" t="str">
        <f>IFERROR(__xludf.DUMMYFUNCTION("""COMPUTED_VALUE"""),"rabbitcoin-exchange")</f>
        <v>rabbitcoin-exchange</v>
      </c>
      <c r="B9847" s="4" t="str">
        <f>IFERROR(__xludf.DUMMYFUNCTION("""COMPUTED_VALUE"""),"rabbit")</f>
        <v>rabbit</v>
      </c>
      <c r="C9847" s="4" t="str">
        <f>IFERROR(__xludf.DUMMYFUNCTION("""COMPUTED_VALUE"""),"RabbitCoin Exchange")</f>
        <v>RabbitCoin Exchange</v>
      </c>
    </row>
    <row r="9848">
      <c r="A9848" s="4" t="str">
        <f>IFERROR(__xludf.DUMMYFUNCTION("""COMPUTED_VALUE"""),"rabbit-finance")</f>
        <v>rabbit-finance</v>
      </c>
      <c r="B9848" s="4" t="str">
        <f>IFERROR(__xludf.DUMMYFUNCTION("""COMPUTED_VALUE"""),"rabbit")</f>
        <v>rabbit</v>
      </c>
      <c r="C9848" s="4" t="str">
        <f>IFERROR(__xludf.DUMMYFUNCTION("""COMPUTED_VALUE"""),"Rabbit Finance")</f>
        <v>Rabbit Finance</v>
      </c>
    </row>
    <row r="9849">
      <c r="A9849" s="4" t="str">
        <f>IFERROR(__xludf.DUMMYFUNCTION("""COMPUTED_VALUE"""),"rabbit-games")</f>
        <v>rabbit-games</v>
      </c>
      <c r="B9849" s="4" t="str">
        <f>IFERROR(__xludf.DUMMYFUNCTION("""COMPUTED_VALUE"""),"rait")</f>
        <v>rait</v>
      </c>
      <c r="C9849" s="4" t="str">
        <f>IFERROR(__xludf.DUMMYFUNCTION("""COMPUTED_VALUE"""),"Rabbit Games")</f>
        <v>Rabbit Games</v>
      </c>
    </row>
    <row r="9850">
      <c r="A9850" s="4" t="str">
        <f>IFERROR(__xludf.DUMMYFUNCTION("""COMPUTED_VALUE"""),"rabbit-inu")</f>
        <v>rabbit-inu</v>
      </c>
      <c r="B9850" s="4" t="str">
        <f>IFERROR(__xludf.DUMMYFUNCTION("""COMPUTED_VALUE"""),"rbit")</f>
        <v>rbit</v>
      </c>
      <c r="C9850" s="4" t="str">
        <f>IFERROR(__xludf.DUMMYFUNCTION("""COMPUTED_VALUE"""),"Rabbit Inu")</f>
        <v>Rabbit Inu</v>
      </c>
    </row>
    <row r="9851">
      <c r="A9851" s="4" t="str">
        <f>IFERROR(__xludf.DUMMYFUNCTION("""COMPUTED_VALUE"""),"rabbitking")</f>
        <v>rabbitking</v>
      </c>
      <c r="B9851" s="4" t="str">
        <f>IFERROR(__xludf.DUMMYFUNCTION("""COMPUTED_VALUE"""),"rb")</f>
        <v>rb</v>
      </c>
      <c r="C9851" s="4" t="str">
        <f>IFERROR(__xludf.DUMMYFUNCTION("""COMPUTED_VALUE"""),"RabbitKing")</f>
        <v>RabbitKing</v>
      </c>
    </row>
    <row r="9852">
      <c r="A9852" s="4" t="str">
        <f>IFERROR(__xludf.DUMMYFUNCTION("""COMPUTED_VALUE"""),"rabbitswap")</f>
        <v>rabbitswap</v>
      </c>
      <c r="B9852" s="4" t="str">
        <f>IFERROR(__xludf.DUMMYFUNCTION("""COMPUTED_VALUE"""),"rabbit")</f>
        <v>rabbit</v>
      </c>
      <c r="C9852" s="4" t="str">
        <f>IFERROR(__xludf.DUMMYFUNCTION("""COMPUTED_VALUE"""),"RabbitSwap")</f>
        <v>RabbitSwap</v>
      </c>
    </row>
    <row r="9853">
      <c r="A9853" s="4" t="str">
        <f>IFERROR(__xludf.DUMMYFUNCTION("""COMPUTED_VALUE"""),"rabbit-wallet")</f>
        <v>rabbit-wallet</v>
      </c>
      <c r="B9853" s="4" t="str">
        <f>IFERROR(__xludf.DUMMYFUNCTION("""COMPUTED_VALUE"""),"rab")</f>
        <v>rab</v>
      </c>
      <c r="C9853" s="4" t="str">
        <f>IFERROR(__xludf.DUMMYFUNCTION("""COMPUTED_VALUE"""),"Rabbit Wallet")</f>
        <v>Rabbit Wallet</v>
      </c>
    </row>
    <row r="9854">
      <c r="A9854" s="4" t="str">
        <f>IFERROR(__xludf.DUMMYFUNCTION("""COMPUTED_VALUE"""),"rabbitx")</f>
        <v>rabbitx</v>
      </c>
      <c r="B9854" s="4" t="str">
        <f>IFERROR(__xludf.DUMMYFUNCTION("""COMPUTED_VALUE"""),"rbx")</f>
        <v>rbx</v>
      </c>
      <c r="C9854" s="4" t="str">
        <f>IFERROR(__xludf.DUMMYFUNCTION("""COMPUTED_VALUE"""),"RabbitX")</f>
        <v>RabbitX</v>
      </c>
    </row>
    <row r="9855">
      <c r="A9855" s="4" t="str">
        <f>IFERROR(__xludf.DUMMYFUNCTION("""COMPUTED_VALUE"""),"rabi")</f>
        <v>rabi</v>
      </c>
      <c r="B9855" s="4" t="str">
        <f>IFERROR(__xludf.DUMMYFUNCTION("""COMPUTED_VALUE"""),"rabi")</f>
        <v>rabi</v>
      </c>
      <c r="C9855" s="4" t="str">
        <f>IFERROR(__xludf.DUMMYFUNCTION("""COMPUTED_VALUE"""),"Rabi")</f>
        <v>Rabi</v>
      </c>
    </row>
    <row r="9856">
      <c r="A9856" s="4" t="str">
        <f>IFERROR(__xludf.DUMMYFUNCTION("""COMPUTED_VALUE"""),"rabity-finance")</f>
        <v>rabity-finance</v>
      </c>
      <c r="B9856" s="4" t="str">
        <f>IFERROR(__xludf.DUMMYFUNCTION("""COMPUTED_VALUE"""),"rbf")</f>
        <v>rbf</v>
      </c>
      <c r="C9856" s="4" t="str">
        <f>IFERROR(__xludf.DUMMYFUNCTION("""COMPUTED_VALUE"""),"Rabity Finance")</f>
        <v>Rabity Finance</v>
      </c>
    </row>
    <row r="9857">
      <c r="A9857" s="4" t="str">
        <f>IFERROR(__xludf.DUMMYFUNCTION("""COMPUTED_VALUE"""),"racefi")</f>
        <v>racefi</v>
      </c>
      <c r="B9857" s="4" t="str">
        <f>IFERROR(__xludf.DUMMYFUNCTION("""COMPUTED_VALUE"""),"racefi")</f>
        <v>racefi</v>
      </c>
      <c r="C9857" s="4" t="str">
        <f>IFERROR(__xludf.DUMMYFUNCTION("""COMPUTED_VALUE"""),"RaceFi")</f>
        <v>RaceFi</v>
      </c>
    </row>
    <row r="9858">
      <c r="A9858" s="4" t="str">
        <f>IFERROR(__xludf.DUMMYFUNCTION("""COMPUTED_VALUE"""),"race-kingdom")</f>
        <v>race-kingdom</v>
      </c>
      <c r="B9858" s="4" t="str">
        <f>IFERROR(__xludf.DUMMYFUNCTION("""COMPUTED_VALUE"""),"atoz")</f>
        <v>atoz</v>
      </c>
      <c r="C9858" s="4" t="str">
        <f>IFERROR(__xludf.DUMMYFUNCTION("""COMPUTED_VALUE"""),"Race Kingdom")</f>
        <v>Race Kingdom</v>
      </c>
    </row>
    <row r="9859">
      <c r="A9859" s="4" t="str">
        <f>IFERROR(__xludf.DUMMYFUNCTION("""COMPUTED_VALUE"""),"racex")</f>
        <v>racex</v>
      </c>
      <c r="B9859" s="4" t="str">
        <f>IFERROR(__xludf.DUMMYFUNCTION("""COMPUTED_VALUE"""),"racex")</f>
        <v>racex</v>
      </c>
      <c r="C9859" s="4" t="str">
        <f>IFERROR(__xludf.DUMMYFUNCTION("""COMPUTED_VALUE"""),"RaceX")</f>
        <v>RaceX</v>
      </c>
    </row>
    <row r="9860">
      <c r="A9860" s="4" t="str">
        <f>IFERROR(__xludf.DUMMYFUNCTION("""COMPUTED_VALUE"""),"racing-club-fan-token")</f>
        <v>racing-club-fan-token</v>
      </c>
      <c r="B9860" s="4" t="str">
        <f>IFERROR(__xludf.DUMMYFUNCTION("""COMPUTED_VALUE"""),"racing")</f>
        <v>racing</v>
      </c>
      <c r="C9860" s="4" t="str">
        <f>IFERROR(__xludf.DUMMYFUNCTION("""COMPUTED_VALUE"""),"Racing Club Fan Token")</f>
        <v>Racing Club Fan Token</v>
      </c>
    </row>
    <row r="9861">
      <c r="A9861" s="4" t="str">
        <f>IFERROR(__xludf.DUMMYFUNCTION("""COMPUTED_VALUE"""),"racket")</f>
        <v>racket</v>
      </c>
      <c r="B9861" s="4" t="str">
        <f>IFERROR(__xludf.DUMMYFUNCTION("""COMPUTED_VALUE"""),"$rkt")</f>
        <v>$rkt</v>
      </c>
      <c r="C9861" s="4" t="str">
        <f>IFERROR(__xludf.DUMMYFUNCTION("""COMPUTED_VALUE"""),"Racket")</f>
        <v>Racket</v>
      </c>
    </row>
    <row r="9862">
      <c r="A9862" s="4" t="str">
        <f>IFERROR(__xludf.DUMMYFUNCTION("""COMPUTED_VALUE"""),"racoon")</f>
        <v>racoon</v>
      </c>
      <c r="B9862" s="4" t="str">
        <f>IFERROR(__xludf.DUMMYFUNCTION("""COMPUTED_VALUE"""),"rac")</f>
        <v>rac</v>
      </c>
      <c r="C9862" s="4" t="str">
        <f>IFERROR(__xludf.DUMMYFUNCTION("""COMPUTED_VALUE"""),"Racoon")</f>
        <v>Racoon</v>
      </c>
    </row>
    <row r="9863">
      <c r="A9863" s="4" t="str">
        <f>IFERROR(__xludf.DUMMYFUNCTION("""COMPUTED_VALUE"""),"rad")</f>
        <v>rad</v>
      </c>
      <c r="B9863" s="4" t="str">
        <f>IFERROR(__xludf.DUMMYFUNCTION("""COMPUTED_VALUE"""),"rad")</f>
        <v>rad</v>
      </c>
      <c r="C9863" s="4" t="str">
        <f>IFERROR(__xludf.DUMMYFUNCTION("""COMPUTED_VALUE"""),"RAD")</f>
        <v>RAD</v>
      </c>
    </row>
    <row r="9864">
      <c r="A9864" s="4" t="str">
        <f>IFERROR(__xludf.DUMMYFUNCTION("""COMPUTED_VALUE"""),"rada-foundation")</f>
        <v>rada-foundation</v>
      </c>
      <c r="B9864" s="4" t="str">
        <f>IFERROR(__xludf.DUMMYFUNCTION("""COMPUTED_VALUE"""),"rada")</f>
        <v>rada</v>
      </c>
      <c r="C9864" s="4" t="str">
        <f>IFERROR(__xludf.DUMMYFUNCTION("""COMPUTED_VALUE"""),"RADA Foundation")</f>
        <v>RADA Foundation</v>
      </c>
    </row>
    <row r="9865">
      <c r="A9865" s="4" t="str">
        <f>IFERROR(__xludf.DUMMYFUNCTION("""COMPUTED_VALUE"""),"radar")</f>
        <v>radar</v>
      </c>
      <c r="B9865" s="4" t="str">
        <f>IFERROR(__xludf.DUMMYFUNCTION("""COMPUTED_VALUE"""),"radar")</f>
        <v>radar</v>
      </c>
      <c r="C9865" s="4" t="str">
        <f>IFERROR(__xludf.DUMMYFUNCTION("""COMPUTED_VALUE"""),"Radar")</f>
        <v>Radar</v>
      </c>
    </row>
    <row r="9866">
      <c r="A9866" s="4" t="str">
        <f>IFERROR(__xludf.DUMMYFUNCTION("""COMPUTED_VALUE"""),"radial-finance")</f>
        <v>radial-finance</v>
      </c>
      <c r="B9866" s="4" t="str">
        <f>IFERROR(__xludf.DUMMYFUNCTION("""COMPUTED_VALUE"""),"rdl")</f>
        <v>rdl</v>
      </c>
      <c r="C9866" s="4" t="str">
        <f>IFERROR(__xludf.DUMMYFUNCTION("""COMPUTED_VALUE"""),"Radial Finance")</f>
        <v>Radial Finance</v>
      </c>
    </row>
    <row r="9867">
      <c r="A9867" s="4" t="str">
        <f>IFERROR(__xludf.DUMMYFUNCTION("""COMPUTED_VALUE"""),"radiant")</f>
        <v>radiant</v>
      </c>
      <c r="B9867" s="4" t="str">
        <f>IFERROR(__xludf.DUMMYFUNCTION("""COMPUTED_VALUE"""),"rxd")</f>
        <v>rxd</v>
      </c>
      <c r="C9867" s="4" t="str">
        <f>IFERROR(__xludf.DUMMYFUNCTION("""COMPUTED_VALUE"""),"Radiant")</f>
        <v>Radiant</v>
      </c>
    </row>
    <row r="9868">
      <c r="A9868" s="4" t="str">
        <f>IFERROR(__xludf.DUMMYFUNCTION("""COMPUTED_VALUE"""),"radiant-capital")</f>
        <v>radiant-capital</v>
      </c>
      <c r="B9868" s="4" t="str">
        <f>IFERROR(__xludf.DUMMYFUNCTION("""COMPUTED_VALUE"""),"rdnt")</f>
        <v>rdnt</v>
      </c>
      <c r="C9868" s="4" t="str">
        <f>IFERROR(__xludf.DUMMYFUNCTION("""COMPUTED_VALUE"""),"Radiant Capital")</f>
        <v>Radiant Capital</v>
      </c>
    </row>
    <row r="9869">
      <c r="A9869" s="4" t="str">
        <f>IFERROR(__xludf.DUMMYFUNCTION("""COMPUTED_VALUE"""),"radicle")</f>
        <v>radicle</v>
      </c>
      <c r="B9869" s="4" t="str">
        <f>IFERROR(__xludf.DUMMYFUNCTION("""COMPUTED_VALUE"""),"rad")</f>
        <v>rad</v>
      </c>
      <c r="C9869" s="4" t="str">
        <f>IFERROR(__xludf.DUMMYFUNCTION("""COMPUTED_VALUE"""),"Radworks")</f>
        <v>Radworks</v>
      </c>
    </row>
    <row r="9870">
      <c r="A9870" s="4" t="str">
        <f>IFERROR(__xludf.DUMMYFUNCTION("""COMPUTED_VALUE"""),"radio-caca")</f>
        <v>radio-caca</v>
      </c>
      <c r="B9870" s="4" t="str">
        <f>IFERROR(__xludf.DUMMYFUNCTION("""COMPUTED_VALUE"""),"raca")</f>
        <v>raca</v>
      </c>
      <c r="C9870" s="4" t="str">
        <f>IFERROR(__xludf.DUMMYFUNCTION("""COMPUTED_VALUE"""),"Radio Caca")</f>
        <v>Radio Caca</v>
      </c>
    </row>
    <row r="9871">
      <c r="A9871" s="4" t="str">
        <f>IFERROR(__xludf.DUMMYFUNCTION("""COMPUTED_VALUE"""),"radioshack")</f>
        <v>radioshack</v>
      </c>
      <c r="B9871" s="4" t="str">
        <f>IFERROR(__xludf.DUMMYFUNCTION("""COMPUTED_VALUE"""),"radio")</f>
        <v>radio</v>
      </c>
      <c r="C9871" s="4" t="str">
        <f>IFERROR(__xludf.DUMMYFUNCTION("""COMPUTED_VALUE"""),"RadioShack")</f>
        <v>RadioShack</v>
      </c>
    </row>
    <row r="9872">
      <c r="A9872" s="4" t="str">
        <f>IFERROR(__xludf.DUMMYFUNCTION("""COMPUTED_VALUE"""),"radium")</f>
        <v>radium</v>
      </c>
      <c r="B9872" s="4" t="str">
        <f>IFERROR(__xludf.DUMMYFUNCTION("""COMPUTED_VALUE"""),"val")</f>
        <v>val</v>
      </c>
      <c r="C9872" s="4" t="str">
        <f>IFERROR(__xludf.DUMMYFUNCTION("""COMPUTED_VALUE"""),"Validity")</f>
        <v>Validity</v>
      </c>
    </row>
    <row r="9873">
      <c r="A9873" s="4" t="str">
        <f>IFERROR(__xludf.DUMMYFUNCTION("""COMPUTED_VALUE"""),"radix")</f>
        <v>radix</v>
      </c>
      <c r="B9873" s="4" t="str">
        <f>IFERROR(__xludf.DUMMYFUNCTION("""COMPUTED_VALUE"""),"xrd")</f>
        <v>xrd</v>
      </c>
      <c r="C9873" s="4" t="str">
        <f>IFERROR(__xludf.DUMMYFUNCTION("""COMPUTED_VALUE"""),"Radix")</f>
        <v>Radix</v>
      </c>
    </row>
    <row r="9874">
      <c r="A9874" s="4" t="str">
        <f>IFERROR(__xludf.DUMMYFUNCTION("""COMPUTED_VALUE"""),"radpie")</f>
        <v>radpie</v>
      </c>
      <c r="B9874" s="4" t="str">
        <f>IFERROR(__xludf.DUMMYFUNCTION("""COMPUTED_VALUE"""),"rdp")</f>
        <v>rdp</v>
      </c>
      <c r="C9874" s="4" t="str">
        <f>IFERROR(__xludf.DUMMYFUNCTION("""COMPUTED_VALUE"""),"Radpie")</f>
        <v>Radpie</v>
      </c>
    </row>
    <row r="9875">
      <c r="A9875" s="4" t="str">
        <f>IFERROR(__xludf.DUMMYFUNCTION("""COMPUTED_VALUE"""),"rae-token")</f>
        <v>rae-token</v>
      </c>
      <c r="B9875" s="4" t="str">
        <f>IFERROR(__xludf.DUMMYFUNCTION("""COMPUTED_VALUE"""),"rae")</f>
        <v>rae</v>
      </c>
      <c r="C9875" s="4" t="str">
        <f>IFERROR(__xludf.DUMMYFUNCTION("""COMPUTED_VALUE"""),"Receive Access Ecosystem")</f>
        <v>Receive Access Ecosystem</v>
      </c>
    </row>
    <row r="9876">
      <c r="A9876" s="4" t="str">
        <f>IFERROR(__xludf.DUMMYFUNCTION("""COMPUTED_VALUE"""),"raft")</f>
        <v>raft</v>
      </c>
      <c r="B9876" s="4" t="str">
        <f>IFERROR(__xludf.DUMMYFUNCTION("""COMPUTED_VALUE"""),"raft")</f>
        <v>raft</v>
      </c>
      <c r="C9876" s="4" t="str">
        <f>IFERROR(__xludf.DUMMYFUNCTION("""COMPUTED_VALUE"""),"Raft")</f>
        <v>Raft</v>
      </c>
    </row>
    <row r="9877">
      <c r="A9877" s="4" t="str">
        <f>IFERROR(__xludf.DUMMYFUNCTION("""COMPUTED_VALUE"""),"rage-fan")</f>
        <v>rage-fan</v>
      </c>
      <c r="B9877" s="4" t="str">
        <f>IFERROR(__xludf.DUMMYFUNCTION("""COMPUTED_VALUE"""),"rage")</f>
        <v>rage</v>
      </c>
      <c r="C9877" s="4" t="str">
        <f>IFERROR(__xludf.DUMMYFUNCTION("""COMPUTED_VALUE"""),"Rage.Fan")</f>
        <v>Rage.Fan</v>
      </c>
    </row>
    <row r="9878">
      <c r="A9878" s="4" t="str">
        <f>IFERROR(__xludf.DUMMYFUNCTION("""COMPUTED_VALUE"""),"rage-on-wheels")</f>
        <v>rage-on-wheels</v>
      </c>
      <c r="B9878" s="4" t="str">
        <f>IFERROR(__xludf.DUMMYFUNCTION("""COMPUTED_VALUE"""),"row")</f>
        <v>row</v>
      </c>
      <c r="C9878" s="4" t="str">
        <f>IFERROR(__xludf.DUMMYFUNCTION("""COMPUTED_VALUE"""),"Rage On Wheels")</f>
        <v>Rage On Wheels</v>
      </c>
    </row>
    <row r="9879">
      <c r="A9879" s="4" t="str">
        <f>IFERROR(__xludf.DUMMYFUNCTION("""COMPUTED_VALUE"""),"ragingelonmarscoin")</f>
        <v>ragingelonmarscoin</v>
      </c>
      <c r="B9879" s="4" t="str">
        <f>IFERROR(__xludf.DUMMYFUNCTION("""COMPUTED_VALUE"""),"dogecoin")</f>
        <v>dogecoin</v>
      </c>
      <c r="C9879" s="4" t="str">
        <f>IFERROR(__xludf.DUMMYFUNCTION("""COMPUTED_VALUE"""),"RagingElonMarsCoin")</f>
        <v>RagingElonMarsCoin</v>
      </c>
    </row>
    <row r="9880">
      <c r="A9880" s="4" t="str">
        <f>IFERROR(__xludf.DUMMYFUNCTION("""COMPUTED_VALUE"""),"rai")</f>
        <v>rai</v>
      </c>
      <c r="B9880" s="4" t="str">
        <f>IFERROR(__xludf.DUMMYFUNCTION("""COMPUTED_VALUE"""),"rai")</f>
        <v>rai</v>
      </c>
      <c r="C9880" s="4" t="str">
        <f>IFERROR(__xludf.DUMMYFUNCTION("""COMPUTED_VALUE"""),"Rai Reflex Index")</f>
        <v>Rai Reflex Index</v>
      </c>
    </row>
    <row r="9881">
      <c r="A9881" s="4" t="str">
        <f>IFERROR(__xludf.DUMMYFUNCTION("""COMPUTED_VALUE"""),"raiden-network")</f>
        <v>raiden-network</v>
      </c>
      <c r="B9881" s="4" t="str">
        <f>IFERROR(__xludf.DUMMYFUNCTION("""COMPUTED_VALUE"""),"rdn")</f>
        <v>rdn</v>
      </c>
      <c r="C9881" s="4" t="str">
        <f>IFERROR(__xludf.DUMMYFUNCTION("""COMPUTED_VALUE"""),"Raiden Network")</f>
        <v>Raiden Network</v>
      </c>
    </row>
    <row r="9882">
      <c r="A9882" s="4" t="str">
        <f>IFERROR(__xludf.DUMMYFUNCTION("""COMPUTED_VALUE"""),"raider-aurum")</f>
        <v>raider-aurum</v>
      </c>
      <c r="B9882" s="4" t="str">
        <f>IFERROR(__xludf.DUMMYFUNCTION("""COMPUTED_VALUE"""),"aurum")</f>
        <v>aurum</v>
      </c>
      <c r="C9882" s="4" t="str">
        <f>IFERROR(__xludf.DUMMYFUNCTION("""COMPUTED_VALUE"""),"Raider Aurum")</f>
        <v>Raider Aurum</v>
      </c>
    </row>
    <row r="9883">
      <c r="A9883" s="4" t="str">
        <f>IFERROR(__xludf.DUMMYFUNCTION("""COMPUTED_VALUE"""),"raidsharksbot")</f>
        <v>raidsharksbot</v>
      </c>
      <c r="B9883" s="4" t="str">
        <f>IFERROR(__xludf.DUMMYFUNCTION("""COMPUTED_VALUE"""),"sharx")</f>
        <v>sharx</v>
      </c>
      <c r="C9883" s="4" t="str">
        <f>IFERROR(__xludf.DUMMYFUNCTION("""COMPUTED_VALUE"""),"RaidSharksBot")</f>
        <v>RaidSharksBot</v>
      </c>
    </row>
    <row r="9884">
      <c r="A9884" s="4" t="str">
        <f>IFERROR(__xludf.DUMMYFUNCTION("""COMPUTED_VALUE"""),"raid-token")</f>
        <v>raid-token</v>
      </c>
      <c r="B9884" s="4" t="str">
        <f>IFERROR(__xludf.DUMMYFUNCTION("""COMPUTED_VALUE"""),"raid")</f>
        <v>raid</v>
      </c>
      <c r="C9884" s="4" t="str">
        <f>IFERROR(__xludf.DUMMYFUNCTION("""COMPUTED_VALUE"""),"Raid")</f>
        <v>Raid</v>
      </c>
    </row>
    <row r="9885">
      <c r="A9885" s="4" t="str">
        <f>IFERROR(__xludf.DUMMYFUNCTION("""COMPUTED_VALUE"""),"rai-finance")</f>
        <v>rai-finance</v>
      </c>
      <c r="B9885" s="4" t="str">
        <f>IFERROR(__xludf.DUMMYFUNCTION("""COMPUTED_VALUE"""),"sofi")</f>
        <v>sofi</v>
      </c>
      <c r="C9885" s="4" t="str">
        <f>IFERROR(__xludf.DUMMYFUNCTION("""COMPUTED_VALUE"""),"RAI Finance")</f>
        <v>RAI Finance</v>
      </c>
    </row>
    <row r="9886">
      <c r="A9886" s="4" t="str">
        <f>IFERROR(__xludf.DUMMYFUNCTION("""COMPUTED_VALUE"""),"railgun")</f>
        <v>railgun</v>
      </c>
      <c r="B9886" s="4" t="str">
        <f>IFERROR(__xludf.DUMMYFUNCTION("""COMPUTED_VALUE"""),"rail")</f>
        <v>rail</v>
      </c>
      <c r="C9886" s="4" t="str">
        <f>IFERROR(__xludf.DUMMYFUNCTION("""COMPUTED_VALUE"""),"Railgun")</f>
        <v>Railgun</v>
      </c>
    </row>
    <row r="9887">
      <c r="A9887" s="4" t="str">
        <f>IFERROR(__xludf.DUMMYFUNCTION("""COMPUTED_VALUE"""),"rainbow-bridged-usdc-aurora")</f>
        <v>rainbow-bridged-usdc-aurora</v>
      </c>
      <c r="B9887" s="4" t="str">
        <f>IFERROR(__xludf.DUMMYFUNCTION("""COMPUTED_VALUE"""),"usdc")</f>
        <v>usdc</v>
      </c>
      <c r="C9887" s="4" t="str">
        <f>IFERROR(__xludf.DUMMYFUNCTION("""COMPUTED_VALUE"""),"Rainbow Bridged USDC (Aurora)")</f>
        <v>Rainbow Bridged USDC (Aurora)</v>
      </c>
    </row>
    <row r="9888">
      <c r="A9888" s="4" t="str">
        <f>IFERROR(__xludf.DUMMYFUNCTION("""COMPUTED_VALUE"""),"rainbow-bridged-usdt-aurora")</f>
        <v>rainbow-bridged-usdt-aurora</v>
      </c>
      <c r="B9888" s="4" t="str">
        <f>IFERROR(__xludf.DUMMYFUNCTION("""COMPUTED_VALUE"""),"usdt.e")</f>
        <v>usdt.e</v>
      </c>
      <c r="C9888" s="4" t="str">
        <f>IFERROR(__xludf.DUMMYFUNCTION("""COMPUTED_VALUE"""),"Rainbow Bridged USDT (Aurora)")</f>
        <v>Rainbow Bridged USDT (Aurora)</v>
      </c>
    </row>
    <row r="9889">
      <c r="A9889" s="4" t="str">
        <f>IFERROR(__xludf.DUMMYFUNCTION("""COMPUTED_VALUE"""),"rainbowtoken")</f>
        <v>rainbowtoken</v>
      </c>
      <c r="B9889" s="4" t="str">
        <f>IFERROR(__xludf.DUMMYFUNCTION("""COMPUTED_VALUE"""),"rainbowtoken")</f>
        <v>rainbowtoken</v>
      </c>
      <c r="C9889" s="4" t="str">
        <f>IFERROR(__xludf.DUMMYFUNCTION("""COMPUTED_VALUE"""),"RainbowToken")</f>
        <v>RainbowToken</v>
      </c>
    </row>
    <row r="9890">
      <c r="A9890" s="4" t="str">
        <f>IFERROR(__xludf.DUMMYFUNCTION("""COMPUTED_VALUE"""),"rainbow-token")</f>
        <v>rainbow-token</v>
      </c>
      <c r="B9890" s="4" t="str">
        <f>IFERROR(__xludf.DUMMYFUNCTION("""COMPUTED_VALUE"""),"rnbw")</f>
        <v>rnbw</v>
      </c>
      <c r="C9890" s="4" t="str">
        <f>IFERROR(__xludf.DUMMYFUNCTION("""COMPUTED_VALUE"""),"HaloDAO")</f>
        <v>HaloDAO</v>
      </c>
    </row>
    <row r="9891">
      <c r="A9891" s="4" t="str">
        <f>IFERROR(__xludf.DUMMYFUNCTION("""COMPUTED_VALUE"""),"rainbow-token-2")</f>
        <v>rainbow-token-2</v>
      </c>
      <c r="B9891" s="4" t="str">
        <f>IFERROR(__xludf.DUMMYFUNCTION("""COMPUTED_VALUE"""),"rbw")</f>
        <v>rbw</v>
      </c>
      <c r="C9891" s="4" t="str">
        <f>IFERROR(__xludf.DUMMYFUNCTION("""COMPUTED_VALUE"""),"Rainbow Token")</f>
        <v>Rainbow Token</v>
      </c>
    </row>
    <row r="9892">
      <c r="A9892" s="4" t="str">
        <f>IFERROR(__xludf.DUMMYFUNCTION("""COMPUTED_VALUE"""),"rain-coin")</f>
        <v>rain-coin</v>
      </c>
      <c r="B9892" s="4" t="str">
        <f>IFERROR(__xludf.DUMMYFUNCTION("""COMPUTED_VALUE"""),"rain")</f>
        <v>rain</v>
      </c>
      <c r="C9892" s="4" t="str">
        <f>IFERROR(__xludf.DUMMYFUNCTION("""COMPUTED_VALUE"""),"Rain Coin")</f>
        <v>Rain Coin</v>
      </c>
    </row>
    <row r="9893">
      <c r="A9893" s="4" t="str">
        <f>IFERROR(__xludf.DUMMYFUNCTION("""COMPUTED_VALUE"""),"rainicorn")</f>
        <v>rainicorn</v>
      </c>
      <c r="B9893" s="4" t="str">
        <f>IFERROR(__xludf.DUMMYFUNCTION("""COMPUTED_VALUE"""),"$raini")</f>
        <v>$raini</v>
      </c>
      <c r="C9893" s="4" t="str">
        <f>IFERROR(__xludf.DUMMYFUNCTION("""COMPUTED_VALUE"""),"Raini")</f>
        <v>Raini</v>
      </c>
    </row>
    <row r="9894">
      <c r="A9894" s="4" t="str">
        <f>IFERROR(__xludf.DUMMYFUNCTION("""COMPUTED_VALUE"""),"raini-studios-token")</f>
        <v>raini-studios-token</v>
      </c>
      <c r="B9894" s="4" t="str">
        <f>IFERROR(__xludf.DUMMYFUNCTION("""COMPUTED_VALUE"""),"rst")</f>
        <v>rst</v>
      </c>
      <c r="C9894" s="4" t="str">
        <f>IFERROR(__xludf.DUMMYFUNCTION("""COMPUTED_VALUE"""),"Raini Studios Token")</f>
        <v>Raini Studios Token</v>
      </c>
    </row>
    <row r="9895">
      <c r="A9895" s="4" t="str">
        <f>IFERROR(__xludf.DUMMYFUNCTION("""COMPUTED_VALUE"""),"rainmaker-games")</f>
        <v>rainmaker-games</v>
      </c>
      <c r="B9895" s="4" t="str">
        <f>IFERROR(__xludf.DUMMYFUNCTION("""COMPUTED_VALUE"""),"rain")</f>
        <v>rain</v>
      </c>
      <c r="C9895" s="4" t="str">
        <f>IFERROR(__xludf.DUMMYFUNCTION("""COMPUTED_VALUE"""),"Rainmaker Games")</f>
        <v>Rainmaker Games</v>
      </c>
    </row>
    <row r="9896">
      <c r="A9896" s="4" t="str">
        <f>IFERROR(__xludf.DUMMYFUNCTION("""COMPUTED_VALUE"""),"rai-yvault")</f>
        <v>rai-yvault</v>
      </c>
      <c r="B9896" s="4" t="str">
        <f>IFERROR(__xludf.DUMMYFUNCTION("""COMPUTED_VALUE"""),"yvrai")</f>
        <v>yvrai</v>
      </c>
      <c r="C9896" s="4" t="str">
        <f>IFERROR(__xludf.DUMMYFUNCTION("""COMPUTED_VALUE"""),"RAI yVault")</f>
        <v>RAI yVault</v>
      </c>
    </row>
    <row r="9897">
      <c r="A9897" s="4" t="str">
        <f>IFERROR(__xludf.DUMMYFUNCTION("""COMPUTED_VALUE"""),"rake-com")</f>
        <v>rake-com</v>
      </c>
      <c r="B9897" s="4" t="str">
        <f>IFERROR(__xludf.DUMMYFUNCTION("""COMPUTED_VALUE"""),"rake")</f>
        <v>rake</v>
      </c>
      <c r="C9897" s="5" t="str">
        <f>IFERROR(__xludf.DUMMYFUNCTION("""COMPUTED_VALUE"""),"Rake.com")</f>
        <v>Rake.com</v>
      </c>
    </row>
    <row r="9898">
      <c r="A9898" s="4" t="str">
        <f>IFERROR(__xludf.DUMMYFUNCTION("""COMPUTED_VALUE"""),"rake-finance")</f>
        <v>rake-finance</v>
      </c>
      <c r="B9898" s="4" t="str">
        <f>IFERROR(__xludf.DUMMYFUNCTION("""COMPUTED_VALUE"""),"rak")</f>
        <v>rak</v>
      </c>
      <c r="C9898" s="4" t="str">
        <f>IFERROR(__xludf.DUMMYFUNCTION("""COMPUTED_VALUE"""),"Rake Finance")</f>
        <v>Rake Finance</v>
      </c>
    </row>
    <row r="9899">
      <c r="A9899" s="4" t="str">
        <f>IFERROR(__xludf.DUMMYFUNCTION("""COMPUTED_VALUE"""),"rake-in")</f>
        <v>rake-in</v>
      </c>
      <c r="B9899" s="4" t="str">
        <f>IFERROR(__xludf.DUMMYFUNCTION("""COMPUTED_VALUE"""),"rake")</f>
        <v>rake</v>
      </c>
      <c r="C9899" s="5" t="str">
        <f>IFERROR(__xludf.DUMMYFUNCTION("""COMPUTED_VALUE"""),"Rake.in")</f>
        <v>Rake.in</v>
      </c>
    </row>
    <row r="9900">
      <c r="A9900" s="4" t="str">
        <f>IFERROR(__xludf.DUMMYFUNCTION("""COMPUTED_VALUE"""),"rally-2")</f>
        <v>rally-2</v>
      </c>
      <c r="B9900" s="4" t="str">
        <f>IFERROR(__xludf.DUMMYFUNCTION("""COMPUTED_VALUE"""),"rly")</f>
        <v>rly</v>
      </c>
      <c r="C9900" s="4" t="str">
        <f>IFERROR(__xludf.DUMMYFUNCTION("""COMPUTED_VALUE"""),"Rally")</f>
        <v>Rally</v>
      </c>
    </row>
    <row r="9901">
      <c r="A9901" s="4" t="str">
        <f>IFERROR(__xludf.DUMMYFUNCTION("""COMPUTED_VALUE"""),"rally-solana")</f>
        <v>rally-solana</v>
      </c>
      <c r="B9901" s="4" t="str">
        <f>IFERROR(__xludf.DUMMYFUNCTION("""COMPUTED_VALUE"""),"srly")</f>
        <v>srly</v>
      </c>
      <c r="C9901" s="4" t="str">
        <f>IFERROR(__xludf.DUMMYFUNCTION("""COMPUTED_VALUE"""),"Rally (Solana)")</f>
        <v>Rally (Solana)</v>
      </c>
    </row>
    <row r="9902">
      <c r="A9902" s="4" t="str">
        <f>IFERROR(__xludf.DUMMYFUNCTION("""COMPUTED_VALUE"""),"rambox")</f>
        <v>rambox</v>
      </c>
      <c r="B9902" s="4" t="str">
        <f>IFERROR(__xludf.DUMMYFUNCTION("""COMPUTED_VALUE"""),"ram")</f>
        <v>ram</v>
      </c>
      <c r="C9902" s="4" t="str">
        <f>IFERROR(__xludf.DUMMYFUNCTION("""COMPUTED_VALUE"""),"Rambox")</f>
        <v>Rambox</v>
      </c>
    </row>
    <row r="9903">
      <c r="A9903" s="4" t="str">
        <f>IFERROR(__xludf.DUMMYFUNCTION("""COMPUTED_VALUE"""),"ramestta")</f>
        <v>ramestta</v>
      </c>
      <c r="B9903" s="4" t="str">
        <f>IFERROR(__xludf.DUMMYFUNCTION("""COMPUTED_VALUE"""),"rama")</f>
        <v>rama</v>
      </c>
      <c r="C9903" s="4" t="str">
        <f>IFERROR(__xludf.DUMMYFUNCTION("""COMPUTED_VALUE"""),"Ramestta")</f>
        <v>Ramestta</v>
      </c>
    </row>
    <row r="9904">
      <c r="A9904" s="4" t="str">
        <f>IFERROR(__xludf.DUMMYFUNCTION("""COMPUTED_VALUE"""),"ramifi")</f>
        <v>ramifi</v>
      </c>
      <c r="B9904" s="4" t="str">
        <f>IFERROR(__xludf.DUMMYFUNCTION("""COMPUTED_VALUE"""),"ram")</f>
        <v>ram</v>
      </c>
      <c r="C9904" s="4" t="str">
        <f>IFERROR(__xludf.DUMMYFUNCTION("""COMPUTED_VALUE"""),"Ramifi Protocol")</f>
        <v>Ramifi Protocol</v>
      </c>
    </row>
    <row r="9905">
      <c r="A9905" s="4" t="str">
        <f>IFERROR(__xludf.DUMMYFUNCTION("""COMPUTED_VALUE"""),"ramp")</f>
        <v>ramp</v>
      </c>
      <c r="B9905" s="4" t="str">
        <f>IFERROR(__xludf.DUMMYFUNCTION("""COMPUTED_VALUE"""),"ramp")</f>
        <v>ramp</v>
      </c>
      <c r="C9905" s="4" t="str">
        <f>IFERROR(__xludf.DUMMYFUNCTION("""COMPUTED_VALUE"""),"RAMP [OLD]")</f>
        <v>RAMP [OLD]</v>
      </c>
    </row>
    <row r="9906">
      <c r="A9906" s="4" t="str">
        <f>IFERROR(__xludf.DUMMYFUNCTION("""COMPUTED_VALUE"""),"ramses-exchange")</f>
        <v>ramses-exchange</v>
      </c>
      <c r="B9906" s="4" t="str">
        <f>IFERROR(__xludf.DUMMYFUNCTION("""COMPUTED_VALUE"""),"ram")</f>
        <v>ram</v>
      </c>
      <c r="C9906" s="4" t="str">
        <f>IFERROR(__xludf.DUMMYFUNCTION("""COMPUTED_VALUE"""),"Ramses Exchange")</f>
        <v>Ramses Exchange</v>
      </c>
    </row>
    <row r="9907">
      <c r="A9907" s="4" t="str">
        <f>IFERROR(__xludf.DUMMYFUNCTION("""COMPUTED_VALUE"""),"rand")</f>
        <v>rand</v>
      </c>
      <c r="B9907" s="4" t="str">
        <f>IFERROR(__xludf.DUMMYFUNCTION("""COMPUTED_VALUE"""),"rnd")</f>
        <v>rnd</v>
      </c>
      <c r="C9907" s="4" t="str">
        <f>IFERROR(__xludf.DUMMYFUNCTION("""COMPUTED_VALUE"""),"Rand")</f>
        <v>Rand</v>
      </c>
    </row>
    <row r="9908">
      <c r="A9908" s="4" t="str">
        <f>IFERROR(__xludf.DUMMYFUNCTION("""COMPUTED_VALUE"""),"random")</f>
        <v>random</v>
      </c>
      <c r="B9908" s="4" t="str">
        <f>IFERROR(__xludf.DUMMYFUNCTION("""COMPUTED_VALUE"""),"rndm")</f>
        <v>rndm</v>
      </c>
      <c r="C9908" s="4" t="str">
        <f>IFERROR(__xludf.DUMMYFUNCTION("""COMPUTED_VALUE"""),"Random")</f>
        <v>Random</v>
      </c>
    </row>
    <row r="9909">
      <c r="A9909" s="4" t="str">
        <f>IFERROR(__xludf.DUMMYFUNCTION("""COMPUTED_VALUE"""),"rangers-fan-token")</f>
        <v>rangers-fan-token</v>
      </c>
      <c r="B9909" s="4" t="str">
        <f>IFERROR(__xludf.DUMMYFUNCTION("""COMPUTED_VALUE"""),"rft")</f>
        <v>rft</v>
      </c>
      <c r="C9909" s="4" t="str">
        <f>IFERROR(__xludf.DUMMYFUNCTION("""COMPUTED_VALUE"""),"Rangers Fan Token")</f>
        <v>Rangers Fan Token</v>
      </c>
    </row>
    <row r="9910">
      <c r="A9910" s="4" t="str">
        <f>IFERROR(__xludf.DUMMYFUNCTION("""COMPUTED_VALUE"""),"rangers-protocol-gas")</f>
        <v>rangers-protocol-gas</v>
      </c>
      <c r="B9910" s="4" t="str">
        <f>IFERROR(__xludf.DUMMYFUNCTION("""COMPUTED_VALUE"""),"rpg")</f>
        <v>rpg</v>
      </c>
      <c r="C9910" s="4" t="str">
        <f>IFERROR(__xludf.DUMMYFUNCTION("""COMPUTED_VALUE"""),"Rangers Protocol Gas")</f>
        <v>Rangers Protocol Gas</v>
      </c>
    </row>
    <row r="9911">
      <c r="A9911" s="4" t="str">
        <f>IFERROR(__xludf.DUMMYFUNCTION("""COMPUTED_VALUE"""),"rankerdao")</f>
        <v>rankerdao</v>
      </c>
      <c r="B9911" s="4" t="str">
        <f>IFERROR(__xludf.DUMMYFUNCTION("""COMPUTED_VALUE"""),"ranker")</f>
        <v>ranker</v>
      </c>
      <c r="C9911" s="4" t="str">
        <f>IFERROR(__xludf.DUMMYFUNCTION("""COMPUTED_VALUE"""),"RankerDao")</f>
        <v>RankerDao</v>
      </c>
    </row>
    <row r="9912">
      <c r="A9912" s="4" t="str">
        <f>IFERROR(__xludf.DUMMYFUNCTION("""COMPUTED_VALUE"""),"raphael")</f>
        <v>raphael</v>
      </c>
      <c r="B9912" s="4" t="str">
        <f>IFERROR(__xludf.DUMMYFUNCTION("""COMPUTED_VALUE"""),"raphael")</f>
        <v>raphael</v>
      </c>
      <c r="C9912" s="4" t="str">
        <f>IFERROR(__xludf.DUMMYFUNCTION("""COMPUTED_VALUE"""),"Raphael")</f>
        <v>Raphael</v>
      </c>
    </row>
    <row r="9913">
      <c r="A9913" s="4" t="str">
        <f>IFERROR(__xludf.DUMMYFUNCTION("""COMPUTED_VALUE"""),"rapids")</f>
        <v>rapids</v>
      </c>
      <c r="B9913" s="4" t="str">
        <f>IFERROR(__xludf.DUMMYFUNCTION("""COMPUTED_VALUE"""),"rpd")</f>
        <v>rpd</v>
      </c>
      <c r="C9913" s="4" t="str">
        <f>IFERROR(__xludf.DUMMYFUNCTION("""COMPUTED_VALUE"""),"Rapids")</f>
        <v>Rapids</v>
      </c>
    </row>
    <row r="9914">
      <c r="A9914" s="4" t="str">
        <f>IFERROR(__xludf.DUMMYFUNCTION("""COMPUTED_VALUE"""),"raptor")</f>
        <v>raptor</v>
      </c>
      <c r="B9914" s="4" t="str">
        <f>IFERROR(__xludf.DUMMYFUNCTION("""COMPUTED_VALUE"""),"bible")</f>
        <v>bible</v>
      </c>
      <c r="C9914" s="4" t="str">
        <f>IFERROR(__xludf.DUMMYFUNCTION("""COMPUTED_VALUE"""),"Raptor")</f>
        <v>Raptor</v>
      </c>
    </row>
    <row r="9915">
      <c r="A9915" s="4" t="str">
        <f>IFERROR(__xludf.DUMMYFUNCTION("""COMPUTED_VALUE"""),"raptoreum")</f>
        <v>raptoreum</v>
      </c>
      <c r="B9915" s="4" t="str">
        <f>IFERROR(__xludf.DUMMYFUNCTION("""COMPUTED_VALUE"""),"rtm")</f>
        <v>rtm</v>
      </c>
      <c r="C9915" s="4" t="str">
        <f>IFERROR(__xludf.DUMMYFUNCTION("""COMPUTED_VALUE"""),"Raptoreum")</f>
        <v>Raptoreum</v>
      </c>
    </row>
    <row r="9916">
      <c r="A9916" s="4" t="str">
        <f>IFERROR(__xludf.DUMMYFUNCTION("""COMPUTED_VALUE"""),"raptor-finance-2")</f>
        <v>raptor-finance-2</v>
      </c>
      <c r="B9916" s="4" t="str">
        <f>IFERROR(__xludf.DUMMYFUNCTION("""COMPUTED_VALUE"""),"rptr")</f>
        <v>rptr</v>
      </c>
      <c r="C9916" s="4" t="str">
        <f>IFERROR(__xludf.DUMMYFUNCTION("""COMPUTED_VALUE"""),"Raptor Finance")</f>
        <v>Raptor Finance</v>
      </c>
    </row>
    <row r="9917">
      <c r="A9917" s="4" t="str">
        <f>IFERROR(__xludf.DUMMYFUNCTION("""COMPUTED_VALUE"""),"rare-ball-shares")</f>
        <v>rare-ball-shares</v>
      </c>
      <c r="B9917" s="4" t="str">
        <f>IFERROR(__xludf.DUMMYFUNCTION("""COMPUTED_VALUE"""),"rbp")</f>
        <v>rbp</v>
      </c>
      <c r="C9917" s="4" t="str">
        <f>IFERROR(__xludf.DUMMYFUNCTION("""COMPUTED_VALUE"""),"Rare Ball Potion")</f>
        <v>Rare Ball Potion</v>
      </c>
    </row>
    <row r="9918">
      <c r="A9918" s="4" t="str">
        <f>IFERROR(__xludf.DUMMYFUNCTION("""COMPUTED_VALUE"""),"rare-fnd")</f>
        <v>rare-fnd</v>
      </c>
      <c r="B9918" s="4" t="str">
        <f>IFERROR(__xludf.DUMMYFUNCTION("""COMPUTED_VALUE"""),"fnd")</f>
        <v>fnd</v>
      </c>
      <c r="C9918" s="4" t="str">
        <f>IFERROR(__xludf.DUMMYFUNCTION("""COMPUTED_VALUE"""),"Rare FND")</f>
        <v>Rare FND</v>
      </c>
    </row>
    <row r="9919">
      <c r="A9919" s="4" t="str">
        <f>IFERROR(__xludf.DUMMYFUNCTION("""COMPUTED_VALUE"""),"rarible")</f>
        <v>rarible</v>
      </c>
      <c r="B9919" s="4" t="str">
        <f>IFERROR(__xludf.DUMMYFUNCTION("""COMPUTED_VALUE"""),"rari")</f>
        <v>rari</v>
      </c>
      <c r="C9919" s="4" t="str">
        <f>IFERROR(__xludf.DUMMYFUNCTION("""COMPUTED_VALUE"""),"RARI")</f>
        <v>RARI</v>
      </c>
    </row>
    <row r="9920">
      <c r="A9920" s="4" t="str">
        <f>IFERROR(__xludf.DUMMYFUNCTION("""COMPUTED_VALUE"""),"rari-governance-token")</f>
        <v>rari-governance-token</v>
      </c>
      <c r="B9920" s="4" t="str">
        <f>IFERROR(__xludf.DUMMYFUNCTION("""COMPUTED_VALUE"""),"rgt")</f>
        <v>rgt</v>
      </c>
      <c r="C9920" s="4" t="str">
        <f>IFERROR(__xludf.DUMMYFUNCTION("""COMPUTED_VALUE"""),"Rari Governance")</f>
        <v>Rari Governance</v>
      </c>
    </row>
    <row r="9921">
      <c r="A9921" s="4" t="str">
        <f>IFERROR(__xludf.DUMMYFUNCTION("""COMPUTED_VALUE"""),"rasper-ai")</f>
        <v>rasper-ai</v>
      </c>
      <c r="B9921" s="4" t="str">
        <f>IFERROR(__xludf.DUMMYFUNCTION("""COMPUTED_VALUE"""),"rasp")</f>
        <v>rasp</v>
      </c>
      <c r="C9921" s="5" t="str">
        <f>IFERROR(__xludf.DUMMYFUNCTION("""COMPUTED_VALUE"""),"Rasper.ai")</f>
        <v>Rasper.ai</v>
      </c>
    </row>
    <row r="9922">
      <c r="A9922" s="4" t="str">
        <f>IFERROR(__xludf.DUMMYFUNCTION("""COMPUTED_VALUE"""),"ratcoin")</f>
        <v>ratcoin</v>
      </c>
      <c r="B9922" s="4" t="str">
        <f>IFERROR(__xludf.DUMMYFUNCTION("""COMPUTED_VALUE"""),"rat")</f>
        <v>rat</v>
      </c>
      <c r="C9922" s="4" t="str">
        <f>IFERROR(__xludf.DUMMYFUNCTION("""COMPUTED_VALUE"""),"RatCoin")</f>
        <v>RatCoin</v>
      </c>
    </row>
    <row r="9923">
      <c r="A9923" s="4" t="str">
        <f>IFERROR(__xludf.DUMMYFUNCTION("""COMPUTED_VALUE"""),"rate")</f>
        <v>rate</v>
      </c>
      <c r="B9923" s="4" t="str">
        <f>IFERROR(__xludf.DUMMYFUNCTION("""COMPUTED_VALUE"""),"rate")</f>
        <v>rate</v>
      </c>
      <c r="C9923" s="4" t="str">
        <f>IFERROR(__xludf.DUMMYFUNCTION("""COMPUTED_VALUE"""),"Rate")</f>
        <v>Rate</v>
      </c>
    </row>
    <row r="9924">
      <c r="A9924" s="4" t="str">
        <f>IFERROR(__xludf.DUMMYFUNCTION("""COMPUTED_VALUE"""),"ratecoin")</f>
        <v>ratecoin</v>
      </c>
      <c r="B9924" s="4" t="str">
        <f>IFERROR(__xludf.DUMMYFUNCTION("""COMPUTED_VALUE"""),"xra")</f>
        <v>xra</v>
      </c>
      <c r="C9924" s="4" t="str">
        <f>IFERROR(__xludf.DUMMYFUNCTION("""COMPUTED_VALUE"""),"Ratecoin")</f>
        <v>Ratecoin</v>
      </c>
    </row>
    <row r="9925">
      <c r="A9925" s="4" t="str">
        <f>IFERROR(__xludf.DUMMYFUNCTION("""COMPUTED_VALUE"""),"ratio")</f>
        <v>ratio</v>
      </c>
      <c r="B9925" s="4" t="str">
        <f>IFERROR(__xludf.DUMMYFUNCTION("""COMPUTED_VALUE"""),"ratio")</f>
        <v>ratio</v>
      </c>
      <c r="C9925" s="4" t="str">
        <f>IFERROR(__xludf.DUMMYFUNCTION("""COMPUTED_VALUE"""),"RATIO")</f>
        <v>RATIO</v>
      </c>
    </row>
    <row r="9926">
      <c r="A9926" s="4" t="str">
        <f>IFERROR(__xludf.DUMMYFUNCTION("""COMPUTED_VALUE"""),"ratio-finance")</f>
        <v>ratio-finance</v>
      </c>
      <c r="B9926" s="4" t="str">
        <f>IFERROR(__xludf.DUMMYFUNCTION("""COMPUTED_VALUE"""),"ratio")</f>
        <v>ratio</v>
      </c>
      <c r="C9926" s="4" t="str">
        <f>IFERROR(__xludf.DUMMYFUNCTION("""COMPUTED_VALUE"""),"Ratio Protocol")</f>
        <v>Ratio Protocol</v>
      </c>
    </row>
    <row r="9927">
      <c r="A9927" s="4" t="str">
        <f>IFERROR(__xludf.DUMMYFUNCTION("""COMPUTED_VALUE"""),"rats")</f>
        <v>rats</v>
      </c>
      <c r="B9927" s="4" t="str">
        <f>IFERROR(__xludf.DUMMYFUNCTION("""COMPUTED_VALUE"""),"rats")</f>
        <v>rats</v>
      </c>
      <c r="C9927" s="4" t="str">
        <f>IFERROR(__xludf.DUMMYFUNCTION("""COMPUTED_VALUE"""),"Rats")</f>
        <v>Rats</v>
      </c>
    </row>
    <row r="9928">
      <c r="A9928" s="4" t="str">
        <f>IFERROR(__xludf.DUMMYFUNCTION("""COMPUTED_VALUE"""),"ratsbase")</f>
        <v>ratsbase</v>
      </c>
      <c r="B9928" s="4" t="str">
        <f>IFERROR(__xludf.DUMMYFUNCTION("""COMPUTED_VALUE"""),"rats")</f>
        <v>rats</v>
      </c>
      <c r="C9928" s="4" t="str">
        <f>IFERROR(__xludf.DUMMYFUNCTION("""COMPUTED_VALUE"""),"RatsBase")</f>
        <v>RatsBase</v>
      </c>
    </row>
    <row r="9929">
      <c r="A9929" s="4" t="str">
        <f>IFERROR(__xludf.DUMMYFUNCTION("""COMPUTED_VALUE"""),"ratsdao")</f>
        <v>ratsdao</v>
      </c>
      <c r="B9929" s="4" t="str">
        <f>IFERROR(__xludf.DUMMYFUNCTION("""COMPUTED_VALUE"""),"rat")</f>
        <v>rat</v>
      </c>
      <c r="C9929" s="4" t="str">
        <f>IFERROR(__xludf.DUMMYFUNCTION("""COMPUTED_VALUE"""),"ratsDAO")</f>
        <v>ratsDAO</v>
      </c>
    </row>
    <row r="9930">
      <c r="A9930" s="4" t="str">
        <f>IFERROR(__xludf.DUMMYFUNCTION("""COMPUTED_VALUE"""),"ravelin-finance")</f>
        <v>ravelin-finance</v>
      </c>
      <c r="B9930" s="4" t="str">
        <f>IFERROR(__xludf.DUMMYFUNCTION("""COMPUTED_VALUE"""),"rav")</f>
        <v>rav</v>
      </c>
      <c r="C9930" s="4" t="str">
        <f>IFERROR(__xludf.DUMMYFUNCTION("""COMPUTED_VALUE"""),"Ravelin Finance")</f>
        <v>Ravelin Finance</v>
      </c>
    </row>
    <row r="9931">
      <c r="A9931" s="4" t="str">
        <f>IFERROR(__xludf.DUMMYFUNCTION("""COMPUTED_VALUE"""),"ravencoin")</f>
        <v>ravencoin</v>
      </c>
      <c r="B9931" s="4" t="str">
        <f>IFERROR(__xludf.DUMMYFUNCTION("""COMPUTED_VALUE"""),"rvn")</f>
        <v>rvn</v>
      </c>
      <c r="C9931" s="4" t="str">
        <f>IFERROR(__xludf.DUMMYFUNCTION("""COMPUTED_VALUE"""),"Ravencoin")</f>
        <v>Ravencoin</v>
      </c>
    </row>
    <row r="9932">
      <c r="A9932" s="4" t="str">
        <f>IFERROR(__xludf.DUMMYFUNCTION("""COMPUTED_VALUE"""),"ravencoin-classic")</f>
        <v>ravencoin-classic</v>
      </c>
      <c r="B9932" s="4" t="str">
        <f>IFERROR(__xludf.DUMMYFUNCTION("""COMPUTED_VALUE"""),"rvc")</f>
        <v>rvc</v>
      </c>
      <c r="C9932" s="4" t="str">
        <f>IFERROR(__xludf.DUMMYFUNCTION("""COMPUTED_VALUE"""),"Ravencoin Classic")</f>
        <v>Ravencoin Classic</v>
      </c>
    </row>
    <row r="9933">
      <c r="A9933" s="4" t="str">
        <f>IFERROR(__xludf.DUMMYFUNCTION("""COMPUTED_VALUE"""),"rave-nft")</f>
        <v>rave-nft</v>
      </c>
      <c r="B9933" s="4" t="str">
        <f>IFERROR(__xludf.DUMMYFUNCTION("""COMPUTED_VALUE"""),"rave")</f>
        <v>rave</v>
      </c>
      <c r="C9933" s="4" t="str">
        <f>IFERROR(__xludf.DUMMYFUNCTION("""COMPUTED_VALUE"""),"RAVE NFT")</f>
        <v>RAVE NFT</v>
      </c>
    </row>
    <row r="9934">
      <c r="A9934" s="4" t="str">
        <f>IFERROR(__xludf.DUMMYFUNCTION("""COMPUTED_VALUE"""),"raven-protocol")</f>
        <v>raven-protocol</v>
      </c>
      <c r="B9934" s="4" t="str">
        <f>IFERROR(__xludf.DUMMYFUNCTION("""COMPUTED_VALUE"""),"raven")</f>
        <v>raven</v>
      </c>
      <c r="C9934" s="4" t="str">
        <f>IFERROR(__xludf.DUMMYFUNCTION("""COMPUTED_VALUE"""),"Raven Protocol")</f>
        <v>Raven Protocol</v>
      </c>
    </row>
    <row r="9935">
      <c r="A9935" s="4" t="str">
        <f>IFERROR(__xludf.DUMMYFUNCTION("""COMPUTED_VALUE"""),"rawblock")</f>
        <v>rawblock</v>
      </c>
      <c r="B9935" s="4" t="str">
        <f>IFERROR(__xludf.DUMMYFUNCTION("""COMPUTED_VALUE"""),"rwb")</f>
        <v>rwb</v>
      </c>
      <c r="C9935" s="4" t="str">
        <f>IFERROR(__xludf.DUMMYFUNCTION("""COMPUTED_VALUE"""),"RawBlock")</f>
        <v>RawBlock</v>
      </c>
    </row>
    <row r="9936">
      <c r="A9936" s="4" t="str">
        <f>IFERROR(__xludf.DUMMYFUNCTION("""COMPUTED_VALUE"""),"raw-chicken-experiment")</f>
        <v>raw-chicken-experiment</v>
      </c>
      <c r="B9936" s="4" t="str">
        <f>IFERROR(__xludf.DUMMYFUNCTION("""COMPUTED_VALUE"""),"rce")</f>
        <v>rce</v>
      </c>
      <c r="C9936" s="4" t="str">
        <f>IFERROR(__xludf.DUMMYFUNCTION("""COMPUTED_VALUE"""),"Raw Chicken Experiment")</f>
        <v>Raw Chicken Experiment</v>
      </c>
    </row>
    <row r="9937">
      <c r="A9937" s="4" t="str">
        <f>IFERROR(__xludf.DUMMYFUNCTION("""COMPUTED_VALUE"""),"raydium")</f>
        <v>raydium</v>
      </c>
      <c r="B9937" s="4" t="str">
        <f>IFERROR(__xludf.DUMMYFUNCTION("""COMPUTED_VALUE"""),"ray")</f>
        <v>ray</v>
      </c>
      <c r="C9937" s="4" t="str">
        <f>IFERROR(__xludf.DUMMYFUNCTION("""COMPUTED_VALUE"""),"Raydium")</f>
        <v>Raydium</v>
      </c>
    </row>
    <row r="9938">
      <c r="A9938" s="4" t="str">
        <f>IFERROR(__xludf.DUMMYFUNCTION("""COMPUTED_VALUE"""),"rayn")</f>
        <v>rayn</v>
      </c>
      <c r="B9938" s="4" t="str">
        <f>IFERROR(__xludf.DUMMYFUNCTION("""COMPUTED_VALUE"""),"aktio")</f>
        <v>aktio</v>
      </c>
      <c r="C9938" s="4" t="str">
        <f>IFERROR(__xludf.DUMMYFUNCTION("""COMPUTED_VALUE"""),"RAYN")</f>
        <v>RAYN</v>
      </c>
    </row>
    <row r="9939">
      <c r="A9939" s="4" t="str">
        <f>IFERROR(__xludf.DUMMYFUNCTION("""COMPUTED_VALUE"""),"ray-network")</f>
        <v>ray-network</v>
      </c>
      <c r="B9939" s="4" t="str">
        <f>IFERROR(__xludf.DUMMYFUNCTION("""COMPUTED_VALUE"""),"xray")</f>
        <v>xray</v>
      </c>
      <c r="C9939" s="4" t="str">
        <f>IFERROR(__xludf.DUMMYFUNCTION("""COMPUTED_VALUE"""),"Ray Network")</f>
        <v>Ray Network</v>
      </c>
    </row>
    <row r="9940">
      <c r="A9940" s="4" t="str">
        <f>IFERROR(__xludf.DUMMYFUNCTION("""COMPUTED_VALUE"""),"rays")</f>
        <v>rays</v>
      </c>
      <c r="B9940" s="4" t="str">
        <f>IFERROR(__xludf.DUMMYFUNCTION("""COMPUTED_VALUE"""),"rays")</f>
        <v>rays</v>
      </c>
      <c r="C9940" s="4" t="str">
        <f>IFERROR(__xludf.DUMMYFUNCTION("""COMPUTED_VALUE"""),"RAYS")</f>
        <v>RAYS</v>
      </c>
    </row>
    <row r="9941">
      <c r="A9941" s="4" t="str">
        <f>IFERROR(__xludf.DUMMYFUNCTION("""COMPUTED_VALUE"""),"raze-network")</f>
        <v>raze-network</v>
      </c>
      <c r="B9941" s="4" t="str">
        <f>IFERROR(__xludf.DUMMYFUNCTION("""COMPUTED_VALUE"""),"raze")</f>
        <v>raze</v>
      </c>
      <c r="C9941" s="4" t="str">
        <f>IFERROR(__xludf.DUMMYFUNCTION("""COMPUTED_VALUE"""),"Raze Network")</f>
        <v>Raze Network</v>
      </c>
    </row>
    <row r="9942">
      <c r="A9942" s="4" t="str">
        <f>IFERROR(__xludf.DUMMYFUNCTION("""COMPUTED_VALUE"""),"razor-network")</f>
        <v>razor-network</v>
      </c>
      <c r="B9942" s="4" t="str">
        <f>IFERROR(__xludf.DUMMYFUNCTION("""COMPUTED_VALUE"""),"razor")</f>
        <v>razor</v>
      </c>
      <c r="C9942" s="4" t="str">
        <f>IFERROR(__xludf.DUMMYFUNCTION("""COMPUTED_VALUE"""),"Razor Network")</f>
        <v>Razor Network</v>
      </c>
    </row>
    <row r="9943">
      <c r="A9943" s="4" t="str">
        <f>IFERROR(__xludf.DUMMYFUNCTION("""COMPUTED_VALUE"""),"rb-finance")</f>
        <v>rb-finance</v>
      </c>
      <c r="B9943" s="4" t="str">
        <f>IFERROR(__xludf.DUMMYFUNCTION("""COMPUTED_VALUE"""),"rb")</f>
        <v>rb</v>
      </c>
      <c r="C9943" s="4" t="str">
        <f>IFERROR(__xludf.DUMMYFUNCTION("""COMPUTED_VALUE"""),"RB Finance")</f>
        <v>RB Finance</v>
      </c>
    </row>
    <row r="9944">
      <c r="A9944" s="4" t="str">
        <f>IFERROR(__xludf.DUMMYFUNCTION("""COMPUTED_VALUE"""),"rb-share")</f>
        <v>rb-share</v>
      </c>
      <c r="B9944" s="4" t="str">
        <f>IFERROR(__xludf.DUMMYFUNCTION("""COMPUTED_VALUE"""),"rbx")</f>
        <v>rbx</v>
      </c>
      <c r="C9944" s="4" t="str">
        <f>IFERROR(__xludf.DUMMYFUNCTION("""COMPUTED_VALUE"""),"RB Share")</f>
        <v>RB Share</v>
      </c>
    </row>
    <row r="9945">
      <c r="A9945" s="4" t="str">
        <f>IFERROR(__xludf.DUMMYFUNCTION("""COMPUTED_VALUE"""),"rbx-token")</f>
        <v>rbx-token</v>
      </c>
      <c r="B9945" s="4" t="str">
        <f>IFERROR(__xludf.DUMMYFUNCTION("""COMPUTED_VALUE"""),"rbx")</f>
        <v>rbx</v>
      </c>
      <c r="C9945" s="4" t="str">
        <f>IFERROR(__xludf.DUMMYFUNCTION("""COMPUTED_VALUE"""),"RBX")</f>
        <v>RBX</v>
      </c>
    </row>
    <row r="9946">
      <c r="A9946" s="4" t="str">
        <f>IFERROR(__xludf.DUMMYFUNCTION("""COMPUTED_VALUE"""),"rc-celta-de-vigo-fan-token")</f>
        <v>rc-celta-de-vigo-fan-token</v>
      </c>
      <c r="B9946" s="4" t="str">
        <f>IFERROR(__xludf.DUMMYFUNCTION("""COMPUTED_VALUE"""),"cft")</f>
        <v>cft</v>
      </c>
      <c r="C9946" s="4" t="str">
        <f>IFERROR(__xludf.DUMMYFUNCTION("""COMPUTED_VALUE"""),"RC Celta de Vigo Fan Token")</f>
        <v>RC Celta de Vigo Fan Token</v>
      </c>
    </row>
    <row r="9947">
      <c r="A9947" s="4" t="str">
        <f>IFERROR(__xludf.DUMMYFUNCTION("""COMPUTED_VALUE"""),"rcd-espanyol-fan-token")</f>
        <v>rcd-espanyol-fan-token</v>
      </c>
      <c r="B9947" s="4" t="str">
        <f>IFERROR(__xludf.DUMMYFUNCTION("""COMPUTED_VALUE"""),"enft")</f>
        <v>enft</v>
      </c>
      <c r="C9947" s="4" t="str">
        <f>IFERROR(__xludf.DUMMYFUNCTION("""COMPUTED_VALUE"""),"RCD Espanyol Fan Token")</f>
        <v>RCD Espanyol Fan Token</v>
      </c>
    </row>
    <row r="9948">
      <c r="A9948" s="4" t="str">
        <f>IFERROR(__xludf.DUMMYFUNCTION("""COMPUTED_VALUE"""),"r-dee-protocol")</f>
        <v>r-dee-protocol</v>
      </c>
      <c r="B9948" s="4" t="str">
        <f>IFERROR(__xludf.DUMMYFUNCTION("""COMPUTED_VALUE"""),"rdgx")</f>
        <v>rdgx</v>
      </c>
      <c r="C9948" s="4" t="str">
        <f>IFERROR(__xludf.DUMMYFUNCTION("""COMPUTED_VALUE"""),"R-DEE Protocol")</f>
        <v>R-DEE Protocol</v>
      </c>
    </row>
    <row r="9949">
      <c r="A9949" s="4" t="str">
        <f>IFERROR(__xludf.DUMMYFUNCTION("""COMPUTED_VALUE"""),"reach")</f>
        <v>reach</v>
      </c>
      <c r="B9949" s="4" t="str">
        <f>IFERROR(__xludf.DUMMYFUNCTION("""COMPUTED_VALUE"""),"$reach")</f>
        <v>$reach</v>
      </c>
      <c r="C9949" s="4" t="str">
        <f>IFERROR(__xludf.DUMMYFUNCTION("""COMPUTED_VALUE"""),"Reach")</f>
        <v>Reach</v>
      </c>
    </row>
    <row r="9950">
      <c r="A9950" s="4" t="str">
        <f>IFERROR(__xludf.DUMMYFUNCTION("""COMPUTED_VALUE"""),"reaction")</f>
        <v>reaction</v>
      </c>
      <c r="B9950" s="4" t="str">
        <f>IFERROR(__xludf.DUMMYFUNCTION("""COMPUTED_VALUE"""),"rtc")</f>
        <v>rtc</v>
      </c>
      <c r="C9950" s="4" t="str">
        <f>IFERROR(__xludf.DUMMYFUNCTION("""COMPUTED_VALUE"""),"Reaction")</f>
        <v>Reaction</v>
      </c>
    </row>
    <row r="9951">
      <c r="A9951" s="4" t="str">
        <f>IFERROR(__xludf.DUMMYFUNCTION("""COMPUTED_VALUE"""),"reactorfusion")</f>
        <v>reactorfusion</v>
      </c>
      <c r="B9951" s="4" t="str">
        <f>IFERROR(__xludf.DUMMYFUNCTION("""COMPUTED_VALUE"""),"rf")</f>
        <v>rf</v>
      </c>
      <c r="C9951" s="4" t="str">
        <f>IFERROR(__xludf.DUMMYFUNCTION("""COMPUTED_VALUE"""),"ReactorFusion")</f>
        <v>ReactorFusion</v>
      </c>
    </row>
    <row r="9952">
      <c r="A9952" s="4" t="str">
        <f>IFERROR(__xludf.DUMMYFUNCTION("""COMPUTED_VALUE"""),"readfi")</f>
        <v>readfi</v>
      </c>
      <c r="B9952" s="4" t="str">
        <f>IFERROR(__xludf.DUMMYFUNCTION("""COMPUTED_VALUE"""),"rdf")</f>
        <v>rdf</v>
      </c>
      <c r="C9952" s="4" t="str">
        <f>IFERROR(__xludf.DUMMYFUNCTION("""COMPUTED_VALUE"""),"ReadFi")</f>
        <v>ReadFi</v>
      </c>
    </row>
    <row r="9953">
      <c r="A9953" s="4" t="str">
        <f>IFERROR(__xludf.DUMMYFUNCTION("""COMPUTED_VALUE"""),"reaktor")</f>
        <v>reaktor</v>
      </c>
      <c r="B9953" s="4" t="str">
        <f>IFERROR(__xludf.DUMMYFUNCTION("""COMPUTED_VALUE"""),"rkr")</f>
        <v>rkr</v>
      </c>
      <c r="C9953" s="4" t="str">
        <f>IFERROR(__xludf.DUMMYFUNCTION("""COMPUTED_VALUE"""),"Reaktor")</f>
        <v>Reaktor</v>
      </c>
    </row>
    <row r="9954">
      <c r="A9954" s="4" t="str">
        <f>IFERROR(__xludf.DUMMYFUNCTION("""COMPUTED_VALUE"""),"realaliensenjoyingliquidity")</f>
        <v>realaliensenjoyingliquidity</v>
      </c>
      <c r="B9954" s="4" t="str">
        <f>IFERROR(__xludf.DUMMYFUNCTION("""COMPUTED_VALUE"""),"$rael")</f>
        <v>$rael</v>
      </c>
      <c r="C9954" s="4" t="str">
        <f>IFERROR(__xludf.DUMMYFUNCTION("""COMPUTED_VALUE"""),"RealAliensEnjoyingLiquidity")</f>
        <v>RealAliensEnjoyingLiquidity</v>
      </c>
    </row>
    <row r="9955">
      <c r="A9955" s="4" t="str">
        <f>IFERROR(__xludf.DUMMYFUNCTION("""COMPUTED_VALUE"""),"real-big-coin")</f>
        <v>real-big-coin</v>
      </c>
      <c r="B9955" s="4" t="str">
        <f>IFERROR(__xludf.DUMMYFUNCTION("""COMPUTED_VALUE"""),"rbc")</f>
        <v>rbc</v>
      </c>
      <c r="C9955" s="4" t="str">
        <f>IFERROR(__xludf.DUMMYFUNCTION("""COMPUTED_VALUE"""),"Real BIG Coin")</f>
        <v>Real BIG Coin</v>
      </c>
    </row>
    <row r="9956">
      <c r="A9956" s="4" t="str">
        <f>IFERROR(__xludf.DUMMYFUNCTION("""COMPUTED_VALUE"""),"realfevr")</f>
        <v>realfevr</v>
      </c>
      <c r="B9956" s="4" t="str">
        <f>IFERROR(__xludf.DUMMYFUNCTION("""COMPUTED_VALUE"""),"fevr")</f>
        <v>fevr</v>
      </c>
      <c r="C9956" s="4" t="str">
        <f>IFERROR(__xludf.DUMMYFUNCTION("""COMPUTED_VALUE"""),"RealFevr")</f>
        <v>RealFevr</v>
      </c>
    </row>
    <row r="9957">
      <c r="A9957" s="4" t="str">
        <f>IFERROR(__xludf.DUMMYFUNCTION("""COMPUTED_VALUE"""),"realfinance-network")</f>
        <v>realfinance-network</v>
      </c>
      <c r="B9957" s="4" t="str">
        <f>IFERROR(__xludf.DUMMYFUNCTION("""COMPUTED_VALUE"""),"refi")</f>
        <v>refi</v>
      </c>
      <c r="C9957" s="4" t="str">
        <f>IFERROR(__xludf.DUMMYFUNCTION("""COMPUTED_VALUE"""),"Realfinance Network")</f>
        <v>Realfinance Network</v>
      </c>
    </row>
    <row r="9958">
      <c r="A9958" s="4" t="str">
        <f>IFERROR(__xludf.DUMMYFUNCTION("""COMPUTED_VALUE"""),"realio-network")</f>
        <v>realio-network</v>
      </c>
      <c r="B9958" s="4" t="str">
        <f>IFERROR(__xludf.DUMMYFUNCTION("""COMPUTED_VALUE"""),"rio")</f>
        <v>rio</v>
      </c>
      <c r="C9958" s="4" t="str">
        <f>IFERROR(__xludf.DUMMYFUNCTION("""COMPUTED_VALUE"""),"Realio")</f>
        <v>Realio</v>
      </c>
    </row>
    <row r="9959">
      <c r="A9959" s="4" t="str">
        <f>IFERROR(__xludf.DUMMYFUNCTION("""COMPUTED_VALUE"""),"realis-network")</f>
        <v>realis-network</v>
      </c>
      <c r="B9959" s="4" t="str">
        <f>IFERROR(__xludf.DUMMYFUNCTION("""COMPUTED_VALUE"""),"lis")</f>
        <v>lis</v>
      </c>
      <c r="C9959" s="4" t="str">
        <f>IFERROR(__xludf.DUMMYFUNCTION("""COMPUTED_VALUE"""),"Realis Network")</f>
        <v>Realis Network</v>
      </c>
    </row>
    <row r="9960">
      <c r="A9960" s="4" t="str">
        <f>IFERROR(__xludf.DUMMYFUNCTION("""COMPUTED_VALUE"""),"reality-metaverse")</f>
        <v>reality-metaverse</v>
      </c>
      <c r="B9960" s="4" t="str">
        <f>IFERROR(__xludf.DUMMYFUNCTION("""COMPUTED_VALUE"""),"rmv")</f>
        <v>rmv</v>
      </c>
      <c r="C9960" s="4" t="str">
        <f>IFERROR(__xludf.DUMMYFUNCTION("""COMPUTED_VALUE"""),"Reality Metaverse")</f>
        <v>Reality Metaverse</v>
      </c>
    </row>
    <row r="9961">
      <c r="A9961" s="4" t="str">
        <f>IFERROR(__xludf.DUMMYFUNCTION("""COMPUTED_VALUE"""),"reality-vr")</f>
        <v>reality-vr</v>
      </c>
      <c r="B9961" s="4" t="str">
        <f>IFERROR(__xludf.DUMMYFUNCTION("""COMPUTED_VALUE"""),"rvr")</f>
        <v>rvr</v>
      </c>
      <c r="C9961" s="4" t="str">
        <f>IFERROR(__xludf.DUMMYFUNCTION("""COMPUTED_VALUE"""),"Reality VR")</f>
        <v>Reality VR</v>
      </c>
    </row>
    <row r="9962">
      <c r="A9962" s="4" t="str">
        <f>IFERROR(__xludf.DUMMYFUNCTION("""COMPUTED_VALUE"""),"reallink")</f>
        <v>reallink</v>
      </c>
      <c r="B9962" s="4" t="str">
        <f>IFERROR(__xludf.DUMMYFUNCTION("""COMPUTED_VALUE"""),"real")</f>
        <v>real</v>
      </c>
      <c r="C9962" s="4" t="str">
        <f>IFERROR(__xludf.DUMMYFUNCTION("""COMPUTED_VALUE"""),"RealLink")</f>
        <v>RealLink</v>
      </c>
    </row>
    <row r="9963">
      <c r="A9963" s="4" t="str">
        <f>IFERROR(__xludf.DUMMYFUNCTION("""COMPUTED_VALUE"""),"realm")</f>
        <v>realm</v>
      </c>
      <c r="B9963" s="4" t="str">
        <f>IFERROR(__xludf.DUMMYFUNCTION("""COMPUTED_VALUE"""),"realm")</f>
        <v>realm</v>
      </c>
      <c r="C9963" s="4" t="str">
        <f>IFERROR(__xludf.DUMMYFUNCTION("""COMPUTED_VALUE"""),"Realm")</f>
        <v>Realm</v>
      </c>
    </row>
    <row r="9964">
      <c r="A9964" s="4" t="str">
        <f>IFERROR(__xludf.DUMMYFUNCTION("""COMPUTED_VALUE"""),"realmoneyworld")</f>
        <v>realmoneyworld</v>
      </c>
      <c r="B9964" s="4" t="str">
        <f>IFERROR(__xludf.DUMMYFUNCTION("""COMPUTED_VALUE"""),"rmw")</f>
        <v>rmw</v>
      </c>
      <c r="C9964" s="4" t="str">
        <f>IFERROR(__xludf.DUMMYFUNCTION("""COMPUTED_VALUE"""),"RealMoneyWorld")</f>
        <v>RealMoneyWorld</v>
      </c>
    </row>
    <row r="9965">
      <c r="A9965" s="4" t="str">
        <f>IFERROR(__xludf.DUMMYFUNCTION("""COMPUTED_VALUE"""),"real-realm")</f>
        <v>real-realm</v>
      </c>
      <c r="B9965" s="4" t="str">
        <f>IFERROR(__xludf.DUMMYFUNCTION("""COMPUTED_VALUE"""),"real")</f>
        <v>real</v>
      </c>
      <c r="C9965" s="4" t="str">
        <f>IFERROR(__xludf.DUMMYFUNCTION("""COMPUTED_VALUE"""),"Real Realm")</f>
        <v>Real Realm</v>
      </c>
    </row>
    <row r="9966">
      <c r="A9966" s="4" t="str">
        <f>IFERROR(__xludf.DUMMYFUNCTION("""COMPUTED_VALUE"""),"real-smurf-cat")</f>
        <v>real-smurf-cat</v>
      </c>
      <c r="B9966" s="4" t="str">
        <f>IFERROR(__xludf.DUMMYFUNCTION("""COMPUTED_VALUE"""),"smurfcat")</f>
        <v>smurfcat</v>
      </c>
      <c r="C9966" s="4" t="str">
        <f>IFERROR(__xludf.DUMMYFUNCTION("""COMPUTED_VALUE"""),"Real Smurf Cat")</f>
        <v>Real Smurf Cat</v>
      </c>
    </row>
    <row r="9967">
      <c r="A9967" s="4" t="str">
        <f>IFERROR(__xludf.DUMMYFUNCTION("""COMPUTED_VALUE"""),"real-smurf-cat-2")</f>
        <v>real-smurf-cat-2</v>
      </c>
      <c r="B9967" s="4" t="str">
        <f>IFERROR(__xludf.DUMMYFUNCTION("""COMPUTED_VALUE"""),"smurf")</f>
        <v>smurf</v>
      </c>
      <c r="C9967" s="4" t="str">
        <f>IFERROR(__xludf.DUMMYFUNCTION("""COMPUTED_VALUE"""),"Real Smurf Cat-шайлушай")</f>
        <v>Real Smurf Cat-шайлушай</v>
      </c>
    </row>
    <row r="9968">
      <c r="A9968" s="4" t="str">
        <f>IFERROR(__xludf.DUMMYFUNCTION("""COMPUTED_VALUE"""),"real-smurf-cat-bsc")</f>
        <v>real-smurf-cat-bsc</v>
      </c>
      <c r="B9968" s="4" t="str">
        <f>IFERROR(__xludf.DUMMYFUNCTION("""COMPUTED_VALUE"""),"шайлушай")</f>
        <v>шайлушай</v>
      </c>
      <c r="C9968" s="4" t="str">
        <f>IFERROR(__xludf.DUMMYFUNCTION("""COMPUTED_VALUE"""),"Real Smurf Cat BSC")</f>
        <v>Real Smurf Cat BSC</v>
      </c>
    </row>
    <row r="9969">
      <c r="A9969" s="4" t="str">
        <f>IFERROR(__xludf.DUMMYFUNCTION("""COMPUTED_VALUE"""),"real-sociedad-fan-token")</f>
        <v>real-sociedad-fan-token</v>
      </c>
      <c r="B9969" s="4" t="str">
        <f>IFERROR(__xludf.DUMMYFUNCTION("""COMPUTED_VALUE"""),"rso")</f>
        <v>rso</v>
      </c>
      <c r="C9969" s="4" t="str">
        <f>IFERROR(__xludf.DUMMYFUNCTION("""COMPUTED_VALUE"""),"Real Sociedad Fan Token")</f>
        <v>Real Sociedad Fan Token</v>
      </c>
    </row>
    <row r="9970">
      <c r="A9970" s="4" t="str">
        <f>IFERROR(__xludf.DUMMYFUNCTION("""COMPUTED_VALUE"""),"real-strawberry-elephant")</f>
        <v>real-strawberry-elephant</v>
      </c>
      <c r="B9970" s="4" t="str">
        <f>IFERROR(__xludf.DUMMYFUNCTION("""COMPUTED_VALUE"""),"صباح الفرو")</f>
        <v>صباح الفرو</v>
      </c>
      <c r="C9970" s="4" t="str">
        <f>IFERROR(__xludf.DUMMYFUNCTION("""COMPUTED_VALUE"""),"Real Strawberry Elephant")</f>
        <v>Real Strawberry Elephant</v>
      </c>
    </row>
    <row r="9971">
      <c r="A9971" s="4" t="str">
        <f>IFERROR(__xludf.DUMMYFUNCTION("""COMPUTED_VALUE"""),"real-tok")</f>
        <v>real-tok</v>
      </c>
      <c r="B9971" s="4" t="str">
        <f>IFERROR(__xludf.DUMMYFUNCTION("""COMPUTED_VALUE"""),"rlto")</f>
        <v>rlto</v>
      </c>
      <c r="C9971" s="4" t="str">
        <f>IFERROR(__xludf.DUMMYFUNCTION("""COMPUTED_VALUE"""),"REAL-TOK")</f>
        <v>REAL-TOK</v>
      </c>
    </row>
    <row r="9972">
      <c r="A9972" s="4" t="str">
        <f>IFERROR(__xludf.DUMMYFUNCTION("""COMPUTED_VALUE"""),"real-usd")</f>
        <v>real-usd</v>
      </c>
      <c r="B9972" s="4" t="str">
        <f>IFERROR(__xludf.DUMMYFUNCTION("""COMPUTED_VALUE"""),"usdr")</f>
        <v>usdr</v>
      </c>
      <c r="C9972" s="4" t="str">
        <f>IFERROR(__xludf.DUMMYFUNCTION("""COMPUTED_VALUE"""),"Real USD")</f>
        <v>Real USD</v>
      </c>
    </row>
    <row r="9973">
      <c r="A9973" s="4" t="str">
        <f>IFERROR(__xludf.DUMMYFUNCTION("""COMPUTED_VALUE"""),"realvirm")</f>
        <v>realvirm</v>
      </c>
      <c r="B9973" s="4" t="str">
        <f>IFERROR(__xludf.DUMMYFUNCTION("""COMPUTED_VALUE"""),"rvm")</f>
        <v>rvm</v>
      </c>
      <c r="C9973" s="4" t="str">
        <f>IFERROR(__xludf.DUMMYFUNCTION("""COMPUTED_VALUE"""),"Realvirm")</f>
        <v>Realvirm</v>
      </c>
    </row>
    <row r="9974">
      <c r="A9974" s="4" t="str">
        <f>IFERROR(__xludf.DUMMYFUNCTION("""COMPUTED_VALUE"""),"real-world-abs")</f>
        <v>real-world-abs</v>
      </c>
      <c r="B9974" s="4" t="str">
        <f>IFERROR(__xludf.DUMMYFUNCTION("""COMPUTED_VALUE"""),"rwa")</f>
        <v>rwa</v>
      </c>
      <c r="C9974" s="4" t="str">
        <f>IFERROR(__xludf.DUMMYFUNCTION("""COMPUTED_VALUE"""),"Real World Abs")</f>
        <v>Real World Abs</v>
      </c>
    </row>
    <row r="9975">
      <c r="A9975" s="4" t="str">
        <f>IFERROR(__xludf.DUMMYFUNCTION("""COMPUTED_VALUE"""),"real-world-assets")</f>
        <v>real-world-assets</v>
      </c>
      <c r="B9975" s="4" t="str">
        <f>IFERROR(__xludf.DUMMYFUNCTION("""COMPUTED_VALUE"""),"rwa")</f>
        <v>rwa</v>
      </c>
      <c r="C9975" s="4" t="str">
        <f>IFERROR(__xludf.DUMMYFUNCTION("""COMPUTED_VALUE"""),"Real World Assets")</f>
        <v>Real World Assets</v>
      </c>
    </row>
    <row r="9976">
      <c r="A9976" s="4" t="str">
        <f>IFERROR(__xludf.DUMMYFUNCTION("""COMPUTED_VALUE"""),"realworldx")</f>
        <v>realworldx</v>
      </c>
      <c r="B9976" s="4" t="str">
        <f>IFERROR(__xludf.DUMMYFUNCTION("""COMPUTED_VALUE"""),"rwx")</f>
        <v>rwx</v>
      </c>
      <c r="C9976" s="4" t="str">
        <f>IFERROR(__xludf.DUMMYFUNCTION("""COMPUTED_VALUE"""),"RealWorldX")</f>
        <v>RealWorldX</v>
      </c>
    </row>
    <row r="9977">
      <c r="A9977" s="4" t="str">
        <f>IFERROR(__xludf.DUMMYFUNCTION("""COMPUTED_VALUE"""),"realy-metaverse")</f>
        <v>realy-metaverse</v>
      </c>
      <c r="B9977" s="4" t="str">
        <f>IFERROR(__xludf.DUMMYFUNCTION("""COMPUTED_VALUE"""),"real")</f>
        <v>real</v>
      </c>
      <c r="C9977" s="4" t="str">
        <f>IFERROR(__xludf.DUMMYFUNCTION("""COMPUTED_VALUE"""),"Realy Metaverse")</f>
        <v>Realy Metaverse</v>
      </c>
    </row>
    <row r="9978">
      <c r="A9978" s="4" t="str">
        <f>IFERROR(__xludf.DUMMYFUNCTION("""COMPUTED_VALUE"""),"reapchain")</f>
        <v>reapchain</v>
      </c>
      <c r="B9978" s="4" t="str">
        <f>IFERROR(__xludf.DUMMYFUNCTION("""COMPUTED_VALUE"""),"reap")</f>
        <v>reap</v>
      </c>
      <c r="C9978" s="4" t="str">
        <f>IFERROR(__xludf.DUMMYFUNCTION("""COMPUTED_VALUE"""),"ReapChain")</f>
        <v>ReapChain</v>
      </c>
    </row>
    <row r="9979">
      <c r="A9979" s="4" t="str">
        <f>IFERROR(__xludf.DUMMYFUNCTION("""COMPUTED_VALUE"""),"reaper-token")</f>
        <v>reaper-token</v>
      </c>
      <c r="B9979" s="4" t="str">
        <f>IFERROR(__xludf.DUMMYFUNCTION("""COMPUTED_VALUE"""),"reaper")</f>
        <v>reaper</v>
      </c>
      <c r="C9979" s="4" t="str">
        <f>IFERROR(__xludf.DUMMYFUNCTION("""COMPUTED_VALUE"""),"Reaper")</f>
        <v>Reaper</v>
      </c>
    </row>
    <row r="9980">
      <c r="A9980" s="4" t="str">
        <f>IFERROR(__xludf.DUMMYFUNCTION("""COMPUTED_VALUE"""),"rebase-base")</f>
        <v>rebase-base</v>
      </c>
      <c r="B9980" s="4" t="str">
        <f>IFERROR(__xludf.DUMMYFUNCTION("""COMPUTED_VALUE"""),"rebase")</f>
        <v>rebase</v>
      </c>
      <c r="C9980" s="4" t="str">
        <f>IFERROR(__xludf.DUMMYFUNCTION("""COMPUTED_VALUE"""),"Rebase")</f>
        <v>Rebase</v>
      </c>
    </row>
    <row r="9981">
      <c r="A9981" s="4" t="str">
        <f>IFERROR(__xludf.DUMMYFUNCTION("""COMPUTED_VALUE"""),"rebasechain")</f>
        <v>rebasechain</v>
      </c>
      <c r="B9981" s="4" t="str">
        <f>IFERROR(__xludf.DUMMYFUNCTION("""COMPUTED_VALUE"""),"base")</f>
        <v>base</v>
      </c>
      <c r="C9981" s="4" t="str">
        <f>IFERROR(__xludf.DUMMYFUNCTION("""COMPUTED_VALUE"""),"ReBaseChain")</f>
        <v>ReBaseChain</v>
      </c>
    </row>
    <row r="9982">
      <c r="A9982" s="4" t="str">
        <f>IFERROR(__xludf.DUMMYFUNCTION("""COMPUTED_VALUE"""),"rebase-gg-irl")</f>
        <v>rebase-gg-irl</v>
      </c>
      <c r="B9982" s="4" t="str">
        <f>IFERROR(__xludf.DUMMYFUNCTION("""COMPUTED_VALUE"""),"$irl")</f>
        <v>$irl</v>
      </c>
      <c r="C9982" s="4" t="str">
        <f>IFERROR(__xludf.DUMMYFUNCTION("""COMPUTED_VALUE"""),"Rebase GG IRL")</f>
        <v>Rebase GG IRL</v>
      </c>
    </row>
    <row r="9983">
      <c r="A9983" s="4" t="str">
        <f>IFERROR(__xludf.DUMMYFUNCTION("""COMPUTED_VALUE"""),"rebasing-tbt")</f>
        <v>rebasing-tbt</v>
      </c>
      <c r="B9983" s="4" t="str">
        <f>IFERROR(__xludf.DUMMYFUNCTION("""COMPUTED_VALUE"""),"tbt")</f>
        <v>tbt</v>
      </c>
      <c r="C9983" s="4" t="str">
        <f>IFERROR(__xludf.DUMMYFUNCTION("""COMPUTED_VALUE"""),"Rebasing TBT")</f>
        <v>Rebasing TBT</v>
      </c>
    </row>
    <row r="9984">
      <c r="A9984" s="4" t="str">
        <f>IFERROR(__xludf.DUMMYFUNCTION("""COMPUTED_VALUE"""),"rebel-bots")</f>
        <v>rebel-bots</v>
      </c>
      <c r="B9984" s="4" t="str">
        <f>IFERROR(__xludf.DUMMYFUNCTION("""COMPUTED_VALUE"""),"rbls")</f>
        <v>rbls</v>
      </c>
      <c r="C9984" s="4" t="str">
        <f>IFERROR(__xludf.DUMMYFUNCTION("""COMPUTED_VALUE"""),"Rebel Bots")</f>
        <v>Rebel Bots</v>
      </c>
    </row>
    <row r="9985">
      <c r="A9985" s="4" t="str">
        <f>IFERROR(__xludf.DUMMYFUNCTION("""COMPUTED_VALUE"""),"rebel-bots-oil")</f>
        <v>rebel-bots-oil</v>
      </c>
      <c r="B9985" s="4" t="str">
        <f>IFERROR(__xludf.DUMMYFUNCTION("""COMPUTED_VALUE"""),"xoil")</f>
        <v>xoil</v>
      </c>
      <c r="C9985" s="4" t="str">
        <f>IFERROR(__xludf.DUMMYFUNCTION("""COMPUTED_VALUE"""),"Rebel Bots Oil")</f>
        <v>Rebel Bots Oil</v>
      </c>
    </row>
    <row r="9986">
      <c r="A9986" s="4" t="str">
        <f>IFERROR(__xludf.DUMMYFUNCTION("""COMPUTED_VALUE"""),"rebirth-protocol")</f>
        <v>rebirth-protocol</v>
      </c>
      <c r="B9986" s="4" t="str">
        <f>IFERROR(__xludf.DUMMYFUNCTION("""COMPUTED_VALUE"""),"rbh")</f>
        <v>rbh</v>
      </c>
      <c r="C9986" s="4" t="str">
        <f>IFERROR(__xludf.DUMMYFUNCTION("""COMPUTED_VALUE"""),"Rebirth Protocol")</f>
        <v>Rebirth Protocol</v>
      </c>
    </row>
    <row r="9987">
      <c r="A9987" s="4" t="str">
        <f>IFERROR(__xludf.DUMMYFUNCTION("""COMPUTED_VALUE"""),"reboot")</f>
        <v>reboot</v>
      </c>
      <c r="B9987" s="4" t="str">
        <f>IFERROR(__xludf.DUMMYFUNCTION("""COMPUTED_VALUE"""),"gg")</f>
        <v>gg</v>
      </c>
      <c r="C9987" s="4" t="str">
        <f>IFERROR(__xludf.DUMMYFUNCTION("""COMPUTED_VALUE"""),"Reboot")</f>
        <v>Reboot</v>
      </c>
    </row>
    <row r="9988">
      <c r="A9988" s="4" t="str">
        <f>IFERROR(__xludf.DUMMYFUNCTION("""COMPUTED_VALUE"""),"reboot-world")</f>
        <v>reboot-world</v>
      </c>
      <c r="B9988" s="4" t="str">
        <f>IFERROR(__xludf.DUMMYFUNCTION("""COMPUTED_VALUE"""),"rbt")</f>
        <v>rbt</v>
      </c>
      <c r="C9988" s="4" t="str">
        <f>IFERROR(__xludf.DUMMYFUNCTION("""COMPUTED_VALUE"""),"Reboot World")</f>
        <v>Reboot World</v>
      </c>
    </row>
    <row r="9989">
      <c r="A9989" s="4" t="str">
        <f>IFERROR(__xludf.DUMMYFUNCTION("""COMPUTED_VALUE"""),"rebus")</f>
        <v>rebus</v>
      </c>
      <c r="B9989" s="4" t="str">
        <f>IFERROR(__xludf.DUMMYFUNCTION("""COMPUTED_VALUE"""),"rebus")</f>
        <v>rebus</v>
      </c>
      <c r="C9989" s="4" t="str">
        <f>IFERROR(__xludf.DUMMYFUNCTION("""COMPUTED_VALUE"""),"Rebus")</f>
        <v>Rebus</v>
      </c>
    </row>
    <row r="9990">
      <c r="A9990" s="4" t="str">
        <f>IFERROR(__xludf.DUMMYFUNCTION("""COMPUTED_VALUE"""),"recast1")</f>
        <v>recast1</v>
      </c>
      <c r="B9990" s="4" t="str">
        <f>IFERROR(__xludf.DUMMYFUNCTION("""COMPUTED_VALUE"""),"r1")</f>
        <v>r1</v>
      </c>
      <c r="C9990" s="4" t="str">
        <f>IFERROR(__xludf.DUMMYFUNCTION("""COMPUTED_VALUE"""),"Recast1")</f>
        <v>Recast1</v>
      </c>
    </row>
    <row r="9991">
      <c r="A9991" s="4" t="str">
        <f>IFERROR(__xludf.DUMMYFUNCTION("""COMPUTED_VALUE"""),"recharge")</f>
        <v>recharge</v>
      </c>
      <c r="B9991" s="4" t="str">
        <f>IFERROR(__xludf.DUMMYFUNCTION("""COMPUTED_VALUE"""),"rcg")</f>
        <v>rcg</v>
      </c>
      <c r="C9991" s="4" t="str">
        <f>IFERROR(__xludf.DUMMYFUNCTION("""COMPUTED_VALUE"""),"Recharge")</f>
        <v>Recharge</v>
      </c>
    </row>
    <row r="9992">
      <c r="A9992" s="4" t="str">
        <f>IFERROR(__xludf.DUMMYFUNCTION("""COMPUTED_VALUE"""),"recoverydao")</f>
        <v>recoverydao</v>
      </c>
      <c r="B9992" s="4" t="str">
        <f>IFERROR(__xludf.DUMMYFUNCTION("""COMPUTED_VALUE"""),"rec")</f>
        <v>rec</v>
      </c>
      <c r="C9992" s="4" t="str">
        <f>IFERROR(__xludf.DUMMYFUNCTION("""COMPUTED_VALUE"""),"RecoveryDAO")</f>
        <v>RecoveryDAO</v>
      </c>
    </row>
    <row r="9993">
      <c r="A9993" s="4" t="str">
        <f>IFERROR(__xludf.DUMMYFUNCTION("""COMPUTED_VALUE"""),"recovery-right-token")</f>
        <v>recovery-right-token</v>
      </c>
      <c r="B9993" s="4" t="str">
        <f>IFERROR(__xludf.DUMMYFUNCTION("""COMPUTED_VALUE"""),"rrt")</f>
        <v>rrt</v>
      </c>
      <c r="C9993" s="4" t="str">
        <f>IFERROR(__xludf.DUMMYFUNCTION("""COMPUTED_VALUE"""),"Recovery Right")</f>
        <v>Recovery Right</v>
      </c>
    </row>
    <row r="9994">
      <c r="A9994" s="4" t="str">
        <f>IFERROR(__xludf.DUMMYFUNCTION("""COMPUTED_VALUE"""),"rectangle-finance")</f>
        <v>rectangle-finance</v>
      </c>
      <c r="B9994" s="4" t="str">
        <f>IFERROR(__xludf.DUMMYFUNCTION("""COMPUTED_VALUE"""),"rtg")</f>
        <v>rtg</v>
      </c>
      <c r="C9994" s="4" t="str">
        <f>IFERROR(__xludf.DUMMYFUNCTION("""COMPUTED_VALUE"""),"Rectangle Finance")</f>
        <v>Rectangle Finance</v>
      </c>
    </row>
    <row r="9995">
      <c r="A9995" s="4" t="str">
        <f>IFERROR(__xludf.DUMMYFUNCTION("""COMPUTED_VALUE"""),"rectime")</f>
        <v>rectime</v>
      </c>
      <c r="B9995" s="4" t="str">
        <f>IFERROR(__xludf.DUMMYFUNCTION("""COMPUTED_VALUE"""),"rtime")</f>
        <v>rtime</v>
      </c>
      <c r="C9995" s="4" t="str">
        <f>IFERROR(__xludf.DUMMYFUNCTION("""COMPUTED_VALUE"""),"RecTime")</f>
        <v>RecTime</v>
      </c>
    </row>
    <row r="9996">
      <c r="A9996" s="4" t="str">
        <f>IFERROR(__xludf.DUMMYFUNCTION("""COMPUTED_VALUE"""),"recycle-impact-world-association")</f>
        <v>recycle-impact-world-association</v>
      </c>
      <c r="B9996" s="4" t="str">
        <f>IFERROR(__xludf.DUMMYFUNCTION("""COMPUTED_VALUE"""),"riwa")</f>
        <v>riwa</v>
      </c>
      <c r="C9996" s="4" t="str">
        <f>IFERROR(__xludf.DUMMYFUNCTION("""COMPUTED_VALUE"""),"Recycle Impact World Association")</f>
        <v>Recycle Impact World Association</v>
      </c>
    </row>
    <row r="9997">
      <c r="A9997" s="4" t="str">
        <f>IFERROR(__xludf.DUMMYFUNCTION("""COMPUTED_VALUE"""),"recycle-x")</f>
        <v>recycle-x</v>
      </c>
      <c r="B9997" s="4" t="str">
        <f>IFERROR(__xludf.DUMMYFUNCTION("""COMPUTED_VALUE"""),"rcx")</f>
        <v>rcx</v>
      </c>
      <c r="C9997" s="4" t="str">
        <f>IFERROR(__xludf.DUMMYFUNCTION("""COMPUTED_VALUE"""),"Recycle-X")</f>
        <v>Recycle-X</v>
      </c>
    </row>
    <row r="9998">
      <c r="A9998" s="4" t="str">
        <f>IFERROR(__xludf.DUMMYFUNCTION("""COMPUTED_VALUE"""),"red")</f>
        <v>red</v>
      </c>
      <c r="B9998" s="4" t="str">
        <f>IFERROR(__xludf.DUMMYFUNCTION("""COMPUTED_VALUE"""),"red")</f>
        <v>red</v>
      </c>
      <c r="C9998" s="4" t="str">
        <f>IFERROR(__xludf.DUMMYFUNCTION("""COMPUTED_VALUE"""),"Red")</f>
        <v>Red</v>
      </c>
    </row>
    <row r="9999">
      <c r="A9999" s="4" t="str">
        <f>IFERROR(__xludf.DUMMYFUNCTION("""COMPUTED_VALUE"""),"redacted")</f>
        <v>redacted</v>
      </c>
      <c r="B9999" s="4" t="str">
        <f>IFERROR(__xludf.DUMMYFUNCTION("""COMPUTED_VALUE"""),"btrfly")</f>
        <v>btrfly</v>
      </c>
      <c r="C9999" s="4" t="str">
        <f>IFERROR(__xludf.DUMMYFUNCTION("""COMPUTED_VALUE"""),"Redacted")</f>
        <v>Redacted</v>
      </c>
    </row>
    <row r="10000">
      <c r="A10000" s="4" t="str">
        <f>IFERROR(__xludf.DUMMYFUNCTION("""COMPUTED_VALUE"""),"redancoin")</f>
        <v>redancoin</v>
      </c>
      <c r="B10000" s="4" t="str">
        <f>IFERROR(__xludf.DUMMYFUNCTION("""COMPUTED_VALUE"""),"redan")</f>
        <v>redan</v>
      </c>
      <c r="C10000" s="4" t="str">
        <f>IFERROR(__xludf.DUMMYFUNCTION("""COMPUTED_VALUE"""),"REDANCOIN")</f>
        <v>REDANCOIN</v>
      </c>
    </row>
    <row r="10001">
      <c r="A10001" s="4" t="str">
        <f>IFERROR(__xludf.DUMMYFUNCTION("""COMPUTED_VALUE"""),"redbelly-network-token")</f>
        <v>redbelly-network-token</v>
      </c>
      <c r="B10001" s="4" t="str">
        <f>IFERROR(__xludf.DUMMYFUNCTION("""COMPUTED_VALUE"""),"rbnt")</f>
        <v>rbnt</v>
      </c>
      <c r="C10001" s="4" t="str">
        <f>IFERROR(__xludf.DUMMYFUNCTION("""COMPUTED_VALUE"""),"Redbelly Network Token")</f>
        <v>Redbelly Network Token</v>
      </c>
    </row>
    <row r="10002">
      <c r="A10002" s="4" t="str">
        <f>IFERROR(__xludf.DUMMYFUNCTION("""COMPUTED_VALUE"""),"reddcoin")</f>
        <v>reddcoin</v>
      </c>
      <c r="B10002" s="4" t="str">
        <f>IFERROR(__xludf.DUMMYFUNCTION("""COMPUTED_VALUE"""),"rdd")</f>
        <v>rdd</v>
      </c>
      <c r="C10002" s="4" t="str">
        <f>IFERROR(__xludf.DUMMYFUNCTION("""COMPUTED_VALUE"""),"Reddcoin")</f>
        <v>Reddcoin</v>
      </c>
    </row>
    <row r="10003">
      <c r="A10003" s="4" t="str">
        <f>IFERROR(__xludf.DUMMYFUNCTION("""COMPUTED_VALUE"""),"reddit")</f>
        <v>reddit</v>
      </c>
      <c r="B10003" s="4" t="str">
        <f>IFERROR(__xludf.DUMMYFUNCTION("""COMPUTED_VALUE"""),"reddit")</f>
        <v>reddit</v>
      </c>
      <c r="C10003" s="4" t="str">
        <f>IFERROR(__xludf.DUMMYFUNCTION("""COMPUTED_VALUE"""),"Reddit")</f>
        <v>Reddit</v>
      </c>
    </row>
    <row r="10004">
      <c r="A10004" s="4" t="str">
        <f>IFERROR(__xludf.DUMMYFUNCTION("""COMPUTED_VALUE"""),"redemption-finance")</f>
        <v>redemption-finance</v>
      </c>
      <c r="B10004" s="4" t="str">
        <f>IFERROR(__xludf.DUMMYFUNCTION("""COMPUTED_VALUE"""),"rdmp")</f>
        <v>rdmp</v>
      </c>
      <c r="C10004" s="4" t="str">
        <f>IFERROR(__xludf.DUMMYFUNCTION("""COMPUTED_VALUE"""),"Redemption Finance")</f>
        <v>Redemption Finance</v>
      </c>
    </row>
    <row r="10005">
      <c r="A10005" s="4" t="str">
        <f>IFERROR(__xludf.DUMMYFUNCTION("""COMPUTED_VALUE"""),"redemption-token")</f>
        <v>redemption-token</v>
      </c>
      <c r="B10005" s="4" t="str">
        <f>IFERROR(__xludf.DUMMYFUNCTION("""COMPUTED_VALUE"""),"rdtn")</f>
        <v>rdtn</v>
      </c>
      <c r="C10005" s="4" t="str">
        <f>IFERROR(__xludf.DUMMYFUNCTION("""COMPUTED_VALUE"""),"Redemption Token")</f>
        <v>Redemption Token</v>
      </c>
    </row>
    <row r="10006">
      <c r="A10006" s="4" t="str">
        <f>IFERROR(__xludf.DUMMYFUNCTION("""COMPUTED_VALUE"""),"red-falcon")</f>
        <v>red-falcon</v>
      </c>
      <c r="B10006" s="4" t="str">
        <f>IFERROR(__xludf.DUMMYFUNCTION("""COMPUTED_VALUE"""),"rfn")</f>
        <v>rfn</v>
      </c>
      <c r="C10006" s="4" t="str">
        <f>IFERROR(__xludf.DUMMYFUNCTION("""COMPUTED_VALUE"""),"Red Falcon")</f>
        <v>Red Falcon</v>
      </c>
    </row>
    <row r="10007">
      <c r="A10007" s="4" t="str">
        <f>IFERROR(__xludf.DUMMYFUNCTION("""COMPUTED_VALUE"""),"redfeg")</f>
        <v>redfeg</v>
      </c>
      <c r="B10007" s="4" t="str">
        <f>IFERROR(__xludf.DUMMYFUNCTION("""COMPUTED_VALUE"""),"redfeg")</f>
        <v>redfeg</v>
      </c>
      <c r="C10007" s="4" t="str">
        <f>IFERROR(__xludf.DUMMYFUNCTION("""COMPUTED_VALUE"""),"RedFeg")</f>
        <v>RedFeg</v>
      </c>
    </row>
    <row r="10008">
      <c r="A10008" s="4" t="str">
        <f>IFERROR(__xludf.DUMMYFUNCTION("""COMPUTED_VALUE"""),"redfireants")</f>
        <v>redfireants</v>
      </c>
      <c r="B10008" s="4" t="str">
        <f>IFERROR(__xludf.DUMMYFUNCTION("""COMPUTED_VALUE"""),"rants")</f>
        <v>rants</v>
      </c>
      <c r="C10008" s="4" t="str">
        <f>IFERROR(__xludf.DUMMYFUNCTION("""COMPUTED_VALUE"""),"redFireAnts")</f>
        <v>redFireAnts</v>
      </c>
    </row>
    <row r="10009">
      <c r="A10009" s="4" t="str">
        <f>IFERROR(__xludf.DUMMYFUNCTION("""COMPUTED_VALUE"""),"red-floki-ceo")</f>
        <v>red-floki-ceo</v>
      </c>
      <c r="B10009" s="4" t="str">
        <f>IFERROR(__xludf.DUMMYFUNCTION("""COMPUTED_VALUE"""),"redflokiceo")</f>
        <v>redflokiceo</v>
      </c>
      <c r="C10009" s="4" t="str">
        <f>IFERROR(__xludf.DUMMYFUNCTION("""COMPUTED_VALUE"""),"Red Floki CEO")</f>
        <v>Red Floki CEO</v>
      </c>
    </row>
    <row r="10010">
      <c r="A10010" s="4" t="str">
        <f>IFERROR(__xludf.DUMMYFUNCTION("""COMPUTED_VALUE"""),"redfox-labs-2")</f>
        <v>redfox-labs-2</v>
      </c>
      <c r="B10010" s="4" t="str">
        <f>IFERROR(__xludf.DUMMYFUNCTION("""COMPUTED_VALUE"""),"rfox")</f>
        <v>rfox</v>
      </c>
      <c r="C10010" s="4" t="str">
        <f>IFERROR(__xludf.DUMMYFUNCTION("""COMPUTED_VALUE"""),"RFOX")</f>
        <v>RFOX</v>
      </c>
    </row>
    <row r="10011">
      <c r="A10011" s="4" t="str">
        <f>IFERROR(__xludf.DUMMYFUNCTION("""COMPUTED_VALUE"""),"red-hat-games")</f>
        <v>red-hat-games</v>
      </c>
      <c r="B10011" s="4" t="str">
        <f>IFERROR(__xludf.DUMMYFUNCTION("""COMPUTED_VALUE"""),"agame")</f>
        <v>agame</v>
      </c>
      <c r="C10011" s="4" t="str">
        <f>IFERROR(__xludf.DUMMYFUNCTION("""COMPUTED_VALUE"""),"Red Hat Games")</f>
        <v>Red Hat Games</v>
      </c>
    </row>
    <row r="10012">
      <c r="A10012" s="4" t="str">
        <f>IFERROR(__xludf.DUMMYFUNCTION("""COMPUTED_VALUE"""),"redneckmountaindew")</f>
        <v>redneckmountaindew</v>
      </c>
      <c r="B10012" s="4" t="str">
        <f>IFERROR(__xludf.DUMMYFUNCTION("""COMPUTED_VALUE"""),"rmd")</f>
        <v>rmd</v>
      </c>
      <c r="C10012" s="4" t="str">
        <f>IFERROR(__xludf.DUMMYFUNCTION("""COMPUTED_VALUE"""),"RedneckMountainDew")</f>
        <v>RedneckMountainDew</v>
      </c>
    </row>
    <row r="10013">
      <c r="A10013" s="4" t="str">
        <f>IFERROR(__xludf.DUMMYFUNCTION("""COMPUTED_VALUE"""),"red-pepe")</f>
        <v>red-pepe</v>
      </c>
      <c r="B10013" s="4" t="str">
        <f>IFERROR(__xludf.DUMMYFUNCTION("""COMPUTED_VALUE"""),"redpepe")</f>
        <v>redpepe</v>
      </c>
      <c r="C10013" s="4" t="str">
        <f>IFERROR(__xludf.DUMMYFUNCTION("""COMPUTED_VALUE"""),"Red Pepe")</f>
        <v>Red Pepe</v>
      </c>
    </row>
    <row r="10014">
      <c r="A10014" s="4" t="str">
        <f>IFERROR(__xludf.DUMMYFUNCTION("""COMPUTED_VALUE"""),"red-pepe-2")</f>
        <v>red-pepe-2</v>
      </c>
      <c r="B10014" s="4" t="str">
        <f>IFERROR(__xludf.DUMMYFUNCTION("""COMPUTED_VALUE"""),"rpepe")</f>
        <v>rpepe</v>
      </c>
      <c r="C10014" s="4" t="str">
        <f>IFERROR(__xludf.DUMMYFUNCTION("""COMPUTED_VALUE"""),"Red Pepe")</f>
        <v>Red Pepe</v>
      </c>
    </row>
    <row r="10015">
      <c r="A10015" s="4" t="str">
        <f>IFERROR(__xludf.DUMMYFUNCTION("""COMPUTED_VALUE"""),"red-pill-2")</f>
        <v>red-pill-2</v>
      </c>
      <c r="B10015" s="4" t="str">
        <f>IFERROR(__xludf.DUMMYFUNCTION("""COMPUTED_VALUE"""),"rpill")</f>
        <v>rpill</v>
      </c>
      <c r="C10015" s="4" t="str">
        <f>IFERROR(__xludf.DUMMYFUNCTION("""COMPUTED_VALUE"""),"Red Pill")</f>
        <v>Red Pill</v>
      </c>
    </row>
    <row r="10016">
      <c r="A10016" s="4" t="str">
        <f>IFERROR(__xludf.DUMMYFUNCTION("""COMPUTED_VALUE"""),"red-ponzi-gud")</f>
        <v>red-ponzi-gud</v>
      </c>
      <c r="B10016" s="4" t="str">
        <f>IFERROR(__xludf.DUMMYFUNCTION("""COMPUTED_VALUE"""),"rpg")</f>
        <v>rpg</v>
      </c>
      <c r="C10016" s="4" t="str">
        <f>IFERROR(__xludf.DUMMYFUNCTION("""COMPUTED_VALUE"""),"Red Ponzi Gud")</f>
        <v>Red Ponzi Gud</v>
      </c>
    </row>
    <row r="10017">
      <c r="A10017" s="4" t="str">
        <f>IFERROR(__xludf.DUMMYFUNCTION("""COMPUTED_VALUE"""),"red-pulse")</f>
        <v>red-pulse</v>
      </c>
      <c r="B10017" s="4" t="str">
        <f>IFERROR(__xludf.DUMMYFUNCTION("""COMPUTED_VALUE"""),"phb")</f>
        <v>phb</v>
      </c>
      <c r="C10017" s="4" t="str">
        <f>IFERROR(__xludf.DUMMYFUNCTION("""COMPUTED_VALUE"""),"Phoenix Global [OLD]")</f>
        <v>Phoenix Global [OLD]</v>
      </c>
    </row>
    <row r="10018">
      <c r="A10018" s="4" t="str">
        <f>IFERROR(__xludf.DUMMYFUNCTION("""COMPUTED_VALUE"""),"red-team")</f>
        <v>red-team</v>
      </c>
      <c r="B10018" s="4" t="str">
        <f>IFERROR(__xludf.DUMMYFUNCTION("""COMPUTED_VALUE"""),"red")</f>
        <v>red</v>
      </c>
      <c r="C10018" s="4" t="str">
        <f>IFERROR(__xludf.DUMMYFUNCTION("""COMPUTED_VALUE"""),"Red Team")</f>
        <v>Red Team</v>
      </c>
    </row>
    <row r="10019">
      <c r="A10019" s="4" t="str">
        <f>IFERROR(__xludf.DUMMYFUNCTION("""COMPUTED_VALUE"""),"red-the-mal")</f>
        <v>red-the-mal</v>
      </c>
      <c r="B10019" s="4" t="str">
        <f>IFERROR(__xludf.DUMMYFUNCTION("""COMPUTED_VALUE"""),"red")</f>
        <v>red</v>
      </c>
      <c r="C10019" s="4" t="str">
        <f>IFERROR(__xludf.DUMMYFUNCTION("""COMPUTED_VALUE"""),"Red The Mal")</f>
        <v>Red The Mal</v>
      </c>
    </row>
    <row r="10020">
      <c r="A10020" s="4" t="str">
        <f>IFERROR(__xludf.DUMMYFUNCTION("""COMPUTED_VALUE"""),"red-token")</f>
        <v>red-token</v>
      </c>
      <c r="B10020" s="4" t="str">
        <f>IFERROR(__xludf.DUMMYFUNCTION("""COMPUTED_VALUE"""),"red")</f>
        <v>red</v>
      </c>
      <c r="C10020" s="4" t="str">
        <f>IFERROR(__xludf.DUMMYFUNCTION("""COMPUTED_VALUE"""),"RED TOKEN")</f>
        <v>RED TOKEN</v>
      </c>
    </row>
    <row r="10021">
      <c r="A10021" s="4" t="str">
        <f>IFERROR(__xludf.DUMMYFUNCTION("""COMPUTED_VALUE"""),"reef")</f>
        <v>reef</v>
      </c>
      <c r="B10021" s="4" t="str">
        <f>IFERROR(__xludf.DUMMYFUNCTION("""COMPUTED_VALUE"""),"reef")</f>
        <v>reef</v>
      </c>
      <c r="C10021" s="4" t="str">
        <f>IFERROR(__xludf.DUMMYFUNCTION("""COMPUTED_VALUE"""),"Reef")</f>
        <v>Reef</v>
      </c>
    </row>
    <row r="10022">
      <c r="A10022" s="4" t="str">
        <f>IFERROR(__xludf.DUMMYFUNCTION("""COMPUTED_VALUE"""),"reelfi")</f>
        <v>reelfi</v>
      </c>
      <c r="B10022" s="4" t="str">
        <f>IFERROR(__xludf.DUMMYFUNCTION("""COMPUTED_VALUE"""),"reelfi")</f>
        <v>reelfi</v>
      </c>
      <c r="C10022" s="4" t="str">
        <f>IFERROR(__xludf.DUMMYFUNCTION("""COMPUTED_VALUE"""),"ReelFi")</f>
        <v>ReelFi</v>
      </c>
    </row>
    <row r="10023">
      <c r="A10023" s="4" t="str">
        <f>IFERROR(__xludf.DUMMYFUNCTION("""COMPUTED_VALUE"""),"reel-token")</f>
        <v>reel-token</v>
      </c>
      <c r="B10023" s="4" t="str">
        <f>IFERROR(__xludf.DUMMYFUNCTION("""COMPUTED_VALUE"""),"reelt")</f>
        <v>reelt</v>
      </c>
      <c r="C10023" s="4" t="str">
        <f>IFERROR(__xludf.DUMMYFUNCTION("""COMPUTED_VALUE"""),"Reel Token")</f>
        <v>Reel Token</v>
      </c>
    </row>
    <row r="10024">
      <c r="A10024" s="4" t="str">
        <f>IFERROR(__xludf.DUMMYFUNCTION("""COMPUTED_VALUE"""),"reental")</f>
        <v>reental</v>
      </c>
      <c r="B10024" s="4" t="str">
        <f>IFERROR(__xludf.DUMMYFUNCTION("""COMPUTED_VALUE"""),"rnt")</f>
        <v>rnt</v>
      </c>
      <c r="C10024" s="4" t="str">
        <f>IFERROR(__xludf.DUMMYFUNCTION("""COMPUTED_VALUE"""),"Reental")</f>
        <v>Reental</v>
      </c>
    </row>
    <row r="10025">
      <c r="A10025" s="4" t="str">
        <f>IFERROR(__xludf.DUMMYFUNCTION("""COMPUTED_VALUE"""),"refereum")</f>
        <v>refereum</v>
      </c>
      <c r="B10025" s="4" t="str">
        <f>IFERROR(__xludf.DUMMYFUNCTION("""COMPUTED_VALUE"""),"rfr")</f>
        <v>rfr</v>
      </c>
      <c r="C10025" s="4" t="str">
        <f>IFERROR(__xludf.DUMMYFUNCTION("""COMPUTED_VALUE"""),"Refereum")</f>
        <v>Refereum</v>
      </c>
    </row>
    <row r="10026">
      <c r="A10026" s="4" t="str">
        <f>IFERROR(__xludf.DUMMYFUNCTION("""COMPUTED_VALUE"""),"ref-finance")</f>
        <v>ref-finance</v>
      </c>
      <c r="B10026" s="4" t="str">
        <f>IFERROR(__xludf.DUMMYFUNCTION("""COMPUTED_VALUE"""),"ref")</f>
        <v>ref</v>
      </c>
      <c r="C10026" s="4" t="str">
        <f>IFERROR(__xludf.DUMMYFUNCTION("""COMPUTED_VALUE"""),"Ref Finance")</f>
        <v>Ref Finance</v>
      </c>
    </row>
    <row r="10027">
      <c r="A10027" s="4" t="str">
        <f>IFERROR(__xludf.DUMMYFUNCTION("""COMPUTED_VALUE"""),"refinable")</f>
        <v>refinable</v>
      </c>
      <c r="B10027" s="4" t="str">
        <f>IFERROR(__xludf.DUMMYFUNCTION("""COMPUTED_VALUE"""),"fine")</f>
        <v>fine</v>
      </c>
      <c r="C10027" s="4" t="str">
        <f>IFERROR(__xludf.DUMMYFUNCTION("""COMPUTED_VALUE"""),"Refinable")</f>
        <v>Refinable</v>
      </c>
    </row>
    <row r="10028">
      <c r="A10028" s="4" t="str">
        <f>IFERROR(__xludf.DUMMYFUNCTION("""COMPUTED_VALUE"""),"reflect-audit")</f>
        <v>reflect-audit</v>
      </c>
      <c r="B10028" s="4" t="str">
        <f>IFERROR(__xludf.DUMMYFUNCTION("""COMPUTED_VALUE"""),"ref")</f>
        <v>ref</v>
      </c>
      <c r="C10028" s="4" t="str">
        <f>IFERROR(__xludf.DUMMYFUNCTION("""COMPUTED_VALUE"""),"Reflect Audit")</f>
        <v>Reflect Audit</v>
      </c>
    </row>
    <row r="10029">
      <c r="A10029" s="4" t="str">
        <f>IFERROR(__xludf.DUMMYFUNCTION("""COMPUTED_VALUE"""),"reflect-finance")</f>
        <v>reflect-finance</v>
      </c>
      <c r="B10029" s="4" t="str">
        <f>IFERROR(__xludf.DUMMYFUNCTION("""COMPUTED_VALUE"""),"rfi")</f>
        <v>rfi</v>
      </c>
      <c r="C10029" s="4" t="str">
        <f>IFERROR(__xludf.DUMMYFUNCTION("""COMPUTED_VALUE"""),"reflect.finance")</f>
        <v>reflect.finance</v>
      </c>
    </row>
    <row r="10030">
      <c r="A10030" s="4" t="str">
        <f>IFERROR(__xludf.DUMMYFUNCTION("""COMPUTED_VALUE"""),"reflecto")</f>
        <v>reflecto</v>
      </c>
      <c r="B10030" s="4" t="str">
        <f>IFERROR(__xludf.DUMMYFUNCTION("""COMPUTED_VALUE"""),"rto")</f>
        <v>rto</v>
      </c>
      <c r="C10030" s="4" t="str">
        <f>IFERROR(__xludf.DUMMYFUNCTION("""COMPUTED_VALUE"""),"Reflecto")</f>
        <v>Reflecto</v>
      </c>
    </row>
    <row r="10031">
      <c r="A10031" s="4" t="str">
        <f>IFERROR(__xludf.DUMMYFUNCTION("""COMPUTED_VALUE"""),"reflex")</f>
        <v>reflex</v>
      </c>
      <c r="B10031" s="4" t="str">
        <f>IFERROR(__xludf.DUMMYFUNCTION("""COMPUTED_VALUE"""),"rfx")</f>
        <v>rfx</v>
      </c>
      <c r="C10031" s="4" t="str">
        <f>IFERROR(__xludf.DUMMYFUNCTION("""COMPUTED_VALUE"""),"Reflex")</f>
        <v>Reflex</v>
      </c>
    </row>
    <row r="10032">
      <c r="A10032" s="4" t="str">
        <f>IFERROR(__xludf.DUMMYFUNCTION("""COMPUTED_VALUE"""),"reflexer-ungovernance-token")</f>
        <v>reflexer-ungovernance-token</v>
      </c>
      <c r="B10032" s="4" t="str">
        <f>IFERROR(__xludf.DUMMYFUNCTION("""COMPUTED_VALUE"""),"flx")</f>
        <v>flx</v>
      </c>
      <c r="C10032" s="4" t="str">
        <f>IFERROR(__xludf.DUMMYFUNCTION("""COMPUTED_VALUE"""),"Reflexer Ungovernance")</f>
        <v>Reflexer Ungovernance</v>
      </c>
    </row>
    <row r="10033">
      <c r="A10033" s="4" t="str">
        <f>IFERROR(__xludf.DUMMYFUNCTION("""COMPUTED_VALUE"""),"refund")</f>
        <v>refund</v>
      </c>
      <c r="B10033" s="4" t="str">
        <f>IFERROR(__xludf.DUMMYFUNCTION("""COMPUTED_VALUE"""),"rfd")</f>
        <v>rfd</v>
      </c>
      <c r="C10033" s="4" t="str">
        <f>IFERROR(__xludf.DUMMYFUNCTION("""COMPUTED_VALUE"""),"Refund")</f>
        <v>Refund</v>
      </c>
    </row>
    <row r="10034">
      <c r="A10034" s="4" t="str">
        <f>IFERROR(__xludf.DUMMYFUNCTION("""COMPUTED_VALUE"""),"regen")</f>
        <v>regen</v>
      </c>
      <c r="B10034" s="4" t="str">
        <f>IFERROR(__xludf.DUMMYFUNCTION("""COMPUTED_VALUE"""),"regen")</f>
        <v>regen</v>
      </c>
      <c r="C10034" s="4" t="str">
        <f>IFERROR(__xludf.DUMMYFUNCTION("""COMPUTED_VALUE"""),"Regen")</f>
        <v>Regen</v>
      </c>
    </row>
    <row r="10035">
      <c r="A10035" s="4" t="str">
        <f>IFERROR(__xludf.DUMMYFUNCTION("""COMPUTED_VALUE"""),"regent-coin")</f>
        <v>regent-coin</v>
      </c>
      <c r="B10035" s="4" t="str">
        <f>IFERROR(__xludf.DUMMYFUNCTION("""COMPUTED_VALUE"""),"regent")</f>
        <v>regent</v>
      </c>
      <c r="C10035" s="4" t="str">
        <f>IFERROR(__xludf.DUMMYFUNCTION("""COMPUTED_VALUE"""),"Regent Coin")</f>
        <v>Regent Coin</v>
      </c>
    </row>
    <row r="10036">
      <c r="A10036" s="4" t="str">
        <f>IFERROR(__xludf.DUMMYFUNCTION("""COMPUTED_VALUE"""),"regularpresale")</f>
        <v>regularpresale</v>
      </c>
      <c r="B10036" s="4" t="str">
        <f>IFERROR(__xludf.DUMMYFUNCTION("""COMPUTED_VALUE"""),"regu")</f>
        <v>regu</v>
      </c>
      <c r="C10036" s="4" t="str">
        <f>IFERROR(__xludf.DUMMYFUNCTION("""COMPUTED_VALUE"""),"RegularPresale")</f>
        <v>RegularPresale</v>
      </c>
    </row>
    <row r="10037">
      <c r="A10037" s="4" t="str">
        <f>IFERROR(__xludf.DUMMYFUNCTION("""COMPUTED_VALUE"""),"reign-of-terror")</f>
        <v>reign-of-terror</v>
      </c>
      <c r="B10037" s="4" t="str">
        <f>IFERROR(__xludf.DUMMYFUNCTION("""COMPUTED_VALUE"""),"reign")</f>
        <v>reign</v>
      </c>
      <c r="C10037" s="4" t="str">
        <f>IFERROR(__xludf.DUMMYFUNCTION("""COMPUTED_VALUE"""),"Reign of Terror")</f>
        <v>Reign of Terror</v>
      </c>
    </row>
    <row r="10038">
      <c r="A10038" s="4" t="str">
        <f>IFERROR(__xludf.DUMMYFUNCTION("""COMPUTED_VALUE"""),"rei-network")</f>
        <v>rei-network</v>
      </c>
      <c r="B10038" s="4" t="str">
        <f>IFERROR(__xludf.DUMMYFUNCTION("""COMPUTED_VALUE"""),"rei")</f>
        <v>rei</v>
      </c>
      <c r="C10038" s="4" t="str">
        <f>IFERROR(__xludf.DUMMYFUNCTION("""COMPUTED_VALUE"""),"REI Network")</f>
        <v>REI Network</v>
      </c>
    </row>
    <row r="10039">
      <c r="A10039" s="4" t="str">
        <f>IFERROR(__xludf.DUMMYFUNCTION("""COMPUTED_VALUE"""),"rejuve-ai")</f>
        <v>rejuve-ai</v>
      </c>
      <c r="B10039" s="4" t="str">
        <f>IFERROR(__xludf.DUMMYFUNCTION("""COMPUTED_VALUE"""),"rjv")</f>
        <v>rjv</v>
      </c>
      <c r="C10039" s="5" t="str">
        <f>IFERROR(__xludf.DUMMYFUNCTION("""COMPUTED_VALUE"""),"Rejuve.AI")</f>
        <v>Rejuve.AI</v>
      </c>
    </row>
    <row r="10040">
      <c r="A10040" s="4" t="str">
        <f>IFERROR(__xludf.DUMMYFUNCTION("""COMPUTED_VALUE"""),"rekt-04bbe51a-e290-450a-afb5-b2b43b80b20e")</f>
        <v>rekt-04bbe51a-e290-450a-afb5-b2b43b80b20e</v>
      </c>
      <c r="B10040" s="4" t="str">
        <f>IFERROR(__xludf.DUMMYFUNCTION("""COMPUTED_VALUE"""),"rekt")</f>
        <v>rekt</v>
      </c>
      <c r="C10040" s="4" t="str">
        <f>IFERROR(__xludf.DUMMYFUNCTION("""COMPUTED_VALUE"""),"REKT")</f>
        <v>REKT</v>
      </c>
    </row>
    <row r="10041">
      <c r="A10041" s="4" t="str">
        <f>IFERROR(__xludf.DUMMYFUNCTION("""COMPUTED_VALUE"""),"rekt-3")</f>
        <v>rekt-3</v>
      </c>
      <c r="B10041" s="4" t="str">
        <f>IFERROR(__xludf.DUMMYFUNCTION("""COMPUTED_VALUE"""),"rekt")</f>
        <v>rekt</v>
      </c>
      <c r="C10041" s="4" t="str">
        <f>IFERROR(__xludf.DUMMYFUNCTION("""COMPUTED_VALUE"""),"$REKT (OLD)")</f>
        <v>$REKT (OLD)</v>
      </c>
    </row>
    <row r="10042">
      <c r="A10042" s="4" t="str">
        <f>IFERROR(__xludf.DUMMYFUNCTION("""COMPUTED_VALUE"""),"rektcoin")</f>
        <v>rektcoin</v>
      </c>
      <c r="B10042" s="4" t="str">
        <f>IFERROR(__xludf.DUMMYFUNCTION("""COMPUTED_VALUE"""),"rekt")</f>
        <v>rekt</v>
      </c>
      <c r="C10042" s="4" t="str">
        <f>IFERROR(__xludf.DUMMYFUNCTION("""COMPUTED_VALUE"""),"$REKT")</f>
        <v>$REKT</v>
      </c>
    </row>
    <row r="10043">
      <c r="A10043" s="4" t="str">
        <f>IFERROR(__xludf.DUMMYFUNCTION("""COMPUTED_VALUE"""),"rektskulls")</f>
        <v>rektskulls</v>
      </c>
      <c r="B10043" s="4" t="str">
        <f>IFERROR(__xludf.DUMMYFUNCTION("""COMPUTED_VALUE"""),"rekt")</f>
        <v>rekt</v>
      </c>
      <c r="C10043" s="4" t="str">
        <f>IFERROR(__xludf.DUMMYFUNCTION("""COMPUTED_VALUE"""),"RektSkulls")</f>
        <v>RektSkulls</v>
      </c>
    </row>
    <row r="10044">
      <c r="A10044" s="4" t="str">
        <f>IFERROR(__xludf.DUMMYFUNCTION("""COMPUTED_VALUE"""),"relation-native-token")</f>
        <v>relation-native-token</v>
      </c>
      <c r="B10044" s="4" t="str">
        <f>IFERROR(__xludf.DUMMYFUNCTION("""COMPUTED_VALUE"""),"rel")</f>
        <v>rel</v>
      </c>
      <c r="C10044" s="4" t="str">
        <f>IFERROR(__xludf.DUMMYFUNCTION("""COMPUTED_VALUE"""),"Relation Native Token")</f>
        <v>Relation Native Token</v>
      </c>
    </row>
    <row r="10045">
      <c r="A10045" s="4" t="str">
        <f>IFERROR(__xludf.DUMMYFUNCTION("""COMPUTED_VALUE"""),"relay-token")</f>
        <v>relay-token</v>
      </c>
      <c r="B10045" s="4" t="str">
        <f>IFERROR(__xludf.DUMMYFUNCTION("""COMPUTED_VALUE"""),"relay")</f>
        <v>relay</v>
      </c>
      <c r="C10045" s="4" t="str">
        <f>IFERROR(__xludf.DUMMYFUNCTION("""COMPUTED_VALUE"""),"Relay Chain")</f>
        <v>Relay Chain</v>
      </c>
    </row>
    <row r="10046">
      <c r="A10046" s="4" t="str">
        <f>IFERROR(__xludf.DUMMYFUNCTION("""COMPUTED_VALUE"""),"releap")</f>
        <v>releap</v>
      </c>
      <c r="B10046" s="4" t="str">
        <f>IFERROR(__xludf.DUMMYFUNCTION("""COMPUTED_VALUE"""),"reap")</f>
        <v>reap</v>
      </c>
      <c r="C10046" s="4" t="str">
        <f>IFERROR(__xludf.DUMMYFUNCTION("""COMPUTED_VALUE"""),"Releap")</f>
        <v>Releap</v>
      </c>
    </row>
    <row r="10047">
      <c r="A10047" s="4" t="str">
        <f>IFERROR(__xludf.DUMMYFUNCTION("""COMPUTED_VALUE"""),"relictumpro-genesis-token")</f>
        <v>relictumpro-genesis-token</v>
      </c>
      <c r="B10047" s="4" t="str">
        <f>IFERROR(__xludf.DUMMYFUNCTION("""COMPUTED_VALUE"""),"gtn")</f>
        <v>gtn</v>
      </c>
      <c r="C10047" s="4" t="str">
        <f>IFERROR(__xludf.DUMMYFUNCTION("""COMPUTED_VALUE"""),"RelictumPro Genesis Token")</f>
        <v>RelictumPro Genesis Token</v>
      </c>
    </row>
    <row r="10048">
      <c r="A10048" s="4" t="str">
        <f>IFERROR(__xludf.DUMMYFUNCTION("""COMPUTED_VALUE"""),"remme")</f>
        <v>remme</v>
      </c>
      <c r="B10048" s="4" t="str">
        <f>IFERROR(__xludf.DUMMYFUNCTION("""COMPUTED_VALUE"""),"rem")</f>
        <v>rem</v>
      </c>
      <c r="C10048" s="4" t="str">
        <f>IFERROR(__xludf.DUMMYFUNCTION("""COMPUTED_VALUE"""),"Remme")</f>
        <v>Remme</v>
      </c>
    </row>
    <row r="10049">
      <c r="A10049" s="4" t="str">
        <f>IFERROR(__xludf.DUMMYFUNCTION("""COMPUTED_VALUE"""),"rena-finance")</f>
        <v>rena-finance</v>
      </c>
      <c r="B10049" s="4" t="str">
        <f>IFERROR(__xludf.DUMMYFUNCTION("""COMPUTED_VALUE"""),"rena")</f>
        <v>rena</v>
      </c>
      <c r="C10049" s="4" t="str">
        <f>IFERROR(__xludf.DUMMYFUNCTION("""COMPUTED_VALUE"""),"RENA Finance")</f>
        <v>RENA Finance</v>
      </c>
    </row>
    <row r="10050">
      <c r="A10050" s="4" t="str">
        <f>IFERROR(__xludf.DUMMYFUNCTION("""COMPUTED_VALUE"""),"renbtc")</f>
        <v>renbtc</v>
      </c>
      <c r="B10050" s="4" t="str">
        <f>IFERROR(__xludf.DUMMYFUNCTION("""COMPUTED_VALUE"""),"renbtc")</f>
        <v>renbtc</v>
      </c>
      <c r="C10050" s="4" t="str">
        <f>IFERROR(__xludf.DUMMYFUNCTION("""COMPUTED_VALUE"""),"renBTC")</f>
        <v>renBTC</v>
      </c>
    </row>
    <row r="10051">
      <c r="A10051" s="4" t="str">
        <f>IFERROR(__xludf.DUMMYFUNCTION("""COMPUTED_VALUE"""),"rencom-network")</f>
        <v>rencom-network</v>
      </c>
      <c r="B10051" s="4" t="str">
        <f>IFERROR(__xludf.DUMMYFUNCTION("""COMPUTED_VALUE"""),"rnt")</f>
        <v>rnt</v>
      </c>
      <c r="C10051" s="4" t="str">
        <f>IFERROR(__xludf.DUMMYFUNCTION("""COMPUTED_VALUE"""),"Rencom Network")</f>
        <v>Rencom Network</v>
      </c>
    </row>
    <row r="10052">
      <c r="A10052" s="4" t="str">
        <f>IFERROR(__xludf.DUMMYFUNCTION("""COMPUTED_VALUE"""),"render-token")</f>
        <v>render-token</v>
      </c>
      <c r="B10052" s="4" t="str">
        <f>IFERROR(__xludf.DUMMYFUNCTION("""COMPUTED_VALUE"""),"rndr")</f>
        <v>rndr</v>
      </c>
      <c r="C10052" s="4" t="str">
        <f>IFERROR(__xludf.DUMMYFUNCTION("""COMPUTED_VALUE"""),"Render")</f>
        <v>Render</v>
      </c>
    </row>
    <row r="10053">
      <c r="A10053" s="4" t="str">
        <f>IFERROR(__xludf.DUMMYFUNCTION("""COMPUTED_VALUE"""),"renec")</f>
        <v>renec</v>
      </c>
      <c r="B10053" s="4" t="str">
        <f>IFERROR(__xludf.DUMMYFUNCTION("""COMPUTED_VALUE"""),"renec")</f>
        <v>renec</v>
      </c>
      <c r="C10053" s="4" t="str">
        <f>IFERROR(__xludf.DUMMYFUNCTION("""COMPUTED_VALUE"""),"RENEC")</f>
        <v>RENEC</v>
      </c>
    </row>
    <row r="10054">
      <c r="A10054" s="4" t="str">
        <f>IFERROR(__xludf.DUMMYFUNCTION("""COMPUTED_VALUE"""),"renegade")</f>
        <v>renegade</v>
      </c>
      <c r="B10054" s="4" t="str">
        <f>IFERROR(__xludf.DUMMYFUNCTION("""COMPUTED_VALUE"""),"rngd")</f>
        <v>rngd</v>
      </c>
      <c r="C10054" s="4" t="str">
        <f>IFERROR(__xludf.DUMMYFUNCTION("""COMPUTED_VALUE"""),"Renegade")</f>
        <v>Renegade</v>
      </c>
    </row>
    <row r="10055">
      <c r="A10055" s="4" t="str">
        <f>IFERROR(__xludf.DUMMYFUNCTION("""COMPUTED_VALUE"""),"renewable-energy")</f>
        <v>renewable-energy</v>
      </c>
      <c r="B10055" s="4" t="str">
        <f>IFERROR(__xludf.DUMMYFUNCTION("""COMPUTED_VALUE"""),"ret")</f>
        <v>ret</v>
      </c>
      <c r="C10055" s="4" t="str">
        <f>IFERROR(__xludf.DUMMYFUNCTION("""COMPUTED_VALUE"""),"Renewable Energy")</f>
        <v>Renewable Energy</v>
      </c>
    </row>
    <row r="10056">
      <c r="A10056" s="4" t="str">
        <f>IFERROR(__xludf.DUMMYFUNCTION("""COMPUTED_VALUE"""),"renq-finance")</f>
        <v>renq-finance</v>
      </c>
      <c r="B10056" s="4" t="str">
        <f>IFERROR(__xludf.DUMMYFUNCTION("""COMPUTED_VALUE"""),"renq")</f>
        <v>renq</v>
      </c>
      <c r="C10056" s="4" t="str">
        <f>IFERROR(__xludf.DUMMYFUNCTION("""COMPUTED_VALUE"""),"Renq Finance")</f>
        <v>Renq Finance</v>
      </c>
    </row>
    <row r="10057">
      <c r="A10057" s="4" t="str">
        <f>IFERROR(__xludf.DUMMYFUNCTION("""COMPUTED_VALUE"""),"rentai")</f>
        <v>rentai</v>
      </c>
      <c r="B10057" s="4" t="str">
        <f>IFERROR(__xludf.DUMMYFUNCTION("""COMPUTED_VALUE"""),"rent")</f>
        <v>rent</v>
      </c>
      <c r="C10057" s="4" t="str">
        <f>IFERROR(__xludf.DUMMYFUNCTION("""COMPUTED_VALUE"""),"RentAI")</f>
        <v>RentAI</v>
      </c>
    </row>
    <row r="10058">
      <c r="A10058" s="4" t="str">
        <f>IFERROR(__xludf.DUMMYFUNCTION("""COMPUTED_VALUE"""),"rentberry")</f>
        <v>rentberry</v>
      </c>
      <c r="B10058" s="4" t="str">
        <f>IFERROR(__xludf.DUMMYFUNCTION("""COMPUTED_VALUE"""),"berry")</f>
        <v>berry</v>
      </c>
      <c r="C10058" s="4" t="str">
        <f>IFERROR(__xludf.DUMMYFUNCTION("""COMPUTED_VALUE"""),"Rentberry")</f>
        <v>Rentberry</v>
      </c>
    </row>
    <row r="10059">
      <c r="A10059" s="4" t="str">
        <f>IFERROR(__xludf.DUMMYFUNCTION("""COMPUTED_VALUE"""),"rentible")</f>
        <v>rentible</v>
      </c>
      <c r="B10059" s="4" t="str">
        <f>IFERROR(__xludf.DUMMYFUNCTION("""COMPUTED_VALUE"""),"rnb")</f>
        <v>rnb</v>
      </c>
      <c r="C10059" s="4" t="str">
        <f>IFERROR(__xludf.DUMMYFUNCTION("""COMPUTED_VALUE"""),"Rentible")</f>
        <v>Rentible</v>
      </c>
    </row>
    <row r="10060">
      <c r="A10060" s="4" t="str">
        <f>IFERROR(__xludf.DUMMYFUNCTION("""COMPUTED_VALUE"""),"renzo-restaked-eth")</f>
        <v>renzo-restaked-eth</v>
      </c>
      <c r="B10060" s="4" t="str">
        <f>IFERROR(__xludf.DUMMYFUNCTION("""COMPUTED_VALUE"""),"ezeth")</f>
        <v>ezeth</v>
      </c>
      <c r="C10060" s="4" t="str">
        <f>IFERROR(__xludf.DUMMYFUNCTION("""COMPUTED_VALUE"""),"Renzo Restaked ETH")</f>
        <v>Renzo Restaked ETH</v>
      </c>
    </row>
    <row r="10061">
      <c r="A10061" s="4" t="str">
        <f>IFERROR(__xludf.DUMMYFUNCTION("""COMPUTED_VALUE"""),"reon")</f>
        <v>reon</v>
      </c>
      <c r="B10061" s="4" t="str">
        <f>IFERROR(__xludf.DUMMYFUNCTION("""COMPUTED_VALUE"""),"reon")</f>
        <v>reon</v>
      </c>
      <c r="C10061" s="4" t="str">
        <f>IFERROR(__xludf.DUMMYFUNCTION("""COMPUTED_VALUE"""),"Reon")</f>
        <v>Reon</v>
      </c>
    </row>
    <row r="10062">
      <c r="A10062" s="4" t="str">
        <f>IFERROR(__xludf.DUMMYFUNCTION("""COMPUTED_VALUE"""),"reptilianzuckerbidenbartcoin")</f>
        <v>reptilianzuckerbidenbartcoin</v>
      </c>
      <c r="B10062" s="4" t="str">
        <f>IFERROR(__xludf.DUMMYFUNCTION("""COMPUTED_VALUE"""),"bart")</f>
        <v>bart</v>
      </c>
      <c r="C10062" s="4" t="str">
        <f>IFERROR(__xludf.DUMMYFUNCTION("""COMPUTED_VALUE"""),"ReptilianZuckerBidenBartcoin")</f>
        <v>ReptilianZuckerBidenBartcoin</v>
      </c>
    </row>
    <row r="10063">
      <c r="A10063" s="4" t="str">
        <f>IFERROR(__xludf.DUMMYFUNCTION("""COMPUTED_VALUE"""),"republic-credits")</f>
        <v>republic-credits</v>
      </c>
      <c r="B10063" s="4" t="str">
        <f>IFERROR(__xludf.DUMMYFUNCTION("""COMPUTED_VALUE"""),"rpc")</f>
        <v>rpc</v>
      </c>
      <c r="C10063" s="4" t="str">
        <f>IFERROR(__xludf.DUMMYFUNCTION("""COMPUTED_VALUE"""),"Republic Credits")</f>
        <v>Republic Credits</v>
      </c>
    </row>
    <row r="10064">
      <c r="A10064" s="4" t="str">
        <f>IFERROR(__xludf.DUMMYFUNCTION("""COMPUTED_VALUE"""),"republic-note")</f>
        <v>republic-note</v>
      </c>
      <c r="B10064" s="4" t="str">
        <f>IFERROR(__xludf.DUMMYFUNCTION("""COMPUTED_VALUE"""),"note")</f>
        <v>note</v>
      </c>
      <c r="C10064" s="4" t="str">
        <f>IFERROR(__xludf.DUMMYFUNCTION("""COMPUTED_VALUE"""),"Republic Note")</f>
        <v>Republic Note</v>
      </c>
    </row>
    <row r="10065">
      <c r="A10065" s="4" t="str">
        <f>IFERROR(__xludf.DUMMYFUNCTION("""COMPUTED_VALUE"""),"republic-protocol")</f>
        <v>republic-protocol</v>
      </c>
      <c r="B10065" s="4" t="str">
        <f>IFERROR(__xludf.DUMMYFUNCTION("""COMPUTED_VALUE"""),"ren")</f>
        <v>ren</v>
      </c>
      <c r="C10065" s="4" t="str">
        <f>IFERROR(__xludf.DUMMYFUNCTION("""COMPUTED_VALUE"""),"Ren")</f>
        <v>Ren</v>
      </c>
    </row>
    <row r="10066">
      <c r="A10066" s="4" t="str">
        <f>IFERROR(__xludf.DUMMYFUNCTION("""COMPUTED_VALUE"""),"republik")</f>
        <v>republik</v>
      </c>
      <c r="B10066" s="4" t="str">
        <f>IFERROR(__xludf.DUMMYFUNCTION("""COMPUTED_VALUE"""),"rpk")</f>
        <v>rpk</v>
      </c>
      <c r="C10066" s="4" t="str">
        <f>IFERROR(__xludf.DUMMYFUNCTION("""COMPUTED_VALUE"""),"RepubliK")</f>
        <v>RepubliK</v>
      </c>
    </row>
    <row r="10067">
      <c r="A10067" s="4" t="str">
        <f>IFERROR(__xludf.DUMMYFUNCTION("""COMPUTED_VALUE"""),"request-network")</f>
        <v>request-network</v>
      </c>
      <c r="B10067" s="4" t="str">
        <f>IFERROR(__xludf.DUMMYFUNCTION("""COMPUTED_VALUE"""),"req")</f>
        <v>req</v>
      </c>
      <c r="C10067" s="4" t="str">
        <f>IFERROR(__xludf.DUMMYFUNCTION("""COMPUTED_VALUE"""),"Request")</f>
        <v>Request</v>
      </c>
    </row>
    <row r="10068">
      <c r="A10068" s="4" t="str">
        <f>IFERROR(__xludf.DUMMYFUNCTION("""COMPUTED_VALUE"""),"researchcoin")</f>
        <v>researchcoin</v>
      </c>
      <c r="B10068" s="4" t="str">
        <f>IFERROR(__xludf.DUMMYFUNCTION("""COMPUTED_VALUE"""),"rsc")</f>
        <v>rsc</v>
      </c>
      <c r="C10068" s="4" t="str">
        <f>IFERROR(__xludf.DUMMYFUNCTION("""COMPUTED_VALUE"""),"ResearchCoin")</f>
        <v>ResearchCoin</v>
      </c>
    </row>
    <row r="10069">
      <c r="A10069" s="4" t="str">
        <f>IFERROR(__xludf.DUMMYFUNCTION("""COMPUTED_VALUE"""),"reserve-2")</f>
        <v>reserve-2</v>
      </c>
      <c r="B10069" s="4" t="str">
        <f>IFERROR(__xludf.DUMMYFUNCTION("""COMPUTED_VALUE"""),"rsrv")</f>
        <v>rsrv</v>
      </c>
      <c r="C10069" s="4" t="str">
        <f>IFERROR(__xludf.DUMMYFUNCTION("""COMPUTED_VALUE"""),"Reserve")</f>
        <v>Reserve</v>
      </c>
    </row>
    <row r="10070">
      <c r="A10070" s="4" t="str">
        <f>IFERROR(__xludf.DUMMYFUNCTION("""COMPUTED_VALUE"""),"reserveblock")</f>
        <v>reserveblock</v>
      </c>
      <c r="B10070" s="4" t="str">
        <f>IFERROR(__xludf.DUMMYFUNCTION("""COMPUTED_VALUE"""),"rbx")</f>
        <v>rbx</v>
      </c>
      <c r="C10070" s="4" t="str">
        <f>IFERROR(__xludf.DUMMYFUNCTION("""COMPUTED_VALUE"""),"ReserveBlock")</f>
        <v>ReserveBlock</v>
      </c>
    </row>
    <row r="10071">
      <c r="A10071" s="4" t="str">
        <f>IFERROR(__xludf.DUMMYFUNCTION("""COMPUTED_VALUE"""),"reserve-rights-token")</f>
        <v>reserve-rights-token</v>
      </c>
      <c r="B10071" s="4" t="str">
        <f>IFERROR(__xludf.DUMMYFUNCTION("""COMPUTED_VALUE"""),"rsr")</f>
        <v>rsr</v>
      </c>
      <c r="C10071" s="4" t="str">
        <f>IFERROR(__xludf.DUMMYFUNCTION("""COMPUTED_VALUE"""),"Reserve Rights")</f>
        <v>Reserve Rights</v>
      </c>
    </row>
    <row r="10072">
      <c r="A10072" s="4" t="str">
        <f>IFERROR(__xludf.DUMMYFUNCTION("""COMPUTED_VALUE"""),"rese-social")</f>
        <v>rese-social</v>
      </c>
      <c r="B10072" s="4" t="str">
        <f>IFERROR(__xludf.DUMMYFUNCTION("""COMPUTED_VALUE"""),"rese")</f>
        <v>rese</v>
      </c>
      <c r="C10072" s="4" t="str">
        <f>IFERROR(__xludf.DUMMYFUNCTION("""COMPUTED_VALUE"""),"Rese Social")</f>
        <v>Rese Social</v>
      </c>
    </row>
    <row r="10073">
      <c r="A10073" s="4" t="str">
        <f>IFERROR(__xludf.DUMMYFUNCTION("""COMPUTED_VALUE"""),"reset")</f>
        <v>reset</v>
      </c>
      <c r="B10073" s="4" t="str">
        <f>IFERROR(__xludf.DUMMYFUNCTION("""COMPUTED_VALUE"""),"reset")</f>
        <v>reset</v>
      </c>
      <c r="C10073" s="4" t="str">
        <f>IFERROR(__xludf.DUMMYFUNCTION("""COMPUTED_VALUE"""),"MetaReset")</f>
        <v>MetaReset</v>
      </c>
    </row>
    <row r="10074">
      <c r="A10074" s="4" t="str">
        <f>IFERROR(__xludf.DUMMYFUNCTION("""COMPUTED_VALUE"""),"resistance-dog")</f>
        <v>resistance-dog</v>
      </c>
      <c r="B10074" s="4" t="str">
        <f>IFERROR(__xludf.DUMMYFUNCTION("""COMPUTED_VALUE"""),"redo")</f>
        <v>redo</v>
      </c>
      <c r="C10074" s="4" t="str">
        <f>IFERROR(__xludf.DUMMYFUNCTION("""COMPUTED_VALUE"""),"Resistance Dog")</f>
        <v>Resistance Dog</v>
      </c>
    </row>
    <row r="10075">
      <c r="A10075" s="4" t="str">
        <f>IFERROR(__xludf.DUMMYFUNCTION("""COMPUTED_VALUE"""),"resistance-duck")</f>
        <v>resistance-duck</v>
      </c>
      <c r="B10075" s="4" t="str">
        <f>IFERROR(__xludf.DUMMYFUNCTION("""COMPUTED_VALUE"""),"redu")</f>
        <v>redu</v>
      </c>
      <c r="C10075" s="4" t="str">
        <f>IFERROR(__xludf.DUMMYFUNCTION("""COMPUTED_VALUE"""),"Resistance Duck")</f>
        <v>Resistance Duck</v>
      </c>
    </row>
    <row r="10076">
      <c r="A10076" s="4" t="str">
        <f>IFERROR(__xludf.DUMMYFUNCTION("""COMPUTED_VALUE"""),"resistor-ai")</f>
        <v>resistor-ai</v>
      </c>
      <c r="B10076" s="4" t="str">
        <f>IFERROR(__xludf.DUMMYFUNCTION("""COMPUTED_VALUE"""),"tor")</f>
        <v>tor</v>
      </c>
      <c r="C10076" s="4" t="str">
        <f>IFERROR(__xludf.DUMMYFUNCTION("""COMPUTED_VALUE"""),"Resistor AI")</f>
        <v>Resistor AI</v>
      </c>
    </row>
    <row r="10077">
      <c r="A10077" s="4" t="str">
        <f>IFERROR(__xludf.DUMMYFUNCTION("""COMPUTED_VALUE"""),"resource-protocol")</f>
        <v>resource-protocol</v>
      </c>
      <c r="B10077" s="4" t="str">
        <f>IFERROR(__xludf.DUMMYFUNCTION("""COMPUTED_VALUE"""),"source")</f>
        <v>source</v>
      </c>
      <c r="C10077" s="4" t="str">
        <f>IFERROR(__xludf.DUMMYFUNCTION("""COMPUTED_VALUE"""),"ReSource Protocol")</f>
        <v>ReSource Protocol</v>
      </c>
    </row>
    <row r="10078">
      <c r="A10078" s="4" t="str">
        <f>IFERROR(__xludf.DUMMYFUNCTION("""COMPUTED_VALUE"""),"restaked-swell-eth")</f>
        <v>restaked-swell-eth</v>
      </c>
      <c r="B10078" s="4" t="str">
        <f>IFERROR(__xludf.DUMMYFUNCTION("""COMPUTED_VALUE"""),"rsweth")</f>
        <v>rsweth</v>
      </c>
      <c r="C10078" s="4" t="str">
        <f>IFERROR(__xludf.DUMMYFUNCTION("""COMPUTED_VALUE"""),"Restaked Swell ETH")</f>
        <v>Restaked Swell ETH</v>
      </c>
    </row>
    <row r="10079">
      <c r="A10079" s="4" t="str">
        <f>IFERROR(__xludf.DUMMYFUNCTION("""COMPUTED_VALUE"""),"restake-finance")</f>
        <v>restake-finance</v>
      </c>
      <c r="B10079" s="4" t="str">
        <f>IFERROR(__xludf.DUMMYFUNCTION("""COMPUTED_VALUE"""),"rstk")</f>
        <v>rstk</v>
      </c>
      <c r="C10079" s="4" t="str">
        <f>IFERROR(__xludf.DUMMYFUNCTION("""COMPUTED_VALUE"""),"Restake Finance")</f>
        <v>Restake Finance</v>
      </c>
    </row>
    <row r="10080">
      <c r="A10080" s="4" t="str">
        <f>IFERROR(__xludf.DUMMYFUNCTION("""COMPUTED_VALUE"""),"retardio")</f>
        <v>retardio</v>
      </c>
      <c r="B10080" s="4" t="str">
        <f>IFERROR(__xludf.DUMMYFUNCTION("""COMPUTED_VALUE"""),"retardio")</f>
        <v>retardio</v>
      </c>
      <c r="C10080" s="4" t="str">
        <f>IFERROR(__xludf.DUMMYFUNCTION("""COMPUTED_VALUE"""),"RETARDIO")</f>
        <v>RETARDIO</v>
      </c>
    </row>
    <row r="10081">
      <c r="A10081" s="4" t="str">
        <f>IFERROR(__xludf.DUMMYFUNCTION("""COMPUTED_VALUE"""),"reth")</f>
        <v>reth</v>
      </c>
      <c r="B10081" s="4" t="str">
        <f>IFERROR(__xludf.DUMMYFUNCTION("""COMPUTED_VALUE"""),"reth")</f>
        <v>reth</v>
      </c>
      <c r="C10081" s="4" t="str">
        <f>IFERROR(__xludf.DUMMYFUNCTION("""COMPUTED_VALUE"""),"StaFi Staked ETH")</f>
        <v>StaFi Staked ETH</v>
      </c>
    </row>
    <row r="10082">
      <c r="A10082" s="4" t="str">
        <f>IFERROR(__xludf.DUMMYFUNCTION("""COMPUTED_VALUE"""),"reth2")</f>
        <v>reth2</v>
      </c>
      <c r="B10082" s="4" t="str">
        <f>IFERROR(__xludf.DUMMYFUNCTION("""COMPUTED_VALUE"""),"reth2")</f>
        <v>reth2</v>
      </c>
      <c r="C10082" s="4" t="str">
        <f>IFERROR(__xludf.DUMMYFUNCTION("""COMPUTED_VALUE"""),"rETH2")</f>
        <v>rETH2</v>
      </c>
    </row>
    <row r="10083">
      <c r="A10083" s="4" t="str">
        <f>IFERROR(__xludf.DUMMYFUNCTION("""COMPUTED_VALUE"""),"retherswap")</f>
        <v>retherswap</v>
      </c>
      <c r="B10083" s="4" t="str">
        <f>IFERROR(__xludf.DUMMYFUNCTION("""COMPUTED_VALUE"""),"rether")</f>
        <v>rether</v>
      </c>
      <c r="C10083" s="4" t="str">
        <f>IFERROR(__xludf.DUMMYFUNCTION("""COMPUTED_VALUE"""),"Retherswap")</f>
        <v>Retherswap</v>
      </c>
    </row>
    <row r="10084">
      <c r="A10084" s="4" t="str">
        <f>IFERROR(__xludf.DUMMYFUNCTION("""COMPUTED_VALUE"""),"retik-finance")</f>
        <v>retik-finance</v>
      </c>
      <c r="B10084" s="4" t="str">
        <f>IFERROR(__xludf.DUMMYFUNCTION("""COMPUTED_VALUE"""),"retik")</f>
        <v>retik</v>
      </c>
      <c r="C10084" s="4" t="str">
        <f>IFERROR(__xludf.DUMMYFUNCTION("""COMPUTED_VALUE"""),"Retik Finance")</f>
        <v>Retik Finance</v>
      </c>
    </row>
    <row r="10085">
      <c r="A10085" s="4" t="str">
        <f>IFERROR(__xludf.DUMMYFUNCTION("""COMPUTED_VALUE"""),"retire-on-sol")</f>
        <v>retire-on-sol</v>
      </c>
      <c r="B10085" s="4" t="str">
        <f>IFERROR(__xludf.DUMMYFUNCTION("""COMPUTED_VALUE"""),"$retire")</f>
        <v>$retire</v>
      </c>
      <c r="C10085" s="4" t="str">
        <f>IFERROR(__xludf.DUMMYFUNCTION("""COMPUTED_VALUE"""),"Retire on Sol")</f>
        <v>Retire on Sol</v>
      </c>
    </row>
    <row r="10086">
      <c r="A10086" s="4" t="str">
        <f>IFERROR(__xludf.DUMMYFUNCTION("""COMPUTED_VALUE"""),"retrocraft")</f>
        <v>retrocraft</v>
      </c>
      <c r="B10086" s="4" t="str">
        <f>IFERROR(__xludf.DUMMYFUNCTION("""COMPUTED_VALUE"""),"retro")</f>
        <v>retro</v>
      </c>
      <c r="C10086" s="4" t="str">
        <f>IFERROR(__xludf.DUMMYFUNCTION("""COMPUTED_VALUE"""),"RetroCraft")</f>
        <v>RetroCraft</v>
      </c>
    </row>
    <row r="10087">
      <c r="A10087" s="4" t="str">
        <f>IFERROR(__xludf.DUMMYFUNCTION("""COMPUTED_VALUE"""),"retro-finance")</f>
        <v>retro-finance</v>
      </c>
      <c r="B10087" s="4" t="str">
        <f>IFERROR(__xludf.DUMMYFUNCTION("""COMPUTED_VALUE"""),"retro")</f>
        <v>retro</v>
      </c>
      <c r="C10087" s="4" t="str">
        <f>IFERROR(__xludf.DUMMYFUNCTION("""COMPUTED_VALUE"""),"Retro Finance")</f>
        <v>Retro Finance</v>
      </c>
    </row>
    <row r="10088">
      <c r="A10088" s="4" t="str">
        <f>IFERROR(__xludf.DUMMYFUNCTION("""COMPUTED_VALUE"""),"retro-finance-oretro")</f>
        <v>retro-finance-oretro</v>
      </c>
      <c r="B10088" s="4" t="str">
        <f>IFERROR(__xludf.DUMMYFUNCTION("""COMPUTED_VALUE"""),"oretro")</f>
        <v>oretro</v>
      </c>
      <c r="C10088" s="4" t="str">
        <f>IFERROR(__xludf.DUMMYFUNCTION("""COMPUTED_VALUE"""),"Retro Finance oRETRO")</f>
        <v>Retro Finance oRETRO</v>
      </c>
    </row>
    <row r="10089">
      <c r="A10089" s="4" t="str">
        <f>IFERROR(__xludf.DUMMYFUNCTION("""COMPUTED_VALUE"""),"reunit-wallet")</f>
        <v>reunit-wallet</v>
      </c>
      <c r="B10089" s="4" t="str">
        <f>IFERROR(__xludf.DUMMYFUNCTION("""COMPUTED_VALUE"""),"reuni")</f>
        <v>reuni</v>
      </c>
      <c r="C10089" s="4" t="str">
        <f>IFERROR(__xludf.DUMMYFUNCTION("""COMPUTED_VALUE"""),"Reunit Wallet")</f>
        <v>Reunit Wallet</v>
      </c>
    </row>
    <row r="10090">
      <c r="A10090" s="4" t="str">
        <f>IFERROR(__xludf.DUMMYFUNCTION("""COMPUTED_VALUE"""),"rev3al")</f>
        <v>rev3al</v>
      </c>
      <c r="B10090" s="4" t="str">
        <f>IFERROR(__xludf.DUMMYFUNCTION("""COMPUTED_VALUE"""),"rev3l")</f>
        <v>rev3l</v>
      </c>
      <c r="C10090" s="4" t="str">
        <f>IFERROR(__xludf.DUMMYFUNCTION("""COMPUTED_VALUE"""),"REV3AL")</f>
        <v>REV3AL</v>
      </c>
    </row>
    <row r="10091">
      <c r="A10091" s="4" t="str">
        <f>IFERROR(__xludf.DUMMYFUNCTION("""COMPUTED_VALUE"""),"revain")</f>
        <v>revain</v>
      </c>
      <c r="B10091" s="4" t="str">
        <f>IFERROR(__xludf.DUMMYFUNCTION("""COMPUTED_VALUE"""),"rev")</f>
        <v>rev</v>
      </c>
      <c r="C10091" s="4" t="str">
        <f>IFERROR(__xludf.DUMMYFUNCTION("""COMPUTED_VALUE"""),"Revain")</f>
        <v>Revain</v>
      </c>
    </row>
    <row r="10092">
      <c r="A10092" s="4" t="str">
        <f>IFERROR(__xludf.DUMMYFUNCTION("""COMPUTED_VALUE"""),"revenant")</f>
        <v>revenant</v>
      </c>
      <c r="B10092" s="4" t="str">
        <f>IFERROR(__xludf.DUMMYFUNCTION("""COMPUTED_VALUE"""),"gamefi")</f>
        <v>gamefi</v>
      </c>
      <c r="C10092" s="4" t="str">
        <f>IFERROR(__xludf.DUMMYFUNCTION("""COMPUTED_VALUE"""),"Revenant")</f>
        <v>Revenant</v>
      </c>
    </row>
    <row r="10093">
      <c r="A10093" s="4" t="str">
        <f>IFERROR(__xludf.DUMMYFUNCTION("""COMPUTED_VALUE"""),"revenue-coin")</f>
        <v>revenue-coin</v>
      </c>
      <c r="B10093" s="4" t="str">
        <f>IFERROR(__xludf.DUMMYFUNCTION("""COMPUTED_VALUE"""),"rvc")</f>
        <v>rvc</v>
      </c>
      <c r="C10093" s="4" t="str">
        <f>IFERROR(__xludf.DUMMYFUNCTION("""COMPUTED_VALUE"""),"Revenue Coin")</f>
        <v>Revenue Coin</v>
      </c>
    </row>
    <row r="10094">
      <c r="A10094" s="4" t="str">
        <f>IFERROR(__xludf.DUMMYFUNCTION("""COMPUTED_VALUE"""),"revepe")</f>
        <v>revepe</v>
      </c>
      <c r="B10094" s="4" t="str">
        <f>IFERROR(__xludf.DUMMYFUNCTION("""COMPUTED_VALUE"""),"rev")</f>
        <v>rev</v>
      </c>
      <c r="C10094" s="4" t="str">
        <f>IFERROR(__xludf.DUMMYFUNCTION("""COMPUTED_VALUE"""),"REVEPE")</f>
        <v>REVEPE</v>
      </c>
    </row>
    <row r="10095">
      <c r="A10095" s="4" t="str">
        <f>IFERROR(__xludf.DUMMYFUNCTION("""COMPUTED_VALUE"""),"reversal")</f>
        <v>reversal</v>
      </c>
      <c r="B10095" s="4" t="str">
        <f>IFERROR(__xludf.DUMMYFUNCTION("""COMPUTED_VALUE"""),"rvsl")</f>
        <v>rvsl</v>
      </c>
      <c r="C10095" s="4" t="str">
        <f>IFERROR(__xludf.DUMMYFUNCTION("""COMPUTED_VALUE"""),"Reversal")</f>
        <v>Reversal</v>
      </c>
    </row>
    <row r="10096">
      <c r="A10096" s="4" t="str">
        <f>IFERROR(__xludf.DUMMYFUNCTION("""COMPUTED_VALUE"""),"revest-finance")</f>
        <v>revest-finance</v>
      </c>
      <c r="B10096" s="4" t="str">
        <f>IFERROR(__xludf.DUMMYFUNCTION("""COMPUTED_VALUE"""),"rvst")</f>
        <v>rvst</v>
      </c>
      <c r="C10096" s="4" t="str">
        <f>IFERROR(__xludf.DUMMYFUNCTION("""COMPUTED_VALUE"""),"Revest Finance")</f>
        <v>Revest Finance</v>
      </c>
    </row>
    <row r="10097">
      <c r="A10097" s="4" t="str">
        <f>IFERROR(__xludf.DUMMYFUNCTION("""COMPUTED_VALUE"""),"revhub")</f>
        <v>revhub</v>
      </c>
      <c r="B10097" s="4" t="str">
        <f>IFERROR(__xludf.DUMMYFUNCTION("""COMPUTED_VALUE"""),"revhub")</f>
        <v>revhub</v>
      </c>
      <c r="C10097" s="4" t="str">
        <f>IFERROR(__xludf.DUMMYFUNCTION("""COMPUTED_VALUE"""),"Revhub")</f>
        <v>Revhub</v>
      </c>
    </row>
    <row r="10098">
      <c r="A10098" s="4" t="str">
        <f>IFERROR(__xludf.DUMMYFUNCTION("""COMPUTED_VALUE"""),"revival-2")</f>
        <v>revival-2</v>
      </c>
      <c r="B10098" s="4" t="str">
        <f>IFERROR(__xludf.DUMMYFUNCTION("""COMPUTED_VALUE"""),"revival")</f>
        <v>revival</v>
      </c>
      <c r="C10098" s="4" t="str">
        <f>IFERROR(__xludf.DUMMYFUNCTION("""COMPUTED_VALUE"""),"REVIVAL")</f>
        <v>REVIVAL</v>
      </c>
    </row>
    <row r="10099">
      <c r="A10099" s="4" t="str">
        <f>IFERROR(__xludf.DUMMYFUNCTION("""COMPUTED_VALUE"""),"reviveeth")</f>
        <v>reviveeth</v>
      </c>
      <c r="B10099" s="4" t="str">
        <f>IFERROR(__xludf.DUMMYFUNCTION("""COMPUTED_VALUE"""),"revive")</f>
        <v>revive</v>
      </c>
      <c r="C10099" s="4" t="str">
        <f>IFERROR(__xludf.DUMMYFUNCTION("""COMPUTED_VALUE"""),"ReviveEth")</f>
        <v>ReviveEth</v>
      </c>
    </row>
    <row r="10100">
      <c r="A10100" s="4" t="str">
        <f>IFERROR(__xludf.DUMMYFUNCTION("""COMPUTED_VALUE"""),"revoai")</f>
        <v>revoai</v>
      </c>
      <c r="B10100" s="4" t="str">
        <f>IFERROR(__xludf.DUMMYFUNCTION("""COMPUTED_VALUE"""),"revoai")</f>
        <v>revoai</v>
      </c>
      <c r="C10100" s="4" t="str">
        <f>IFERROR(__xludf.DUMMYFUNCTION("""COMPUTED_VALUE"""),"revoAI")</f>
        <v>revoAI</v>
      </c>
    </row>
    <row r="10101">
      <c r="A10101" s="4" t="str">
        <f>IFERROR(__xludf.DUMMYFUNCTION("""COMPUTED_VALUE"""),"revoland")</f>
        <v>revoland</v>
      </c>
      <c r="B10101" s="4" t="str">
        <f>IFERROR(__xludf.DUMMYFUNCTION("""COMPUTED_VALUE"""),"revo")</f>
        <v>revo</v>
      </c>
      <c r="C10101" s="4" t="str">
        <f>IFERROR(__xludf.DUMMYFUNCTION("""COMPUTED_VALUE"""),"Revoland")</f>
        <v>Revoland</v>
      </c>
    </row>
    <row r="10102">
      <c r="A10102" s="4" t="str">
        <f>IFERROR(__xludf.DUMMYFUNCTION("""COMPUTED_VALUE"""),"revolotto")</f>
        <v>revolotto</v>
      </c>
      <c r="B10102" s="4" t="str">
        <f>IFERROR(__xludf.DUMMYFUNCTION("""COMPUTED_VALUE"""),"rvl")</f>
        <v>rvl</v>
      </c>
      <c r="C10102" s="4" t="str">
        <f>IFERROR(__xludf.DUMMYFUNCTION("""COMPUTED_VALUE"""),"Revolotto")</f>
        <v>Revolotto</v>
      </c>
    </row>
    <row r="10103">
      <c r="A10103" s="4" t="str">
        <f>IFERROR(__xludf.DUMMYFUNCTION("""COMPUTED_VALUE"""),"revolt-2-earn")</f>
        <v>revolt-2-earn</v>
      </c>
      <c r="B10103" s="4" t="str">
        <f>IFERROR(__xludf.DUMMYFUNCTION("""COMPUTED_VALUE"""),"rvlt")</f>
        <v>rvlt</v>
      </c>
      <c r="C10103" s="4" t="str">
        <f>IFERROR(__xludf.DUMMYFUNCTION("""COMPUTED_VALUE"""),"Revolt 2 Earn")</f>
        <v>Revolt 2 Earn</v>
      </c>
    </row>
    <row r="10104">
      <c r="A10104" s="4" t="str">
        <f>IFERROR(__xludf.DUMMYFUNCTION("""COMPUTED_VALUE"""),"revolutiongames")</f>
        <v>revolutiongames</v>
      </c>
      <c r="B10104" s="4" t="str">
        <f>IFERROR(__xludf.DUMMYFUNCTION("""COMPUTED_VALUE"""),"rvlng")</f>
        <v>rvlng</v>
      </c>
      <c r="C10104" s="4" t="str">
        <f>IFERROR(__xludf.DUMMYFUNCTION("""COMPUTED_VALUE"""),"RevolutionGames")</f>
        <v>RevolutionGames</v>
      </c>
    </row>
    <row r="10105">
      <c r="A10105" s="4" t="str">
        <f>IFERROR(__xludf.DUMMYFUNCTION("""COMPUTED_VALUE"""),"revolve-games")</f>
        <v>revolve-games</v>
      </c>
      <c r="B10105" s="4" t="str">
        <f>IFERROR(__xludf.DUMMYFUNCTION("""COMPUTED_VALUE"""),"rpg")</f>
        <v>rpg</v>
      </c>
      <c r="C10105" s="4" t="str">
        <f>IFERROR(__xludf.DUMMYFUNCTION("""COMPUTED_VALUE"""),"Revolve Games")</f>
        <v>Revolve Games</v>
      </c>
    </row>
    <row r="10106">
      <c r="A10106" s="4" t="str">
        <f>IFERROR(__xludf.DUMMYFUNCTION("""COMPUTED_VALUE"""),"revomon-2")</f>
        <v>revomon-2</v>
      </c>
      <c r="B10106" s="4" t="str">
        <f>IFERROR(__xludf.DUMMYFUNCTION("""COMPUTED_VALUE"""),"revo")</f>
        <v>revo</v>
      </c>
      <c r="C10106" s="4" t="str">
        <f>IFERROR(__xludf.DUMMYFUNCTION("""COMPUTED_VALUE"""),"Revomon")</f>
        <v>Revomon</v>
      </c>
    </row>
    <row r="10107">
      <c r="A10107" s="4" t="str">
        <f>IFERROR(__xludf.DUMMYFUNCTION("""COMPUTED_VALUE"""),"revswap")</f>
        <v>revswap</v>
      </c>
      <c r="B10107" s="4" t="str">
        <f>IFERROR(__xludf.DUMMYFUNCTION("""COMPUTED_VALUE"""),"rvs")</f>
        <v>rvs</v>
      </c>
      <c r="C10107" s="4" t="str">
        <f>IFERROR(__xludf.DUMMYFUNCTION("""COMPUTED_VALUE"""),"Revswap")</f>
        <v>Revswap</v>
      </c>
    </row>
    <row r="10108">
      <c r="A10108" s="4" t="str">
        <f>IFERROR(__xludf.DUMMYFUNCTION("""COMPUTED_VALUE"""),"revuto")</f>
        <v>revuto</v>
      </c>
      <c r="B10108" s="4" t="str">
        <f>IFERROR(__xludf.DUMMYFUNCTION("""COMPUTED_VALUE"""),"revu")</f>
        <v>revu</v>
      </c>
      <c r="C10108" s="4" t="str">
        <f>IFERROR(__xludf.DUMMYFUNCTION("""COMPUTED_VALUE"""),"Revuto")</f>
        <v>Revuto</v>
      </c>
    </row>
    <row r="10109">
      <c r="A10109" s="4" t="str">
        <f>IFERROR(__xludf.DUMMYFUNCTION("""COMPUTED_VALUE"""),"revv")</f>
        <v>revv</v>
      </c>
      <c r="B10109" s="4" t="str">
        <f>IFERROR(__xludf.DUMMYFUNCTION("""COMPUTED_VALUE"""),"revv")</f>
        <v>revv</v>
      </c>
      <c r="C10109" s="4" t="str">
        <f>IFERROR(__xludf.DUMMYFUNCTION("""COMPUTED_VALUE"""),"REVV")</f>
        <v>REVV</v>
      </c>
    </row>
    <row r="10110">
      <c r="A10110" s="4" t="str">
        <f>IFERROR(__xludf.DUMMYFUNCTION("""COMPUTED_VALUE"""),"reward-protocol")</f>
        <v>reward-protocol</v>
      </c>
      <c r="B10110" s="4" t="str">
        <f>IFERROR(__xludf.DUMMYFUNCTION("""COMPUTED_VALUE"""),"rewd")</f>
        <v>rewd</v>
      </c>
      <c r="C10110" s="4" t="str">
        <f>IFERROR(__xludf.DUMMYFUNCTION("""COMPUTED_VALUE"""),"Reward Protocol")</f>
        <v>Reward Protocol</v>
      </c>
    </row>
    <row r="10111">
      <c r="A10111" s="4" t="str">
        <f>IFERROR(__xludf.DUMMYFUNCTION("""COMPUTED_VALUE"""),"rex-2")</f>
        <v>rex-2</v>
      </c>
      <c r="B10111" s="4" t="str">
        <f>IFERROR(__xludf.DUMMYFUNCTION("""COMPUTED_VALUE"""),"rex")</f>
        <v>rex</v>
      </c>
      <c r="C10111" s="4" t="str">
        <f>IFERROR(__xludf.DUMMYFUNCTION("""COMPUTED_VALUE"""),"Rex")</f>
        <v>Rex</v>
      </c>
    </row>
    <row r="10112">
      <c r="A10112" s="4" t="str">
        <f>IFERROR(__xludf.DUMMYFUNCTION("""COMPUTED_VALUE"""),"rex-token")</f>
        <v>rex-token</v>
      </c>
      <c r="B10112" s="4" t="str">
        <f>IFERROR(__xludf.DUMMYFUNCTION("""COMPUTED_VALUE"""),"xrx")</f>
        <v>xrx</v>
      </c>
      <c r="C10112" s="4" t="str">
        <f>IFERROR(__xludf.DUMMYFUNCTION("""COMPUTED_VALUE"""),"Rex")</f>
        <v>Rex</v>
      </c>
    </row>
    <row r="10113">
      <c r="A10113" s="4" t="str">
        <f>IFERROR(__xludf.DUMMYFUNCTION("""COMPUTED_VALUE"""),"rexx-coin")</f>
        <v>rexx-coin</v>
      </c>
      <c r="B10113" s="4" t="str">
        <f>IFERROR(__xludf.DUMMYFUNCTION("""COMPUTED_VALUE"""),"rexx")</f>
        <v>rexx</v>
      </c>
      <c r="C10113" s="4" t="str">
        <f>IFERROR(__xludf.DUMMYFUNCTION("""COMPUTED_VALUE"""),"Rexx Coin")</f>
        <v>Rexx Coin</v>
      </c>
    </row>
    <row r="10114">
      <c r="A10114" s="4" t="str">
        <f>IFERROR(__xludf.DUMMYFUNCTION("""COMPUTED_VALUE"""),"rezolut")</f>
        <v>rezolut</v>
      </c>
      <c r="B10114" s="4" t="str">
        <f>IFERROR(__xludf.DUMMYFUNCTION("""COMPUTED_VALUE"""),"zolt")</f>
        <v>zolt</v>
      </c>
      <c r="C10114" s="4" t="str">
        <f>IFERROR(__xludf.DUMMYFUNCTION("""COMPUTED_VALUE"""),"Rezolut")</f>
        <v>Rezolut</v>
      </c>
    </row>
    <row r="10115">
      <c r="A10115" s="4" t="str">
        <f>IFERROR(__xludf.DUMMYFUNCTION("""COMPUTED_VALUE"""),"rfk-coin")</f>
        <v>rfk-coin</v>
      </c>
      <c r="B10115" s="4" t="str">
        <f>IFERROR(__xludf.DUMMYFUNCTION("""COMPUTED_VALUE"""),"rfkc")</f>
        <v>rfkc</v>
      </c>
      <c r="C10115" s="4" t="str">
        <f>IFERROR(__xludf.DUMMYFUNCTION("""COMPUTED_VALUE"""),"RFK Coin")</f>
        <v>RFK Coin</v>
      </c>
    </row>
    <row r="10116">
      <c r="A10116" s="4" t="str">
        <f>IFERROR(__xludf.DUMMYFUNCTION("""COMPUTED_VALUE"""),"r-games")</f>
        <v>r-games</v>
      </c>
      <c r="B10116" s="4" t="str">
        <f>IFERROR(__xludf.DUMMYFUNCTION("""COMPUTED_VALUE"""),"rgame")</f>
        <v>rgame</v>
      </c>
      <c r="C10116" s="4" t="str">
        <f>IFERROR(__xludf.DUMMYFUNCTION("""COMPUTED_VALUE"""),"R Games")</f>
        <v>R Games</v>
      </c>
    </row>
    <row r="10117">
      <c r="A10117" s="4" t="str">
        <f>IFERROR(__xludf.DUMMYFUNCTION("""COMPUTED_VALUE"""),"rhinofi")</f>
        <v>rhinofi</v>
      </c>
      <c r="B10117" s="4" t="str">
        <f>IFERROR(__xludf.DUMMYFUNCTION("""COMPUTED_VALUE"""),"dvf")</f>
        <v>dvf</v>
      </c>
      <c r="C10117" s="5" t="str">
        <f>IFERROR(__xludf.DUMMYFUNCTION("""COMPUTED_VALUE"""),"Rhino.fi")</f>
        <v>Rhino.fi</v>
      </c>
    </row>
    <row r="10118">
      <c r="A10118" s="4" t="str">
        <f>IFERROR(__xludf.DUMMYFUNCTION("""COMPUTED_VALUE"""),"rho")</f>
        <v>rho</v>
      </c>
      <c r="B10118" s="4" t="str">
        <f>IFERROR(__xludf.DUMMYFUNCTION("""COMPUTED_VALUE"""),"rho")</f>
        <v>rho</v>
      </c>
      <c r="C10118" s="4" t="str">
        <f>IFERROR(__xludf.DUMMYFUNCTION("""COMPUTED_VALUE"""),"RHO")</f>
        <v>RHO</v>
      </c>
    </row>
    <row r="10119">
      <c r="A10119" s="4" t="str">
        <f>IFERROR(__xludf.DUMMYFUNCTION("""COMPUTED_VALUE"""),"rho-token")</f>
        <v>rho-token</v>
      </c>
      <c r="B10119" s="4" t="str">
        <f>IFERROR(__xludf.DUMMYFUNCTION("""COMPUTED_VALUE"""),"rho")</f>
        <v>rho</v>
      </c>
      <c r="C10119" s="4" t="str">
        <f>IFERROR(__xludf.DUMMYFUNCTION("""COMPUTED_VALUE"""),"Rho")</f>
        <v>Rho</v>
      </c>
    </row>
    <row r="10120">
      <c r="A10120" s="4" t="str">
        <f>IFERROR(__xludf.DUMMYFUNCTION("""COMPUTED_VALUE"""),"rhythm")</f>
        <v>rhythm</v>
      </c>
      <c r="B10120" s="4" t="str">
        <f>IFERROR(__xludf.DUMMYFUNCTION("""COMPUTED_VALUE"""),"rhythm")</f>
        <v>rhythm</v>
      </c>
      <c r="C10120" s="4" t="str">
        <f>IFERROR(__xludf.DUMMYFUNCTION("""COMPUTED_VALUE"""),"Rhythm")</f>
        <v>Rhythm</v>
      </c>
    </row>
    <row r="10121">
      <c r="A10121" s="4" t="str">
        <f>IFERROR(__xludf.DUMMYFUNCTION("""COMPUTED_VALUE"""),"ribbit-2")</f>
        <v>ribbit-2</v>
      </c>
      <c r="B10121" s="4" t="str">
        <f>IFERROR(__xludf.DUMMYFUNCTION("""COMPUTED_VALUE"""),"rbt")</f>
        <v>rbt</v>
      </c>
      <c r="C10121" s="4" t="str">
        <f>IFERROR(__xludf.DUMMYFUNCTION("""COMPUTED_VALUE"""),"RIBBIT")</f>
        <v>RIBBIT</v>
      </c>
    </row>
    <row r="10122">
      <c r="A10122" s="4" t="str">
        <f>IFERROR(__xludf.DUMMYFUNCTION("""COMPUTED_VALUE"""),"ribbit-meme")</f>
        <v>ribbit-meme</v>
      </c>
      <c r="B10122" s="4" t="str">
        <f>IFERROR(__xludf.DUMMYFUNCTION("""COMPUTED_VALUE"""),"ribbit")</f>
        <v>ribbit</v>
      </c>
      <c r="C10122" s="4" t="str">
        <f>IFERROR(__xludf.DUMMYFUNCTION("""COMPUTED_VALUE"""),"Ribbit Meme")</f>
        <v>Ribbit Meme</v>
      </c>
    </row>
    <row r="10123">
      <c r="A10123" s="4" t="str">
        <f>IFERROR(__xludf.DUMMYFUNCTION("""COMPUTED_VALUE"""),"ribbon-finance")</f>
        <v>ribbon-finance</v>
      </c>
      <c r="B10123" s="4" t="str">
        <f>IFERROR(__xludf.DUMMYFUNCTION("""COMPUTED_VALUE"""),"rbn")</f>
        <v>rbn</v>
      </c>
      <c r="C10123" s="4" t="str">
        <f>IFERROR(__xludf.DUMMYFUNCTION("""COMPUTED_VALUE"""),"Ribbon Finance")</f>
        <v>Ribbon Finance</v>
      </c>
    </row>
    <row r="10124">
      <c r="A10124" s="4" t="str">
        <f>IFERROR(__xludf.DUMMYFUNCTION("""COMPUTED_VALUE"""),"ribus")</f>
        <v>ribus</v>
      </c>
      <c r="B10124" s="4" t="str">
        <f>IFERROR(__xludf.DUMMYFUNCTION("""COMPUTED_VALUE"""),"rib")</f>
        <v>rib</v>
      </c>
      <c r="C10124" s="4" t="str">
        <f>IFERROR(__xludf.DUMMYFUNCTION("""COMPUTED_VALUE"""),"Ribus")</f>
        <v>Ribus</v>
      </c>
    </row>
    <row r="10125">
      <c r="A10125" s="4" t="str">
        <f>IFERROR(__xludf.DUMMYFUNCTION("""COMPUTED_VALUE"""),"riceswap")</f>
        <v>riceswap</v>
      </c>
      <c r="B10125" s="4" t="str">
        <f>IFERROR(__xludf.DUMMYFUNCTION("""COMPUTED_VALUE"""),"rice")</f>
        <v>rice</v>
      </c>
      <c r="C10125" s="4" t="str">
        <f>IFERROR(__xludf.DUMMYFUNCTION("""COMPUTED_VALUE"""),"RiceSwap")</f>
        <v>RiceSwap</v>
      </c>
    </row>
    <row r="10126">
      <c r="A10126" s="4" t="str">
        <f>IFERROR(__xludf.DUMMYFUNCTION("""COMPUTED_VALUE"""),"rich")</f>
        <v>rich</v>
      </c>
      <c r="B10126" s="4" t="str">
        <f>IFERROR(__xludf.DUMMYFUNCTION("""COMPUTED_VALUE"""),"rch")</f>
        <v>rch</v>
      </c>
      <c r="C10126" s="4" t="str">
        <f>IFERROR(__xludf.DUMMYFUNCTION("""COMPUTED_VALUE"""),"Rich")</f>
        <v>Rich</v>
      </c>
    </row>
    <row r="10127">
      <c r="A10127" s="4" t="str">
        <f>IFERROR(__xludf.DUMMYFUNCTION("""COMPUTED_VALUE"""),"richai")</f>
        <v>richai</v>
      </c>
      <c r="B10127" s="4" t="str">
        <f>IFERROR(__xludf.DUMMYFUNCTION("""COMPUTED_VALUE"""),"richai")</f>
        <v>richai</v>
      </c>
      <c r="C10127" s="4" t="str">
        <f>IFERROR(__xludf.DUMMYFUNCTION("""COMPUTED_VALUE"""),"RichAI")</f>
        <v>RichAI</v>
      </c>
    </row>
    <row r="10128">
      <c r="A10128" s="4" t="str">
        <f>IFERROR(__xludf.DUMMYFUNCTION("""COMPUTED_VALUE"""),"richard")</f>
        <v>richard</v>
      </c>
      <c r="B10128" s="4" t="str">
        <f>IFERROR(__xludf.DUMMYFUNCTION("""COMPUTED_VALUE"""),"richard")</f>
        <v>richard</v>
      </c>
      <c r="C10128" s="4" t="str">
        <f>IFERROR(__xludf.DUMMYFUNCTION("""COMPUTED_VALUE"""),"Richard")</f>
        <v>Richard</v>
      </c>
    </row>
    <row r="10129">
      <c r="A10129" s="4" t="str">
        <f>IFERROR(__xludf.DUMMYFUNCTION("""COMPUTED_VALUE"""),"richcity")</f>
        <v>richcity</v>
      </c>
      <c r="B10129" s="4" t="str">
        <f>IFERROR(__xludf.DUMMYFUNCTION("""COMPUTED_VALUE"""),"rich")</f>
        <v>rich</v>
      </c>
      <c r="C10129" s="4" t="str">
        <f>IFERROR(__xludf.DUMMYFUNCTION("""COMPUTED_VALUE"""),"RichCity")</f>
        <v>RichCity</v>
      </c>
    </row>
    <row r="10130">
      <c r="A10130" s="4" t="str">
        <f>IFERROR(__xludf.DUMMYFUNCTION("""COMPUTED_VALUE"""),"richquack")</f>
        <v>richquack</v>
      </c>
      <c r="B10130" s="4" t="str">
        <f>IFERROR(__xludf.DUMMYFUNCTION("""COMPUTED_VALUE"""),"quack")</f>
        <v>quack</v>
      </c>
      <c r="C10130" s="4" t="str">
        <f>IFERROR(__xludf.DUMMYFUNCTION("""COMPUTED_VALUE"""),"Rich Quack")</f>
        <v>Rich Quack</v>
      </c>
    </row>
    <row r="10131">
      <c r="A10131" s="4" t="str">
        <f>IFERROR(__xludf.DUMMYFUNCTION("""COMPUTED_VALUE"""),"rich-rabbit")</f>
        <v>rich-rabbit</v>
      </c>
      <c r="B10131" s="4" t="str">
        <f>IFERROR(__xludf.DUMMYFUNCTION("""COMPUTED_VALUE"""),"rabbit")</f>
        <v>rabbit</v>
      </c>
      <c r="C10131" s="4" t="str">
        <f>IFERROR(__xludf.DUMMYFUNCTION("""COMPUTED_VALUE"""),"Rich Rabbit")</f>
        <v>Rich Rabbit</v>
      </c>
    </row>
    <row r="10132">
      <c r="A10132" s="4" t="str">
        <f>IFERROR(__xludf.DUMMYFUNCTION("""COMPUTED_VALUE"""),"ride_finance")</f>
        <v>ride_finance</v>
      </c>
      <c r="B10132" s="4" t="str">
        <f>IFERROR(__xludf.DUMMYFUNCTION("""COMPUTED_VALUE"""),"rides")</f>
        <v>rides</v>
      </c>
      <c r="C10132" s="4" t="str">
        <f>IFERROR(__xludf.DUMMYFUNCTION("""COMPUTED_VALUE"""),"Rides Finance")</f>
        <v>Rides Finance</v>
      </c>
    </row>
    <row r="10133">
      <c r="A10133" s="4" t="str">
        <f>IFERROR(__xludf.DUMMYFUNCTION("""COMPUTED_VALUE"""),"ridotto")</f>
        <v>ridotto</v>
      </c>
      <c r="B10133" s="4" t="str">
        <f>IFERROR(__xludf.DUMMYFUNCTION("""COMPUTED_VALUE"""),"rdt")</f>
        <v>rdt</v>
      </c>
      <c r="C10133" s="4" t="str">
        <f>IFERROR(__xludf.DUMMYFUNCTION("""COMPUTED_VALUE"""),"Ridotto")</f>
        <v>Ridotto</v>
      </c>
    </row>
    <row r="10134">
      <c r="A10134" s="4" t="str">
        <f>IFERROR(__xludf.DUMMYFUNCTION("""COMPUTED_VALUE"""),"riecoin")</f>
        <v>riecoin</v>
      </c>
      <c r="B10134" s="4" t="str">
        <f>IFERROR(__xludf.DUMMYFUNCTION("""COMPUTED_VALUE"""),"ric")</f>
        <v>ric</v>
      </c>
      <c r="C10134" s="4" t="str">
        <f>IFERROR(__xludf.DUMMYFUNCTION("""COMPUTED_VALUE"""),"Riecoin")</f>
        <v>Riecoin</v>
      </c>
    </row>
    <row r="10135">
      <c r="A10135" s="4" t="str">
        <f>IFERROR(__xludf.DUMMYFUNCTION("""COMPUTED_VALUE"""),"rifi-united")</f>
        <v>rifi-united</v>
      </c>
      <c r="B10135" s="4" t="str">
        <f>IFERROR(__xludf.DUMMYFUNCTION("""COMPUTED_VALUE"""),"ru")</f>
        <v>ru</v>
      </c>
      <c r="C10135" s="4" t="str">
        <f>IFERROR(__xludf.DUMMYFUNCTION("""COMPUTED_VALUE"""),"RIFI United")</f>
        <v>RIFI United</v>
      </c>
    </row>
    <row r="10136">
      <c r="A10136" s="4" t="str">
        <f>IFERROR(__xludf.DUMMYFUNCTION("""COMPUTED_VALUE"""),"rif-token")</f>
        <v>rif-token</v>
      </c>
      <c r="B10136" s="4" t="str">
        <f>IFERROR(__xludf.DUMMYFUNCTION("""COMPUTED_VALUE"""),"rif")</f>
        <v>rif</v>
      </c>
      <c r="C10136" s="4" t="str">
        <f>IFERROR(__xludf.DUMMYFUNCTION("""COMPUTED_VALUE"""),"RSK Infrastructure Framework")</f>
        <v>RSK Infrastructure Framework</v>
      </c>
    </row>
    <row r="10137">
      <c r="A10137" s="4" t="str">
        <f>IFERROR(__xludf.DUMMYFUNCTION("""COMPUTED_VALUE"""),"rigel-protocol")</f>
        <v>rigel-protocol</v>
      </c>
      <c r="B10137" s="4" t="str">
        <f>IFERROR(__xludf.DUMMYFUNCTION("""COMPUTED_VALUE"""),"rgp")</f>
        <v>rgp</v>
      </c>
      <c r="C10137" s="4" t="str">
        <f>IFERROR(__xludf.DUMMYFUNCTION("""COMPUTED_VALUE"""),"Rigel Protocol")</f>
        <v>Rigel Protocol</v>
      </c>
    </row>
    <row r="10138">
      <c r="A10138" s="4" t="str">
        <f>IFERROR(__xludf.DUMMYFUNCTION("""COMPUTED_VALUE"""),"riggers")</f>
        <v>riggers</v>
      </c>
      <c r="B10138" s="4" t="str">
        <f>IFERROR(__xludf.DUMMYFUNCTION("""COMPUTED_VALUE"""),"rig")</f>
        <v>rig</v>
      </c>
      <c r="C10138" s="4" t="str">
        <f>IFERROR(__xludf.DUMMYFUNCTION("""COMPUTED_VALUE"""),"Riggers")</f>
        <v>Riggers</v>
      </c>
    </row>
    <row r="10139">
      <c r="A10139" s="4" t="str">
        <f>IFERROR(__xludf.DUMMYFUNCTION("""COMPUTED_VALUE"""),"rigoblock")</f>
        <v>rigoblock</v>
      </c>
      <c r="B10139" s="4" t="str">
        <f>IFERROR(__xludf.DUMMYFUNCTION("""COMPUTED_VALUE"""),"grg")</f>
        <v>grg</v>
      </c>
      <c r="C10139" s="4" t="str">
        <f>IFERROR(__xludf.DUMMYFUNCTION("""COMPUTED_VALUE"""),"RigoBlock")</f>
        <v>RigoBlock</v>
      </c>
    </row>
    <row r="10140">
      <c r="A10140" s="4" t="str">
        <f>IFERROR(__xludf.DUMMYFUNCTION("""COMPUTED_VALUE"""),"rikeza")</f>
        <v>rikeza</v>
      </c>
      <c r="B10140" s="4" t="str">
        <f>IFERROR(__xludf.DUMMYFUNCTION("""COMPUTED_VALUE"""),"rik")</f>
        <v>rik</v>
      </c>
      <c r="C10140" s="4" t="str">
        <f>IFERROR(__xludf.DUMMYFUNCTION("""COMPUTED_VALUE"""),"RIKEZA")</f>
        <v>RIKEZA</v>
      </c>
    </row>
    <row r="10141">
      <c r="A10141" s="4" t="str">
        <f>IFERROR(__xludf.DUMMYFUNCTION("""COMPUTED_VALUE"""),"rikkei-finance")</f>
        <v>rikkei-finance</v>
      </c>
      <c r="B10141" s="4" t="str">
        <f>IFERROR(__xludf.DUMMYFUNCTION("""COMPUTED_VALUE"""),"rifi")</f>
        <v>rifi</v>
      </c>
      <c r="C10141" s="4" t="str">
        <f>IFERROR(__xludf.DUMMYFUNCTION("""COMPUTED_VALUE"""),"Rikkei Finance")</f>
        <v>Rikkei Finance</v>
      </c>
    </row>
    <row r="10142">
      <c r="A10142" s="4" t="str">
        <f>IFERROR(__xludf.DUMMYFUNCTION("""COMPUTED_VALUE"""),"riku")</f>
        <v>riku</v>
      </c>
      <c r="B10142" s="4" t="str">
        <f>IFERROR(__xludf.DUMMYFUNCTION("""COMPUTED_VALUE"""),"riku")</f>
        <v>riku</v>
      </c>
      <c r="C10142" s="4" t="str">
        <f>IFERROR(__xludf.DUMMYFUNCTION("""COMPUTED_VALUE"""),"RIKU")</f>
        <v>RIKU</v>
      </c>
    </row>
    <row r="10143">
      <c r="A10143" s="4" t="str">
        <f>IFERROR(__xludf.DUMMYFUNCTION("""COMPUTED_VALUE"""),"rilcoin")</f>
        <v>rilcoin</v>
      </c>
      <c r="B10143" s="4" t="str">
        <f>IFERROR(__xludf.DUMMYFUNCTION("""COMPUTED_VALUE"""),"ril")</f>
        <v>ril</v>
      </c>
      <c r="C10143" s="4" t="str">
        <f>IFERROR(__xludf.DUMMYFUNCTION("""COMPUTED_VALUE"""),"Rilcoin")</f>
        <v>Rilcoin</v>
      </c>
    </row>
    <row r="10144">
      <c r="A10144" s="4" t="str">
        <f>IFERROR(__xludf.DUMMYFUNCTION("""COMPUTED_VALUE"""),"rillafi")</f>
        <v>rillafi</v>
      </c>
      <c r="B10144" s="4" t="str">
        <f>IFERROR(__xludf.DUMMYFUNCTION("""COMPUTED_VALUE"""),"rilla")</f>
        <v>rilla</v>
      </c>
      <c r="C10144" s="4" t="str">
        <f>IFERROR(__xludf.DUMMYFUNCTION("""COMPUTED_VALUE"""),"RillaFi")</f>
        <v>RillaFi</v>
      </c>
    </row>
    <row r="10145">
      <c r="A10145" s="4" t="str">
        <f>IFERROR(__xludf.DUMMYFUNCTION("""COMPUTED_VALUE"""),"rimaunangis")</f>
        <v>rimaunangis</v>
      </c>
      <c r="B10145" s="4" t="str">
        <f>IFERROR(__xludf.DUMMYFUNCTION("""COMPUTED_VALUE"""),"rxt")</f>
        <v>rxt</v>
      </c>
      <c r="C10145" s="4" t="str">
        <f>IFERROR(__xludf.DUMMYFUNCTION("""COMPUTED_VALUE"""),"RIMAUNANGIS")</f>
        <v>RIMAUNANGIS</v>
      </c>
    </row>
    <row r="10146">
      <c r="A10146" s="4" t="str">
        <f>IFERROR(__xludf.DUMMYFUNCTION("""COMPUTED_VALUE"""),"ring-ai")</f>
        <v>ring-ai</v>
      </c>
      <c r="B10146" s="4" t="str">
        <f>IFERROR(__xludf.DUMMYFUNCTION("""COMPUTED_VALUE"""),"ring")</f>
        <v>ring</v>
      </c>
      <c r="C10146" s="4" t="str">
        <f>IFERROR(__xludf.DUMMYFUNCTION("""COMPUTED_VALUE"""),"Ring AI")</f>
        <v>Ring AI</v>
      </c>
    </row>
    <row r="10147">
      <c r="A10147" s="4" t="str">
        <f>IFERROR(__xludf.DUMMYFUNCTION("""COMPUTED_VALUE"""),"rinia-inu")</f>
        <v>rinia-inu</v>
      </c>
      <c r="B10147" s="4" t="str">
        <f>IFERROR(__xludf.DUMMYFUNCTION("""COMPUTED_VALUE"""),"rinia")</f>
        <v>rinia</v>
      </c>
      <c r="C10147" s="4" t="str">
        <f>IFERROR(__xludf.DUMMYFUNCTION("""COMPUTED_VALUE"""),"Rinia Inu")</f>
        <v>Rinia Inu</v>
      </c>
    </row>
    <row r="10148">
      <c r="A10148" s="4" t="str">
        <f>IFERROR(__xludf.DUMMYFUNCTION("""COMPUTED_VALUE"""),"rio-defi")</f>
        <v>rio-defi</v>
      </c>
      <c r="B10148" s="4" t="str">
        <f>IFERROR(__xludf.DUMMYFUNCTION("""COMPUTED_VALUE"""),"rfuel")</f>
        <v>rfuel</v>
      </c>
      <c r="C10148" s="4" t="str">
        <f>IFERROR(__xludf.DUMMYFUNCTION("""COMPUTED_VALUE"""),"RioDeFi")</f>
        <v>RioDeFi</v>
      </c>
    </row>
    <row r="10149">
      <c r="A10149" s="4" t="str">
        <f>IFERROR(__xludf.DUMMYFUNCTION("""COMPUTED_VALUE"""),"riot-racers")</f>
        <v>riot-racers</v>
      </c>
      <c r="B10149" s="4" t="str">
        <f>IFERROR(__xludf.DUMMYFUNCTION("""COMPUTED_VALUE"""),"riot")</f>
        <v>riot</v>
      </c>
      <c r="C10149" s="4" t="str">
        <f>IFERROR(__xludf.DUMMYFUNCTION("""COMPUTED_VALUE"""),"Riot Racers")</f>
        <v>Riot Racers</v>
      </c>
    </row>
    <row r="10150">
      <c r="A10150" s="4" t="str">
        <f>IFERROR(__xludf.DUMMYFUNCTION("""COMPUTED_VALUE"""),"ripae")</f>
        <v>ripae</v>
      </c>
      <c r="B10150" s="4" t="str">
        <f>IFERROR(__xludf.DUMMYFUNCTION("""COMPUTED_VALUE"""),"pae")</f>
        <v>pae</v>
      </c>
      <c r="C10150" s="4" t="str">
        <f>IFERROR(__xludf.DUMMYFUNCTION("""COMPUTED_VALUE"""),"Ripae")</f>
        <v>Ripae</v>
      </c>
    </row>
    <row r="10151">
      <c r="A10151" s="4" t="str">
        <f>IFERROR(__xludf.DUMMYFUNCTION("""COMPUTED_VALUE"""),"ripio-credit-network")</f>
        <v>ripio-credit-network</v>
      </c>
      <c r="B10151" s="4" t="str">
        <f>IFERROR(__xludf.DUMMYFUNCTION("""COMPUTED_VALUE"""),"rcn")</f>
        <v>rcn</v>
      </c>
      <c r="C10151" s="4" t="str">
        <f>IFERROR(__xludf.DUMMYFUNCTION("""COMPUTED_VALUE"""),"Ripio Credit Network")</f>
        <v>Ripio Credit Network</v>
      </c>
    </row>
    <row r="10152">
      <c r="A10152" s="4" t="str">
        <f>IFERROR(__xludf.DUMMYFUNCTION("""COMPUTED_VALUE"""),"ripple")</f>
        <v>ripple</v>
      </c>
      <c r="B10152" s="4" t="str">
        <f>IFERROR(__xludf.DUMMYFUNCTION("""COMPUTED_VALUE"""),"xrp")</f>
        <v>xrp</v>
      </c>
      <c r="C10152" s="4" t="str">
        <f>IFERROR(__xludf.DUMMYFUNCTION("""COMPUTED_VALUE"""),"XRP")</f>
        <v>XRP</v>
      </c>
    </row>
    <row r="10153">
      <c r="A10153" s="4" t="str">
        <f>IFERROR(__xludf.DUMMYFUNCTION("""COMPUTED_VALUE"""),"risecoin")</f>
        <v>risecoin</v>
      </c>
      <c r="B10153" s="4" t="str">
        <f>IFERROR(__xludf.DUMMYFUNCTION("""COMPUTED_VALUE"""),"rsc")</f>
        <v>rsc</v>
      </c>
      <c r="C10153" s="4" t="str">
        <f>IFERROR(__xludf.DUMMYFUNCTION("""COMPUTED_VALUE"""),"Risecoin")</f>
        <v>Risecoin</v>
      </c>
    </row>
    <row r="10154">
      <c r="A10154" s="4" t="str">
        <f>IFERROR(__xludf.DUMMYFUNCTION("""COMPUTED_VALUE"""),"rise-of-the-warbots-mmac")</f>
        <v>rise-of-the-warbots-mmac</v>
      </c>
      <c r="B10154" s="4" t="str">
        <f>IFERROR(__xludf.DUMMYFUNCTION("""COMPUTED_VALUE"""),"mmac")</f>
        <v>mmac</v>
      </c>
      <c r="C10154" s="4" t="str">
        <f>IFERROR(__xludf.DUMMYFUNCTION("""COMPUTED_VALUE"""),"Rise of the Warbots MMAC")</f>
        <v>Rise of the Warbots MMAC</v>
      </c>
    </row>
    <row r="10155">
      <c r="A10155" s="4" t="str">
        <f>IFERROR(__xludf.DUMMYFUNCTION("""COMPUTED_VALUE"""),"risitas")</f>
        <v>risitas</v>
      </c>
      <c r="B10155" s="4" t="str">
        <f>IFERROR(__xludf.DUMMYFUNCTION("""COMPUTED_VALUE"""),"risita")</f>
        <v>risita</v>
      </c>
      <c r="C10155" s="4" t="str">
        <f>IFERROR(__xludf.DUMMYFUNCTION("""COMPUTED_VALUE"""),"Risitas")</f>
        <v>Risitas</v>
      </c>
    </row>
    <row r="10156">
      <c r="A10156" s="4" t="str">
        <f>IFERROR(__xludf.DUMMYFUNCTION("""COMPUTED_VALUE"""),"risitas-coin")</f>
        <v>risitas-coin</v>
      </c>
      <c r="B10156" s="4" t="str">
        <f>IFERROR(__xludf.DUMMYFUNCTION("""COMPUTED_VALUE"""),"risita")</f>
        <v>risita</v>
      </c>
      <c r="C10156" s="4" t="str">
        <f>IFERROR(__xludf.DUMMYFUNCTION("""COMPUTED_VALUE"""),"Risitas Coin")</f>
        <v>Risitas Coin</v>
      </c>
    </row>
    <row r="10157">
      <c r="A10157" s="4" t="str">
        <f>IFERROR(__xludf.DUMMYFUNCTION("""COMPUTED_VALUE"""),"ritestream")</f>
        <v>ritestream</v>
      </c>
      <c r="B10157" s="4" t="str">
        <f>IFERROR(__xludf.DUMMYFUNCTION("""COMPUTED_VALUE"""),"rite")</f>
        <v>rite</v>
      </c>
      <c r="C10157" s="4" t="str">
        <f>IFERROR(__xludf.DUMMYFUNCTION("""COMPUTED_VALUE"""),"ritestream")</f>
        <v>ritestream</v>
      </c>
    </row>
    <row r="10158">
      <c r="A10158" s="4" t="str">
        <f>IFERROR(__xludf.DUMMYFUNCTION("""COMPUTED_VALUE"""),"rito")</f>
        <v>rito</v>
      </c>
      <c r="B10158" s="4" t="str">
        <f>IFERROR(__xludf.DUMMYFUNCTION("""COMPUTED_VALUE"""),"rito")</f>
        <v>rito</v>
      </c>
      <c r="C10158" s="4" t="str">
        <f>IFERROR(__xludf.DUMMYFUNCTION("""COMPUTED_VALUE"""),"Rito")</f>
        <v>Rito</v>
      </c>
    </row>
    <row r="10159">
      <c r="A10159" s="4" t="str">
        <f>IFERROR(__xludf.DUMMYFUNCTION("""COMPUTED_VALUE"""),"riverboat")</f>
        <v>riverboat</v>
      </c>
      <c r="B10159" s="4" t="str">
        <f>IFERROR(__xludf.DUMMYFUNCTION("""COMPUTED_VALUE"""),"rib")</f>
        <v>rib</v>
      </c>
      <c r="C10159" s="4" t="str">
        <f>IFERROR(__xludf.DUMMYFUNCTION("""COMPUTED_VALUE"""),"RiverBoat")</f>
        <v>RiverBoat</v>
      </c>
    </row>
    <row r="10160">
      <c r="A10160" s="4" t="str">
        <f>IFERROR(__xludf.DUMMYFUNCTION("""COMPUTED_VALUE"""),"riverex-welle")</f>
        <v>riverex-welle</v>
      </c>
      <c r="B10160" s="4" t="str">
        <f>IFERROR(__xludf.DUMMYFUNCTION("""COMPUTED_VALUE"""),"welle")</f>
        <v>welle</v>
      </c>
      <c r="C10160" s="4" t="str">
        <f>IFERROR(__xludf.DUMMYFUNCTION("""COMPUTED_VALUE"""),"Welle")</f>
        <v>Welle</v>
      </c>
    </row>
    <row r="10161">
      <c r="A10161" s="4" t="str">
        <f>IFERROR(__xludf.DUMMYFUNCTION("""COMPUTED_VALUE"""),"rizo")</f>
        <v>rizo</v>
      </c>
      <c r="B10161" s="4" t="str">
        <f>IFERROR(__xludf.DUMMYFUNCTION("""COMPUTED_VALUE"""),"rizo")</f>
        <v>rizo</v>
      </c>
      <c r="C10161" s="4" t="str">
        <f>IFERROR(__xludf.DUMMYFUNCTION("""COMPUTED_VALUE"""),"Rizo")</f>
        <v>Rizo</v>
      </c>
    </row>
    <row r="10162">
      <c r="A10162" s="4" t="str">
        <f>IFERROR(__xludf.DUMMYFUNCTION("""COMPUTED_VALUE"""),"rizon")</f>
        <v>rizon</v>
      </c>
      <c r="B10162" s="4" t="str">
        <f>IFERROR(__xludf.DUMMYFUNCTION("""COMPUTED_VALUE"""),"atolo")</f>
        <v>atolo</v>
      </c>
      <c r="C10162" s="4" t="str">
        <f>IFERROR(__xludf.DUMMYFUNCTION("""COMPUTED_VALUE"""),"RIZON")</f>
        <v>RIZON</v>
      </c>
    </row>
    <row r="10163">
      <c r="A10163" s="4" t="str">
        <f>IFERROR(__xludf.DUMMYFUNCTION("""COMPUTED_VALUE"""),"rizz")</f>
        <v>rizz</v>
      </c>
      <c r="B10163" s="4" t="str">
        <f>IFERROR(__xludf.DUMMYFUNCTION("""COMPUTED_VALUE"""),"rizz")</f>
        <v>rizz</v>
      </c>
      <c r="C10163" s="4" t="str">
        <f>IFERROR(__xludf.DUMMYFUNCTION("""COMPUTED_VALUE"""),"RIZZ")</f>
        <v>RIZZ</v>
      </c>
    </row>
    <row r="10164">
      <c r="A10164" s="4" t="str">
        <f>IFERROR(__xludf.DUMMYFUNCTION("""COMPUTED_VALUE"""),"rizz-coin")</f>
        <v>rizz-coin</v>
      </c>
      <c r="B10164" s="4" t="str">
        <f>IFERROR(__xludf.DUMMYFUNCTION("""COMPUTED_VALUE"""),"rizz")</f>
        <v>rizz</v>
      </c>
      <c r="C10164" s="4" t="str">
        <f>IFERROR(__xludf.DUMMYFUNCTION("""COMPUTED_VALUE"""),"RIZZ Coin")</f>
        <v>RIZZ Coin</v>
      </c>
    </row>
    <row r="10165">
      <c r="A10165" s="4" t="str">
        <f>IFERROR(__xludf.DUMMYFUNCTION("""COMPUTED_VALUE"""),"rmrk")</f>
        <v>rmrk</v>
      </c>
      <c r="B10165" s="4" t="str">
        <f>IFERROR(__xludf.DUMMYFUNCTION("""COMPUTED_VALUE"""),"rmrk")</f>
        <v>rmrk</v>
      </c>
      <c r="C10165" s="4" t="str">
        <f>IFERROR(__xludf.DUMMYFUNCTION("""COMPUTED_VALUE"""),"RMRK")</f>
        <v>RMRK</v>
      </c>
    </row>
    <row r="10166">
      <c r="A10166" s="4" t="str">
        <f>IFERROR(__xludf.DUMMYFUNCTION("""COMPUTED_VALUE"""),"roach-rally")</f>
        <v>roach-rally</v>
      </c>
      <c r="B10166" s="4" t="str">
        <f>IFERROR(__xludf.DUMMYFUNCTION("""COMPUTED_VALUE"""),"roach")</f>
        <v>roach</v>
      </c>
      <c r="C10166" s="4" t="str">
        <f>IFERROR(__xludf.DUMMYFUNCTION("""COMPUTED_VALUE"""),"Roach Rally")</f>
        <v>Roach Rally</v>
      </c>
    </row>
    <row r="10167">
      <c r="A10167" s="4" t="str">
        <f>IFERROR(__xludf.DUMMYFUNCTION("""COMPUTED_VALUE"""),"roaland-core")</f>
        <v>roaland-core</v>
      </c>
      <c r="B10167" s="4" t="str">
        <f>IFERROR(__xludf.DUMMYFUNCTION("""COMPUTED_VALUE"""),"roa")</f>
        <v>roa</v>
      </c>
      <c r="C10167" s="4" t="str">
        <f>IFERROR(__xludf.DUMMYFUNCTION("""COMPUTED_VALUE"""),"ROACORE")</f>
        <v>ROACORE</v>
      </c>
    </row>
    <row r="10168">
      <c r="A10168" s="4" t="str">
        <f>IFERROR(__xludf.DUMMYFUNCTION("""COMPUTED_VALUE"""),"roaring-kitty")</f>
        <v>roaring-kitty</v>
      </c>
      <c r="B10168" s="4" t="str">
        <f>IFERROR(__xludf.DUMMYFUNCTION("""COMPUTED_VALUE"""),"roar")</f>
        <v>roar</v>
      </c>
      <c r="C10168" s="4" t="str">
        <f>IFERROR(__xludf.DUMMYFUNCTION("""COMPUTED_VALUE"""),"Roaring Kitty")</f>
        <v>Roaring Kitty</v>
      </c>
    </row>
    <row r="10169">
      <c r="A10169" s="4" t="str">
        <f>IFERROR(__xludf.DUMMYFUNCTION("""COMPUTED_VALUE"""),"roaring-kitty-sol")</f>
        <v>roaring-kitty-sol</v>
      </c>
      <c r="B10169" s="4" t="str">
        <f>IFERROR(__xludf.DUMMYFUNCTION("""COMPUTED_VALUE"""),"stonks")</f>
        <v>stonks</v>
      </c>
      <c r="C10169" s="4" t="str">
        <f>IFERROR(__xludf.DUMMYFUNCTION("""COMPUTED_VALUE"""),"Roaring Kitty (Sol)")</f>
        <v>Roaring Kitty (Sol)</v>
      </c>
    </row>
    <row r="10170">
      <c r="A10170" s="4" t="str">
        <f>IFERROR(__xludf.DUMMYFUNCTION("""COMPUTED_VALUE"""),"roasthimjim")</f>
        <v>roasthimjim</v>
      </c>
      <c r="B10170" s="4" t="str">
        <f>IFERROR(__xludf.DUMMYFUNCTION("""COMPUTED_VALUE"""),"jim")</f>
        <v>jim</v>
      </c>
      <c r="C10170" s="4" t="str">
        <f>IFERROR(__xludf.DUMMYFUNCTION("""COMPUTED_VALUE"""),"Jim")</f>
        <v>Jim</v>
      </c>
    </row>
    <row r="10171">
      <c r="A10171" s="4" t="str">
        <f>IFERROR(__xludf.DUMMYFUNCTION("""COMPUTED_VALUE"""),"robin-hood")</f>
        <v>robin-hood</v>
      </c>
      <c r="B10171" s="4" t="str">
        <f>IFERROR(__xludf.DUMMYFUNCTION("""COMPUTED_VALUE"""),"hood")</f>
        <v>hood</v>
      </c>
      <c r="C10171" s="4" t="str">
        <f>IFERROR(__xludf.DUMMYFUNCTION("""COMPUTED_VALUE"""),"Robin Hood")</f>
        <v>Robin Hood</v>
      </c>
    </row>
    <row r="10172">
      <c r="A10172" s="4" t="str">
        <f>IFERROR(__xludf.DUMMYFUNCTION("""COMPUTED_VALUE"""),"robinos")</f>
        <v>robinos</v>
      </c>
      <c r="B10172" s="4" t="str">
        <f>IFERROR(__xludf.DUMMYFUNCTION("""COMPUTED_VALUE"""),"rbn")</f>
        <v>rbn</v>
      </c>
      <c r="C10172" s="4" t="str">
        <f>IFERROR(__xludf.DUMMYFUNCTION("""COMPUTED_VALUE"""),"Robinos [OLD]")</f>
        <v>Robinos [OLD]</v>
      </c>
    </row>
    <row r="10173">
      <c r="A10173" s="4" t="str">
        <f>IFERROR(__xludf.DUMMYFUNCTION("""COMPUTED_VALUE"""),"robinos-2")</f>
        <v>robinos-2</v>
      </c>
      <c r="B10173" s="4" t="str">
        <f>IFERROR(__xludf.DUMMYFUNCTION("""COMPUTED_VALUE"""),"rbn")</f>
        <v>rbn</v>
      </c>
      <c r="C10173" s="4" t="str">
        <f>IFERROR(__xludf.DUMMYFUNCTION("""COMPUTED_VALUE"""),"Robinos")</f>
        <v>Robinos</v>
      </c>
    </row>
    <row r="10174">
      <c r="A10174" s="4" t="str">
        <f>IFERROR(__xludf.DUMMYFUNCTION("""COMPUTED_VALUE"""),"robodoge-coin")</f>
        <v>robodoge-coin</v>
      </c>
      <c r="B10174" s="4" t="str">
        <f>IFERROR(__xludf.DUMMYFUNCTION("""COMPUTED_VALUE"""),"robodoge")</f>
        <v>robodoge</v>
      </c>
      <c r="C10174" s="4" t="str">
        <f>IFERROR(__xludf.DUMMYFUNCTION("""COMPUTED_VALUE"""),"RoboDoge Coin")</f>
        <v>RoboDoge Coin</v>
      </c>
    </row>
    <row r="10175">
      <c r="A10175" s="4" t="str">
        <f>IFERROR(__xludf.DUMMYFUNCTION("""COMPUTED_VALUE"""),"robofi-token")</f>
        <v>robofi-token</v>
      </c>
      <c r="B10175" s="4" t="str">
        <f>IFERROR(__xludf.DUMMYFUNCTION("""COMPUTED_VALUE"""),"vics")</f>
        <v>vics</v>
      </c>
      <c r="C10175" s="4" t="str">
        <f>IFERROR(__xludf.DUMMYFUNCTION("""COMPUTED_VALUE"""),"RoboFi")</f>
        <v>RoboFi</v>
      </c>
    </row>
    <row r="10176">
      <c r="A10176" s="4" t="str">
        <f>IFERROR(__xludf.DUMMYFUNCTION("""COMPUTED_VALUE"""),"robo-inu-finance")</f>
        <v>robo-inu-finance</v>
      </c>
      <c r="B10176" s="4" t="str">
        <f>IFERROR(__xludf.DUMMYFUNCTION("""COMPUTED_VALUE"""),"rbif")</f>
        <v>rbif</v>
      </c>
      <c r="C10176" s="4" t="str">
        <f>IFERROR(__xludf.DUMMYFUNCTION("""COMPUTED_VALUE"""),"Robo Inu Finance")</f>
        <v>Robo Inu Finance</v>
      </c>
    </row>
    <row r="10177">
      <c r="A10177" s="4" t="str">
        <f>IFERROR(__xludf.DUMMYFUNCTION("""COMPUTED_VALUE"""),"robonomics-network")</f>
        <v>robonomics-network</v>
      </c>
      <c r="B10177" s="4" t="str">
        <f>IFERROR(__xludf.DUMMYFUNCTION("""COMPUTED_VALUE"""),"xrt")</f>
        <v>xrt</v>
      </c>
      <c r="C10177" s="4" t="str">
        <f>IFERROR(__xludf.DUMMYFUNCTION("""COMPUTED_VALUE"""),"Robonomics Network")</f>
        <v>Robonomics Network</v>
      </c>
    </row>
    <row r="10178">
      <c r="A10178" s="4" t="str">
        <f>IFERROR(__xludf.DUMMYFUNCTION("""COMPUTED_VALUE"""),"robotrade")</f>
        <v>robotrade</v>
      </c>
      <c r="B10178" s="4" t="str">
        <f>IFERROR(__xludf.DUMMYFUNCTION("""COMPUTED_VALUE"""),"robo")</f>
        <v>robo</v>
      </c>
      <c r="C10178" s="4" t="str">
        <f>IFERROR(__xludf.DUMMYFUNCTION("""COMPUTED_VALUE"""),"Robotrade")</f>
        <v>Robotrade</v>
      </c>
    </row>
    <row r="10179">
      <c r="A10179" s="4" t="str">
        <f>IFERROR(__xludf.DUMMYFUNCTION("""COMPUTED_VALUE"""),"robust-token")</f>
        <v>robust-token</v>
      </c>
      <c r="B10179" s="4" t="str">
        <f>IFERROR(__xludf.DUMMYFUNCTION("""COMPUTED_VALUE"""),"rbt")</f>
        <v>rbt</v>
      </c>
      <c r="C10179" s="4" t="str">
        <f>IFERROR(__xludf.DUMMYFUNCTION("""COMPUTED_VALUE"""),"Robust")</f>
        <v>Robust</v>
      </c>
    </row>
    <row r="10180">
      <c r="A10180" s="4" t="str">
        <f>IFERROR(__xludf.DUMMYFUNCTION("""COMPUTED_VALUE"""),"rocifi")</f>
        <v>rocifi</v>
      </c>
      <c r="B10180" s="4" t="str">
        <f>IFERROR(__xludf.DUMMYFUNCTION("""COMPUTED_VALUE"""),"roci")</f>
        <v>roci</v>
      </c>
      <c r="C10180" s="4" t="str">
        <f>IFERROR(__xludf.DUMMYFUNCTION("""COMPUTED_VALUE"""),"RociFi")</f>
        <v>RociFi</v>
      </c>
    </row>
    <row r="10181">
      <c r="A10181" s="4" t="str">
        <f>IFERROR(__xludf.DUMMYFUNCTION("""COMPUTED_VALUE"""),"rock")</f>
        <v>rock</v>
      </c>
      <c r="B10181" s="4" t="str">
        <f>IFERROR(__xludf.DUMMYFUNCTION("""COMPUTED_VALUE"""),"rock")</f>
        <v>rock</v>
      </c>
      <c r="C10181" s="4" t="str">
        <f>IFERROR(__xludf.DUMMYFUNCTION("""COMPUTED_VALUE"""),"ROCK")</f>
        <v>ROCK</v>
      </c>
    </row>
    <row r="10182">
      <c r="A10182" s="4" t="str">
        <f>IFERROR(__xludf.DUMMYFUNCTION("""COMPUTED_VALUE"""),"rock-2")</f>
        <v>rock-2</v>
      </c>
      <c r="B10182" s="4" t="str">
        <f>IFERROR(__xludf.DUMMYFUNCTION("""COMPUTED_VALUE"""),"rock")</f>
        <v>rock</v>
      </c>
      <c r="C10182" s="4" t="str">
        <f>IFERROR(__xludf.DUMMYFUNCTION("""COMPUTED_VALUE"""),"Rock")</f>
        <v>Rock</v>
      </c>
    </row>
    <row r="10183">
      <c r="A10183" s="4" t="str">
        <f>IFERROR(__xludf.DUMMYFUNCTION("""COMPUTED_VALUE"""),"rock-dao")</f>
        <v>rock-dao</v>
      </c>
      <c r="B10183" s="4" t="str">
        <f>IFERROR(__xludf.DUMMYFUNCTION("""COMPUTED_VALUE"""),"rock")</f>
        <v>rock</v>
      </c>
      <c r="C10183" s="4" t="str">
        <f>IFERROR(__xludf.DUMMYFUNCTION("""COMPUTED_VALUE"""),"ROCK DAO")</f>
        <v>ROCK DAO</v>
      </c>
    </row>
    <row r="10184">
      <c r="A10184" s="4" t="str">
        <f>IFERROR(__xludf.DUMMYFUNCTION("""COMPUTED_VALUE"""),"rocketcoin-2")</f>
        <v>rocketcoin-2</v>
      </c>
      <c r="B10184" s="4" t="str">
        <f>IFERROR(__xludf.DUMMYFUNCTION("""COMPUTED_VALUE"""),"rocket")</f>
        <v>rocket</v>
      </c>
      <c r="C10184" s="4" t="str">
        <f>IFERROR(__xludf.DUMMYFUNCTION("""COMPUTED_VALUE"""),"RocketCoin")</f>
        <v>RocketCoin</v>
      </c>
    </row>
    <row r="10185">
      <c r="A10185" s="4" t="str">
        <f>IFERROR(__xludf.DUMMYFUNCTION("""COMPUTED_VALUE"""),"rocket-pool")</f>
        <v>rocket-pool</v>
      </c>
      <c r="B10185" s="4" t="str">
        <f>IFERROR(__xludf.DUMMYFUNCTION("""COMPUTED_VALUE"""),"rpl")</f>
        <v>rpl</v>
      </c>
      <c r="C10185" s="4" t="str">
        <f>IFERROR(__xludf.DUMMYFUNCTION("""COMPUTED_VALUE"""),"Rocket Pool")</f>
        <v>Rocket Pool</v>
      </c>
    </row>
    <row r="10186">
      <c r="A10186" s="4" t="str">
        <f>IFERROR(__xludf.DUMMYFUNCTION("""COMPUTED_VALUE"""),"rocket-pool-eth")</f>
        <v>rocket-pool-eth</v>
      </c>
      <c r="B10186" s="4" t="str">
        <f>IFERROR(__xludf.DUMMYFUNCTION("""COMPUTED_VALUE"""),"reth")</f>
        <v>reth</v>
      </c>
      <c r="C10186" s="4" t="str">
        <f>IFERROR(__xludf.DUMMYFUNCTION("""COMPUTED_VALUE"""),"Rocket Pool ETH")</f>
        <v>Rocket Pool ETH</v>
      </c>
    </row>
    <row r="10187">
      <c r="A10187" s="4" t="str">
        <f>IFERROR(__xludf.DUMMYFUNCTION("""COMPUTED_VALUE"""),"rocket-raccoon")</f>
        <v>rocket-raccoon</v>
      </c>
      <c r="B10187" s="4" t="str">
        <f>IFERROR(__xludf.DUMMYFUNCTION("""COMPUTED_VALUE"""),"roc")</f>
        <v>roc</v>
      </c>
      <c r="C10187" s="4" t="str">
        <f>IFERROR(__xludf.DUMMYFUNCTION("""COMPUTED_VALUE"""),"Rocket Raccoon")</f>
        <v>Rocket Raccoon</v>
      </c>
    </row>
    <row r="10188">
      <c r="A10188" s="4" t="str">
        <f>IFERROR(__xludf.DUMMYFUNCTION("""COMPUTED_VALUE"""),"rocketswap")</f>
        <v>rocketswap</v>
      </c>
      <c r="B10188" s="4" t="str">
        <f>IFERROR(__xludf.DUMMYFUNCTION("""COMPUTED_VALUE"""),"rckt")</f>
        <v>rckt</v>
      </c>
      <c r="C10188" s="4" t="str">
        <f>IFERROR(__xludf.DUMMYFUNCTION("""COMPUTED_VALUE"""),"RocketSwap")</f>
        <v>RocketSwap</v>
      </c>
    </row>
    <row r="10189">
      <c r="A10189" s="4" t="str">
        <f>IFERROR(__xludf.DUMMYFUNCTION("""COMPUTED_VALUE"""),"rocketverse")</f>
        <v>rocketverse</v>
      </c>
      <c r="B10189" s="4" t="str">
        <f>IFERROR(__xludf.DUMMYFUNCTION("""COMPUTED_VALUE"""),"rkv")</f>
        <v>rkv</v>
      </c>
      <c r="C10189" s="4" t="str">
        <f>IFERROR(__xludf.DUMMYFUNCTION("""COMPUTED_VALUE"""),"RocketVerse [OLD]")</f>
        <v>RocketVerse [OLD]</v>
      </c>
    </row>
    <row r="10190">
      <c r="A10190" s="4" t="str">
        <f>IFERROR(__xludf.DUMMYFUNCTION("""COMPUTED_VALUE"""),"rocketverse-2")</f>
        <v>rocketverse-2</v>
      </c>
      <c r="B10190" s="4" t="str">
        <f>IFERROR(__xludf.DUMMYFUNCTION("""COMPUTED_VALUE"""),"rkv")</f>
        <v>rkv</v>
      </c>
      <c r="C10190" s="4" t="str">
        <f>IFERROR(__xludf.DUMMYFUNCTION("""COMPUTED_VALUE"""),"RocketVerse")</f>
        <v>RocketVerse</v>
      </c>
    </row>
    <row r="10191">
      <c r="A10191" s="4" t="str">
        <f>IFERROR(__xludf.DUMMYFUNCTION("""COMPUTED_VALUE"""),"rocketx")</f>
        <v>rocketx</v>
      </c>
      <c r="B10191" s="4" t="str">
        <f>IFERROR(__xludf.DUMMYFUNCTION("""COMPUTED_VALUE"""),"rvf")</f>
        <v>rvf</v>
      </c>
      <c r="C10191" s="4" t="str">
        <f>IFERROR(__xludf.DUMMYFUNCTION("""COMPUTED_VALUE"""),"RocketX Exchange")</f>
        <v>RocketX Exchange</v>
      </c>
    </row>
    <row r="10192">
      <c r="A10192" s="4" t="str">
        <f>IFERROR(__xludf.DUMMYFUNCTION("""COMPUTED_VALUE"""),"rocki")</f>
        <v>rocki</v>
      </c>
      <c r="B10192" s="4" t="str">
        <f>IFERROR(__xludf.DUMMYFUNCTION("""COMPUTED_VALUE"""),"rocki")</f>
        <v>rocki</v>
      </c>
      <c r="C10192" s="4" t="str">
        <f>IFERROR(__xludf.DUMMYFUNCTION("""COMPUTED_VALUE"""),"Rocki")</f>
        <v>Rocki</v>
      </c>
    </row>
    <row r="10193">
      <c r="A10193" s="4" t="str">
        <f>IFERROR(__xludf.DUMMYFUNCTION("""COMPUTED_VALUE"""),"rockocoin")</f>
        <v>rockocoin</v>
      </c>
      <c r="B10193" s="4" t="str">
        <f>IFERROR(__xludf.DUMMYFUNCTION("""COMPUTED_VALUE"""),"rocko")</f>
        <v>rocko</v>
      </c>
      <c r="C10193" s="4" t="str">
        <f>IFERROR(__xludf.DUMMYFUNCTION("""COMPUTED_VALUE"""),"RockoCoin")</f>
        <v>RockoCoin</v>
      </c>
    </row>
    <row r="10194">
      <c r="A10194" s="4" t="str">
        <f>IFERROR(__xludf.DUMMYFUNCTION("""COMPUTED_VALUE"""),"rockstar")</f>
        <v>rockstar</v>
      </c>
      <c r="B10194" s="4" t="str">
        <f>IFERROR(__xludf.DUMMYFUNCTION("""COMPUTED_VALUE"""),"rr")</f>
        <v>rr</v>
      </c>
      <c r="C10194" s="4" t="str">
        <f>IFERROR(__xludf.DUMMYFUNCTION("""COMPUTED_VALUE"""),"Rockstar")</f>
        <v>Rockstar</v>
      </c>
    </row>
    <row r="10195">
      <c r="A10195" s="4" t="str">
        <f>IFERROR(__xludf.DUMMYFUNCTION("""COMPUTED_VALUE"""),"rockswap")</f>
        <v>rockswap</v>
      </c>
      <c r="B10195" s="4" t="str">
        <f>IFERROR(__xludf.DUMMYFUNCTION("""COMPUTED_VALUE"""),"rock")</f>
        <v>rock</v>
      </c>
      <c r="C10195" s="4" t="str">
        <f>IFERROR(__xludf.DUMMYFUNCTION("""COMPUTED_VALUE"""),"Rockswap")</f>
        <v>Rockswap</v>
      </c>
    </row>
    <row r="10196">
      <c r="A10196" s="4" t="str">
        <f>IFERROR(__xludf.DUMMYFUNCTION("""COMPUTED_VALUE"""),"rocky")</f>
        <v>rocky</v>
      </c>
      <c r="B10196" s="4" t="str">
        <f>IFERROR(__xludf.DUMMYFUNCTION("""COMPUTED_VALUE"""),"rocky")</f>
        <v>rocky</v>
      </c>
      <c r="C10196" s="4" t="str">
        <f>IFERROR(__xludf.DUMMYFUNCTION("""COMPUTED_VALUE"""),"Rocky")</f>
        <v>Rocky</v>
      </c>
    </row>
    <row r="10197">
      <c r="A10197" s="4" t="str">
        <f>IFERROR(__xludf.DUMMYFUNCTION("""COMPUTED_VALUE"""),"rocky-the-dog")</f>
        <v>rocky-the-dog</v>
      </c>
      <c r="B10197" s="4" t="str">
        <f>IFERROR(__xludf.DUMMYFUNCTION("""COMPUTED_VALUE"""),"rocky")</f>
        <v>rocky</v>
      </c>
      <c r="C10197" s="4" t="str">
        <f>IFERROR(__xludf.DUMMYFUNCTION("""COMPUTED_VALUE"""),"Rocky the dog")</f>
        <v>Rocky the dog</v>
      </c>
    </row>
    <row r="10198">
      <c r="A10198" s="4" t="str">
        <f>IFERROR(__xludf.DUMMYFUNCTION("""COMPUTED_VALUE"""),"roco-finance")</f>
        <v>roco-finance</v>
      </c>
      <c r="B10198" s="4" t="str">
        <f>IFERROR(__xludf.DUMMYFUNCTION("""COMPUTED_VALUE"""),"roco")</f>
        <v>roco</v>
      </c>
      <c r="C10198" s="4" t="str">
        <f>IFERROR(__xludf.DUMMYFUNCTION("""COMPUTED_VALUE"""),"Roco Finance")</f>
        <v>Roco Finance</v>
      </c>
    </row>
    <row r="10199">
      <c r="A10199" s="4" t="str">
        <f>IFERROR(__xludf.DUMMYFUNCTION("""COMPUTED_VALUE"""),"rod-ai")</f>
        <v>rod-ai</v>
      </c>
      <c r="B10199" s="4" t="str">
        <f>IFERROR(__xludf.DUMMYFUNCTION("""COMPUTED_VALUE"""),"rodai")</f>
        <v>rodai</v>
      </c>
      <c r="C10199" s="5" t="str">
        <f>IFERROR(__xludf.DUMMYFUNCTION("""COMPUTED_VALUE"""),"ROD.AI")</f>
        <v>ROD.AI</v>
      </c>
    </row>
    <row r="10200">
      <c r="A10200" s="4" t="str">
        <f>IFERROR(__xludf.DUMMYFUNCTION("""COMPUTED_VALUE"""),"rodeo-finance")</f>
        <v>rodeo-finance</v>
      </c>
      <c r="B10200" s="4" t="str">
        <f>IFERROR(__xludf.DUMMYFUNCTION("""COMPUTED_VALUE"""),"rdo")</f>
        <v>rdo</v>
      </c>
      <c r="C10200" s="4" t="str">
        <f>IFERROR(__xludf.DUMMYFUNCTION("""COMPUTED_VALUE"""),"Rodeo Finance")</f>
        <v>Rodeo Finance</v>
      </c>
    </row>
    <row r="10201">
      <c r="A10201" s="4" t="str">
        <f>IFERROR(__xludf.DUMMYFUNCTION("""COMPUTED_VALUE"""),"rogin-ai")</f>
        <v>rogin-ai</v>
      </c>
      <c r="B10201" s="4" t="str">
        <f>IFERROR(__xludf.DUMMYFUNCTION("""COMPUTED_VALUE"""),"rog")</f>
        <v>rog</v>
      </c>
      <c r="C10201" s="4" t="str">
        <f>IFERROR(__xludf.DUMMYFUNCTION("""COMPUTED_VALUE"""),"ROGin AI")</f>
        <v>ROGin AI</v>
      </c>
    </row>
    <row r="10202">
      <c r="A10202" s="4" t="str">
        <f>IFERROR(__xludf.DUMMYFUNCTION("""COMPUTED_VALUE"""),"rogue-mav")</f>
        <v>rogue-mav</v>
      </c>
      <c r="B10202" s="4" t="str">
        <f>IFERROR(__xludf.DUMMYFUNCTION("""COMPUTED_VALUE"""),"rmav")</f>
        <v>rmav</v>
      </c>
      <c r="C10202" s="4" t="str">
        <f>IFERROR(__xludf.DUMMYFUNCTION("""COMPUTED_VALUE"""),"Rogue MAV")</f>
        <v>Rogue MAV</v>
      </c>
    </row>
    <row r="10203">
      <c r="A10203" s="4" t="str">
        <f>IFERROR(__xludf.DUMMYFUNCTION("""COMPUTED_VALUE"""),"roguex")</f>
        <v>roguex</v>
      </c>
      <c r="B10203" s="4" t="str">
        <f>IFERROR(__xludf.DUMMYFUNCTION("""COMPUTED_VALUE"""),"rox")</f>
        <v>rox</v>
      </c>
      <c r="C10203" s="4" t="str">
        <f>IFERROR(__xludf.DUMMYFUNCTION("""COMPUTED_VALUE"""),"Roguex")</f>
        <v>Roguex</v>
      </c>
    </row>
    <row r="10204">
      <c r="A10204" s="4" t="str">
        <f>IFERROR(__xludf.DUMMYFUNCTION("""COMPUTED_VALUE"""),"roko-network")</f>
        <v>roko-network</v>
      </c>
      <c r="B10204" s="4" t="str">
        <f>IFERROR(__xludf.DUMMYFUNCTION("""COMPUTED_VALUE"""),"roko")</f>
        <v>roko</v>
      </c>
      <c r="C10204" s="4" t="str">
        <f>IFERROR(__xludf.DUMMYFUNCTION("""COMPUTED_VALUE"""),"Roko Network")</f>
        <v>Roko Network</v>
      </c>
    </row>
    <row r="10205">
      <c r="A10205" s="4" t="str">
        <f>IFERROR(__xludf.DUMMYFUNCTION("""COMPUTED_VALUE"""),"rollbit-coin")</f>
        <v>rollbit-coin</v>
      </c>
      <c r="B10205" s="4" t="str">
        <f>IFERROR(__xludf.DUMMYFUNCTION("""COMPUTED_VALUE"""),"rlb")</f>
        <v>rlb</v>
      </c>
      <c r="C10205" s="4" t="str">
        <f>IFERROR(__xludf.DUMMYFUNCTION("""COMPUTED_VALUE"""),"Rollbit Coin")</f>
        <v>Rollbit Coin</v>
      </c>
    </row>
    <row r="10206">
      <c r="A10206" s="4" t="str">
        <f>IFERROR(__xludf.DUMMYFUNCTION("""COMPUTED_VALUE"""),"rollium")</f>
        <v>rollium</v>
      </c>
      <c r="B10206" s="4" t="str">
        <f>IFERROR(__xludf.DUMMYFUNCTION("""COMPUTED_VALUE"""),"rlm")</f>
        <v>rlm</v>
      </c>
      <c r="C10206" s="4" t="str">
        <f>IFERROR(__xludf.DUMMYFUNCTION("""COMPUTED_VALUE"""),"MarbleVerse")</f>
        <v>MarbleVerse</v>
      </c>
    </row>
    <row r="10207">
      <c r="A10207" s="4" t="str">
        <f>IFERROR(__xludf.DUMMYFUNCTION("""COMPUTED_VALUE"""),"rome")</f>
        <v>rome</v>
      </c>
      <c r="B10207" s="4" t="str">
        <f>IFERROR(__xludf.DUMMYFUNCTION("""COMPUTED_VALUE"""),"rome")</f>
        <v>rome</v>
      </c>
      <c r="C10207" s="4" t="str">
        <f>IFERROR(__xludf.DUMMYFUNCTION("""COMPUTED_VALUE"""),"Rome")</f>
        <v>Rome</v>
      </c>
    </row>
    <row r="10208">
      <c r="A10208" s="4" t="str">
        <f>IFERROR(__xludf.DUMMYFUNCTION("""COMPUTED_VALUE"""),"roncoin")</f>
        <v>roncoin</v>
      </c>
      <c r="B10208" s="4" t="str">
        <f>IFERROR(__xludf.DUMMYFUNCTION("""COMPUTED_VALUE"""),"ron")</f>
        <v>ron</v>
      </c>
      <c r="C10208" s="4" t="str">
        <f>IFERROR(__xludf.DUMMYFUNCTION("""COMPUTED_VALUE"""),"Roncoin")</f>
        <v>Roncoin</v>
      </c>
    </row>
    <row r="10209">
      <c r="A10209" s="4" t="str">
        <f>IFERROR(__xludf.DUMMYFUNCTION("""COMPUTED_VALUE"""),"rond")</f>
        <v>rond</v>
      </c>
      <c r="B10209" s="4" t="str">
        <f>IFERROR(__xludf.DUMMYFUNCTION("""COMPUTED_VALUE"""),"rond")</f>
        <v>rond</v>
      </c>
      <c r="C10209" s="4" t="str">
        <f>IFERROR(__xludf.DUMMYFUNCTION("""COMPUTED_VALUE"""),"ROND")</f>
        <v>ROND</v>
      </c>
    </row>
    <row r="10210">
      <c r="A10210" s="4" t="str">
        <f>IFERROR(__xludf.DUMMYFUNCTION("""COMPUTED_VALUE"""),"rong")</f>
        <v>rong</v>
      </c>
      <c r="B10210" s="4" t="str">
        <f>IFERROR(__xludf.DUMMYFUNCTION("""COMPUTED_VALUE"""),"rong")</f>
        <v>rong</v>
      </c>
      <c r="C10210" s="4" t="str">
        <f>IFERROR(__xludf.DUMMYFUNCTION("""COMPUTED_VALUE"""),"Rong")</f>
        <v>Rong</v>
      </c>
    </row>
    <row r="10211">
      <c r="A10211" s="4" t="str">
        <f>IFERROR(__xludf.DUMMYFUNCTION("""COMPUTED_VALUE"""),"ronin")</f>
        <v>ronin</v>
      </c>
      <c r="B10211" s="4" t="str">
        <f>IFERROR(__xludf.DUMMYFUNCTION("""COMPUTED_VALUE"""),"ron")</f>
        <v>ron</v>
      </c>
      <c r="C10211" s="4" t="str">
        <f>IFERROR(__xludf.DUMMYFUNCTION("""COMPUTED_VALUE"""),"Ronin")</f>
        <v>Ronin</v>
      </c>
    </row>
    <row r="10212">
      <c r="A10212" s="4" t="str">
        <f>IFERROR(__xludf.DUMMYFUNCTION("""COMPUTED_VALUE"""),"ronweasleytrumptoadn64inu")</f>
        <v>ronweasleytrumptoadn64inu</v>
      </c>
      <c r="B10212" s="4" t="str">
        <f>IFERROR(__xludf.DUMMYFUNCTION("""COMPUTED_VALUE"""),"bnb")</f>
        <v>bnb</v>
      </c>
      <c r="C10212" s="4" t="str">
        <f>IFERROR(__xludf.DUMMYFUNCTION("""COMPUTED_VALUE"""),"RonWeasleyTrumpToadN64Inu")</f>
        <v>RonWeasleyTrumpToadN64Inu</v>
      </c>
    </row>
    <row r="10213">
      <c r="A10213" s="4" t="str">
        <f>IFERROR(__xludf.DUMMYFUNCTION("""COMPUTED_VALUE"""),"roobee")</f>
        <v>roobee</v>
      </c>
      <c r="B10213" s="4" t="str">
        <f>IFERROR(__xludf.DUMMYFUNCTION("""COMPUTED_VALUE"""),"roobee")</f>
        <v>roobee</v>
      </c>
      <c r="C10213" s="4" t="str">
        <f>IFERROR(__xludf.DUMMYFUNCTION("""COMPUTED_VALUE"""),"Roobee")</f>
        <v>Roobee</v>
      </c>
    </row>
    <row r="10214">
      <c r="A10214" s="4" t="str">
        <f>IFERROR(__xludf.DUMMYFUNCTION("""COMPUTED_VALUE"""),"rook")</f>
        <v>rook</v>
      </c>
      <c r="B10214" s="4" t="str">
        <f>IFERROR(__xludf.DUMMYFUNCTION("""COMPUTED_VALUE"""),"rook")</f>
        <v>rook</v>
      </c>
      <c r="C10214" s="4" t="str">
        <f>IFERROR(__xludf.DUMMYFUNCTION("""COMPUTED_VALUE"""),"Rook")</f>
        <v>Rook</v>
      </c>
    </row>
    <row r="10215">
      <c r="A10215" s="4" t="str">
        <f>IFERROR(__xludf.DUMMYFUNCTION("""COMPUTED_VALUE"""),"roost")</f>
        <v>roost</v>
      </c>
      <c r="B10215" s="4" t="str">
        <f>IFERROR(__xludf.DUMMYFUNCTION("""COMPUTED_VALUE"""),"roost")</f>
        <v>roost</v>
      </c>
      <c r="C10215" s="4" t="str">
        <f>IFERROR(__xludf.DUMMYFUNCTION("""COMPUTED_VALUE"""),"Roost")</f>
        <v>Roost</v>
      </c>
    </row>
    <row r="10216">
      <c r="A10216" s="4" t="str">
        <f>IFERROR(__xludf.DUMMYFUNCTION("""COMPUTED_VALUE"""),"root-protocol")</f>
        <v>root-protocol</v>
      </c>
      <c r="B10216" s="4" t="str">
        <f>IFERROR(__xludf.DUMMYFUNCTION("""COMPUTED_VALUE"""),"isme")</f>
        <v>isme</v>
      </c>
      <c r="C10216" s="4" t="str">
        <f>IFERROR(__xludf.DUMMYFUNCTION("""COMPUTED_VALUE"""),"Root Protocol")</f>
        <v>Root Protocol</v>
      </c>
    </row>
    <row r="10217">
      <c r="A10217" s="4" t="str">
        <f>IFERROR(__xludf.DUMMYFUNCTION("""COMPUTED_VALUE"""),"rootstock")</f>
        <v>rootstock</v>
      </c>
      <c r="B10217" s="4" t="str">
        <f>IFERROR(__xludf.DUMMYFUNCTION("""COMPUTED_VALUE"""),"rbtc")</f>
        <v>rbtc</v>
      </c>
      <c r="C10217" s="4" t="str">
        <f>IFERROR(__xludf.DUMMYFUNCTION("""COMPUTED_VALUE"""),"Rootstock RSK")</f>
        <v>Rootstock RSK</v>
      </c>
    </row>
    <row r="10218">
      <c r="A10218" s="4" t="str">
        <f>IFERROR(__xludf.DUMMYFUNCTION("""COMPUTED_VALUE"""),"rope-token")</f>
        <v>rope-token</v>
      </c>
      <c r="B10218" s="4" t="str">
        <f>IFERROR(__xludf.DUMMYFUNCTION("""COMPUTED_VALUE"""),"rope")</f>
        <v>rope</v>
      </c>
      <c r="C10218" s="4" t="str">
        <f>IFERROR(__xludf.DUMMYFUNCTION("""COMPUTED_VALUE"""),"Rope Token")</f>
        <v>Rope Token</v>
      </c>
    </row>
    <row r="10219">
      <c r="A10219" s="4" t="str">
        <f>IFERROR(__xludf.DUMMYFUNCTION("""COMPUTED_VALUE"""),"ror-universe")</f>
        <v>ror-universe</v>
      </c>
      <c r="B10219" s="4" t="str">
        <f>IFERROR(__xludf.DUMMYFUNCTION("""COMPUTED_VALUE"""),"ror")</f>
        <v>ror</v>
      </c>
      <c r="C10219" s="4" t="str">
        <f>IFERROR(__xludf.DUMMYFUNCTION("""COMPUTED_VALUE"""),"ROR Universe")</f>
        <v>ROR Universe</v>
      </c>
    </row>
    <row r="10220">
      <c r="A10220" s="4" t="str">
        <f>IFERROR(__xludf.DUMMYFUNCTION("""COMPUTED_VALUE"""),"rose")</f>
        <v>rose</v>
      </c>
      <c r="B10220" s="4" t="str">
        <f>IFERROR(__xludf.DUMMYFUNCTION("""COMPUTED_VALUE"""),"rose")</f>
        <v>rose</v>
      </c>
      <c r="C10220" s="4" t="str">
        <f>IFERROR(__xludf.DUMMYFUNCTION("""COMPUTED_VALUE"""),"Rose")</f>
        <v>Rose</v>
      </c>
    </row>
    <row r="10221">
      <c r="A10221" s="4" t="str">
        <f>IFERROR(__xludf.DUMMYFUNCTION("""COMPUTED_VALUE"""),"rose-finance")</f>
        <v>rose-finance</v>
      </c>
      <c r="B10221" s="4" t="str">
        <f>IFERROR(__xludf.DUMMYFUNCTION("""COMPUTED_VALUE"""),"rose")</f>
        <v>rose</v>
      </c>
      <c r="C10221" s="4" t="str">
        <f>IFERROR(__xludf.DUMMYFUNCTION("""COMPUTED_VALUE"""),"Rose Finance")</f>
        <v>Rose Finance</v>
      </c>
    </row>
    <row r="10222">
      <c r="A10222" s="4" t="str">
        <f>IFERROR(__xludf.DUMMYFUNCTION("""COMPUTED_VALUE"""),"rosen-bridge")</f>
        <v>rosen-bridge</v>
      </c>
      <c r="B10222" s="4" t="str">
        <f>IFERROR(__xludf.DUMMYFUNCTION("""COMPUTED_VALUE"""),"rsn")</f>
        <v>rsn</v>
      </c>
      <c r="C10222" s="4" t="str">
        <f>IFERROR(__xludf.DUMMYFUNCTION("""COMPUTED_VALUE"""),"Rosen Bridge")</f>
        <v>Rosen Bridge</v>
      </c>
    </row>
    <row r="10223">
      <c r="A10223" s="4" t="str">
        <f>IFERROR(__xludf.DUMMYFUNCTION("""COMPUTED_VALUE"""),"roseon")</f>
        <v>roseon</v>
      </c>
      <c r="B10223" s="4" t="str">
        <f>IFERROR(__xludf.DUMMYFUNCTION("""COMPUTED_VALUE"""),"rosx")</f>
        <v>rosx</v>
      </c>
      <c r="C10223" s="4" t="str">
        <f>IFERROR(__xludf.DUMMYFUNCTION("""COMPUTED_VALUE"""),"Roseon")</f>
        <v>Roseon</v>
      </c>
    </row>
    <row r="10224">
      <c r="A10224" s="4" t="str">
        <f>IFERROR(__xludf.DUMMYFUNCTION("""COMPUTED_VALUE"""),"rosnet")</f>
        <v>rosnet</v>
      </c>
      <c r="B10224" s="4" t="str">
        <f>IFERROR(__xludf.DUMMYFUNCTION("""COMPUTED_VALUE"""),"rosnet")</f>
        <v>rosnet</v>
      </c>
      <c r="C10224" s="4" t="str">
        <f>IFERROR(__xludf.DUMMYFUNCTION("""COMPUTED_VALUE"""),"Rosnet")</f>
        <v>Rosnet</v>
      </c>
    </row>
    <row r="10225">
      <c r="A10225" s="4" t="str">
        <f>IFERROR(__xludf.DUMMYFUNCTION("""COMPUTED_VALUE"""),"rosy")</f>
        <v>rosy</v>
      </c>
      <c r="B10225" s="4" t="str">
        <f>IFERROR(__xludf.DUMMYFUNCTION("""COMPUTED_VALUE"""),"rosy")</f>
        <v>rosy</v>
      </c>
      <c r="C10225" s="4" t="str">
        <f>IFERROR(__xludf.DUMMYFUNCTION("""COMPUTED_VALUE"""),"Rosy")</f>
        <v>Rosy</v>
      </c>
    </row>
    <row r="10226">
      <c r="A10226" s="4" t="str">
        <f>IFERROR(__xludf.DUMMYFUNCTION("""COMPUTED_VALUE"""),"rotharium")</f>
        <v>rotharium</v>
      </c>
      <c r="B10226" s="4" t="str">
        <f>IFERROR(__xludf.DUMMYFUNCTION("""COMPUTED_VALUE"""),"rth")</f>
        <v>rth</v>
      </c>
      <c r="C10226" s="4" t="str">
        <f>IFERROR(__xludf.DUMMYFUNCTION("""COMPUTED_VALUE"""),"Rotharium")</f>
        <v>Rotharium</v>
      </c>
    </row>
    <row r="10227">
      <c r="A10227" s="4" t="str">
        <f>IFERROR(__xludf.DUMMYFUNCTION("""COMPUTED_VALUE"""),"round-x")</f>
        <v>round-x</v>
      </c>
      <c r="B10227" s="4" t="str">
        <f>IFERROR(__xludf.DUMMYFUNCTION("""COMPUTED_VALUE"""),"rndx")</f>
        <v>rndx</v>
      </c>
      <c r="C10227" s="4" t="str">
        <f>IFERROR(__xludf.DUMMYFUNCTION("""COMPUTED_VALUE"""),"Round X")</f>
        <v>Round X</v>
      </c>
    </row>
    <row r="10228">
      <c r="A10228" s="4" t="str">
        <f>IFERROR(__xludf.DUMMYFUNCTION("""COMPUTED_VALUE"""),"roup")</f>
        <v>roup</v>
      </c>
      <c r="B10228" s="4" t="str">
        <f>IFERROR(__xludf.DUMMYFUNCTION("""COMPUTED_VALUE"""),"roup")</f>
        <v>roup</v>
      </c>
      <c r="C10228" s="4" t="str">
        <f>IFERROR(__xludf.DUMMYFUNCTION("""COMPUTED_VALUE"""),"Roup (Ordinals)")</f>
        <v>Roup (Ordinals)</v>
      </c>
    </row>
    <row r="10229">
      <c r="A10229" s="4" t="str">
        <f>IFERROR(__xludf.DUMMYFUNCTION("""COMPUTED_VALUE"""),"roush-fenway-racing-fan-token")</f>
        <v>roush-fenway-racing-fan-token</v>
      </c>
      <c r="B10229" s="4" t="str">
        <f>IFERROR(__xludf.DUMMYFUNCTION("""COMPUTED_VALUE"""),"roush")</f>
        <v>roush</v>
      </c>
      <c r="C10229" s="4" t="str">
        <f>IFERROR(__xludf.DUMMYFUNCTION("""COMPUTED_VALUE"""),"Roush Fenway Racing Fan Token")</f>
        <v>Roush Fenway Racing Fan Token</v>
      </c>
    </row>
    <row r="10230">
      <c r="A10230" s="4" t="str">
        <f>IFERROR(__xludf.DUMMYFUNCTION("""COMPUTED_VALUE"""),"route")</f>
        <v>route</v>
      </c>
      <c r="B10230" s="4" t="str">
        <f>IFERROR(__xludf.DUMMYFUNCTION("""COMPUTED_VALUE"""),"route")</f>
        <v>route</v>
      </c>
      <c r="C10230" s="4" t="str">
        <f>IFERROR(__xludf.DUMMYFUNCTION("""COMPUTED_VALUE"""),"Router Protocol")</f>
        <v>Router Protocol</v>
      </c>
    </row>
    <row r="10231">
      <c r="A10231" s="4" t="str">
        <f>IFERROR(__xludf.DUMMYFUNCTION("""COMPUTED_VALUE"""),"rovi-protocol")</f>
        <v>rovi-protocol</v>
      </c>
      <c r="B10231" s="4" t="str">
        <f>IFERROR(__xludf.DUMMYFUNCTION("""COMPUTED_VALUE"""),"rovi")</f>
        <v>rovi</v>
      </c>
      <c r="C10231" s="4" t="str">
        <f>IFERROR(__xludf.DUMMYFUNCTION("""COMPUTED_VALUE"""),"ROVI Protocol")</f>
        <v>ROVI Protocol</v>
      </c>
    </row>
    <row r="10232">
      <c r="A10232" s="4" t="str">
        <f>IFERROR(__xludf.DUMMYFUNCTION("""COMPUTED_VALUE"""),"rowan-coin")</f>
        <v>rowan-coin</v>
      </c>
      <c r="B10232" s="4" t="str">
        <f>IFERROR(__xludf.DUMMYFUNCTION("""COMPUTED_VALUE"""),"rwn")</f>
        <v>rwn</v>
      </c>
      <c r="C10232" s="4" t="str">
        <f>IFERROR(__xludf.DUMMYFUNCTION("""COMPUTED_VALUE"""),"Rowan Coin")</f>
        <v>Rowan Coin</v>
      </c>
    </row>
    <row r="10233">
      <c r="A10233" s="4" t="str">
        <f>IFERROR(__xludf.DUMMYFUNCTION("""COMPUTED_VALUE"""),"royal")</f>
        <v>royal</v>
      </c>
      <c r="B10233" s="4" t="str">
        <f>IFERROR(__xludf.DUMMYFUNCTION("""COMPUTED_VALUE"""),"royal")</f>
        <v>royal</v>
      </c>
      <c r="C10233" s="4" t="str">
        <f>IFERROR(__xludf.DUMMYFUNCTION("""COMPUTED_VALUE"""),"ROYAL")</f>
        <v>ROYAL</v>
      </c>
    </row>
    <row r="10234">
      <c r="A10234" s="4" t="str">
        <f>IFERROR(__xludf.DUMMYFUNCTION("""COMPUTED_VALUE"""),"royale")</f>
        <v>royale</v>
      </c>
      <c r="B10234" s="4" t="str">
        <f>IFERROR(__xludf.DUMMYFUNCTION("""COMPUTED_VALUE"""),"roya")</f>
        <v>roya</v>
      </c>
      <c r="C10234" s="4" t="str">
        <f>IFERROR(__xludf.DUMMYFUNCTION("""COMPUTED_VALUE"""),"Royale")</f>
        <v>Royale</v>
      </c>
    </row>
    <row r="10235">
      <c r="A10235" s="4" t="str">
        <f>IFERROR(__xludf.DUMMYFUNCTION("""COMPUTED_VALUE"""),"royal-shiba")</f>
        <v>royal-shiba</v>
      </c>
      <c r="B10235" s="4" t="str">
        <f>IFERROR(__xludf.DUMMYFUNCTION("""COMPUTED_VALUE"""),"royalshiba")</f>
        <v>royalshiba</v>
      </c>
      <c r="C10235" s="4" t="str">
        <f>IFERROR(__xludf.DUMMYFUNCTION("""COMPUTED_VALUE"""),"Royal Shiba")</f>
        <v>Royal Shiba</v>
      </c>
    </row>
    <row r="10236">
      <c r="A10236" s="4" t="str">
        <f>IFERROR(__xludf.DUMMYFUNCTION("""COMPUTED_VALUE"""),"royal-smart-future-token")</f>
        <v>royal-smart-future-token</v>
      </c>
      <c r="B10236" s="4" t="str">
        <f>IFERROR(__xludf.DUMMYFUNCTION("""COMPUTED_VALUE"""),"rsft")</f>
        <v>rsft</v>
      </c>
      <c r="C10236" s="4" t="str">
        <f>IFERROR(__xludf.DUMMYFUNCTION("""COMPUTED_VALUE"""),"ROYAL SMART FUTURE TOKEN")</f>
        <v>ROYAL SMART FUTURE TOKEN</v>
      </c>
    </row>
    <row r="10237">
      <c r="A10237" s="4" t="str">
        <f>IFERROR(__xludf.DUMMYFUNCTION("""COMPUTED_VALUE"""),"rpg-maker-ai")</f>
        <v>rpg-maker-ai</v>
      </c>
      <c r="B10237" s="4" t="str">
        <f>IFERROR(__xludf.DUMMYFUNCTION("""COMPUTED_VALUE"""),"rpgmai")</f>
        <v>rpgmai</v>
      </c>
      <c r="C10237" s="4" t="str">
        <f>IFERROR(__xludf.DUMMYFUNCTION("""COMPUTED_VALUE"""),"RPG Maker Ai")</f>
        <v>RPG Maker Ai</v>
      </c>
    </row>
    <row r="10238">
      <c r="A10238" s="4" t="str">
        <f>IFERROR(__xludf.DUMMYFUNCTION("""COMPUTED_VALUE"""),"rps-league")</f>
        <v>rps-league</v>
      </c>
      <c r="B10238" s="4" t="str">
        <f>IFERROR(__xludf.DUMMYFUNCTION("""COMPUTED_VALUE"""),"rps")</f>
        <v>rps</v>
      </c>
      <c r="C10238" s="4" t="str">
        <f>IFERROR(__xludf.DUMMYFUNCTION("""COMPUTED_VALUE"""),"Rps League")</f>
        <v>Rps League</v>
      </c>
    </row>
    <row r="10239">
      <c r="A10239" s="4" t="str">
        <f>IFERROR(__xludf.DUMMYFUNCTION("""COMPUTED_VALUE"""),"rss3")</f>
        <v>rss3</v>
      </c>
      <c r="B10239" s="4" t="str">
        <f>IFERROR(__xludf.DUMMYFUNCTION("""COMPUTED_VALUE"""),"rss3")</f>
        <v>rss3</v>
      </c>
      <c r="C10239" s="4" t="str">
        <f>IFERROR(__xludf.DUMMYFUNCTION("""COMPUTED_VALUE"""),"RSS3")</f>
        <v>RSS3</v>
      </c>
    </row>
    <row r="10240">
      <c r="A10240" s="4" t="str">
        <f>IFERROR(__xludf.DUMMYFUNCTION("""COMPUTED_VALUE"""),"rubber-ducky")</f>
        <v>rubber-ducky</v>
      </c>
      <c r="B10240" s="4" t="str">
        <f>IFERROR(__xludf.DUMMYFUNCTION("""COMPUTED_VALUE"""),"rubber")</f>
        <v>rubber</v>
      </c>
      <c r="C10240" s="4" t="str">
        <f>IFERROR(__xludf.DUMMYFUNCTION("""COMPUTED_VALUE"""),"Rubber Ducky")</f>
        <v>Rubber Ducky</v>
      </c>
    </row>
    <row r="10241">
      <c r="A10241" s="4" t="str">
        <f>IFERROR(__xludf.DUMMYFUNCTION("""COMPUTED_VALUE"""),"rubic")</f>
        <v>rubic</v>
      </c>
      <c r="B10241" s="4" t="str">
        <f>IFERROR(__xludf.DUMMYFUNCTION("""COMPUTED_VALUE"""),"rbc")</f>
        <v>rbc</v>
      </c>
      <c r="C10241" s="4" t="str">
        <f>IFERROR(__xludf.DUMMYFUNCTION("""COMPUTED_VALUE"""),"Rubic")</f>
        <v>Rubic</v>
      </c>
    </row>
    <row r="10242">
      <c r="A10242" s="4" t="str">
        <f>IFERROR(__xludf.DUMMYFUNCTION("""COMPUTED_VALUE"""),"rubidium")</f>
        <v>rubidium</v>
      </c>
      <c r="B10242" s="4" t="str">
        <f>IFERROR(__xludf.DUMMYFUNCTION("""COMPUTED_VALUE"""),"rbd")</f>
        <v>rbd</v>
      </c>
      <c r="C10242" s="4" t="str">
        <f>IFERROR(__xludf.DUMMYFUNCTION("""COMPUTED_VALUE"""),"Rubidium")</f>
        <v>Rubidium</v>
      </c>
    </row>
    <row r="10243">
      <c r="A10243" s="4" t="str">
        <f>IFERROR(__xludf.DUMMYFUNCTION("""COMPUTED_VALUE"""),"rubix")</f>
        <v>rubix</v>
      </c>
      <c r="B10243" s="4" t="str">
        <f>IFERROR(__xludf.DUMMYFUNCTION("""COMPUTED_VALUE"""),"rbt")</f>
        <v>rbt</v>
      </c>
      <c r="C10243" s="4" t="str">
        <f>IFERROR(__xludf.DUMMYFUNCTION("""COMPUTED_VALUE"""),"Rubix")</f>
        <v>Rubix</v>
      </c>
    </row>
    <row r="10244">
      <c r="A10244" s="4" t="str">
        <f>IFERROR(__xludf.DUMMYFUNCTION("""COMPUTED_VALUE"""),"ruby")</f>
        <v>ruby</v>
      </c>
      <c r="B10244" s="4" t="str">
        <f>IFERROR(__xludf.DUMMYFUNCTION("""COMPUTED_VALUE"""),"ruby")</f>
        <v>ruby</v>
      </c>
      <c r="C10244" s="4" t="str">
        <f>IFERROR(__xludf.DUMMYFUNCTION("""COMPUTED_VALUE"""),"RUBY")</f>
        <v>RUBY</v>
      </c>
    </row>
    <row r="10245">
      <c r="A10245" s="4" t="str">
        <f>IFERROR(__xludf.DUMMYFUNCTION("""COMPUTED_VALUE"""),"ruby-currency")</f>
        <v>ruby-currency</v>
      </c>
      <c r="B10245" s="4" t="str">
        <f>IFERROR(__xludf.DUMMYFUNCTION("""COMPUTED_VALUE"""),"rbc")</f>
        <v>rbc</v>
      </c>
      <c r="C10245" s="4" t="str">
        <f>IFERROR(__xludf.DUMMYFUNCTION("""COMPUTED_VALUE"""),"Ruby Currency")</f>
        <v>Ruby Currency</v>
      </c>
    </row>
    <row r="10246">
      <c r="A10246" s="4" t="str">
        <f>IFERROR(__xludf.DUMMYFUNCTION("""COMPUTED_VALUE"""),"ruby-play-network")</f>
        <v>ruby-play-network</v>
      </c>
      <c r="B10246" s="4" t="str">
        <f>IFERROR(__xludf.DUMMYFUNCTION("""COMPUTED_VALUE"""),"ruby")</f>
        <v>ruby</v>
      </c>
      <c r="C10246" s="4" t="str">
        <f>IFERROR(__xludf.DUMMYFUNCTION("""COMPUTED_VALUE"""),"Ruby Play Network")</f>
        <v>Ruby Play Network</v>
      </c>
    </row>
    <row r="10247">
      <c r="A10247" s="4" t="str">
        <f>IFERROR(__xludf.DUMMYFUNCTION("""COMPUTED_VALUE"""),"rubypulse")</f>
        <v>rubypulse</v>
      </c>
      <c r="B10247" s="4" t="str">
        <f>IFERROR(__xludf.DUMMYFUNCTION("""COMPUTED_VALUE"""),"ruby")</f>
        <v>ruby</v>
      </c>
      <c r="C10247" s="4" t="str">
        <f>IFERROR(__xludf.DUMMYFUNCTION("""COMPUTED_VALUE"""),"RubyPulse")</f>
        <v>RubyPulse</v>
      </c>
    </row>
    <row r="10248">
      <c r="A10248" s="4" t="str">
        <f>IFERROR(__xludf.DUMMYFUNCTION("""COMPUTED_VALUE"""),"ruff")</f>
        <v>ruff</v>
      </c>
      <c r="B10248" s="4" t="str">
        <f>IFERROR(__xludf.DUMMYFUNCTION("""COMPUTED_VALUE"""),"ruff")</f>
        <v>ruff</v>
      </c>
      <c r="C10248" s="4" t="str">
        <f>IFERROR(__xludf.DUMMYFUNCTION("""COMPUTED_VALUE"""),"Ruff")</f>
        <v>Ruff</v>
      </c>
    </row>
    <row r="10249">
      <c r="A10249" s="4" t="str">
        <f>IFERROR(__xludf.DUMMYFUNCTION("""COMPUTED_VALUE"""),"rugame")</f>
        <v>rugame</v>
      </c>
      <c r="B10249" s="4" t="str">
        <f>IFERROR(__xludf.DUMMYFUNCTION("""COMPUTED_VALUE"""),"rug")</f>
        <v>rug</v>
      </c>
      <c r="C10249" s="4" t="str">
        <f>IFERROR(__xludf.DUMMYFUNCTION("""COMPUTED_VALUE"""),"RUGAME")</f>
        <v>RUGAME</v>
      </c>
    </row>
    <row r="10250">
      <c r="A10250" s="4" t="str">
        <f>IFERROR(__xludf.DUMMYFUNCTION("""COMPUTED_VALUE"""),"rug-rugged-art")</f>
        <v>rug-rugged-art</v>
      </c>
      <c r="B10250" s="4" t="str">
        <f>IFERROR(__xludf.DUMMYFUNCTION("""COMPUTED_VALUE"""),"rug")</f>
        <v>rug</v>
      </c>
      <c r="C10250" s="4" t="str">
        <f>IFERROR(__xludf.DUMMYFUNCTION("""COMPUTED_VALUE"""),"Rug")</f>
        <v>Rug</v>
      </c>
    </row>
    <row r="10251">
      <c r="A10251" s="4" t="str">
        <f>IFERROR(__xludf.DUMMYFUNCTION("""COMPUTED_VALUE"""),"rugzombie")</f>
        <v>rugzombie</v>
      </c>
      <c r="B10251" s="4" t="str">
        <f>IFERROR(__xludf.DUMMYFUNCTION("""COMPUTED_VALUE"""),"zmbe")</f>
        <v>zmbe</v>
      </c>
      <c r="C10251" s="4" t="str">
        <f>IFERROR(__xludf.DUMMYFUNCTION("""COMPUTED_VALUE"""),"RugZombie")</f>
        <v>RugZombie</v>
      </c>
    </row>
    <row r="10252">
      <c r="A10252" s="4" t="str">
        <f>IFERROR(__xludf.DUMMYFUNCTION("""COMPUTED_VALUE"""),"rule-token")</f>
        <v>rule-token</v>
      </c>
      <c r="B10252" s="4" t="str">
        <f>IFERROR(__xludf.DUMMYFUNCTION("""COMPUTED_VALUE"""),"rule")</f>
        <v>rule</v>
      </c>
      <c r="C10252" s="4" t="str">
        <f>IFERROR(__xludf.DUMMYFUNCTION("""COMPUTED_VALUE"""),"Rule Token")</f>
        <v>Rule Token</v>
      </c>
    </row>
    <row r="10253">
      <c r="A10253" s="4" t="str">
        <f>IFERROR(__xludf.DUMMYFUNCTION("""COMPUTED_VALUE"""),"rumi-finance")</f>
        <v>rumi-finance</v>
      </c>
      <c r="B10253" s="4" t="str">
        <f>IFERROR(__xludf.DUMMYFUNCTION("""COMPUTED_VALUE"""),"rumi")</f>
        <v>rumi</v>
      </c>
      <c r="C10253" s="4" t="str">
        <f>IFERROR(__xludf.DUMMYFUNCTION("""COMPUTED_VALUE"""),"Rumi Finance")</f>
        <v>Rumi Finance</v>
      </c>
    </row>
    <row r="10254">
      <c r="A10254" s="4" t="str">
        <f>IFERROR(__xludf.DUMMYFUNCTION("""COMPUTED_VALUE"""),"run")</f>
        <v>run</v>
      </c>
      <c r="B10254" s="4" t="str">
        <f>IFERROR(__xludf.DUMMYFUNCTION("""COMPUTED_VALUE"""),"run")</f>
        <v>run</v>
      </c>
      <c r="C10254" s="4" t="str">
        <f>IFERROR(__xludf.DUMMYFUNCTION("""COMPUTED_VALUE"""),"Run")</f>
        <v>Run</v>
      </c>
    </row>
    <row r="10255">
      <c r="A10255" s="4" t="str">
        <f>IFERROR(__xludf.DUMMYFUNCTION("""COMPUTED_VALUE"""),"runblox")</f>
        <v>runblox</v>
      </c>
      <c r="B10255" s="4" t="str">
        <f>IFERROR(__xludf.DUMMYFUNCTION("""COMPUTED_VALUE"""),"rux")</f>
        <v>rux</v>
      </c>
      <c r="C10255" s="4" t="str">
        <f>IFERROR(__xludf.DUMMYFUNCTION("""COMPUTED_VALUE"""),"RunBlox")</f>
        <v>RunBlox</v>
      </c>
    </row>
    <row r="10256">
      <c r="A10256" s="4" t="str">
        <f>IFERROR(__xludf.DUMMYFUNCTION("""COMPUTED_VALUE"""),"runblox-arbitrum")</f>
        <v>runblox-arbitrum</v>
      </c>
      <c r="B10256" s="4" t="str">
        <f>IFERROR(__xludf.DUMMYFUNCTION("""COMPUTED_VALUE"""),"rux")</f>
        <v>rux</v>
      </c>
      <c r="C10256" s="4" t="str">
        <f>IFERROR(__xludf.DUMMYFUNCTION("""COMPUTED_VALUE"""),"RunBlox (Arbitrum)")</f>
        <v>RunBlox (Arbitrum)</v>
      </c>
    </row>
    <row r="10257">
      <c r="A10257" s="4" t="str">
        <f>IFERROR(__xludf.DUMMYFUNCTION("""COMPUTED_VALUE"""),"runic-chain")</f>
        <v>runic-chain</v>
      </c>
      <c r="B10257" s="4" t="str">
        <f>IFERROR(__xludf.DUMMYFUNCTION("""COMPUTED_VALUE"""),"runic")</f>
        <v>runic</v>
      </c>
      <c r="C10257" s="4" t="str">
        <f>IFERROR(__xludf.DUMMYFUNCTION("""COMPUTED_VALUE"""),"Runic Chain")</f>
        <v>Runic Chain</v>
      </c>
    </row>
    <row r="10258">
      <c r="A10258" s="4" t="str">
        <f>IFERROR(__xludf.DUMMYFUNCTION("""COMPUTED_VALUE"""),"runode")</f>
        <v>runode</v>
      </c>
      <c r="B10258" s="4" t="str">
        <f>IFERROR(__xludf.DUMMYFUNCTION("""COMPUTED_VALUE"""),"rudes")</f>
        <v>rudes</v>
      </c>
      <c r="C10258" s="4" t="str">
        <f>IFERROR(__xludf.DUMMYFUNCTION("""COMPUTED_VALUE"""),"RUNodE")</f>
        <v>RUNodE</v>
      </c>
    </row>
    <row r="10259">
      <c r="A10259" s="4" t="str">
        <f>IFERROR(__xludf.DUMMYFUNCTION("""COMPUTED_VALUE"""),"runy")</f>
        <v>runy</v>
      </c>
      <c r="B10259" s="4" t="str">
        <f>IFERROR(__xludf.DUMMYFUNCTION("""COMPUTED_VALUE"""),"runy")</f>
        <v>runy</v>
      </c>
      <c r="C10259" s="4" t="str">
        <f>IFERROR(__xludf.DUMMYFUNCTION("""COMPUTED_VALUE"""),"Runy")</f>
        <v>Runy</v>
      </c>
    </row>
    <row r="10260">
      <c r="A10260" s="4" t="str">
        <f>IFERROR(__xludf.DUMMYFUNCTION("""COMPUTED_VALUE"""),"rupee")</f>
        <v>rupee</v>
      </c>
      <c r="B10260" s="4" t="str">
        <f>IFERROR(__xludf.DUMMYFUNCTION("""COMPUTED_VALUE"""),"rup")</f>
        <v>rup</v>
      </c>
      <c r="C10260" s="4" t="str">
        <f>IFERROR(__xludf.DUMMYFUNCTION("""COMPUTED_VALUE"""),"Rupee")</f>
        <v>Rupee</v>
      </c>
    </row>
    <row r="10261">
      <c r="A10261" s="4" t="str">
        <f>IFERROR(__xludf.DUMMYFUNCTION("""COMPUTED_VALUE"""),"rupiah-token")</f>
        <v>rupiah-token</v>
      </c>
      <c r="B10261" s="4" t="str">
        <f>IFERROR(__xludf.DUMMYFUNCTION("""COMPUTED_VALUE"""),"idrt")</f>
        <v>idrt</v>
      </c>
      <c r="C10261" s="4" t="str">
        <f>IFERROR(__xludf.DUMMYFUNCTION("""COMPUTED_VALUE"""),"Rupiah Token")</f>
        <v>Rupiah Token</v>
      </c>
    </row>
    <row r="10262">
      <c r="A10262" s="4" t="str">
        <f>IFERROR(__xludf.DUMMYFUNCTION("""COMPUTED_VALUE"""),"rusd")</f>
        <v>rusd</v>
      </c>
      <c r="B10262" s="4" t="str">
        <f>IFERROR(__xludf.DUMMYFUNCTION("""COMPUTED_VALUE"""),"rusd")</f>
        <v>rusd</v>
      </c>
      <c r="C10262" s="4" t="str">
        <f>IFERROR(__xludf.DUMMYFUNCTION("""COMPUTED_VALUE"""),"rUSD")</f>
        <v>rUSD</v>
      </c>
    </row>
    <row r="10263">
      <c r="A10263" s="4" t="str">
        <f>IFERROR(__xludf.DUMMYFUNCTION("""COMPUTED_VALUE"""),"rush-2")</f>
        <v>rush-2</v>
      </c>
      <c r="B10263" s="4" t="str">
        <f>IFERROR(__xludf.DUMMYFUNCTION("""COMPUTED_VALUE"""),"rush")</f>
        <v>rush</v>
      </c>
      <c r="C10263" s="4" t="str">
        <f>IFERROR(__xludf.DUMMYFUNCTION("""COMPUTED_VALUE"""),"RUSH")</f>
        <v>RUSH</v>
      </c>
    </row>
    <row r="10264">
      <c r="A10264" s="4" t="str">
        <f>IFERROR(__xludf.DUMMYFUNCTION("""COMPUTED_VALUE"""),"rushcmc")</f>
        <v>rushcmc</v>
      </c>
      <c r="B10264" s="4" t="str">
        <f>IFERROR(__xludf.DUMMYFUNCTION("""COMPUTED_VALUE"""),"rushcmc")</f>
        <v>rushcmc</v>
      </c>
      <c r="C10264" s="4" t="str">
        <f>IFERROR(__xludf.DUMMYFUNCTION("""COMPUTED_VALUE"""),"RUSHCMC")</f>
        <v>RUSHCMC</v>
      </c>
    </row>
    <row r="10265">
      <c r="A10265" s="4" t="str">
        <f>IFERROR(__xludf.DUMMYFUNCTION("""COMPUTED_VALUE"""),"rushcoin")</f>
        <v>rushcoin</v>
      </c>
      <c r="B10265" s="4" t="str">
        <f>IFERROR(__xludf.DUMMYFUNCTION("""COMPUTED_VALUE"""),"rush")</f>
        <v>rush</v>
      </c>
      <c r="C10265" s="4" t="str">
        <f>IFERROR(__xludf.DUMMYFUNCTION("""COMPUTED_VALUE"""),"RushCoin")</f>
        <v>RushCoin</v>
      </c>
    </row>
    <row r="10266">
      <c r="A10266" s="4" t="str">
        <f>IFERROR(__xludf.DUMMYFUNCTION("""COMPUTED_VALUE"""),"rusty-robot-country-club")</f>
        <v>rusty-robot-country-club</v>
      </c>
      <c r="B10266" s="4" t="str">
        <f>IFERROR(__xludf.DUMMYFUNCTION("""COMPUTED_VALUE"""),"rust")</f>
        <v>rust</v>
      </c>
      <c r="C10266" s="4" t="str">
        <f>IFERROR(__xludf.DUMMYFUNCTION("""COMPUTED_VALUE"""),"Rusty Robot Country Club")</f>
        <v>Rusty Robot Country Club</v>
      </c>
    </row>
    <row r="10267">
      <c r="A10267" s="4" t="str">
        <f>IFERROR(__xludf.DUMMYFUNCTION("""COMPUTED_VALUE"""),"rutheneum")</f>
        <v>rutheneum</v>
      </c>
      <c r="B10267" s="4" t="str">
        <f>IFERROR(__xludf.DUMMYFUNCTION("""COMPUTED_VALUE"""),"rth")</f>
        <v>rth</v>
      </c>
      <c r="C10267" s="4" t="str">
        <f>IFERROR(__xludf.DUMMYFUNCTION("""COMPUTED_VALUE"""),"Rutheneum")</f>
        <v>Rutheneum</v>
      </c>
    </row>
    <row r="10268">
      <c r="A10268" s="4" t="str">
        <f>IFERROR(__xludf.DUMMYFUNCTION("""COMPUTED_VALUE"""),"ruufcoin")</f>
        <v>ruufcoin</v>
      </c>
      <c r="B10268" s="4" t="str">
        <f>IFERROR(__xludf.DUMMYFUNCTION("""COMPUTED_VALUE"""),"ruuf")</f>
        <v>ruuf</v>
      </c>
      <c r="C10268" s="4" t="str">
        <f>IFERROR(__xludf.DUMMYFUNCTION("""COMPUTED_VALUE"""),"RuufCoin")</f>
        <v>RuufCoin</v>
      </c>
    </row>
    <row r="10269">
      <c r="A10269" s="4" t="str">
        <f>IFERROR(__xludf.DUMMYFUNCTION("""COMPUTED_VALUE"""),"rxcgames")</f>
        <v>rxcgames</v>
      </c>
      <c r="B10269" s="4" t="str">
        <f>IFERROR(__xludf.DUMMYFUNCTION("""COMPUTED_VALUE"""),"rxcg")</f>
        <v>rxcg</v>
      </c>
      <c r="C10269" s="4" t="str">
        <f>IFERROR(__xludf.DUMMYFUNCTION("""COMPUTED_VALUE"""),"RXCGames")</f>
        <v>RXCGames</v>
      </c>
    </row>
    <row r="10270">
      <c r="A10270" s="4" t="str">
        <f>IFERROR(__xludf.DUMMYFUNCTION("""COMPUTED_VALUE"""),"ryi-unity")</f>
        <v>ryi-unity</v>
      </c>
      <c r="B10270" s="4" t="str">
        <f>IFERROR(__xludf.DUMMYFUNCTION("""COMPUTED_VALUE"""),"ryiu")</f>
        <v>ryiu</v>
      </c>
      <c r="C10270" s="4" t="str">
        <f>IFERROR(__xludf.DUMMYFUNCTION("""COMPUTED_VALUE"""),"RYI Unity")</f>
        <v>RYI Unity</v>
      </c>
    </row>
    <row r="10271">
      <c r="A10271" s="4" t="str">
        <f>IFERROR(__xludf.DUMMYFUNCTION("""COMPUTED_VALUE"""),"ryo")</f>
        <v>ryo</v>
      </c>
      <c r="B10271" s="4" t="str">
        <f>IFERROR(__xludf.DUMMYFUNCTION("""COMPUTED_VALUE"""),"ryo")</f>
        <v>ryo</v>
      </c>
      <c r="C10271" s="4" t="str">
        <f>IFERROR(__xludf.DUMMYFUNCTION("""COMPUTED_VALUE"""),"Ryo Currency")</f>
        <v>Ryo Currency</v>
      </c>
    </row>
    <row r="10272">
      <c r="A10272" s="4" t="str">
        <f>IFERROR(__xludf.DUMMYFUNCTION("""COMPUTED_VALUE"""),"ryoma")</f>
        <v>ryoma</v>
      </c>
      <c r="B10272" s="4" t="str">
        <f>IFERROR(__xludf.DUMMYFUNCTION("""COMPUTED_VALUE"""),"ryoma")</f>
        <v>ryoma</v>
      </c>
      <c r="C10272" s="4" t="str">
        <f>IFERROR(__xludf.DUMMYFUNCTION("""COMPUTED_VALUE"""),"Ryoma")</f>
        <v>Ryoma</v>
      </c>
    </row>
    <row r="10273">
      <c r="A10273" s="4" t="str">
        <f>IFERROR(__xludf.DUMMYFUNCTION("""COMPUTED_VALUE"""),"ryoshi-research")</f>
        <v>ryoshi-research</v>
      </c>
      <c r="B10273" s="4" t="str">
        <f>IFERROR(__xludf.DUMMYFUNCTION("""COMPUTED_VALUE"""),"ryoshi")</f>
        <v>ryoshi</v>
      </c>
      <c r="C10273" s="4" t="str">
        <f>IFERROR(__xludf.DUMMYFUNCTION("""COMPUTED_VALUE"""),"Ryoshi Research")</f>
        <v>Ryoshi Research</v>
      </c>
    </row>
    <row r="10274">
      <c r="A10274" s="4" t="str">
        <f>IFERROR(__xludf.DUMMYFUNCTION("""COMPUTED_VALUE"""),"ryoshi-s")</f>
        <v>ryoshi-s</v>
      </c>
      <c r="B10274" s="4" t="str">
        <f>IFERROR(__xludf.DUMMYFUNCTION("""COMPUTED_VALUE"""),"ryoshi")</f>
        <v>ryoshi</v>
      </c>
      <c r="C10274" s="4" t="str">
        <f>IFERROR(__xludf.DUMMYFUNCTION("""COMPUTED_VALUE"""),"Ryoshi's")</f>
        <v>Ryoshi's</v>
      </c>
    </row>
    <row r="10275">
      <c r="A10275" s="4" t="str">
        <f>IFERROR(__xludf.DUMMYFUNCTION("""COMPUTED_VALUE"""),"ryoshis-vision")</f>
        <v>ryoshis-vision</v>
      </c>
      <c r="B10275" s="4" t="str">
        <f>IFERROR(__xludf.DUMMYFUNCTION("""COMPUTED_VALUE"""),"ryoshi")</f>
        <v>ryoshi</v>
      </c>
      <c r="C10275" s="4" t="str">
        <f>IFERROR(__xludf.DUMMYFUNCTION("""COMPUTED_VALUE"""),"Ryoshis Vision")</f>
        <v>Ryoshis Vision</v>
      </c>
    </row>
    <row r="10276">
      <c r="A10276" s="4" t="str">
        <f>IFERROR(__xludf.DUMMYFUNCTION("""COMPUTED_VALUE"""),"ryoshi-token")</f>
        <v>ryoshi-token</v>
      </c>
      <c r="B10276" s="4" t="str">
        <f>IFERROR(__xludf.DUMMYFUNCTION("""COMPUTED_VALUE"""),"ryoshi")</f>
        <v>ryoshi</v>
      </c>
      <c r="C10276" s="4" t="str">
        <f>IFERROR(__xludf.DUMMYFUNCTION("""COMPUTED_VALUE"""),"Ryoshi")</f>
        <v>Ryoshi</v>
      </c>
    </row>
    <row r="10277">
      <c r="A10277" s="4" t="str">
        <f>IFERROR(__xludf.DUMMYFUNCTION("""COMPUTED_VALUE"""),"ryoshi-with-knife")</f>
        <v>ryoshi-with-knife</v>
      </c>
      <c r="B10277" s="4" t="str">
        <f>IFERROR(__xludf.DUMMYFUNCTION("""COMPUTED_VALUE"""),"ryoshi")</f>
        <v>ryoshi</v>
      </c>
      <c r="C10277" s="4" t="str">
        <f>IFERROR(__xludf.DUMMYFUNCTION("""COMPUTED_VALUE"""),"ryoshi with knife")</f>
        <v>ryoshi with knife</v>
      </c>
    </row>
    <row r="10278">
      <c r="A10278" s="4" t="str">
        <f>IFERROR(__xludf.DUMMYFUNCTION("""COMPUTED_VALUE"""),"s4fe")</f>
        <v>s4fe</v>
      </c>
      <c r="B10278" s="4" t="str">
        <f>IFERROR(__xludf.DUMMYFUNCTION("""COMPUTED_VALUE"""),"s4f")</f>
        <v>s4f</v>
      </c>
      <c r="C10278" s="4" t="str">
        <f>IFERROR(__xludf.DUMMYFUNCTION("""COMPUTED_VALUE"""),"S4FE")</f>
        <v>S4FE</v>
      </c>
    </row>
    <row r="10279">
      <c r="A10279" s="4" t="str">
        <f>IFERROR(__xludf.DUMMYFUNCTION("""COMPUTED_VALUE"""),"saba-finance")</f>
        <v>saba-finance</v>
      </c>
      <c r="B10279" s="4" t="str">
        <f>IFERROR(__xludf.DUMMYFUNCTION("""COMPUTED_VALUE"""),"saba")</f>
        <v>saba</v>
      </c>
      <c r="C10279" s="4" t="str">
        <f>IFERROR(__xludf.DUMMYFUNCTION("""COMPUTED_VALUE"""),"Saba Finance")</f>
        <v>Saba Finance</v>
      </c>
    </row>
    <row r="10280">
      <c r="A10280" s="4" t="str">
        <f>IFERROR(__xludf.DUMMYFUNCTION("""COMPUTED_VALUE"""),"sabai-ecovers")</f>
        <v>sabai-ecovers</v>
      </c>
      <c r="B10280" s="4" t="str">
        <f>IFERROR(__xludf.DUMMYFUNCTION("""COMPUTED_VALUE"""),"sabai")</f>
        <v>sabai</v>
      </c>
      <c r="C10280" s="4" t="str">
        <f>IFERROR(__xludf.DUMMYFUNCTION("""COMPUTED_VALUE"""),"Sabai Ecoverse")</f>
        <v>Sabai Ecoverse</v>
      </c>
    </row>
    <row r="10281">
      <c r="A10281" s="4" t="str">
        <f>IFERROR(__xludf.DUMMYFUNCTION("""COMPUTED_VALUE"""),"sabaka-inu")</f>
        <v>sabaka-inu</v>
      </c>
      <c r="B10281" s="4" t="str">
        <f>IFERROR(__xludf.DUMMYFUNCTION("""COMPUTED_VALUE"""),"sabaka inu")</f>
        <v>sabaka inu</v>
      </c>
      <c r="C10281" s="4" t="str">
        <f>IFERROR(__xludf.DUMMYFUNCTION("""COMPUTED_VALUE"""),"Sabaka Inu")</f>
        <v>Sabaka Inu</v>
      </c>
    </row>
    <row r="10282">
      <c r="A10282" s="4" t="str">
        <f>IFERROR(__xludf.DUMMYFUNCTION("""COMPUTED_VALUE"""),"saber")</f>
        <v>saber</v>
      </c>
      <c r="B10282" s="4" t="str">
        <f>IFERROR(__xludf.DUMMYFUNCTION("""COMPUTED_VALUE"""),"sbr")</f>
        <v>sbr</v>
      </c>
      <c r="C10282" s="4" t="str">
        <f>IFERROR(__xludf.DUMMYFUNCTION("""COMPUTED_VALUE"""),"Saber")</f>
        <v>Saber</v>
      </c>
    </row>
    <row r="10283">
      <c r="A10283" s="4" t="str">
        <f>IFERROR(__xludf.DUMMYFUNCTION("""COMPUTED_VALUE"""),"saber-2")</f>
        <v>saber-2</v>
      </c>
      <c r="B10283" s="4" t="str">
        <f>IFERROR(__xludf.DUMMYFUNCTION("""COMPUTED_VALUE"""),"saber")</f>
        <v>saber</v>
      </c>
      <c r="C10283" s="4" t="str">
        <f>IFERROR(__xludf.DUMMYFUNCTION("""COMPUTED_VALUE"""),"Saber")</f>
        <v>Saber</v>
      </c>
    </row>
    <row r="10284">
      <c r="A10284" s="4" t="str">
        <f>IFERROR(__xludf.DUMMYFUNCTION("""COMPUTED_VALUE"""),"sable")</f>
        <v>sable</v>
      </c>
      <c r="B10284" s="4" t="str">
        <f>IFERROR(__xludf.DUMMYFUNCTION("""COMPUTED_VALUE"""),"sable")</f>
        <v>sable</v>
      </c>
      <c r="C10284" s="4" t="str">
        <f>IFERROR(__xludf.DUMMYFUNCTION("""COMPUTED_VALUE"""),"Sable")</f>
        <v>Sable</v>
      </c>
    </row>
    <row r="10285">
      <c r="A10285" s="4" t="str">
        <f>IFERROR(__xludf.DUMMYFUNCTION("""COMPUTED_VALUE"""),"sable-coin")</f>
        <v>sable-coin</v>
      </c>
      <c r="B10285" s="4" t="str">
        <f>IFERROR(__xludf.DUMMYFUNCTION("""COMPUTED_VALUE"""),"usds")</f>
        <v>usds</v>
      </c>
      <c r="C10285" s="4" t="str">
        <f>IFERROR(__xludf.DUMMYFUNCTION("""COMPUTED_VALUE"""),"Sable Coin")</f>
        <v>Sable Coin</v>
      </c>
    </row>
    <row r="10286">
      <c r="A10286" s="4" t="str">
        <f>IFERROR(__xludf.DUMMYFUNCTION("""COMPUTED_VALUE"""),"sacabam")</f>
        <v>sacabam</v>
      </c>
      <c r="B10286" s="4" t="str">
        <f>IFERROR(__xludf.DUMMYFUNCTION("""COMPUTED_VALUE"""),"scb")</f>
        <v>scb</v>
      </c>
      <c r="C10286" s="4" t="str">
        <f>IFERROR(__xludf.DUMMYFUNCTION("""COMPUTED_VALUE"""),"Sacabam")</f>
        <v>Sacabam</v>
      </c>
    </row>
    <row r="10287">
      <c r="A10287" s="4" t="str">
        <f>IFERROR(__xludf.DUMMYFUNCTION("""COMPUTED_VALUE"""),"sacabambaspis")</f>
        <v>sacabambaspis</v>
      </c>
      <c r="B10287" s="4" t="str">
        <f>IFERROR(__xludf.DUMMYFUNCTION("""COMPUTED_VALUE"""),"saca")</f>
        <v>saca</v>
      </c>
      <c r="C10287" s="4" t="str">
        <f>IFERROR(__xludf.DUMMYFUNCTION("""COMPUTED_VALUE"""),"Sacabambaspis")</f>
        <v>Sacabambaspis</v>
      </c>
    </row>
    <row r="10288">
      <c r="A10288" s="4" t="str">
        <f>IFERROR(__xludf.DUMMYFUNCTION("""COMPUTED_VALUE"""),"sad-hamster")</f>
        <v>sad-hamster</v>
      </c>
      <c r="B10288" s="4" t="str">
        <f>IFERROR(__xludf.DUMMYFUNCTION("""COMPUTED_VALUE"""),"hammy")</f>
        <v>hammy</v>
      </c>
      <c r="C10288" s="4" t="str">
        <f>IFERROR(__xludf.DUMMYFUNCTION("""COMPUTED_VALUE"""),"SAD HAMSTER")</f>
        <v>SAD HAMSTER</v>
      </c>
    </row>
    <row r="10289">
      <c r="A10289" s="4" t="str">
        <f>IFERROR(__xludf.DUMMYFUNCTION("""COMPUTED_VALUE"""),"safcoin")</f>
        <v>safcoin</v>
      </c>
      <c r="B10289" s="4" t="str">
        <f>IFERROR(__xludf.DUMMYFUNCTION("""COMPUTED_VALUE"""),"saf")</f>
        <v>saf</v>
      </c>
      <c r="C10289" s="4" t="str">
        <f>IFERROR(__xludf.DUMMYFUNCTION("""COMPUTED_VALUE"""),"SafCoin")</f>
        <v>SafCoin</v>
      </c>
    </row>
    <row r="10290">
      <c r="A10290" s="4" t="str">
        <f>IFERROR(__xludf.DUMMYFUNCTION("""COMPUTED_VALUE"""),"safe-anwang")</f>
        <v>safe-anwang</v>
      </c>
      <c r="B10290" s="4" t="str">
        <f>IFERROR(__xludf.DUMMYFUNCTION("""COMPUTED_VALUE"""),"safe")</f>
        <v>safe</v>
      </c>
      <c r="C10290" s="4" t="str">
        <f>IFERROR(__xludf.DUMMYFUNCTION("""COMPUTED_VALUE"""),"SAFE(AnWang)")</f>
        <v>SAFE(AnWang)</v>
      </c>
    </row>
    <row r="10291">
      <c r="A10291" s="4" t="str">
        <f>IFERROR(__xludf.DUMMYFUNCTION("""COMPUTED_VALUE"""),"safeblast")</f>
        <v>safeblast</v>
      </c>
      <c r="B10291" s="4" t="str">
        <f>IFERROR(__xludf.DUMMYFUNCTION("""COMPUTED_VALUE"""),"blast")</f>
        <v>blast</v>
      </c>
      <c r="C10291" s="4" t="str">
        <f>IFERROR(__xludf.DUMMYFUNCTION("""COMPUTED_VALUE"""),"SafeBlast")</f>
        <v>SafeBlast</v>
      </c>
    </row>
    <row r="10292">
      <c r="A10292" s="4" t="str">
        <f>IFERROR(__xludf.DUMMYFUNCTION("""COMPUTED_VALUE"""),"safebonk")</f>
        <v>safebonk</v>
      </c>
      <c r="B10292" s="4" t="str">
        <f>IFERROR(__xludf.DUMMYFUNCTION("""COMPUTED_VALUE"""),"sbonk")</f>
        <v>sbonk</v>
      </c>
      <c r="C10292" s="4" t="str">
        <f>IFERROR(__xludf.DUMMYFUNCTION("""COMPUTED_VALUE"""),"SafeBonk")</f>
        <v>SafeBonk</v>
      </c>
    </row>
    <row r="10293">
      <c r="A10293" s="4" t="str">
        <f>IFERROR(__xludf.DUMMYFUNCTION("""COMPUTED_VALUE"""),"safecapital")</f>
        <v>safecapital</v>
      </c>
      <c r="B10293" s="4" t="str">
        <f>IFERROR(__xludf.DUMMYFUNCTION("""COMPUTED_VALUE"""),"scap")</f>
        <v>scap</v>
      </c>
      <c r="C10293" s="4" t="str">
        <f>IFERROR(__xludf.DUMMYFUNCTION("""COMPUTED_VALUE"""),"SafeCapital")</f>
        <v>SafeCapital</v>
      </c>
    </row>
    <row r="10294">
      <c r="A10294" s="4" t="str">
        <f>IFERROR(__xludf.DUMMYFUNCTION("""COMPUTED_VALUE"""),"safeclassic")</f>
        <v>safeclassic</v>
      </c>
      <c r="B10294" s="4" t="str">
        <f>IFERROR(__xludf.DUMMYFUNCTION("""COMPUTED_VALUE"""),"safeclassic")</f>
        <v>safeclassic</v>
      </c>
      <c r="C10294" s="4" t="str">
        <f>IFERROR(__xludf.DUMMYFUNCTION("""COMPUTED_VALUE"""),"SafeClassic")</f>
        <v>SafeClassic</v>
      </c>
    </row>
    <row r="10295">
      <c r="A10295" s="4" t="str">
        <f>IFERROR(__xludf.DUMMYFUNCTION("""COMPUTED_VALUE"""),"safe-coin-2")</f>
        <v>safe-coin-2</v>
      </c>
      <c r="B10295" s="4" t="str">
        <f>IFERROR(__xludf.DUMMYFUNCTION("""COMPUTED_VALUE"""),"safe")</f>
        <v>safe</v>
      </c>
      <c r="C10295" s="4" t="str">
        <f>IFERROR(__xludf.DUMMYFUNCTION("""COMPUTED_VALUE"""),"SafeCoin")</f>
        <v>SafeCoin</v>
      </c>
    </row>
    <row r="10296">
      <c r="A10296" s="4" t="str">
        <f>IFERROR(__xludf.DUMMYFUNCTION("""COMPUTED_VALUE"""),"safe-deal")</f>
        <v>safe-deal</v>
      </c>
      <c r="B10296" s="4" t="str">
        <f>IFERROR(__xludf.DUMMYFUNCTION("""COMPUTED_VALUE"""),"sfd")</f>
        <v>sfd</v>
      </c>
      <c r="C10296" s="4" t="str">
        <f>IFERROR(__xludf.DUMMYFUNCTION("""COMPUTED_VALUE"""),"SafeDeal")</f>
        <v>SafeDeal</v>
      </c>
    </row>
    <row r="10297">
      <c r="A10297" s="4" t="str">
        <f>IFERROR(__xludf.DUMMYFUNCTION("""COMPUTED_VALUE"""),"safegem")</f>
        <v>safegem</v>
      </c>
      <c r="B10297" s="4" t="str">
        <f>IFERROR(__xludf.DUMMYFUNCTION("""COMPUTED_VALUE"""),"gems")</f>
        <v>gems</v>
      </c>
      <c r="C10297" s="4" t="str">
        <f>IFERROR(__xludf.DUMMYFUNCTION("""COMPUTED_VALUE"""),"Safegem")</f>
        <v>Safegem</v>
      </c>
    </row>
    <row r="10298">
      <c r="A10298" s="4" t="str">
        <f>IFERROR(__xludf.DUMMYFUNCTION("""COMPUTED_VALUE"""),"safegrok")</f>
        <v>safegrok</v>
      </c>
      <c r="B10298" s="4" t="str">
        <f>IFERROR(__xludf.DUMMYFUNCTION("""COMPUTED_VALUE"""),"safegrok")</f>
        <v>safegrok</v>
      </c>
      <c r="C10298" s="4" t="str">
        <f>IFERROR(__xludf.DUMMYFUNCTION("""COMPUTED_VALUE"""),"SafeGrok")</f>
        <v>SafeGrok</v>
      </c>
    </row>
    <row r="10299">
      <c r="A10299" s="4" t="str">
        <f>IFERROR(__xludf.DUMMYFUNCTION("""COMPUTED_VALUE"""),"safe-haven")</f>
        <v>safe-haven</v>
      </c>
      <c r="B10299" s="4" t="str">
        <f>IFERROR(__xludf.DUMMYFUNCTION("""COMPUTED_VALUE"""),"sha")</f>
        <v>sha</v>
      </c>
      <c r="C10299" s="4" t="str">
        <f>IFERROR(__xludf.DUMMYFUNCTION("""COMPUTED_VALUE"""),"Safe Haven")</f>
        <v>Safe Haven</v>
      </c>
    </row>
    <row r="10300">
      <c r="A10300" s="4" t="str">
        <f>IFERROR(__xludf.DUMMYFUNCTION("""COMPUTED_VALUE"""),"safeinsure")</f>
        <v>safeinsure</v>
      </c>
      <c r="B10300" s="4" t="str">
        <f>IFERROR(__xludf.DUMMYFUNCTION("""COMPUTED_VALUE"""),"sins")</f>
        <v>sins</v>
      </c>
      <c r="C10300" s="4" t="str">
        <f>IFERROR(__xludf.DUMMYFUNCTION("""COMPUTED_VALUE"""),"SafeInsure")</f>
        <v>SafeInsure</v>
      </c>
    </row>
    <row r="10301">
      <c r="A10301" s="4" t="str">
        <f>IFERROR(__xludf.DUMMYFUNCTION("""COMPUTED_VALUE"""),"safelaunch")</f>
        <v>safelaunch</v>
      </c>
      <c r="B10301" s="4" t="str">
        <f>IFERROR(__xludf.DUMMYFUNCTION("""COMPUTED_VALUE"""),"sfex")</f>
        <v>sfex</v>
      </c>
      <c r="C10301" s="4" t="str">
        <f>IFERROR(__xludf.DUMMYFUNCTION("""COMPUTED_VALUE"""),"SafeLaunch")</f>
        <v>SafeLaunch</v>
      </c>
    </row>
    <row r="10302">
      <c r="A10302" s="4" t="str">
        <f>IFERROR(__xludf.DUMMYFUNCTION("""COMPUTED_VALUE"""),"safemars")</f>
        <v>safemars</v>
      </c>
      <c r="B10302" s="4" t="str">
        <f>IFERROR(__xludf.DUMMYFUNCTION("""COMPUTED_VALUE"""),"safemars")</f>
        <v>safemars</v>
      </c>
      <c r="C10302" s="4" t="str">
        <f>IFERROR(__xludf.DUMMYFUNCTION("""COMPUTED_VALUE"""),"Safemars")</f>
        <v>Safemars</v>
      </c>
    </row>
    <row r="10303">
      <c r="A10303" s="4" t="str">
        <f>IFERROR(__xludf.DUMMYFUNCTION("""COMPUTED_VALUE"""),"safemars-2")</f>
        <v>safemars-2</v>
      </c>
      <c r="B10303" s="4" t="str">
        <f>IFERROR(__xludf.DUMMYFUNCTION("""COMPUTED_VALUE"""),"safemars")</f>
        <v>safemars</v>
      </c>
      <c r="C10303" s="4" t="str">
        <f>IFERROR(__xludf.DUMMYFUNCTION("""COMPUTED_VALUE"""),"SAFEMARS")</f>
        <v>SAFEMARS</v>
      </c>
    </row>
    <row r="10304">
      <c r="A10304" s="4" t="str">
        <f>IFERROR(__xludf.DUMMYFUNCTION("""COMPUTED_VALUE"""),"safemars-protocol")</f>
        <v>safemars-protocol</v>
      </c>
      <c r="B10304" s="4" t="str">
        <f>IFERROR(__xludf.DUMMYFUNCTION("""COMPUTED_VALUE"""),"smars")</f>
        <v>smars</v>
      </c>
      <c r="C10304" s="4" t="str">
        <f>IFERROR(__xludf.DUMMYFUNCTION("""COMPUTED_VALUE"""),"Safemars Protocol")</f>
        <v>Safemars Protocol</v>
      </c>
    </row>
    <row r="10305">
      <c r="A10305" s="4" t="str">
        <f>IFERROR(__xludf.DUMMYFUNCTION("""COMPUTED_VALUE"""),"safememe")</f>
        <v>safememe</v>
      </c>
      <c r="B10305" s="4" t="str">
        <f>IFERROR(__xludf.DUMMYFUNCTION("""COMPUTED_VALUE"""),"sme")</f>
        <v>sme</v>
      </c>
      <c r="C10305" s="4" t="str">
        <f>IFERROR(__xludf.DUMMYFUNCTION("""COMPUTED_VALUE"""),"SafeMeme")</f>
        <v>SafeMeme</v>
      </c>
    </row>
    <row r="10306">
      <c r="A10306" s="4" t="str">
        <f>IFERROR(__xludf.DUMMYFUNCTION("""COMPUTED_VALUE"""),"safeminecoin")</f>
        <v>safeminecoin</v>
      </c>
      <c r="B10306" s="4" t="str">
        <f>IFERROR(__xludf.DUMMYFUNCTION("""COMPUTED_VALUE"""),"smcn")</f>
        <v>smcn</v>
      </c>
      <c r="C10306" s="4" t="str">
        <f>IFERROR(__xludf.DUMMYFUNCTION("""COMPUTED_VALUE"""),"SafeMineCoin")</f>
        <v>SafeMineCoin</v>
      </c>
    </row>
    <row r="10307">
      <c r="A10307" s="4" t="str">
        <f>IFERROR(__xludf.DUMMYFUNCTION("""COMPUTED_VALUE"""),"safemoo")</f>
        <v>safemoo</v>
      </c>
      <c r="B10307" s="4" t="str">
        <f>IFERROR(__xludf.DUMMYFUNCTION("""COMPUTED_VALUE"""),"safemoo")</f>
        <v>safemoo</v>
      </c>
      <c r="C10307" s="4" t="str">
        <f>IFERROR(__xludf.DUMMYFUNCTION("""COMPUTED_VALUE"""),"SafeMoo")</f>
        <v>SafeMoo</v>
      </c>
    </row>
    <row r="10308">
      <c r="A10308" s="4" t="str">
        <f>IFERROR(__xludf.DUMMYFUNCTION("""COMPUTED_VALUE"""),"safemoon-1996")</f>
        <v>safemoon-1996</v>
      </c>
      <c r="B10308" s="4" t="str">
        <f>IFERROR(__xludf.DUMMYFUNCTION("""COMPUTED_VALUE"""),"sm96")</f>
        <v>sm96</v>
      </c>
      <c r="C10308" s="4" t="str">
        <f>IFERROR(__xludf.DUMMYFUNCTION("""COMPUTED_VALUE"""),"Safemoon 1996")</f>
        <v>Safemoon 1996</v>
      </c>
    </row>
    <row r="10309">
      <c r="A10309" s="4" t="str">
        <f>IFERROR(__xludf.DUMMYFUNCTION("""COMPUTED_VALUE"""),"safemoon-2")</f>
        <v>safemoon-2</v>
      </c>
      <c r="B10309" s="4" t="str">
        <f>IFERROR(__xludf.DUMMYFUNCTION("""COMPUTED_VALUE"""),"sfm")</f>
        <v>sfm</v>
      </c>
      <c r="C10309" s="4" t="str">
        <f>IFERROR(__xludf.DUMMYFUNCTION("""COMPUTED_VALUE"""),"SafeMoon")</f>
        <v>SafeMoon</v>
      </c>
    </row>
    <row r="10310">
      <c r="A10310" s="4" t="str">
        <f>IFERROR(__xludf.DUMMYFUNCTION("""COMPUTED_VALUE"""),"safemoon-inu")</f>
        <v>safemoon-inu</v>
      </c>
      <c r="B10310" s="4" t="str">
        <f>IFERROR(__xludf.DUMMYFUNCTION("""COMPUTED_VALUE"""),"smi")</f>
        <v>smi</v>
      </c>
      <c r="C10310" s="4" t="str">
        <f>IFERROR(__xludf.DUMMYFUNCTION("""COMPUTED_VALUE"""),"SafeMoon Inu")</f>
        <v>SafeMoon Inu</v>
      </c>
    </row>
    <row r="10311">
      <c r="A10311" s="4" t="str">
        <f>IFERROR(__xludf.DUMMYFUNCTION("""COMPUTED_VALUE"""),"safemoon-zilla")</f>
        <v>safemoon-zilla</v>
      </c>
      <c r="B10311" s="4" t="str">
        <f>IFERROR(__xludf.DUMMYFUNCTION("""COMPUTED_VALUE"""),"sfz")</f>
        <v>sfz</v>
      </c>
      <c r="C10311" s="4" t="str">
        <f>IFERROR(__xludf.DUMMYFUNCTION("""COMPUTED_VALUE"""),"Safemoon Zilla")</f>
        <v>Safemoon Zilla</v>
      </c>
    </row>
    <row r="10312">
      <c r="A10312" s="4" t="str">
        <f>IFERROR(__xludf.DUMMYFUNCTION("""COMPUTED_VALUE"""),"safemuun")</f>
        <v>safemuun</v>
      </c>
      <c r="B10312" s="4" t="str">
        <f>IFERROR(__xludf.DUMMYFUNCTION("""COMPUTED_VALUE"""),"safemuun")</f>
        <v>safemuun</v>
      </c>
      <c r="C10312" s="4" t="str">
        <f>IFERROR(__xludf.DUMMYFUNCTION("""COMPUTED_VALUE"""),"Safemuun")</f>
        <v>Safemuun</v>
      </c>
    </row>
    <row r="10313">
      <c r="A10313" s="4" t="str">
        <f>IFERROR(__xludf.DUMMYFUNCTION("""COMPUTED_VALUE"""),"safe-nebula")</f>
        <v>safe-nebula</v>
      </c>
      <c r="B10313" s="4" t="str">
        <f>IFERROR(__xludf.DUMMYFUNCTION("""COMPUTED_VALUE"""),"snb")</f>
        <v>snb</v>
      </c>
      <c r="C10313" s="4" t="str">
        <f>IFERROR(__xludf.DUMMYFUNCTION("""COMPUTED_VALUE"""),"Safe Nebula")</f>
        <v>Safe Nebula</v>
      </c>
    </row>
    <row r="10314">
      <c r="A10314" s="4" t="str">
        <f>IFERROR(__xludf.DUMMYFUNCTION("""COMPUTED_VALUE"""),"safepal")</f>
        <v>safepal</v>
      </c>
      <c r="B10314" s="4" t="str">
        <f>IFERROR(__xludf.DUMMYFUNCTION("""COMPUTED_VALUE"""),"sfp")</f>
        <v>sfp</v>
      </c>
      <c r="C10314" s="4" t="str">
        <f>IFERROR(__xludf.DUMMYFUNCTION("""COMPUTED_VALUE"""),"SafePal")</f>
        <v>SafePal</v>
      </c>
    </row>
    <row r="10315">
      <c r="A10315" s="4" t="str">
        <f>IFERROR(__xludf.DUMMYFUNCTION("""COMPUTED_VALUE"""),"safereum")</f>
        <v>safereum</v>
      </c>
      <c r="B10315" s="4" t="str">
        <f>IFERROR(__xludf.DUMMYFUNCTION("""COMPUTED_VALUE"""),"safereum")</f>
        <v>safereum</v>
      </c>
      <c r="C10315" s="4" t="str">
        <f>IFERROR(__xludf.DUMMYFUNCTION("""COMPUTED_VALUE"""),"SAFEREUM")</f>
        <v>SAFEREUM</v>
      </c>
    </row>
    <row r="10316">
      <c r="A10316" s="4" t="str">
        <f>IFERROR(__xludf.DUMMYFUNCTION("""COMPUTED_VALUE"""),"safe-seafood-coin")</f>
        <v>safe-seafood-coin</v>
      </c>
      <c r="B10316" s="4" t="str">
        <f>IFERROR(__xludf.DUMMYFUNCTION("""COMPUTED_VALUE"""),"ssf")</f>
        <v>ssf</v>
      </c>
      <c r="C10316" s="4" t="str">
        <f>IFERROR(__xludf.DUMMYFUNCTION("""COMPUTED_VALUE"""),"Safe SeaFood Coin")</f>
        <v>Safe SeaFood Coin</v>
      </c>
    </row>
    <row r="10317">
      <c r="A10317" s="4" t="str">
        <f>IFERROR(__xludf.DUMMYFUNCTION("""COMPUTED_VALUE"""),"safestake")</f>
        <v>safestake</v>
      </c>
      <c r="B10317" s="4" t="str">
        <f>IFERROR(__xludf.DUMMYFUNCTION("""COMPUTED_VALUE"""),"dvt")</f>
        <v>dvt</v>
      </c>
      <c r="C10317" s="4" t="str">
        <f>IFERROR(__xludf.DUMMYFUNCTION("""COMPUTED_VALUE"""),"SafeStake")</f>
        <v>SafeStake</v>
      </c>
    </row>
    <row r="10318">
      <c r="A10318" s="4" t="str">
        <f>IFERROR(__xludf.DUMMYFUNCTION("""COMPUTED_VALUE"""),"safeswap-token")</f>
        <v>safeswap-token</v>
      </c>
      <c r="B10318" s="4" t="str">
        <f>IFERROR(__xludf.DUMMYFUNCTION("""COMPUTED_VALUE"""),"ssgtx")</f>
        <v>ssgtx</v>
      </c>
      <c r="C10318" s="4" t="str">
        <f>IFERROR(__xludf.DUMMYFUNCTION("""COMPUTED_VALUE"""),"Safeswap SSGTX")</f>
        <v>Safeswap SSGTX</v>
      </c>
    </row>
    <row r="10319">
      <c r="A10319" s="4" t="str">
        <f>IFERROR(__xludf.DUMMYFUNCTION("""COMPUTED_VALUE"""),"safe-token")</f>
        <v>safe-token</v>
      </c>
      <c r="B10319" s="4" t="str">
        <f>IFERROR(__xludf.DUMMYFUNCTION("""COMPUTED_VALUE"""),"safe")</f>
        <v>safe</v>
      </c>
      <c r="C10319" s="4" t="str">
        <f>IFERROR(__xludf.DUMMYFUNCTION("""COMPUTED_VALUE"""),"Safe")</f>
        <v>Safe</v>
      </c>
    </row>
    <row r="10320">
      <c r="A10320" s="4" t="str">
        <f>IFERROR(__xludf.DUMMYFUNCTION("""COMPUTED_VALUE"""),"safetrees")</f>
        <v>safetrees</v>
      </c>
      <c r="B10320" s="4" t="str">
        <f>IFERROR(__xludf.DUMMYFUNCTION("""COMPUTED_VALUE"""),"trees")</f>
        <v>trees</v>
      </c>
      <c r="C10320" s="4" t="str">
        <f>IFERROR(__xludf.DUMMYFUNCTION("""COMPUTED_VALUE"""),"Safetrees")</f>
        <v>Safetrees</v>
      </c>
    </row>
    <row r="10321">
      <c r="A10321" s="4" t="str">
        <f>IFERROR(__xludf.DUMMYFUNCTION("""COMPUTED_VALUE"""),"safeward-ai")</f>
        <v>safeward-ai</v>
      </c>
      <c r="B10321" s="4" t="str">
        <f>IFERROR(__xludf.DUMMYFUNCTION("""COMPUTED_VALUE"""),"swi")</f>
        <v>swi</v>
      </c>
      <c r="C10321" s="4" t="str">
        <f>IFERROR(__xludf.DUMMYFUNCTION("""COMPUTED_VALUE"""),"SafeWard AI")</f>
        <v>SafeWard AI</v>
      </c>
    </row>
    <row r="10322">
      <c r="A10322" s="4" t="str">
        <f>IFERROR(__xludf.DUMMYFUNCTION("""COMPUTED_VALUE"""),"saffron-finance")</f>
        <v>saffron-finance</v>
      </c>
      <c r="B10322" s="4" t="str">
        <f>IFERROR(__xludf.DUMMYFUNCTION("""COMPUTED_VALUE"""),"sfi")</f>
        <v>sfi</v>
      </c>
      <c r="C10322" s="4" t="str">
        <f>IFERROR(__xludf.DUMMYFUNCTION("""COMPUTED_VALUE"""),"saffron.finance")</f>
        <v>saffron.finance</v>
      </c>
    </row>
    <row r="10323">
      <c r="A10323" s="4" t="str">
        <f>IFERROR(__xludf.DUMMYFUNCTION("""COMPUTED_VALUE"""),"safle")</f>
        <v>safle</v>
      </c>
      <c r="B10323" s="4" t="str">
        <f>IFERROR(__xludf.DUMMYFUNCTION("""COMPUTED_VALUE"""),"safle")</f>
        <v>safle</v>
      </c>
      <c r="C10323" s="4" t="str">
        <f>IFERROR(__xludf.DUMMYFUNCTION("""COMPUTED_VALUE"""),"Safle")</f>
        <v>Safle</v>
      </c>
    </row>
    <row r="10324">
      <c r="A10324" s="4" t="str">
        <f>IFERROR(__xludf.DUMMYFUNCTION("""COMPUTED_VALUE"""),"safu-crypto-cz")</f>
        <v>safu-crypto-cz</v>
      </c>
      <c r="B10324" s="4" t="str">
        <f>IFERROR(__xludf.DUMMYFUNCTION("""COMPUTED_VALUE"""),"freecz")</f>
        <v>freecz</v>
      </c>
      <c r="C10324" s="4" t="str">
        <f>IFERROR(__xludf.DUMMYFUNCTION("""COMPUTED_VALUE"""),"FREECZ")</f>
        <v>FREECZ</v>
      </c>
    </row>
    <row r="10325">
      <c r="A10325" s="4" t="str">
        <f>IFERROR(__xludf.DUMMYFUNCTION("""COMPUTED_VALUE"""),"safudex")</f>
        <v>safudex</v>
      </c>
      <c r="B10325" s="4" t="str">
        <f>IFERROR(__xludf.DUMMYFUNCTION("""COMPUTED_VALUE"""),"sfd")</f>
        <v>sfd</v>
      </c>
      <c r="C10325" s="4" t="str">
        <f>IFERROR(__xludf.DUMMYFUNCTION("""COMPUTED_VALUE"""),"SafuDex")</f>
        <v>SafuDex</v>
      </c>
    </row>
    <row r="10326">
      <c r="A10326" s="4" t="str">
        <f>IFERROR(__xludf.DUMMYFUNCTION("""COMPUTED_VALUE"""),"safu-protocol")</f>
        <v>safu-protocol</v>
      </c>
      <c r="B10326" s="4" t="str">
        <f>IFERROR(__xludf.DUMMYFUNCTION("""COMPUTED_VALUE"""),"safu")</f>
        <v>safu</v>
      </c>
      <c r="C10326" s="4" t="str">
        <f>IFERROR(__xludf.DUMMYFUNCTION("""COMPUTED_VALUE"""),"SAFU Protocol")</f>
        <v>SAFU Protocol</v>
      </c>
    </row>
    <row r="10327">
      <c r="A10327" s="4" t="str">
        <f>IFERROR(__xludf.DUMMYFUNCTION("""COMPUTED_VALUE"""),"safuu")</f>
        <v>safuu</v>
      </c>
      <c r="B10327" s="4" t="str">
        <f>IFERROR(__xludf.DUMMYFUNCTION("""COMPUTED_VALUE"""),"safuu")</f>
        <v>safuu</v>
      </c>
      <c r="C10327" s="4" t="str">
        <f>IFERROR(__xludf.DUMMYFUNCTION("""COMPUTED_VALUE"""),"SAFUU")</f>
        <v>SAFUU</v>
      </c>
    </row>
    <row r="10328">
      <c r="A10328" s="4" t="str">
        <f>IFERROR(__xludf.DUMMYFUNCTION("""COMPUTED_VALUE"""),"saga-2")</f>
        <v>saga-2</v>
      </c>
      <c r="B10328" s="4" t="str">
        <f>IFERROR(__xludf.DUMMYFUNCTION("""COMPUTED_VALUE"""),"saga")</f>
        <v>saga</v>
      </c>
      <c r="C10328" s="4" t="str">
        <f>IFERROR(__xludf.DUMMYFUNCTION("""COMPUTED_VALUE"""),"Saga")</f>
        <v>Saga</v>
      </c>
    </row>
    <row r="10329">
      <c r="A10329" s="4" t="str">
        <f>IFERROR(__xludf.DUMMYFUNCTION("""COMPUTED_VALUE"""),"sagas-of-destiny")</f>
        <v>sagas-of-destiny</v>
      </c>
      <c r="B10329" s="4" t="str">
        <f>IFERROR(__xludf.DUMMYFUNCTION("""COMPUTED_VALUE"""),"sage")</f>
        <v>sage</v>
      </c>
      <c r="C10329" s="4" t="str">
        <f>IFERROR(__xludf.DUMMYFUNCTION("""COMPUTED_VALUE"""),"Sagas Of Destiny")</f>
        <v>Sagas Of Destiny</v>
      </c>
    </row>
    <row r="10330">
      <c r="A10330" s="4" t="str">
        <f>IFERROR(__xludf.DUMMYFUNCTION("""COMPUTED_VALUE"""),"sai")</f>
        <v>sai</v>
      </c>
      <c r="B10330" s="4" t="str">
        <f>IFERROR(__xludf.DUMMYFUNCTION("""COMPUTED_VALUE"""),"sai")</f>
        <v>sai</v>
      </c>
      <c r="C10330" s="4" t="str">
        <f>IFERROR(__xludf.DUMMYFUNCTION("""COMPUTED_VALUE"""),"Sai")</f>
        <v>Sai</v>
      </c>
    </row>
    <row r="10331">
      <c r="A10331" s="4" t="str">
        <f>IFERROR(__xludf.DUMMYFUNCTION("""COMPUTED_VALUE"""),"saiko-the-revival")</f>
        <v>saiko-the-revival</v>
      </c>
      <c r="B10331" s="4" t="str">
        <f>IFERROR(__xludf.DUMMYFUNCTION("""COMPUTED_VALUE"""),"saiko")</f>
        <v>saiko</v>
      </c>
      <c r="C10331" s="4" t="str">
        <f>IFERROR(__xludf.DUMMYFUNCTION("""COMPUTED_VALUE"""),"Saiko - The Revival")</f>
        <v>Saiko - The Revival</v>
      </c>
    </row>
    <row r="10332">
      <c r="A10332" s="4" t="str">
        <f>IFERROR(__xludf.DUMMYFUNCTION("""COMPUTED_VALUE"""),"sail-2")</f>
        <v>sail-2</v>
      </c>
      <c r="B10332" s="4" t="str">
        <f>IFERROR(__xludf.DUMMYFUNCTION("""COMPUTED_VALUE"""),"sail")</f>
        <v>sail</v>
      </c>
      <c r="C10332" s="4" t="str">
        <f>IFERROR(__xludf.DUMMYFUNCTION("""COMPUTED_VALUE"""),"Clipper SAIL")</f>
        <v>Clipper SAIL</v>
      </c>
    </row>
    <row r="10333">
      <c r="A10333" s="4" t="str">
        <f>IFERROR(__xludf.DUMMYFUNCTION("""COMPUTED_VALUE"""),"sailwars")</f>
        <v>sailwars</v>
      </c>
      <c r="B10333" s="4" t="str">
        <f>IFERROR(__xludf.DUMMYFUNCTION("""COMPUTED_VALUE"""),"swt")</f>
        <v>swt</v>
      </c>
      <c r="C10333" s="4" t="str">
        <f>IFERROR(__xludf.DUMMYFUNCTION("""COMPUTED_VALUE"""),"Sailwars")</f>
        <v>Sailwars</v>
      </c>
    </row>
    <row r="10334">
      <c r="A10334" s="4" t="str">
        <f>IFERROR(__xludf.DUMMYFUNCTION("""COMPUTED_VALUE"""),"saintbot")</f>
        <v>saintbot</v>
      </c>
      <c r="B10334" s="4" t="str">
        <f>IFERROR(__xludf.DUMMYFUNCTION("""COMPUTED_VALUE"""),"saint")</f>
        <v>saint</v>
      </c>
      <c r="C10334" s="4" t="str">
        <f>IFERROR(__xludf.DUMMYFUNCTION("""COMPUTED_VALUE"""),"Saintbot")</f>
        <v>Saintbot</v>
      </c>
    </row>
    <row r="10335">
      <c r="A10335" s="4" t="str">
        <f>IFERROR(__xludf.DUMMYFUNCTION("""COMPUTED_VALUE"""),"saitachain-coin-2")</f>
        <v>saitachain-coin-2</v>
      </c>
      <c r="B10335" s="4" t="str">
        <f>IFERROR(__xludf.DUMMYFUNCTION("""COMPUTED_VALUE"""),"stc")</f>
        <v>stc</v>
      </c>
      <c r="C10335" s="4" t="str">
        <f>IFERROR(__xludf.DUMMYFUNCTION("""COMPUTED_VALUE"""),"SaitaChain Coin")</f>
        <v>SaitaChain Coin</v>
      </c>
    </row>
    <row r="10336">
      <c r="A10336" s="4" t="str">
        <f>IFERROR(__xludf.DUMMYFUNCTION("""COMPUTED_VALUE"""),"saitama-inu")</f>
        <v>saitama-inu</v>
      </c>
      <c r="B10336" s="4" t="str">
        <f>IFERROR(__xludf.DUMMYFUNCTION("""COMPUTED_VALUE"""),"saitama")</f>
        <v>saitama</v>
      </c>
      <c r="C10336" s="4" t="str">
        <f>IFERROR(__xludf.DUMMYFUNCTION("""COMPUTED_VALUE"""),"Saitama")</f>
        <v>Saitama</v>
      </c>
    </row>
    <row r="10337">
      <c r="A10337" s="4" t="str">
        <f>IFERROR(__xludf.DUMMYFUNCTION("""COMPUTED_VALUE"""),"saitama-soltama")</f>
        <v>saitama-soltama</v>
      </c>
      <c r="B10337" s="4" t="str">
        <f>IFERROR(__xludf.DUMMYFUNCTION("""COMPUTED_VALUE"""),"soltama")</f>
        <v>soltama</v>
      </c>
      <c r="C10337" s="4" t="str">
        <f>IFERROR(__xludf.DUMMYFUNCTION("""COMPUTED_VALUE"""),"Saitama (SOLTAMA)")</f>
        <v>Saitama (SOLTAMA)</v>
      </c>
    </row>
    <row r="10338">
      <c r="A10338" s="4" t="str">
        <f>IFERROR(__xludf.DUMMYFUNCTION("""COMPUTED_VALUE"""),"saitarealty")</f>
        <v>saitarealty</v>
      </c>
      <c r="B10338" s="4" t="str">
        <f>IFERROR(__xludf.DUMMYFUNCTION("""COMPUTED_VALUE"""),"srlty")</f>
        <v>srlty</v>
      </c>
      <c r="C10338" s="4" t="str">
        <f>IFERROR(__xludf.DUMMYFUNCTION("""COMPUTED_VALUE"""),"SaitaRealty")</f>
        <v>SaitaRealty</v>
      </c>
    </row>
    <row r="10339">
      <c r="A10339" s="4" t="str">
        <f>IFERROR(__xludf.DUMMYFUNCTION("""COMPUTED_VALUE"""),"saito")</f>
        <v>saito</v>
      </c>
      <c r="B10339" s="4" t="str">
        <f>IFERROR(__xludf.DUMMYFUNCTION("""COMPUTED_VALUE"""),"saito")</f>
        <v>saito</v>
      </c>
      <c r="C10339" s="4" t="str">
        <f>IFERROR(__xludf.DUMMYFUNCTION("""COMPUTED_VALUE"""),"Saito")</f>
        <v>Saito</v>
      </c>
    </row>
    <row r="10340">
      <c r="A10340" s="4" t="str">
        <f>IFERROR(__xludf.DUMMYFUNCTION("""COMPUTED_VALUE"""),"saiyan-pepe")</f>
        <v>saiyan-pepe</v>
      </c>
      <c r="B10340" s="4" t="str">
        <f>IFERROR(__xludf.DUMMYFUNCTION("""COMPUTED_VALUE"""),"spepe")</f>
        <v>spepe</v>
      </c>
      <c r="C10340" s="4" t="str">
        <f>IFERROR(__xludf.DUMMYFUNCTION("""COMPUTED_VALUE"""),"Saiyan PEPE")</f>
        <v>Saiyan PEPE</v>
      </c>
    </row>
    <row r="10341">
      <c r="A10341" s="4" t="str">
        <f>IFERROR(__xludf.DUMMYFUNCTION("""COMPUTED_VALUE"""),"sakai-vault")</f>
        <v>sakai-vault</v>
      </c>
      <c r="B10341" s="4" t="str">
        <f>IFERROR(__xludf.DUMMYFUNCTION("""COMPUTED_VALUE"""),"sakai")</f>
        <v>sakai</v>
      </c>
      <c r="C10341" s="4" t="str">
        <f>IFERROR(__xludf.DUMMYFUNCTION("""COMPUTED_VALUE"""),"Sakai Vault")</f>
        <v>Sakai Vault</v>
      </c>
    </row>
    <row r="10342">
      <c r="A10342" s="4" t="str">
        <f>IFERROR(__xludf.DUMMYFUNCTION("""COMPUTED_VALUE"""),"sake-token")</f>
        <v>sake-token</v>
      </c>
      <c r="B10342" s="4" t="str">
        <f>IFERROR(__xludf.DUMMYFUNCTION("""COMPUTED_VALUE"""),"sake")</f>
        <v>sake</v>
      </c>
      <c r="C10342" s="4" t="str">
        <f>IFERROR(__xludf.DUMMYFUNCTION("""COMPUTED_VALUE"""),"SakeSwap")</f>
        <v>SakeSwap</v>
      </c>
    </row>
    <row r="10343">
      <c r="A10343" s="4" t="str">
        <f>IFERROR(__xludf.DUMMYFUNCTION("""COMPUTED_VALUE"""),"sakura")</f>
        <v>sakura</v>
      </c>
      <c r="B10343" s="4" t="str">
        <f>IFERROR(__xludf.DUMMYFUNCTION("""COMPUTED_VALUE"""),"sku")</f>
        <v>sku</v>
      </c>
      <c r="C10343" s="4" t="str">
        <f>IFERROR(__xludf.DUMMYFUNCTION("""COMPUTED_VALUE"""),"Sakura")</f>
        <v>Sakura</v>
      </c>
    </row>
    <row r="10344">
      <c r="A10344" s="4" t="str">
        <f>IFERROR(__xludf.DUMMYFUNCTION("""COMPUTED_VALUE"""),"sakura-united-platform")</f>
        <v>sakura-united-platform</v>
      </c>
      <c r="B10344" s="4" t="str">
        <f>IFERROR(__xludf.DUMMYFUNCTION("""COMPUTED_VALUE"""),"sup")</f>
        <v>sup</v>
      </c>
      <c r="C10344" s="4" t="str">
        <f>IFERROR(__xludf.DUMMYFUNCTION("""COMPUTED_VALUE"""),"SAKURA UNITED PLATFORM")</f>
        <v>SAKURA UNITED PLATFORM</v>
      </c>
    </row>
    <row r="10345">
      <c r="A10345" s="4" t="str">
        <f>IFERROR(__xludf.DUMMYFUNCTION("""COMPUTED_VALUE"""),"salad")</f>
        <v>salad</v>
      </c>
      <c r="B10345" s="4" t="str">
        <f>IFERROR(__xludf.DUMMYFUNCTION("""COMPUTED_VALUE"""),"sald")</f>
        <v>sald</v>
      </c>
      <c r="C10345" s="4" t="str">
        <f>IFERROR(__xludf.DUMMYFUNCTION("""COMPUTED_VALUE"""),"Salad")</f>
        <v>Salad</v>
      </c>
    </row>
    <row r="10346">
      <c r="A10346" s="4" t="str">
        <f>IFERROR(__xludf.DUMMYFUNCTION("""COMPUTED_VALUE"""),"salamander")</f>
        <v>salamander</v>
      </c>
      <c r="B10346" s="4" t="str">
        <f>IFERROR(__xludf.DUMMYFUNCTION("""COMPUTED_VALUE"""),"sally")</f>
        <v>sally</v>
      </c>
      <c r="C10346" s="4" t="str">
        <f>IFERROR(__xludf.DUMMYFUNCTION("""COMPUTED_VALUE"""),"SALAMANDER")</f>
        <v>SALAMANDER</v>
      </c>
    </row>
    <row r="10347">
      <c r="A10347" s="4" t="str">
        <f>IFERROR(__xludf.DUMMYFUNCTION("""COMPUTED_VALUE"""),"sallar")</f>
        <v>sallar</v>
      </c>
      <c r="B10347" s="4" t="str">
        <f>IFERROR(__xludf.DUMMYFUNCTION("""COMPUTED_VALUE"""),"all")</f>
        <v>all</v>
      </c>
      <c r="C10347" s="4" t="str">
        <f>IFERROR(__xludf.DUMMYFUNCTION("""COMPUTED_VALUE"""),"Sallar")</f>
        <v>Sallar</v>
      </c>
    </row>
    <row r="10348">
      <c r="A10348" s="4" t="str">
        <f>IFERROR(__xludf.DUMMYFUNCTION("""COMPUTED_VALUE"""),"salmon")</f>
        <v>salmon</v>
      </c>
      <c r="B10348" s="4" t="str">
        <f>IFERROR(__xludf.DUMMYFUNCTION("""COMPUTED_VALUE"""),"slm")</f>
        <v>slm</v>
      </c>
      <c r="C10348" s="4" t="str">
        <f>IFERROR(__xludf.DUMMYFUNCTION("""COMPUTED_VALUE"""),"Salmon")</f>
        <v>Salmon</v>
      </c>
    </row>
    <row r="10349">
      <c r="A10349" s="4" t="str">
        <f>IFERROR(__xludf.DUMMYFUNCTION("""COMPUTED_VALUE"""),"salsa-liquid-multiversx")</f>
        <v>salsa-liquid-multiversx</v>
      </c>
      <c r="B10349" s="4" t="str">
        <f>IFERROR(__xludf.DUMMYFUNCTION("""COMPUTED_VALUE"""),"legld")</f>
        <v>legld</v>
      </c>
      <c r="C10349" s="4" t="str">
        <f>IFERROR(__xludf.DUMMYFUNCTION("""COMPUTED_VALUE"""),"SALSA Liquid MultiversX")</f>
        <v>SALSA Liquid MultiversX</v>
      </c>
    </row>
    <row r="10350">
      <c r="A10350" s="4" t="str">
        <f>IFERROR(__xludf.DUMMYFUNCTION("""COMPUTED_VALUE"""),"salt")</f>
        <v>salt</v>
      </c>
      <c r="B10350" s="4" t="str">
        <f>IFERROR(__xludf.DUMMYFUNCTION("""COMPUTED_VALUE"""),"salt")</f>
        <v>salt</v>
      </c>
      <c r="C10350" s="4" t="str">
        <f>IFERROR(__xludf.DUMMYFUNCTION("""COMPUTED_VALUE"""),"SALT")</f>
        <v>SALT</v>
      </c>
    </row>
    <row r="10351">
      <c r="A10351" s="4" t="str">
        <f>IFERROR(__xludf.DUMMYFUNCTION("""COMPUTED_VALUE"""),"salvor")</f>
        <v>salvor</v>
      </c>
      <c r="B10351" s="4" t="str">
        <f>IFERROR(__xludf.DUMMYFUNCTION("""COMPUTED_VALUE"""),"art")</f>
        <v>art</v>
      </c>
      <c r="C10351" s="4" t="str">
        <f>IFERROR(__xludf.DUMMYFUNCTION("""COMPUTED_VALUE"""),"Salvor")</f>
        <v>Salvor</v>
      </c>
    </row>
    <row r="10352">
      <c r="A10352" s="4" t="str">
        <f>IFERROR(__xludf.DUMMYFUNCTION("""COMPUTED_VALUE"""),"sam-bankmeme-fried")</f>
        <v>sam-bankmeme-fried</v>
      </c>
      <c r="B10352" s="4" t="str">
        <f>IFERROR(__xludf.DUMMYFUNCTION("""COMPUTED_VALUE"""),"sbf")</f>
        <v>sbf</v>
      </c>
      <c r="C10352" s="4" t="str">
        <f>IFERROR(__xludf.DUMMYFUNCTION("""COMPUTED_VALUE"""),"Sam Bankmeme Fried")</f>
        <v>Sam Bankmeme Fried</v>
      </c>
    </row>
    <row r="10353">
      <c r="A10353" s="4" t="str">
        <f>IFERROR(__xludf.DUMMYFUNCTION("""COMPUTED_VALUE"""),"samo-wif-hat")</f>
        <v>samo-wif-hat</v>
      </c>
      <c r="B10353" s="4" t="str">
        <f>IFERROR(__xludf.DUMMYFUNCTION("""COMPUTED_VALUE"""),"samowif")</f>
        <v>samowif</v>
      </c>
      <c r="C10353" s="4" t="str">
        <f>IFERROR(__xludf.DUMMYFUNCTION("""COMPUTED_VALUE"""),"samo wif hat")</f>
        <v>samo wif hat</v>
      </c>
    </row>
    <row r="10354">
      <c r="A10354" s="4" t="str">
        <f>IFERROR(__xludf.DUMMYFUNCTION("""COMPUTED_VALUE"""),"samoyedcoin")</f>
        <v>samoyedcoin</v>
      </c>
      <c r="B10354" s="4" t="str">
        <f>IFERROR(__xludf.DUMMYFUNCTION("""COMPUTED_VALUE"""),"samo")</f>
        <v>samo</v>
      </c>
      <c r="C10354" s="4" t="str">
        <f>IFERROR(__xludf.DUMMYFUNCTION("""COMPUTED_VALUE"""),"Samoyedcoin")</f>
        <v>Samoyedcoin</v>
      </c>
    </row>
    <row r="10355">
      <c r="A10355" s="4" t="str">
        <f>IFERROR(__xludf.DUMMYFUNCTION("""COMPUTED_VALUE"""),"samsunspor-fan-token")</f>
        <v>samsunspor-fan-token</v>
      </c>
      <c r="B10355" s="4" t="str">
        <f>IFERROR(__xludf.DUMMYFUNCTION("""COMPUTED_VALUE"""),"sam")</f>
        <v>sam</v>
      </c>
      <c r="C10355" s="4" t="str">
        <f>IFERROR(__xludf.DUMMYFUNCTION("""COMPUTED_VALUE"""),"Samsunspor Fan Token")</f>
        <v>Samsunspor Fan Token</v>
      </c>
    </row>
    <row r="10356">
      <c r="A10356" s="4" t="str">
        <f>IFERROR(__xludf.DUMMYFUNCTION("""COMPUTED_VALUE"""),"samurai-bot")</f>
        <v>samurai-bot</v>
      </c>
      <c r="B10356" s="4" t="str">
        <f>IFERROR(__xludf.DUMMYFUNCTION("""COMPUTED_VALUE"""),"sambo")</f>
        <v>sambo</v>
      </c>
      <c r="C10356" s="4" t="str">
        <f>IFERROR(__xludf.DUMMYFUNCTION("""COMPUTED_VALUE"""),"Samurai Bot")</f>
        <v>Samurai Bot</v>
      </c>
    </row>
    <row r="10357">
      <c r="A10357" s="4" t="str">
        <f>IFERROR(__xludf.DUMMYFUNCTION("""COMPUTED_VALUE"""),"sanctum")</f>
        <v>sanctum</v>
      </c>
      <c r="B10357" s="4" t="str">
        <f>IFERROR(__xludf.DUMMYFUNCTION("""COMPUTED_VALUE"""),"sanctum")</f>
        <v>sanctum</v>
      </c>
      <c r="C10357" s="4" t="str">
        <f>IFERROR(__xludf.DUMMYFUNCTION("""COMPUTED_VALUE"""),"Sanctum")</f>
        <v>Sanctum</v>
      </c>
    </row>
    <row r="10358">
      <c r="A10358" s="4" t="str">
        <f>IFERROR(__xludf.DUMMYFUNCTION("""COMPUTED_VALUE"""),"sanctum-coin")</f>
        <v>sanctum-coin</v>
      </c>
      <c r="B10358" s="4" t="str">
        <f>IFERROR(__xludf.DUMMYFUNCTION("""COMPUTED_VALUE"""),"sancta")</f>
        <v>sancta</v>
      </c>
      <c r="C10358" s="4" t="str">
        <f>IFERROR(__xludf.DUMMYFUNCTION("""COMPUTED_VALUE"""),"Sanctum Coin")</f>
        <v>Sanctum Coin</v>
      </c>
    </row>
    <row r="10359">
      <c r="A10359" s="4" t="str">
        <f>IFERROR(__xludf.DUMMYFUNCTION("""COMPUTED_VALUE"""),"sandclock")</f>
        <v>sandclock</v>
      </c>
      <c r="B10359" s="4" t="str">
        <f>IFERROR(__xludf.DUMMYFUNCTION("""COMPUTED_VALUE"""),"quartz")</f>
        <v>quartz</v>
      </c>
      <c r="C10359" s="4" t="str">
        <f>IFERROR(__xludf.DUMMYFUNCTION("""COMPUTED_VALUE"""),"Sandclock")</f>
        <v>Sandclock</v>
      </c>
    </row>
    <row r="10360">
      <c r="A10360" s="4" t="str">
        <f>IFERROR(__xludf.DUMMYFUNCTION("""COMPUTED_VALUE"""),"san-diego-coin")</f>
        <v>san-diego-coin</v>
      </c>
      <c r="B10360" s="4" t="str">
        <f>IFERROR(__xludf.DUMMYFUNCTION("""COMPUTED_VALUE"""),"sand")</f>
        <v>sand</v>
      </c>
      <c r="C10360" s="4" t="str">
        <f>IFERROR(__xludf.DUMMYFUNCTION("""COMPUTED_VALUE"""),"San Diego Coin")</f>
        <v>San Diego Coin</v>
      </c>
    </row>
    <row r="10361">
      <c r="A10361" s="4" t="str">
        <f>IFERROR(__xludf.DUMMYFUNCTION("""COMPUTED_VALUE"""),"sandwich-cat")</f>
        <v>sandwich-cat</v>
      </c>
      <c r="B10361" s="4" t="str">
        <f>IFERROR(__xludf.DUMMYFUNCTION("""COMPUTED_VALUE"""),"saca")</f>
        <v>saca</v>
      </c>
      <c r="C10361" s="4" t="str">
        <f>IFERROR(__xludf.DUMMYFUNCTION("""COMPUTED_VALUE"""),"Sandwich Cat")</f>
        <v>Sandwich Cat</v>
      </c>
    </row>
    <row r="10362">
      <c r="A10362" s="4" t="str">
        <f>IFERROR(__xludf.DUMMYFUNCTION("""COMPUTED_VALUE"""),"sangkara")</f>
        <v>sangkara</v>
      </c>
      <c r="B10362" s="4" t="str">
        <f>IFERROR(__xludf.DUMMYFUNCTION("""COMPUTED_VALUE"""),"misa")</f>
        <v>misa</v>
      </c>
      <c r="C10362" s="4" t="str">
        <f>IFERROR(__xludf.DUMMYFUNCTION("""COMPUTED_VALUE"""),"Sangkara")</f>
        <v>Sangkara</v>
      </c>
    </row>
    <row r="10363">
      <c r="A10363" s="4" t="str">
        <f>IFERROR(__xludf.DUMMYFUNCTION("""COMPUTED_VALUE"""),"sanin-inu")</f>
        <v>sanin-inu</v>
      </c>
      <c r="B10363" s="4" t="str">
        <f>IFERROR(__xludf.DUMMYFUNCTION("""COMPUTED_VALUE"""),"sani")</f>
        <v>sani</v>
      </c>
      <c r="C10363" s="4" t="str">
        <f>IFERROR(__xludf.DUMMYFUNCTION("""COMPUTED_VALUE"""),"Sanin Inu")</f>
        <v>Sanin Inu</v>
      </c>
    </row>
    <row r="10364">
      <c r="A10364" s="4" t="str">
        <f>IFERROR(__xludf.DUMMYFUNCTION("""COMPUTED_VALUE"""),"sanji-inu")</f>
        <v>sanji-inu</v>
      </c>
      <c r="B10364" s="4" t="str">
        <f>IFERROR(__xludf.DUMMYFUNCTION("""COMPUTED_VALUE"""),"sanji")</f>
        <v>sanji</v>
      </c>
      <c r="C10364" s="4" t="str">
        <f>IFERROR(__xludf.DUMMYFUNCTION("""COMPUTED_VALUE"""),"Sanji Inu")</f>
        <v>Sanji Inu</v>
      </c>
    </row>
    <row r="10365">
      <c r="A10365" s="4" t="str">
        <f>IFERROR(__xludf.DUMMYFUNCTION("""COMPUTED_VALUE"""),"sanshu")</f>
        <v>sanshu</v>
      </c>
      <c r="B10365" s="4" t="str">
        <f>IFERROR(__xludf.DUMMYFUNCTION("""COMPUTED_VALUE"""),"sanshu!")</f>
        <v>sanshu!</v>
      </c>
      <c r="C10365" s="4" t="str">
        <f>IFERROR(__xludf.DUMMYFUNCTION("""COMPUTED_VALUE"""),"SANSHU!")</f>
        <v>SANSHU!</v>
      </c>
    </row>
    <row r="10366">
      <c r="A10366" s="4" t="str">
        <f>IFERROR(__xludf.DUMMYFUNCTION("""COMPUTED_VALUE"""),"sanshu-inu")</f>
        <v>sanshu-inu</v>
      </c>
      <c r="B10366" s="4" t="str">
        <f>IFERROR(__xludf.DUMMYFUNCTION("""COMPUTED_VALUE"""),"sanshu")</f>
        <v>sanshu</v>
      </c>
      <c r="C10366" s="4" t="str">
        <f>IFERROR(__xludf.DUMMYFUNCTION("""COMPUTED_VALUE"""),"Sanshu Inu (OLD)")</f>
        <v>Sanshu Inu (OLD)</v>
      </c>
    </row>
    <row r="10367">
      <c r="A10367" s="4" t="str">
        <f>IFERROR(__xludf.DUMMYFUNCTION("""COMPUTED_VALUE"""),"santa-coin-2")</f>
        <v>santa-coin-2</v>
      </c>
      <c r="B10367" s="4" t="str">
        <f>IFERROR(__xludf.DUMMYFUNCTION("""COMPUTED_VALUE"""),"santa")</f>
        <v>santa</v>
      </c>
      <c r="C10367" s="4" t="str">
        <f>IFERROR(__xludf.DUMMYFUNCTION("""COMPUTED_VALUE"""),"Santa Coin")</f>
        <v>Santa Coin</v>
      </c>
    </row>
    <row r="10368">
      <c r="A10368" s="4" t="str">
        <f>IFERROR(__xludf.DUMMYFUNCTION("""COMPUTED_VALUE"""),"santa-grok")</f>
        <v>santa-grok</v>
      </c>
      <c r="B10368" s="4" t="str">
        <f>IFERROR(__xludf.DUMMYFUNCTION("""COMPUTED_VALUE"""),"santagrok")</f>
        <v>santagrok</v>
      </c>
      <c r="C10368" s="4" t="str">
        <f>IFERROR(__xludf.DUMMYFUNCTION("""COMPUTED_VALUE"""),"Santa Grok")</f>
        <v>Santa Grok</v>
      </c>
    </row>
    <row r="10369">
      <c r="A10369" s="4" t="str">
        <f>IFERROR(__xludf.DUMMYFUNCTION("""COMPUTED_VALUE"""),"santa-inu")</f>
        <v>santa-inu</v>
      </c>
      <c r="B10369" s="4" t="str">
        <f>IFERROR(__xludf.DUMMYFUNCTION("""COMPUTED_VALUE"""),"saninu")</f>
        <v>saninu</v>
      </c>
      <c r="C10369" s="4" t="str">
        <f>IFERROR(__xludf.DUMMYFUNCTION("""COMPUTED_VALUE"""),"Santa Inu")</f>
        <v>Santa Inu</v>
      </c>
    </row>
    <row r="10370">
      <c r="A10370" s="4" t="str">
        <f>IFERROR(__xludf.DUMMYFUNCTION("""COMPUTED_VALUE"""),"santiment-network-token")</f>
        <v>santiment-network-token</v>
      </c>
      <c r="B10370" s="4" t="str">
        <f>IFERROR(__xludf.DUMMYFUNCTION("""COMPUTED_VALUE"""),"san")</f>
        <v>san</v>
      </c>
      <c r="C10370" s="4" t="str">
        <f>IFERROR(__xludf.DUMMYFUNCTION("""COMPUTED_VALUE"""),"Santiment Network")</f>
        <v>Santiment Network</v>
      </c>
    </row>
    <row r="10371">
      <c r="A10371" s="4" t="str">
        <f>IFERROR(__xludf.DUMMYFUNCTION("""COMPUTED_VALUE"""),"santos-fc-fan-token")</f>
        <v>santos-fc-fan-token</v>
      </c>
      <c r="B10371" s="4" t="str">
        <f>IFERROR(__xludf.DUMMYFUNCTION("""COMPUTED_VALUE"""),"santos")</f>
        <v>santos</v>
      </c>
      <c r="C10371" s="4" t="str">
        <f>IFERROR(__xludf.DUMMYFUNCTION("""COMPUTED_VALUE"""),"Santos FC Fan Token")</f>
        <v>Santos FC Fan Token</v>
      </c>
    </row>
    <row r="10372">
      <c r="A10372" s="4" t="str">
        <f>IFERROR(__xludf.DUMMYFUNCTION("""COMPUTED_VALUE"""),"sao-paulo-fc-fan-token")</f>
        <v>sao-paulo-fc-fan-token</v>
      </c>
      <c r="B10372" s="4" t="str">
        <f>IFERROR(__xludf.DUMMYFUNCTION("""COMPUTED_VALUE"""),"spfc")</f>
        <v>spfc</v>
      </c>
      <c r="C10372" s="4" t="str">
        <f>IFERROR(__xludf.DUMMYFUNCTION("""COMPUTED_VALUE"""),"Sao Paulo FC Fan Token")</f>
        <v>Sao Paulo FC Fan Token</v>
      </c>
    </row>
    <row r="10373">
      <c r="A10373" s="4" t="str">
        <f>IFERROR(__xludf.DUMMYFUNCTION("""COMPUTED_VALUE"""),"sapphire")</f>
        <v>sapphire</v>
      </c>
      <c r="B10373" s="4" t="str">
        <f>IFERROR(__xludf.DUMMYFUNCTION("""COMPUTED_VALUE"""),"sapp")</f>
        <v>sapp</v>
      </c>
      <c r="C10373" s="4" t="str">
        <f>IFERROR(__xludf.DUMMYFUNCTION("""COMPUTED_VALUE"""),"Sapphire")</f>
        <v>Sapphire</v>
      </c>
    </row>
    <row r="10374">
      <c r="A10374" s="4" t="str">
        <f>IFERROR(__xludf.DUMMYFUNCTION("""COMPUTED_VALUE"""),"sappy-seals-pixl")</f>
        <v>sappy-seals-pixl</v>
      </c>
      <c r="B10374" s="4" t="str">
        <f>IFERROR(__xludf.DUMMYFUNCTION("""COMPUTED_VALUE"""),"pixl")</f>
        <v>pixl</v>
      </c>
      <c r="C10374" s="4" t="str">
        <f>IFERROR(__xludf.DUMMYFUNCTION("""COMPUTED_VALUE"""),"PIXL")</f>
        <v>PIXL</v>
      </c>
    </row>
    <row r="10375">
      <c r="A10375" s="4" t="str">
        <f>IFERROR(__xludf.DUMMYFUNCTION("""COMPUTED_VALUE"""),"saracens-fan-token")</f>
        <v>saracens-fan-token</v>
      </c>
      <c r="B10375" s="4" t="str">
        <f>IFERROR(__xludf.DUMMYFUNCTION("""COMPUTED_VALUE"""),"sarries")</f>
        <v>sarries</v>
      </c>
      <c r="C10375" s="4" t="str">
        <f>IFERROR(__xludf.DUMMYFUNCTION("""COMPUTED_VALUE"""),"Saracens Fan Token")</f>
        <v>Saracens Fan Token</v>
      </c>
    </row>
    <row r="10376">
      <c r="A10376" s="4" t="str">
        <f>IFERROR(__xludf.DUMMYFUNCTION("""COMPUTED_VALUE"""),"sarcophagus")</f>
        <v>sarcophagus</v>
      </c>
      <c r="B10376" s="4" t="str">
        <f>IFERROR(__xludf.DUMMYFUNCTION("""COMPUTED_VALUE"""),"sarco")</f>
        <v>sarco</v>
      </c>
      <c r="C10376" s="4" t="str">
        <f>IFERROR(__xludf.DUMMYFUNCTION("""COMPUTED_VALUE"""),"Sarcophagus")</f>
        <v>Sarcophagus</v>
      </c>
    </row>
    <row r="10377">
      <c r="A10377" s="4" t="str">
        <f>IFERROR(__xludf.DUMMYFUNCTION("""COMPUTED_VALUE"""),"sardis-network")</f>
        <v>sardis-network</v>
      </c>
      <c r="B10377" s="4" t="str">
        <f>IFERROR(__xludf.DUMMYFUNCTION("""COMPUTED_VALUE"""),"srds")</f>
        <v>srds</v>
      </c>
      <c r="C10377" s="4" t="str">
        <f>IFERROR(__xludf.DUMMYFUNCTION("""COMPUTED_VALUE"""),"Sardis Network")</f>
        <v>Sardis Network</v>
      </c>
    </row>
    <row r="10378">
      <c r="A10378" s="4" t="str">
        <f>IFERROR(__xludf.DUMMYFUNCTION("""COMPUTED_VALUE"""),"saros-finance")</f>
        <v>saros-finance</v>
      </c>
      <c r="B10378" s="4" t="str">
        <f>IFERROR(__xludf.DUMMYFUNCTION("""COMPUTED_VALUE"""),"saros")</f>
        <v>saros</v>
      </c>
      <c r="C10378" s="4" t="str">
        <f>IFERROR(__xludf.DUMMYFUNCTION("""COMPUTED_VALUE"""),"Saros")</f>
        <v>Saros</v>
      </c>
    </row>
    <row r="10379">
      <c r="A10379" s="4" t="str">
        <f>IFERROR(__xludf.DUMMYFUNCTION("""COMPUTED_VALUE"""),"sashimi")</f>
        <v>sashimi</v>
      </c>
      <c r="B10379" s="4" t="str">
        <f>IFERROR(__xludf.DUMMYFUNCTION("""COMPUTED_VALUE"""),"sashimi")</f>
        <v>sashimi</v>
      </c>
      <c r="C10379" s="4" t="str">
        <f>IFERROR(__xludf.DUMMYFUNCTION("""COMPUTED_VALUE"""),"Sashimi")</f>
        <v>Sashimi</v>
      </c>
    </row>
    <row r="10380">
      <c r="A10380" s="4" t="str">
        <f>IFERROR(__xludf.DUMMYFUNCTION("""COMPUTED_VALUE"""),"satellite-doge-1")</f>
        <v>satellite-doge-1</v>
      </c>
      <c r="B10380" s="4" t="str">
        <f>IFERROR(__xludf.DUMMYFUNCTION("""COMPUTED_VALUE"""),"doge-1")</f>
        <v>doge-1</v>
      </c>
      <c r="C10380" s="4" t="str">
        <f>IFERROR(__xludf.DUMMYFUNCTION("""COMPUTED_VALUE"""),"Satellite Doge-1")</f>
        <v>Satellite Doge-1</v>
      </c>
    </row>
    <row r="10381">
      <c r="A10381" s="4" t="str">
        <f>IFERROR(__xludf.DUMMYFUNCTION("""COMPUTED_VALUE"""),"satellite-doge-1-mission")</f>
        <v>satellite-doge-1-mission</v>
      </c>
      <c r="B10381" s="4" t="str">
        <f>IFERROR(__xludf.DUMMYFUNCTION("""COMPUTED_VALUE"""),"doge-1")</f>
        <v>doge-1</v>
      </c>
      <c r="C10381" s="4" t="str">
        <f>IFERROR(__xludf.DUMMYFUNCTION("""COMPUTED_VALUE"""),"Satellite Doge-1 Mission")</f>
        <v>Satellite Doge-1 Mission</v>
      </c>
    </row>
    <row r="10382">
      <c r="A10382" s="4" t="str">
        <f>IFERROR(__xludf.DUMMYFUNCTION("""COMPUTED_VALUE"""),"sathosi-airlines-token")</f>
        <v>sathosi-airlines-token</v>
      </c>
      <c r="B10382" s="4" t="str">
        <f>IFERROR(__xludf.DUMMYFUNCTION("""COMPUTED_VALUE"""),"sat")</f>
        <v>sat</v>
      </c>
      <c r="C10382" s="4" t="str">
        <f>IFERROR(__xludf.DUMMYFUNCTION("""COMPUTED_VALUE"""),"Satoshi Airlines Token")</f>
        <v>Satoshi Airlines Token</v>
      </c>
    </row>
    <row r="10383">
      <c r="A10383" s="4" t="str">
        <f>IFERROR(__xludf.DUMMYFUNCTION("""COMPUTED_VALUE"""),"satin-exchange")</f>
        <v>satin-exchange</v>
      </c>
      <c r="B10383" s="4" t="str">
        <f>IFERROR(__xludf.DUMMYFUNCTION("""COMPUTED_VALUE"""),"satin")</f>
        <v>satin</v>
      </c>
      <c r="C10383" s="4" t="str">
        <f>IFERROR(__xludf.DUMMYFUNCTION("""COMPUTED_VALUE"""),"Satin Exchange")</f>
        <v>Satin Exchange</v>
      </c>
    </row>
    <row r="10384">
      <c r="A10384" s="4" t="str">
        <f>IFERROR(__xludf.DUMMYFUNCTION("""COMPUTED_VALUE"""),"satnode")</f>
        <v>satnode</v>
      </c>
      <c r="B10384" s="4" t="str">
        <f>IFERROR(__xludf.DUMMYFUNCTION("""COMPUTED_VALUE"""),"snd")</f>
        <v>snd</v>
      </c>
      <c r="C10384" s="4" t="str">
        <f>IFERROR(__xludf.DUMMYFUNCTION("""COMPUTED_VALUE"""),"SatNode")</f>
        <v>SatNode</v>
      </c>
    </row>
    <row r="10385">
      <c r="A10385" s="4" t="str">
        <f>IFERROR(__xludf.DUMMYFUNCTION("""COMPUTED_VALUE"""),"sato")</f>
        <v>sato</v>
      </c>
      <c r="B10385" s="4" t="str">
        <f>IFERROR(__xludf.DUMMYFUNCTION("""COMPUTED_VALUE"""),"sato")</f>
        <v>sato</v>
      </c>
      <c r="C10385" s="4" t="str">
        <f>IFERROR(__xludf.DUMMYFUNCTION("""COMPUTED_VALUE"""),"SATO")</f>
        <v>SATO</v>
      </c>
    </row>
    <row r="10386">
      <c r="A10386" s="4" t="str">
        <f>IFERROR(__xludf.DUMMYFUNCTION("""COMPUTED_VALUE"""),"sator")</f>
        <v>sator</v>
      </c>
      <c r="B10386" s="4" t="str">
        <f>IFERROR(__xludf.DUMMYFUNCTION("""COMPUTED_VALUE"""),"sao")</f>
        <v>sao</v>
      </c>
      <c r="C10386" s="4" t="str">
        <f>IFERROR(__xludf.DUMMYFUNCTION("""COMPUTED_VALUE"""),"Sator")</f>
        <v>Sator</v>
      </c>
    </row>
    <row r="10387">
      <c r="A10387" s="4" t="str">
        <f>IFERROR(__xludf.DUMMYFUNCTION("""COMPUTED_VALUE"""),"satoshe-network")</f>
        <v>satoshe-network</v>
      </c>
      <c r="B10387" s="4" t="str">
        <f>IFERROR(__xludf.DUMMYFUNCTION("""COMPUTED_VALUE"""),"soshe")</f>
        <v>soshe</v>
      </c>
      <c r="C10387" s="4" t="str">
        <f>IFERROR(__xludf.DUMMYFUNCTION("""COMPUTED_VALUE"""),"Satoshe Network")</f>
        <v>Satoshe Network</v>
      </c>
    </row>
    <row r="10388">
      <c r="A10388" s="4" t="str">
        <f>IFERROR(__xludf.DUMMYFUNCTION("""COMPUTED_VALUE"""),"satoshi-finance")</f>
        <v>satoshi-finance</v>
      </c>
      <c r="B10388" s="4" t="str">
        <f>IFERROR(__xludf.DUMMYFUNCTION("""COMPUTED_VALUE"""),"sato")</f>
        <v>sato</v>
      </c>
      <c r="C10388" s="4" t="str">
        <f>IFERROR(__xludf.DUMMYFUNCTION("""COMPUTED_VALUE"""),"Satoshi Finance")</f>
        <v>Satoshi Finance</v>
      </c>
    </row>
    <row r="10389">
      <c r="A10389" s="4" t="str">
        <f>IFERROR(__xludf.DUMMYFUNCTION("""COMPUTED_VALUE"""),"satoshi-finance-btusd")</f>
        <v>satoshi-finance-btusd</v>
      </c>
      <c r="B10389" s="4" t="str">
        <f>IFERROR(__xludf.DUMMYFUNCTION("""COMPUTED_VALUE"""),"btusd")</f>
        <v>btusd</v>
      </c>
      <c r="C10389" s="4" t="str">
        <f>IFERROR(__xludf.DUMMYFUNCTION("""COMPUTED_VALUE"""),"Satoshi Finance btUSD")</f>
        <v>Satoshi Finance btUSD</v>
      </c>
    </row>
    <row r="10390">
      <c r="A10390" s="4" t="str">
        <f>IFERROR(__xludf.DUMMYFUNCTION("""COMPUTED_VALUE"""),"satoshi-island")</f>
        <v>satoshi-island</v>
      </c>
      <c r="B10390" s="4" t="str">
        <f>IFERROR(__xludf.DUMMYFUNCTION("""COMPUTED_VALUE"""),"stc")</f>
        <v>stc</v>
      </c>
      <c r="C10390" s="4" t="str">
        <f>IFERROR(__xludf.DUMMYFUNCTION("""COMPUTED_VALUE"""),"Satoshi Island")</f>
        <v>Satoshi Island</v>
      </c>
    </row>
    <row r="10391">
      <c r="A10391" s="4" t="str">
        <f>IFERROR(__xludf.DUMMYFUNCTION("""COMPUTED_VALUE"""),"satoshi-panda")</f>
        <v>satoshi-panda</v>
      </c>
      <c r="B10391" s="4" t="str">
        <f>IFERROR(__xludf.DUMMYFUNCTION("""COMPUTED_VALUE"""),"sap")</f>
        <v>sap</v>
      </c>
      <c r="C10391" s="4" t="str">
        <f>IFERROR(__xludf.DUMMYFUNCTION("""COMPUTED_VALUE"""),"Satoshi Panda")</f>
        <v>Satoshi Panda</v>
      </c>
    </row>
    <row r="10392">
      <c r="A10392" s="4" t="str">
        <f>IFERROR(__xludf.DUMMYFUNCTION("""COMPUTED_VALUE"""),"satoshis-vision")</f>
        <v>satoshis-vision</v>
      </c>
      <c r="B10392" s="4" t="str">
        <f>IFERROR(__xludf.DUMMYFUNCTION("""COMPUTED_VALUE"""),"sats")</f>
        <v>sats</v>
      </c>
      <c r="C10392" s="4" t="str">
        <f>IFERROR(__xludf.DUMMYFUNCTION("""COMPUTED_VALUE"""),"Satoshis Vision")</f>
        <v>Satoshis Vision</v>
      </c>
    </row>
    <row r="10393">
      <c r="A10393" s="4" t="str">
        <f>IFERROR(__xludf.DUMMYFUNCTION("""COMPUTED_VALUE"""),"satoshiswap-2")</f>
        <v>satoshiswap-2</v>
      </c>
      <c r="B10393" s="4" t="str">
        <f>IFERROR(__xludf.DUMMYFUNCTION("""COMPUTED_VALUE"""),"swap")</f>
        <v>swap</v>
      </c>
      <c r="C10393" s="4" t="str">
        <f>IFERROR(__xludf.DUMMYFUNCTION("""COMPUTED_VALUE"""),"SatoshiSwap")</f>
        <v>SatoshiSwap</v>
      </c>
    </row>
    <row r="10394">
      <c r="A10394" s="4" t="str">
        <f>IFERROR(__xludf.DUMMYFUNCTION("""COMPUTED_VALUE"""),"satoshisync")</f>
        <v>satoshisync</v>
      </c>
      <c r="B10394" s="4" t="str">
        <f>IFERROR(__xludf.DUMMYFUNCTION("""COMPUTED_VALUE"""),"ssnc")</f>
        <v>ssnc</v>
      </c>
      <c r="C10394" s="4" t="str">
        <f>IFERROR(__xludf.DUMMYFUNCTION("""COMPUTED_VALUE"""),"SatoshiSync")</f>
        <v>SatoshiSync</v>
      </c>
    </row>
    <row r="10395">
      <c r="A10395" s="4" t="str">
        <f>IFERROR(__xludf.DUMMYFUNCTION("""COMPUTED_VALUE"""),"satoshivm")</f>
        <v>satoshivm</v>
      </c>
      <c r="B10395" s="4" t="str">
        <f>IFERROR(__xludf.DUMMYFUNCTION("""COMPUTED_VALUE"""),"savm")</f>
        <v>savm</v>
      </c>
      <c r="C10395" s="4" t="str">
        <f>IFERROR(__xludf.DUMMYFUNCTION("""COMPUTED_VALUE"""),"SatoshiVM")</f>
        <v>SatoshiVM</v>
      </c>
    </row>
    <row r="10396">
      <c r="A10396" s="4" t="str">
        <f>IFERROR(__xludf.DUMMYFUNCTION("""COMPUTED_VALUE"""),"satoxcoin")</f>
        <v>satoxcoin</v>
      </c>
      <c r="B10396" s="4" t="str">
        <f>IFERROR(__xludf.DUMMYFUNCTION("""COMPUTED_VALUE"""),"satox")</f>
        <v>satox</v>
      </c>
      <c r="C10396" s="4" t="str">
        <f>IFERROR(__xludf.DUMMYFUNCTION("""COMPUTED_VALUE"""),"Satoxcoin")</f>
        <v>Satoxcoin</v>
      </c>
    </row>
    <row r="10397">
      <c r="A10397" s="4" t="str">
        <f>IFERROR(__xludf.DUMMYFUNCTION("""COMPUTED_VALUE"""),"satozhi")</f>
        <v>satozhi</v>
      </c>
      <c r="B10397" s="4" t="str">
        <f>IFERROR(__xludf.DUMMYFUNCTION("""COMPUTED_VALUE"""),"satoz")</f>
        <v>satoz</v>
      </c>
      <c r="C10397" s="4" t="str">
        <f>IFERROR(__xludf.DUMMYFUNCTION("""COMPUTED_VALUE"""),"Satozhi")</f>
        <v>Satozhi</v>
      </c>
    </row>
    <row r="10398">
      <c r="A10398" s="4" t="str">
        <f>IFERROR(__xludf.DUMMYFUNCTION("""COMPUTED_VALUE"""),"satsbridge")</f>
        <v>satsbridge</v>
      </c>
      <c r="B10398" s="4" t="str">
        <f>IFERROR(__xludf.DUMMYFUNCTION("""COMPUTED_VALUE"""),"sabr")</f>
        <v>sabr</v>
      </c>
      <c r="C10398" s="4" t="str">
        <f>IFERROR(__xludf.DUMMYFUNCTION("""COMPUTED_VALUE"""),"SatsBridge")</f>
        <v>SatsBridge</v>
      </c>
    </row>
    <row r="10399">
      <c r="A10399" s="4" t="str">
        <f>IFERROR(__xludf.DUMMYFUNCTION("""COMPUTED_VALUE"""),"satscan-ordinals")</f>
        <v>satscan-ordinals</v>
      </c>
      <c r="B10399" s="4" t="str">
        <f>IFERROR(__xludf.DUMMYFUNCTION("""COMPUTED_VALUE"""),"scan")</f>
        <v>scan</v>
      </c>
      <c r="C10399" s="4" t="str">
        <f>IFERROR(__xludf.DUMMYFUNCTION("""COMPUTED_VALUE"""),"SATSCAN (Ordinals)")</f>
        <v>SATSCAN (Ordinals)</v>
      </c>
    </row>
    <row r="10400">
      <c r="A10400" s="4" t="str">
        <f>IFERROR(__xludf.DUMMYFUNCTION("""COMPUTED_VALUE"""),"sats-hunters")</f>
        <v>sats-hunters</v>
      </c>
      <c r="B10400" s="4" t="str">
        <f>IFERROR(__xludf.DUMMYFUNCTION("""COMPUTED_VALUE"""),"shnt")</f>
        <v>shnt</v>
      </c>
      <c r="C10400" s="4" t="str">
        <f>IFERROR(__xludf.DUMMYFUNCTION("""COMPUTED_VALUE"""),"Sats Hunters")</f>
        <v>Sats Hunters</v>
      </c>
    </row>
    <row r="10401">
      <c r="A10401" s="4" t="str">
        <f>IFERROR(__xludf.DUMMYFUNCTION("""COMPUTED_VALUE"""),"sats-ordinals")</f>
        <v>sats-ordinals</v>
      </c>
      <c r="B10401" s="4" t="str">
        <f>IFERROR(__xludf.DUMMYFUNCTION("""COMPUTED_VALUE"""),"sats")</f>
        <v>sats</v>
      </c>
      <c r="C10401" s="4" t="str">
        <f>IFERROR(__xludf.DUMMYFUNCTION("""COMPUTED_VALUE"""),"SATS (Ordinals)")</f>
        <v>SATS (Ordinals)</v>
      </c>
    </row>
    <row r="10402">
      <c r="A10402" s="4" t="str">
        <f>IFERROR(__xludf.DUMMYFUNCTION("""COMPUTED_VALUE"""),"satt")</f>
        <v>satt</v>
      </c>
      <c r="B10402" s="4" t="str">
        <f>IFERROR(__xludf.DUMMYFUNCTION("""COMPUTED_VALUE"""),"satt")</f>
        <v>satt</v>
      </c>
      <c r="C10402" s="4" t="str">
        <f>IFERROR(__xludf.DUMMYFUNCTION("""COMPUTED_VALUE"""),"SaTT")</f>
        <v>SaTT</v>
      </c>
    </row>
    <row r="10403">
      <c r="A10403" s="4" t="str">
        <f>IFERROR(__xludf.DUMMYFUNCTION("""COMPUTED_VALUE"""),"saturna")</f>
        <v>saturna</v>
      </c>
      <c r="B10403" s="4" t="str">
        <f>IFERROR(__xludf.DUMMYFUNCTION("""COMPUTED_VALUE"""),"sat")</f>
        <v>sat</v>
      </c>
      <c r="C10403" s="4" t="str">
        <f>IFERROR(__xludf.DUMMYFUNCTION("""COMPUTED_VALUE"""),"Saturna")</f>
        <v>Saturna</v>
      </c>
    </row>
    <row r="10404">
      <c r="A10404" s="4" t="str">
        <f>IFERROR(__xludf.DUMMYFUNCTION("""COMPUTED_VALUE"""),"sauce")</f>
        <v>sauce</v>
      </c>
      <c r="B10404" s="4" t="str">
        <f>IFERROR(__xludf.DUMMYFUNCTION("""COMPUTED_VALUE"""),"sauce")</f>
        <v>sauce</v>
      </c>
      <c r="C10404" s="4" t="str">
        <f>IFERROR(__xludf.DUMMYFUNCTION("""COMPUTED_VALUE"""),"SAUCE")</f>
        <v>SAUCE</v>
      </c>
    </row>
    <row r="10405">
      <c r="A10405" s="4" t="str">
        <f>IFERROR(__xludf.DUMMYFUNCTION("""COMPUTED_VALUE"""),"sauce-inu")</f>
        <v>sauce-inu</v>
      </c>
      <c r="B10405" s="4" t="str">
        <f>IFERROR(__xludf.DUMMYFUNCTION("""COMPUTED_VALUE"""),"sauceinu")</f>
        <v>sauceinu</v>
      </c>
      <c r="C10405" s="4" t="str">
        <f>IFERROR(__xludf.DUMMYFUNCTION("""COMPUTED_VALUE"""),"Sauce Inu")</f>
        <v>Sauce Inu</v>
      </c>
    </row>
    <row r="10406">
      <c r="A10406" s="4" t="str">
        <f>IFERROR(__xludf.DUMMYFUNCTION("""COMPUTED_VALUE"""),"saucerswap")</f>
        <v>saucerswap</v>
      </c>
      <c r="B10406" s="4" t="str">
        <f>IFERROR(__xludf.DUMMYFUNCTION("""COMPUTED_VALUE"""),"sauce")</f>
        <v>sauce</v>
      </c>
      <c r="C10406" s="4" t="str">
        <f>IFERROR(__xludf.DUMMYFUNCTION("""COMPUTED_VALUE"""),"SaucerSwap")</f>
        <v>SaucerSwap</v>
      </c>
    </row>
    <row r="10407">
      <c r="A10407" s="4" t="str">
        <f>IFERROR(__xludf.DUMMYFUNCTION("""COMPUTED_VALUE"""),"saudi-bonk")</f>
        <v>saudi-bonk</v>
      </c>
      <c r="B10407" s="4" t="str">
        <f>IFERROR(__xludf.DUMMYFUNCTION("""COMPUTED_VALUE"""),"saudibonk")</f>
        <v>saudibonk</v>
      </c>
      <c r="C10407" s="4" t="str">
        <f>IFERROR(__xludf.DUMMYFUNCTION("""COMPUTED_VALUE"""),"Saudi Bonk")</f>
        <v>Saudi Bonk</v>
      </c>
    </row>
    <row r="10408">
      <c r="A10408" s="4" t="str">
        <f>IFERROR(__xludf.DUMMYFUNCTION("""COMPUTED_VALUE"""),"saudi-pepe")</f>
        <v>saudi-pepe</v>
      </c>
      <c r="B10408" s="4" t="str">
        <f>IFERROR(__xludf.DUMMYFUNCTION("""COMPUTED_VALUE"""),"saudipepe")</f>
        <v>saudipepe</v>
      </c>
      <c r="C10408" s="4" t="str">
        <f>IFERROR(__xludf.DUMMYFUNCTION("""COMPUTED_VALUE"""),"SAUDI PEPE")</f>
        <v>SAUDI PEPE</v>
      </c>
    </row>
    <row r="10409">
      <c r="A10409" s="4" t="str">
        <f>IFERROR(__xludf.DUMMYFUNCTION("""COMPUTED_VALUE"""),"sausagers-meat")</f>
        <v>sausagers-meat</v>
      </c>
      <c r="B10409" s="4" t="str">
        <f>IFERROR(__xludf.DUMMYFUNCTION("""COMPUTED_VALUE"""),"meat")</f>
        <v>meat</v>
      </c>
      <c r="C10409" s="4" t="str">
        <f>IFERROR(__xludf.DUMMYFUNCTION("""COMPUTED_VALUE"""),"Meat")</f>
        <v>Meat</v>
      </c>
    </row>
    <row r="10410">
      <c r="A10410" s="4" t="str">
        <f>IFERROR(__xludf.DUMMYFUNCTION("""COMPUTED_VALUE"""),"savage")</f>
        <v>savage</v>
      </c>
      <c r="B10410" s="4" t="str">
        <f>IFERROR(__xludf.DUMMYFUNCTION("""COMPUTED_VALUE"""),"savg")</f>
        <v>savg</v>
      </c>
      <c r="C10410" s="4" t="str">
        <f>IFERROR(__xludf.DUMMYFUNCTION("""COMPUTED_VALUE"""),"SAVAGE")</f>
        <v>SAVAGE</v>
      </c>
    </row>
    <row r="10411">
      <c r="A10411" s="4" t="str">
        <f>IFERROR(__xludf.DUMMYFUNCTION("""COMPUTED_VALUE"""),"savanna")</f>
        <v>savanna</v>
      </c>
      <c r="B10411" s="4" t="str">
        <f>IFERROR(__xludf.DUMMYFUNCTION("""COMPUTED_VALUE"""),"svn")</f>
        <v>svn</v>
      </c>
      <c r="C10411" s="4" t="str">
        <f>IFERROR(__xludf.DUMMYFUNCTION("""COMPUTED_VALUE"""),"Savanna")</f>
        <v>Savanna</v>
      </c>
    </row>
    <row r="10412">
      <c r="A10412" s="4" t="str">
        <f>IFERROR(__xludf.DUMMYFUNCTION("""COMPUTED_VALUE"""),"savant-ai")</f>
        <v>savant-ai</v>
      </c>
      <c r="B10412" s="4" t="str">
        <f>IFERROR(__xludf.DUMMYFUNCTION("""COMPUTED_VALUE"""),"savantai")</f>
        <v>savantai</v>
      </c>
      <c r="C10412" s="4" t="str">
        <f>IFERROR(__xludf.DUMMYFUNCTION("""COMPUTED_VALUE"""),"Savant AI")</f>
        <v>Savant AI</v>
      </c>
    </row>
    <row r="10413">
      <c r="A10413" s="4" t="str">
        <f>IFERROR(__xludf.DUMMYFUNCTION("""COMPUTED_VALUE"""),"save-baby-doge")</f>
        <v>save-baby-doge</v>
      </c>
      <c r="B10413" s="4" t="str">
        <f>IFERROR(__xludf.DUMMYFUNCTION("""COMPUTED_VALUE"""),"babydoge")</f>
        <v>babydoge</v>
      </c>
      <c r="C10413" s="4" t="str">
        <f>IFERROR(__xludf.DUMMYFUNCTION("""COMPUTED_VALUE"""),"Save Baby Doge")</f>
        <v>Save Baby Doge</v>
      </c>
    </row>
    <row r="10414">
      <c r="A10414" s="4" t="str">
        <f>IFERROR(__xludf.DUMMYFUNCTION("""COMPUTED_VALUE"""),"savedroid")</f>
        <v>savedroid</v>
      </c>
      <c r="B10414" s="4" t="str">
        <f>IFERROR(__xludf.DUMMYFUNCTION("""COMPUTED_VALUE"""),"svd")</f>
        <v>svd</v>
      </c>
      <c r="C10414" s="4" t="str">
        <f>IFERROR(__xludf.DUMMYFUNCTION("""COMPUTED_VALUE"""),"Savedroid")</f>
        <v>Savedroid</v>
      </c>
    </row>
    <row r="10415">
      <c r="A10415" s="4" t="str">
        <f>IFERROR(__xludf.DUMMYFUNCTION("""COMPUTED_VALUE"""),"save-elon-coin")</f>
        <v>save-elon-coin</v>
      </c>
      <c r="B10415" s="4" t="str">
        <f>IFERROR(__xludf.DUMMYFUNCTION("""COMPUTED_VALUE"""),"sec")</f>
        <v>sec</v>
      </c>
      <c r="C10415" s="4" t="str">
        <f>IFERROR(__xludf.DUMMYFUNCTION("""COMPUTED_VALUE"""),"Save Elon Coin")</f>
        <v>Save Elon Coin</v>
      </c>
    </row>
    <row r="10416">
      <c r="A10416" s="4" t="str">
        <f>IFERROR(__xludf.DUMMYFUNCTION("""COMPUTED_VALUE"""),"savings-dai")</f>
        <v>savings-dai</v>
      </c>
      <c r="B10416" s="4" t="str">
        <f>IFERROR(__xludf.DUMMYFUNCTION("""COMPUTED_VALUE"""),"sdai")</f>
        <v>sdai</v>
      </c>
      <c r="C10416" s="4" t="str">
        <f>IFERROR(__xludf.DUMMYFUNCTION("""COMPUTED_VALUE"""),"Savings Dai")</f>
        <v>Savings Dai</v>
      </c>
    </row>
    <row r="10417">
      <c r="A10417" s="4" t="str">
        <f>IFERROR(__xludf.DUMMYFUNCTION("""COMPUTED_VALUE"""),"savings-xdai")</f>
        <v>savings-xdai</v>
      </c>
      <c r="B10417" s="4" t="str">
        <f>IFERROR(__xludf.DUMMYFUNCTION("""COMPUTED_VALUE"""),"sdai")</f>
        <v>sdai</v>
      </c>
      <c r="C10417" s="4" t="str">
        <f>IFERROR(__xludf.DUMMYFUNCTION("""COMPUTED_VALUE"""),"Savings xDAI")</f>
        <v>Savings xDAI</v>
      </c>
    </row>
    <row r="10418">
      <c r="A10418" s="4" t="str">
        <f>IFERROR(__xludf.DUMMYFUNCTION("""COMPUTED_VALUE"""),"savvy-defi")</f>
        <v>savvy-defi</v>
      </c>
      <c r="B10418" s="4" t="str">
        <f>IFERROR(__xludf.DUMMYFUNCTION("""COMPUTED_VALUE"""),"svy")</f>
        <v>svy</v>
      </c>
      <c r="C10418" s="4" t="str">
        <f>IFERROR(__xludf.DUMMYFUNCTION("""COMPUTED_VALUE"""),"Savvy")</f>
        <v>Savvy</v>
      </c>
    </row>
    <row r="10419">
      <c r="A10419" s="4" t="str">
        <f>IFERROR(__xludf.DUMMYFUNCTION("""COMPUTED_VALUE"""),"savvy-eth")</f>
        <v>savvy-eth</v>
      </c>
      <c r="B10419" s="4" t="str">
        <f>IFERROR(__xludf.DUMMYFUNCTION("""COMPUTED_VALUE"""),"sveth")</f>
        <v>sveth</v>
      </c>
      <c r="C10419" s="4" t="str">
        <f>IFERROR(__xludf.DUMMYFUNCTION("""COMPUTED_VALUE"""),"Savvy ETH")</f>
        <v>Savvy ETH</v>
      </c>
    </row>
    <row r="10420">
      <c r="A10420" s="4" t="str">
        <f>IFERROR(__xludf.DUMMYFUNCTION("""COMPUTED_VALUE"""),"saxumdao")</f>
        <v>saxumdao</v>
      </c>
      <c r="B10420" s="4" t="str">
        <f>IFERROR(__xludf.DUMMYFUNCTION("""COMPUTED_VALUE"""),"sxm")</f>
        <v>sxm</v>
      </c>
      <c r="C10420" s="4" t="str">
        <f>IFERROR(__xludf.DUMMYFUNCTION("""COMPUTED_VALUE"""),"SaxumDAO")</f>
        <v>SaxumDAO</v>
      </c>
    </row>
    <row r="10421">
      <c r="A10421" s="4" t="str">
        <f>IFERROR(__xludf.DUMMYFUNCTION("""COMPUTED_VALUE"""),"sayve-protocol")</f>
        <v>sayve-protocol</v>
      </c>
      <c r="B10421" s="4" t="str">
        <f>IFERROR(__xludf.DUMMYFUNCTION("""COMPUTED_VALUE"""),"sayve")</f>
        <v>sayve</v>
      </c>
      <c r="C10421" s="4" t="str">
        <f>IFERROR(__xludf.DUMMYFUNCTION("""COMPUTED_VALUE"""),"SAYVE Protocol")</f>
        <v>SAYVE Protocol</v>
      </c>
    </row>
    <row r="10422">
      <c r="A10422" s="4" t="str">
        <f>IFERROR(__xludf.DUMMYFUNCTION("""COMPUTED_VALUE"""),"sbtc")</f>
        <v>sbtc</v>
      </c>
      <c r="B10422" s="4" t="str">
        <f>IFERROR(__xludf.DUMMYFUNCTION("""COMPUTED_VALUE"""),"sbtc")</f>
        <v>sbtc</v>
      </c>
      <c r="C10422" s="4" t="str">
        <f>IFERROR(__xludf.DUMMYFUNCTION("""COMPUTED_VALUE"""),"sBTC")</f>
        <v>sBTC</v>
      </c>
    </row>
    <row r="10423">
      <c r="A10423" s="4" t="str">
        <f>IFERROR(__xludf.DUMMYFUNCTION("""COMPUTED_VALUE"""),"sbu-honey")</f>
        <v>sbu-honey</v>
      </c>
      <c r="B10423" s="4" t="str">
        <f>IFERROR(__xludf.DUMMYFUNCTION("""COMPUTED_VALUE"""),"bhny")</f>
        <v>bhny</v>
      </c>
      <c r="C10423" s="4" t="str">
        <f>IFERROR(__xludf.DUMMYFUNCTION("""COMPUTED_VALUE"""),"SBU Honey")</f>
        <v>SBU Honey</v>
      </c>
    </row>
    <row r="10424">
      <c r="A10424" s="4" t="str">
        <f>IFERROR(__xludf.DUMMYFUNCTION("""COMPUTED_VALUE"""),"scaleswap-token")</f>
        <v>scaleswap-token</v>
      </c>
      <c r="B10424" s="4" t="str">
        <f>IFERROR(__xludf.DUMMYFUNCTION("""COMPUTED_VALUE"""),"sca")</f>
        <v>sca</v>
      </c>
      <c r="C10424" s="4" t="str">
        <f>IFERROR(__xludf.DUMMYFUNCTION("""COMPUTED_VALUE"""),"Scaleswap")</f>
        <v>Scaleswap</v>
      </c>
    </row>
    <row r="10425">
      <c r="A10425" s="4" t="str">
        <f>IFERROR(__xludf.DUMMYFUNCTION("""COMPUTED_VALUE"""),"scaleton")</f>
        <v>scaleton</v>
      </c>
      <c r="B10425" s="4" t="str">
        <f>IFERROR(__xludf.DUMMYFUNCTION("""COMPUTED_VALUE"""),"scale")</f>
        <v>scale</v>
      </c>
      <c r="C10425" s="4" t="str">
        <f>IFERROR(__xludf.DUMMYFUNCTION("""COMPUTED_VALUE"""),"Scaleton")</f>
        <v>Scaleton</v>
      </c>
    </row>
    <row r="10426">
      <c r="A10426" s="4" t="str">
        <f>IFERROR(__xludf.DUMMYFUNCTION("""COMPUTED_VALUE"""),"scalia-infrastructure")</f>
        <v>scalia-infrastructure</v>
      </c>
      <c r="B10426" s="4" t="str">
        <f>IFERROR(__xludf.DUMMYFUNCTION("""COMPUTED_VALUE"""),"scale")</f>
        <v>scale</v>
      </c>
      <c r="C10426" s="4" t="str">
        <f>IFERROR(__xludf.DUMMYFUNCTION("""COMPUTED_VALUE"""),"Scalia Infrastructure")</f>
        <v>Scalia Infrastructure</v>
      </c>
    </row>
    <row r="10427">
      <c r="A10427" s="4" t="str">
        <f>IFERROR(__xludf.DUMMYFUNCTION("""COMPUTED_VALUE"""),"scallop")</f>
        <v>scallop</v>
      </c>
      <c r="B10427" s="4" t="str">
        <f>IFERROR(__xludf.DUMMYFUNCTION("""COMPUTED_VALUE"""),"sclp")</f>
        <v>sclp</v>
      </c>
      <c r="C10427" s="4" t="str">
        <f>IFERROR(__xludf.DUMMYFUNCTION("""COMPUTED_VALUE"""),"Scallop")</f>
        <v>Scallop</v>
      </c>
    </row>
    <row r="10428">
      <c r="A10428" s="4" t="str">
        <f>IFERROR(__xludf.DUMMYFUNCTION("""COMPUTED_VALUE"""),"scallop-2")</f>
        <v>scallop-2</v>
      </c>
      <c r="B10428" s="4" t="str">
        <f>IFERROR(__xludf.DUMMYFUNCTION("""COMPUTED_VALUE"""),"sca")</f>
        <v>sca</v>
      </c>
      <c r="C10428" s="4" t="str">
        <f>IFERROR(__xludf.DUMMYFUNCTION("""COMPUTED_VALUE"""),"Scallop")</f>
        <v>Scallop</v>
      </c>
    </row>
    <row r="10429">
      <c r="A10429" s="4" t="str">
        <f>IFERROR(__xludf.DUMMYFUNCTION("""COMPUTED_VALUE"""),"scamfari")</f>
        <v>scamfari</v>
      </c>
      <c r="B10429" s="4" t="str">
        <f>IFERROR(__xludf.DUMMYFUNCTION("""COMPUTED_VALUE"""),"scm")</f>
        <v>scm</v>
      </c>
      <c r="C10429" s="4" t="str">
        <f>IFERROR(__xludf.DUMMYFUNCTION("""COMPUTED_VALUE"""),"ScamFari")</f>
        <v>ScamFari</v>
      </c>
    </row>
    <row r="10430">
      <c r="A10430" s="4" t="str">
        <f>IFERROR(__xludf.DUMMYFUNCTION("""COMPUTED_VALUE"""),"scanai")</f>
        <v>scanai</v>
      </c>
      <c r="B10430" s="4" t="str">
        <f>IFERROR(__xludf.DUMMYFUNCTION("""COMPUTED_VALUE"""),"scan")</f>
        <v>scan</v>
      </c>
      <c r="C10430" s="4" t="str">
        <f>IFERROR(__xludf.DUMMYFUNCTION("""COMPUTED_VALUE"""),"ScanAI")</f>
        <v>ScanAI</v>
      </c>
    </row>
    <row r="10431">
      <c r="A10431" s="4" t="str">
        <f>IFERROR(__xludf.DUMMYFUNCTION("""COMPUTED_VALUE"""),"scapesmania")</f>
        <v>scapesmania</v>
      </c>
      <c r="B10431" s="4" t="str">
        <f>IFERROR(__xludf.DUMMYFUNCTION("""COMPUTED_VALUE"""),"$mania")</f>
        <v>$mania</v>
      </c>
      <c r="C10431" s="4" t="str">
        <f>IFERROR(__xludf.DUMMYFUNCTION("""COMPUTED_VALUE"""),"ScapesMania")</f>
        <v>ScapesMania</v>
      </c>
    </row>
    <row r="10432">
      <c r="A10432" s="4" t="str">
        <f>IFERROR(__xludf.DUMMYFUNCTION("""COMPUTED_VALUE"""),"scarab-finance")</f>
        <v>scarab-finance</v>
      </c>
      <c r="B10432" s="4" t="str">
        <f>IFERROR(__xludf.DUMMYFUNCTION("""COMPUTED_VALUE"""),"scarab")</f>
        <v>scarab</v>
      </c>
      <c r="C10432" s="4" t="str">
        <f>IFERROR(__xludf.DUMMYFUNCTION("""COMPUTED_VALUE"""),"Scarab Finance")</f>
        <v>Scarab Finance</v>
      </c>
    </row>
    <row r="10433">
      <c r="A10433" s="4" t="str">
        <f>IFERROR(__xludf.DUMMYFUNCTION("""COMPUTED_VALUE"""),"scarab-tools")</f>
        <v>scarab-tools</v>
      </c>
      <c r="B10433" s="4" t="str">
        <f>IFERROR(__xludf.DUMMYFUNCTION("""COMPUTED_VALUE"""),"dung")</f>
        <v>dung</v>
      </c>
      <c r="C10433" s="4" t="str">
        <f>IFERROR(__xludf.DUMMYFUNCTION("""COMPUTED_VALUE"""),"Scarab Tools")</f>
        <v>Scarab Tools</v>
      </c>
    </row>
    <row r="10434">
      <c r="A10434" s="4" t="str">
        <f>IFERROR(__xludf.DUMMYFUNCTION("""COMPUTED_VALUE"""),"scarcity")</f>
        <v>scarcity</v>
      </c>
      <c r="B10434" s="4" t="str">
        <f>IFERROR(__xludf.DUMMYFUNCTION("""COMPUTED_VALUE"""),"scx")</f>
        <v>scx</v>
      </c>
      <c r="C10434" s="4" t="str">
        <f>IFERROR(__xludf.DUMMYFUNCTION("""COMPUTED_VALUE"""),"Scarcity")</f>
        <v>Scarcity</v>
      </c>
    </row>
    <row r="10435">
      <c r="A10435" s="4" t="str">
        <f>IFERROR(__xludf.DUMMYFUNCTION("""COMPUTED_VALUE"""),"scarecrow")</f>
        <v>scarecrow</v>
      </c>
      <c r="B10435" s="4" t="str">
        <f>IFERROR(__xludf.DUMMYFUNCTION("""COMPUTED_VALUE"""),"scare")</f>
        <v>scare</v>
      </c>
      <c r="C10435" s="4" t="str">
        <f>IFERROR(__xludf.DUMMYFUNCTION("""COMPUTED_VALUE"""),"ScareCrow")</f>
        <v>ScareCrow</v>
      </c>
    </row>
    <row r="10436">
      <c r="A10436" s="4" t="str">
        <f>IFERROR(__xludf.DUMMYFUNCTION("""COMPUTED_VALUE"""),"scat")</f>
        <v>scat</v>
      </c>
      <c r="B10436" s="4" t="str">
        <f>IFERROR(__xludf.DUMMYFUNCTION("""COMPUTED_VALUE"""),"cat")</f>
        <v>cat</v>
      </c>
      <c r="C10436" s="4" t="str">
        <f>IFERROR(__xludf.DUMMYFUNCTION("""COMPUTED_VALUE"""),"Scat")</f>
        <v>Scat</v>
      </c>
    </row>
    <row r="10437">
      <c r="A10437" s="4" t="str">
        <f>IFERROR(__xludf.DUMMYFUNCTION("""COMPUTED_VALUE"""),"s-c-corinthians-fan-token")</f>
        <v>s-c-corinthians-fan-token</v>
      </c>
      <c r="B10437" s="4" t="str">
        <f>IFERROR(__xludf.DUMMYFUNCTION("""COMPUTED_VALUE"""),"sccp")</f>
        <v>sccp</v>
      </c>
      <c r="C10437" s="4" t="str">
        <f>IFERROR(__xludf.DUMMYFUNCTION("""COMPUTED_VALUE"""),"S.C. Corinthians Fan Token")</f>
        <v>S.C. Corinthians Fan Token</v>
      </c>
    </row>
    <row r="10438">
      <c r="A10438" s="4" t="str">
        <f>IFERROR(__xludf.DUMMYFUNCTION("""COMPUTED_VALUE"""),"scholarship-coin")</f>
        <v>scholarship-coin</v>
      </c>
      <c r="B10438" s="4" t="str">
        <f>IFERROR(__xludf.DUMMYFUNCTION("""COMPUTED_VALUE"""),"scho")</f>
        <v>scho</v>
      </c>
      <c r="C10438" s="4" t="str">
        <f>IFERROR(__xludf.DUMMYFUNCTION("""COMPUTED_VALUE"""),"Scholarship Coin")</f>
        <v>Scholarship Coin</v>
      </c>
    </row>
    <row r="10439">
      <c r="A10439" s="4" t="str">
        <f>IFERROR(__xludf.DUMMYFUNCTION("""COMPUTED_VALUE"""),"schrodi")</f>
        <v>schrodi</v>
      </c>
      <c r="B10439" s="4" t="str">
        <f>IFERROR(__xludf.DUMMYFUNCTION("""COMPUTED_VALUE"""),"schrodi")</f>
        <v>schrodi</v>
      </c>
      <c r="C10439" s="4" t="str">
        <f>IFERROR(__xludf.DUMMYFUNCTION("""COMPUTED_VALUE"""),"Schrodi")</f>
        <v>Schrodi</v>
      </c>
    </row>
    <row r="10440">
      <c r="A10440" s="4" t="str">
        <f>IFERROR(__xludf.DUMMYFUNCTION("""COMPUTED_VALUE"""),"schrodinger")</f>
        <v>schrodinger</v>
      </c>
      <c r="B10440" s="4" t="str">
        <f>IFERROR(__xludf.DUMMYFUNCTION("""COMPUTED_VALUE"""),"meow")</f>
        <v>meow</v>
      </c>
      <c r="C10440" s="4" t="str">
        <f>IFERROR(__xludf.DUMMYFUNCTION("""COMPUTED_VALUE"""),"Schrodinger")</f>
        <v>Schrodinger</v>
      </c>
    </row>
    <row r="10441">
      <c r="A10441" s="4" t="str">
        <f>IFERROR(__xludf.DUMMYFUNCTION("""COMPUTED_VALUE"""),"schrodinger-2")</f>
        <v>schrodinger-2</v>
      </c>
      <c r="B10441" s="4" t="str">
        <f>IFERROR(__xludf.DUMMYFUNCTION("""COMPUTED_VALUE"""),"sgr")</f>
        <v>sgr</v>
      </c>
      <c r="C10441" s="4" t="str">
        <f>IFERROR(__xludf.DUMMYFUNCTION("""COMPUTED_VALUE"""),"Schrodinger")</f>
        <v>Schrodinger</v>
      </c>
    </row>
    <row r="10442">
      <c r="A10442" s="4" t="str">
        <f>IFERROR(__xludf.DUMMYFUNCTION("""COMPUTED_VALUE"""),"schwiftai")</f>
        <v>schwiftai</v>
      </c>
      <c r="B10442" s="4" t="str">
        <f>IFERROR(__xludf.DUMMYFUNCTION("""COMPUTED_VALUE"""),"swai")</f>
        <v>swai</v>
      </c>
      <c r="C10442" s="4" t="str">
        <f>IFERROR(__xludf.DUMMYFUNCTION("""COMPUTED_VALUE"""),"SchwiftAI")</f>
        <v>SchwiftAI</v>
      </c>
    </row>
    <row r="10443">
      <c r="A10443" s="4" t="str">
        <f>IFERROR(__xludf.DUMMYFUNCTION("""COMPUTED_VALUE"""),"scientia")</f>
        <v>scientia</v>
      </c>
      <c r="B10443" s="4" t="str">
        <f>IFERROR(__xludf.DUMMYFUNCTION("""COMPUTED_VALUE"""),"scie")</f>
        <v>scie</v>
      </c>
      <c r="C10443" s="4" t="str">
        <f>IFERROR(__xludf.DUMMYFUNCTION("""COMPUTED_VALUE"""),"Scientia")</f>
        <v>Scientia</v>
      </c>
    </row>
    <row r="10444">
      <c r="A10444" s="4" t="str">
        <f>IFERROR(__xludf.DUMMYFUNCTION("""COMPUTED_VALUE"""),"scientix")</f>
        <v>scientix</v>
      </c>
      <c r="B10444" s="4" t="str">
        <f>IFERROR(__xludf.DUMMYFUNCTION("""COMPUTED_VALUE"""),"scix")</f>
        <v>scix</v>
      </c>
      <c r="C10444" s="4" t="str">
        <f>IFERROR(__xludf.DUMMYFUNCTION("""COMPUTED_VALUE"""),"Scientix")</f>
        <v>Scientix</v>
      </c>
    </row>
    <row r="10445">
      <c r="A10445" s="4" t="str">
        <f>IFERROR(__xludf.DUMMYFUNCTION("""COMPUTED_VALUE"""),"sc-internacional-fan-token")</f>
        <v>sc-internacional-fan-token</v>
      </c>
      <c r="B10445" s="4" t="str">
        <f>IFERROR(__xludf.DUMMYFUNCTION("""COMPUTED_VALUE"""),"saci")</f>
        <v>saci</v>
      </c>
      <c r="C10445" s="4" t="str">
        <f>IFERROR(__xludf.DUMMYFUNCTION("""COMPUTED_VALUE"""),"SC Internacional Fan Token")</f>
        <v>SC Internacional Fan Token</v>
      </c>
    </row>
    <row r="10446">
      <c r="A10446" s="4" t="str">
        <f>IFERROR(__xludf.DUMMYFUNCTION("""COMPUTED_VALUE"""),"scom-coin")</f>
        <v>scom-coin</v>
      </c>
      <c r="B10446" s="4" t="str">
        <f>IFERROR(__xludf.DUMMYFUNCTION("""COMPUTED_VALUE"""),"scom")</f>
        <v>scom</v>
      </c>
      <c r="C10446" s="4" t="str">
        <f>IFERROR(__xludf.DUMMYFUNCTION("""COMPUTED_VALUE"""),"Scom Coin")</f>
        <v>Scom Coin</v>
      </c>
    </row>
    <row r="10447">
      <c r="A10447" s="4" t="str">
        <f>IFERROR(__xludf.DUMMYFUNCTION("""COMPUTED_VALUE"""),"scopecoin")</f>
        <v>scopecoin</v>
      </c>
      <c r="B10447" s="4" t="str">
        <f>IFERROR(__xludf.DUMMYFUNCTION("""COMPUTED_VALUE"""),"xscp")</f>
        <v>xscp</v>
      </c>
      <c r="C10447" s="4" t="str">
        <f>IFERROR(__xludf.DUMMYFUNCTION("""COMPUTED_VALUE"""),"ScopeCoin")</f>
        <v>ScopeCoin</v>
      </c>
    </row>
    <row r="10448">
      <c r="A10448" s="4" t="str">
        <f>IFERROR(__xludf.DUMMYFUNCTION("""COMPUTED_VALUE"""),"scope-sniper")</f>
        <v>scope-sniper</v>
      </c>
      <c r="B10448" s="4" t="str">
        <f>IFERROR(__xludf.DUMMYFUNCTION("""COMPUTED_VALUE"""),"scope")</f>
        <v>scope</v>
      </c>
      <c r="C10448" s="4" t="str">
        <f>IFERROR(__xludf.DUMMYFUNCTION("""COMPUTED_VALUE"""),"Scope Sniper")</f>
        <v>Scope Sniper</v>
      </c>
    </row>
    <row r="10449">
      <c r="A10449" s="4" t="str">
        <f>IFERROR(__xludf.DUMMYFUNCTION("""COMPUTED_VALUE"""),"scopexai")</f>
        <v>scopexai</v>
      </c>
      <c r="B10449" s="4" t="str">
        <f>IFERROR(__xludf.DUMMYFUNCTION("""COMPUTED_VALUE"""),"scopex")</f>
        <v>scopex</v>
      </c>
      <c r="C10449" s="4" t="str">
        <f>IFERROR(__xludf.DUMMYFUNCTION("""COMPUTED_VALUE"""),"ScopexAI")</f>
        <v>ScopexAI</v>
      </c>
    </row>
    <row r="10450">
      <c r="A10450" s="4" t="str">
        <f>IFERROR(__xludf.DUMMYFUNCTION("""COMPUTED_VALUE"""),"scopuly-token")</f>
        <v>scopuly-token</v>
      </c>
      <c r="B10450" s="4" t="str">
        <f>IFERROR(__xludf.DUMMYFUNCTION("""COMPUTED_VALUE"""),"scop")</f>
        <v>scop</v>
      </c>
      <c r="C10450" s="4" t="str">
        <f>IFERROR(__xludf.DUMMYFUNCTION("""COMPUTED_VALUE"""),"Scopuly")</f>
        <v>Scopuly</v>
      </c>
    </row>
    <row r="10451">
      <c r="A10451" s="4" t="str">
        <f>IFERROR(__xludf.DUMMYFUNCTION("""COMPUTED_VALUE"""),"scorai")</f>
        <v>scorai</v>
      </c>
      <c r="B10451" s="4" t="str">
        <f>IFERROR(__xludf.DUMMYFUNCTION("""COMPUTED_VALUE"""),"scorai")</f>
        <v>scorai</v>
      </c>
      <c r="C10451" s="4" t="str">
        <f>IFERROR(__xludf.DUMMYFUNCTION("""COMPUTED_VALUE"""),"Staking Compound ORAI")</f>
        <v>Staking Compound ORAI</v>
      </c>
    </row>
    <row r="10452">
      <c r="A10452" s="4" t="str">
        <f>IFERROR(__xludf.DUMMYFUNCTION("""COMPUTED_VALUE"""),"scottyai")</f>
        <v>scottyai</v>
      </c>
      <c r="B10452" s="4" t="str">
        <f>IFERROR(__xludf.DUMMYFUNCTION("""COMPUTED_VALUE"""),"scotty")</f>
        <v>scotty</v>
      </c>
      <c r="C10452" s="4" t="str">
        <f>IFERROR(__xludf.DUMMYFUNCTION("""COMPUTED_VALUE"""),"ScottyTheAi")</f>
        <v>ScottyTheAi</v>
      </c>
    </row>
    <row r="10453">
      <c r="A10453" s="4" t="str">
        <f>IFERROR(__xludf.DUMMYFUNCTION("""COMPUTED_VALUE"""),"scotty-beam")</f>
        <v>scotty-beam</v>
      </c>
      <c r="B10453" s="4" t="str">
        <f>IFERROR(__xludf.DUMMYFUNCTION("""COMPUTED_VALUE"""),"scotty")</f>
        <v>scotty</v>
      </c>
      <c r="C10453" s="4" t="str">
        <f>IFERROR(__xludf.DUMMYFUNCTION("""COMPUTED_VALUE"""),"Scotty Beam")</f>
        <v>Scotty Beam</v>
      </c>
    </row>
    <row r="10454">
      <c r="A10454" s="4" t="str">
        <f>IFERROR(__xludf.DUMMYFUNCTION("""COMPUTED_VALUE"""),"scrap")</f>
        <v>scrap</v>
      </c>
      <c r="B10454" s="4" t="str">
        <f>IFERROR(__xludf.DUMMYFUNCTION("""COMPUTED_VALUE"""),"scrap")</f>
        <v>scrap</v>
      </c>
      <c r="C10454" s="4" t="str">
        <f>IFERROR(__xludf.DUMMYFUNCTION("""COMPUTED_VALUE"""),"Scrap")</f>
        <v>Scrap</v>
      </c>
    </row>
    <row r="10455">
      <c r="A10455" s="4" t="str">
        <f>IFERROR(__xludf.DUMMYFUNCTION("""COMPUTED_VALUE"""),"scratch-2")</f>
        <v>scratch-2</v>
      </c>
      <c r="B10455" s="4" t="str">
        <f>IFERROR(__xludf.DUMMYFUNCTION("""COMPUTED_VALUE"""),"scratch")</f>
        <v>scratch</v>
      </c>
      <c r="C10455" s="4" t="str">
        <f>IFERROR(__xludf.DUMMYFUNCTION("""COMPUTED_VALUE"""),"SCRATCH")</f>
        <v>SCRATCH</v>
      </c>
    </row>
    <row r="10456">
      <c r="A10456" s="4" t="str">
        <f>IFERROR(__xludf.DUMMYFUNCTION("""COMPUTED_VALUE"""),"scratch-meme-coin")</f>
        <v>scratch-meme-coin</v>
      </c>
      <c r="B10456" s="4" t="str">
        <f>IFERROR(__xludf.DUMMYFUNCTION("""COMPUTED_VALUE"""),"scrats")</f>
        <v>scrats</v>
      </c>
      <c r="C10456" s="4" t="str">
        <f>IFERROR(__xludf.DUMMYFUNCTION("""COMPUTED_VALUE"""),"Scratch Meme Coin")</f>
        <v>Scratch Meme Coin</v>
      </c>
    </row>
    <row r="10457">
      <c r="A10457" s="4" t="str">
        <f>IFERROR(__xludf.DUMMYFUNCTION("""COMPUTED_VALUE"""),"scream")</f>
        <v>scream</v>
      </c>
      <c r="B10457" s="4" t="str">
        <f>IFERROR(__xludf.DUMMYFUNCTION("""COMPUTED_VALUE"""),"scream")</f>
        <v>scream</v>
      </c>
      <c r="C10457" s="4" t="str">
        <f>IFERROR(__xludf.DUMMYFUNCTION("""COMPUTED_VALUE"""),"Scream")</f>
        <v>Scream</v>
      </c>
    </row>
    <row r="10458">
      <c r="A10458" s="4" t="str">
        <f>IFERROR(__xludf.DUMMYFUNCTION("""COMPUTED_VALUE"""),"script-network")</f>
        <v>script-network</v>
      </c>
      <c r="B10458" s="4" t="str">
        <f>IFERROR(__xludf.DUMMYFUNCTION("""COMPUTED_VALUE"""),"scpt")</f>
        <v>scpt</v>
      </c>
      <c r="C10458" s="4" t="str">
        <f>IFERROR(__xludf.DUMMYFUNCTION("""COMPUTED_VALUE"""),"Script Network")</f>
        <v>Script Network</v>
      </c>
    </row>
    <row r="10459">
      <c r="A10459" s="4" t="str">
        <f>IFERROR(__xludf.DUMMYFUNCTION("""COMPUTED_VALUE"""),"script-network-spay")</f>
        <v>script-network-spay</v>
      </c>
      <c r="B10459" s="4" t="str">
        <f>IFERROR(__xludf.DUMMYFUNCTION("""COMPUTED_VALUE"""),"spay")</f>
        <v>spay</v>
      </c>
      <c r="C10459" s="4" t="str">
        <f>IFERROR(__xludf.DUMMYFUNCTION("""COMPUTED_VALUE"""),"Script Network SPAY")</f>
        <v>Script Network SPAY</v>
      </c>
    </row>
    <row r="10460">
      <c r="A10460" s="4" t="str">
        <f>IFERROR(__xludf.DUMMYFUNCTION("""COMPUTED_VALUE"""),"scriv")</f>
        <v>scriv</v>
      </c>
      <c r="B10460" s="4" t="str">
        <f>IFERROR(__xludf.DUMMYFUNCTION("""COMPUTED_VALUE"""),"scriv")</f>
        <v>scriv</v>
      </c>
      <c r="C10460" s="4" t="str">
        <f>IFERROR(__xludf.DUMMYFUNCTION("""COMPUTED_VALUE"""),"SCRIV")</f>
        <v>SCRIV</v>
      </c>
    </row>
    <row r="10461">
      <c r="A10461" s="4" t="str">
        <f>IFERROR(__xludf.DUMMYFUNCTION("""COMPUTED_VALUE"""),"scroll-doge")</f>
        <v>scroll-doge</v>
      </c>
      <c r="B10461" s="4" t="str">
        <f>IFERROR(__xludf.DUMMYFUNCTION("""COMPUTED_VALUE"""),"zkdoge")</f>
        <v>zkdoge</v>
      </c>
      <c r="C10461" s="4" t="str">
        <f>IFERROR(__xludf.DUMMYFUNCTION("""COMPUTED_VALUE"""),"Scroll Doge")</f>
        <v>Scroll Doge</v>
      </c>
    </row>
    <row r="10462">
      <c r="A10462" s="4" t="str">
        <f>IFERROR(__xludf.DUMMYFUNCTION("""COMPUTED_VALUE"""),"scrollswap-finance")</f>
        <v>scrollswap-finance</v>
      </c>
      <c r="B10462" s="4" t="str">
        <f>IFERROR(__xludf.DUMMYFUNCTION("""COMPUTED_VALUE"""),"sf")</f>
        <v>sf</v>
      </c>
      <c r="C10462" s="4" t="str">
        <f>IFERROR(__xludf.DUMMYFUNCTION("""COMPUTED_VALUE"""),"Scrollswap Finance")</f>
        <v>Scrollswap Finance</v>
      </c>
    </row>
    <row r="10463">
      <c r="A10463" s="4" t="str">
        <f>IFERROR(__xludf.DUMMYFUNCTION("""COMPUTED_VALUE"""),"scrolly-the-map")</f>
        <v>scrolly-the-map</v>
      </c>
      <c r="B10463" s="4" t="str">
        <f>IFERROR(__xludf.DUMMYFUNCTION("""COMPUTED_VALUE"""),"scrolly")</f>
        <v>scrolly</v>
      </c>
      <c r="C10463" s="4" t="str">
        <f>IFERROR(__xludf.DUMMYFUNCTION("""COMPUTED_VALUE"""),"Scrolly the map")</f>
        <v>Scrolly the map</v>
      </c>
    </row>
    <row r="10464">
      <c r="A10464" s="4" t="str">
        <f>IFERROR(__xludf.DUMMYFUNCTION("""COMPUTED_VALUE"""),"scrooge")</f>
        <v>scrooge</v>
      </c>
      <c r="B10464" s="4" t="str">
        <f>IFERROR(__xludf.DUMMYFUNCTION("""COMPUTED_VALUE"""),"scrooge")</f>
        <v>scrooge</v>
      </c>
      <c r="C10464" s="4" t="str">
        <f>IFERROR(__xludf.DUMMYFUNCTION("""COMPUTED_VALUE"""),"Scrooge (OLD)")</f>
        <v>Scrooge (OLD)</v>
      </c>
    </row>
    <row r="10465">
      <c r="A10465" s="4" t="str">
        <f>IFERROR(__xludf.DUMMYFUNCTION("""COMPUTED_VALUE"""),"scry-info")</f>
        <v>scry-info</v>
      </c>
      <c r="B10465" s="4" t="str">
        <f>IFERROR(__xludf.DUMMYFUNCTION("""COMPUTED_VALUE"""),"ddd")</f>
        <v>ddd</v>
      </c>
      <c r="C10465" s="5" t="str">
        <f>IFERROR(__xludf.DUMMYFUNCTION("""COMPUTED_VALUE"""),"Scry.info")</f>
        <v>Scry.info</v>
      </c>
    </row>
    <row r="10466">
      <c r="A10466" s="4" t="str">
        <f>IFERROR(__xludf.DUMMYFUNCTION("""COMPUTED_VALUE"""),"sdoge")</f>
        <v>sdoge</v>
      </c>
      <c r="B10466" s="4" t="str">
        <f>IFERROR(__xludf.DUMMYFUNCTION("""COMPUTED_VALUE"""),"sdoge")</f>
        <v>sdoge</v>
      </c>
      <c r="C10466" s="4" t="str">
        <f>IFERROR(__xludf.DUMMYFUNCTION("""COMPUTED_VALUE"""),"SDOGE")</f>
        <v>SDOGE</v>
      </c>
    </row>
    <row r="10467">
      <c r="A10467" s="4" t="str">
        <f>IFERROR(__xludf.DUMMYFUNCTION("""COMPUTED_VALUE"""),"sdola")</f>
        <v>sdola</v>
      </c>
      <c r="B10467" s="4" t="str">
        <f>IFERROR(__xludf.DUMMYFUNCTION("""COMPUTED_VALUE"""),"sdola")</f>
        <v>sdola</v>
      </c>
      <c r="C10467" s="4" t="str">
        <f>IFERROR(__xludf.DUMMYFUNCTION("""COMPUTED_VALUE"""),"sDOLA")</f>
        <v>sDOLA</v>
      </c>
    </row>
    <row r="10468">
      <c r="A10468" s="4" t="str">
        <f>IFERROR(__xludf.DUMMYFUNCTION("""COMPUTED_VALUE"""),"sdrive-app")</f>
        <v>sdrive-app</v>
      </c>
      <c r="B10468" s="4" t="str">
        <f>IFERROR(__xludf.DUMMYFUNCTION("""COMPUTED_VALUE"""),"scoin")</f>
        <v>scoin</v>
      </c>
      <c r="C10468" s="4" t="str">
        <f>IFERROR(__xludf.DUMMYFUNCTION("""COMPUTED_VALUE"""),"SCOIN")</f>
        <v>SCOIN</v>
      </c>
    </row>
    <row r="10469">
      <c r="A10469" s="4" t="str">
        <f>IFERROR(__xludf.DUMMYFUNCTION("""COMPUTED_VALUE"""),"sealink-network")</f>
        <v>sealink-network</v>
      </c>
      <c r="B10469" s="4" t="str">
        <f>IFERROR(__xludf.DUMMYFUNCTION("""COMPUTED_VALUE"""),"slk")</f>
        <v>slk</v>
      </c>
      <c r="C10469" s="4" t="str">
        <f>IFERROR(__xludf.DUMMYFUNCTION("""COMPUTED_VALUE"""),"Sealink Network")</f>
        <v>Sealink Network</v>
      </c>
    </row>
    <row r="10470">
      <c r="A10470" s="4" t="str">
        <f>IFERROR(__xludf.DUMMYFUNCTION("""COMPUTED_VALUE"""),"sealwifhat")</f>
        <v>sealwifhat</v>
      </c>
      <c r="B10470" s="4" t="str">
        <f>IFERROR(__xludf.DUMMYFUNCTION("""COMPUTED_VALUE"""),"si")</f>
        <v>si</v>
      </c>
      <c r="C10470" s="4" t="str">
        <f>IFERROR(__xludf.DUMMYFUNCTION("""COMPUTED_VALUE"""),"sealwifhat")</f>
        <v>sealwifhat</v>
      </c>
    </row>
    <row r="10471">
      <c r="A10471" s="4" t="str">
        <f>IFERROR(__xludf.DUMMYFUNCTION("""COMPUTED_VALUE"""),"seamans-token")</f>
        <v>seamans-token</v>
      </c>
      <c r="B10471" s="4" t="str">
        <f>IFERROR(__xludf.DUMMYFUNCTION("""COMPUTED_VALUE"""),"seat")</f>
        <v>seat</v>
      </c>
      <c r="C10471" s="4" t="str">
        <f>IFERROR(__xludf.DUMMYFUNCTION("""COMPUTED_VALUE"""),"Seamans Token")</f>
        <v>Seamans Token</v>
      </c>
    </row>
    <row r="10472">
      <c r="A10472" s="4" t="str">
        <f>IFERROR(__xludf.DUMMYFUNCTION("""COMPUTED_VALUE"""),"seamless-protocol")</f>
        <v>seamless-protocol</v>
      </c>
      <c r="B10472" s="4" t="str">
        <f>IFERROR(__xludf.DUMMYFUNCTION("""COMPUTED_VALUE"""),"seam")</f>
        <v>seam</v>
      </c>
      <c r="C10472" s="4" t="str">
        <f>IFERROR(__xludf.DUMMYFUNCTION("""COMPUTED_VALUE"""),"Seamless Protocol")</f>
        <v>Seamless Protocol</v>
      </c>
    </row>
    <row r="10473">
      <c r="A10473" s="4" t="str">
        <f>IFERROR(__xludf.DUMMYFUNCTION("""COMPUTED_VALUE"""),"seamlessswap-token")</f>
        <v>seamlessswap-token</v>
      </c>
      <c r="B10473" s="4" t="str">
        <f>IFERROR(__xludf.DUMMYFUNCTION("""COMPUTED_VALUE"""),"seamless")</f>
        <v>seamless</v>
      </c>
      <c r="C10473" s="4" t="str">
        <f>IFERROR(__xludf.DUMMYFUNCTION("""COMPUTED_VALUE"""),"SeamlessSwap")</f>
        <v>SeamlessSwap</v>
      </c>
    </row>
    <row r="10474">
      <c r="A10474" s="4" t="str">
        <f>IFERROR(__xludf.DUMMYFUNCTION("""COMPUTED_VALUE"""),"seapad")</f>
        <v>seapad</v>
      </c>
      <c r="B10474" s="4" t="str">
        <f>IFERROR(__xludf.DUMMYFUNCTION("""COMPUTED_VALUE"""),"spt")</f>
        <v>spt</v>
      </c>
      <c r="C10474" s="4" t="str">
        <f>IFERROR(__xludf.DUMMYFUNCTION("""COMPUTED_VALUE"""),"SeaPad")</f>
        <v>SeaPad</v>
      </c>
    </row>
    <row r="10475">
      <c r="A10475" s="4" t="str">
        <f>IFERROR(__xludf.DUMMYFUNCTION("""COMPUTED_VALUE"""),"search")</f>
        <v>search</v>
      </c>
      <c r="B10475" s="4" t="str">
        <f>IFERROR(__xludf.DUMMYFUNCTION("""COMPUTED_VALUE"""),"0xsearch")</f>
        <v>0xsearch</v>
      </c>
      <c r="C10475" s="4" t="str">
        <f>IFERROR(__xludf.DUMMYFUNCTION("""COMPUTED_VALUE"""),"Search")</f>
        <v>Search</v>
      </c>
    </row>
    <row r="10476">
      <c r="A10476" s="4" t="str">
        <f>IFERROR(__xludf.DUMMYFUNCTION("""COMPUTED_VALUE"""),"seatlabnft")</f>
        <v>seatlabnft</v>
      </c>
      <c r="B10476" s="4" t="str">
        <f>IFERROR(__xludf.DUMMYFUNCTION("""COMPUTED_VALUE"""),"seat")</f>
        <v>seat</v>
      </c>
      <c r="C10476" s="4" t="str">
        <f>IFERROR(__xludf.DUMMYFUNCTION("""COMPUTED_VALUE"""),"SeatlabNFT")</f>
        <v>SeatlabNFT</v>
      </c>
    </row>
    <row r="10477">
      <c r="A10477" s="4" t="str">
        <f>IFERROR(__xludf.DUMMYFUNCTION("""COMPUTED_VALUE"""),"seba")</f>
        <v>seba</v>
      </c>
      <c r="B10477" s="4" t="str">
        <f>IFERROR(__xludf.DUMMYFUNCTION("""COMPUTED_VALUE"""),"seba")</f>
        <v>seba</v>
      </c>
      <c r="C10477" s="4" t="str">
        <f>IFERROR(__xludf.DUMMYFUNCTION("""COMPUTED_VALUE"""),"Seba")</f>
        <v>Seba</v>
      </c>
    </row>
    <row r="10478">
      <c r="A10478" s="4" t="str">
        <f>IFERROR(__xludf.DUMMYFUNCTION("""COMPUTED_VALUE"""),"sechain")</f>
        <v>sechain</v>
      </c>
      <c r="B10478" s="4" t="str">
        <f>IFERROR(__xludf.DUMMYFUNCTION("""COMPUTED_VALUE"""),"snn")</f>
        <v>snn</v>
      </c>
      <c r="C10478" s="4" t="str">
        <f>IFERROR(__xludf.DUMMYFUNCTION("""COMPUTED_VALUE"""),"SeChain")</f>
        <v>SeChain</v>
      </c>
    </row>
    <row r="10479">
      <c r="A10479" s="4" t="str">
        <f>IFERROR(__xludf.DUMMYFUNCTION("""COMPUTED_VALUE"""),"secret")</f>
        <v>secret</v>
      </c>
      <c r="B10479" s="4" t="str">
        <f>IFERROR(__xludf.DUMMYFUNCTION("""COMPUTED_VALUE"""),"scrt")</f>
        <v>scrt</v>
      </c>
      <c r="C10479" s="4" t="str">
        <f>IFERROR(__xludf.DUMMYFUNCTION("""COMPUTED_VALUE"""),"Secret")</f>
        <v>Secret</v>
      </c>
    </row>
    <row r="10480">
      <c r="A10480" s="4" t="str">
        <f>IFERROR(__xludf.DUMMYFUNCTION("""COMPUTED_VALUE"""),"secret-erc20")</f>
        <v>secret-erc20</v>
      </c>
      <c r="B10480" s="4" t="str">
        <f>IFERROR(__xludf.DUMMYFUNCTION("""COMPUTED_VALUE"""),"wscrt")</f>
        <v>wscrt</v>
      </c>
      <c r="C10480" s="4" t="str">
        <f>IFERROR(__xludf.DUMMYFUNCTION("""COMPUTED_VALUE"""),"Secret (ERC20)")</f>
        <v>Secret (ERC20)</v>
      </c>
    </row>
    <row r="10481">
      <c r="A10481" s="4" t="str">
        <f>IFERROR(__xludf.DUMMYFUNCTION("""COMPUTED_VALUE"""),"secret-skellies-society")</f>
        <v>secret-skellies-society</v>
      </c>
      <c r="B10481" s="4" t="str">
        <f>IFERROR(__xludf.DUMMYFUNCTION("""COMPUTED_VALUE"""),"$crypt")</f>
        <v>$crypt</v>
      </c>
      <c r="C10481" s="4" t="str">
        <f>IFERROR(__xludf.DUMMYFUNCTION("""COMPUTED_VALUE"""),"Secret Skellies Society")</f>
        <v>Secret Skellies Society</v>
      </c>
    </row>
    <row r="10482">
      <c r="A10482" s="4" t="str">
        <f>IFERROR(__xludf.DUMMYFUNCTION("""COMPUTED_VALUE"""),"secret-society")</f>
        <v>secret-society</v>
      </c>
      <c r="B10482" s="4" t="str">
        <f>IFERROR(__xludf.DUMMYFUNCTION("""COMPUTED_VALUE"""),"ss")</f>
        <v>ss</v>
      </c>
      <c r="C10482" s="4" t="str">
        <f>IFERROR(__xludf.DUMMYFUNCTION("""COMPUTED_VALUE"""),"Secret Society")</f>
        <v>Secret Society</v>
      </c>
    </row>
    <row r="10483">
      <c r="A10483" s="4" t="str">
        <f>IFERROR(__xludf.DUMMYFUNCTION("""COMPUTED_VALUE"""),"secretum")</f>
        <v>secretum</v>
      </c>
      <c r="B10483" s="4" t="str">
        <f>IFERROR(__xludf.DUMMYFUNCTION("""COMPUTED_VALUE"""),"ser")</f>
        <v>ser</v>
      </c>
      <c r="C10483" s="4" t="str">
        <f>IFERROR(__xludf.DUMMYFUNCTION("""COMPUTED_VALUE"""),"Secretum")</f>
        <v>Secretum</v>
      </c>
    </row>
    <row r="10484">
      <c r="A10484" s="4" t="str">
        <f>IFERROR(__xludf.DUMMYFUNCTION("""COMPUTED_VALUE"""),"sect-bot")</f>
        <v>sect-bot</v>
      </c>
      <c r="B10484" s="4" t="str">
        <f>IFERROR(__xludf.DUMMYFUNCTION("""COMPUTED_VALUE"""),"sect")</f>
        <v>sect</v>
      </c>
      <c r="C10484" s="4" t="str">
        <f>IFERROR(__xludf.DUMMYFUNCTION("""COMPUTED_VALUE"""),"SECT BOT")</f>
        <v>SECT BOT</v>
      </c>
    </row>
    <row r="10485">
      <c r="A10485" s="4" t="str">
        <f>IFERROR(__xludf.DUMMYFUNCTION("""COMPUTED_VALUE"""),"sector")</f>
        <v>sector</v>
      </c>
      <c r="B10485" s="4" t="str">
        <f>IFERROR(__xludf.DUMMYFUNCTION("""COMPUTED_VALUE"""),"sect")</f>
        <v>sect</v>
      </c>
      <c r="C10485" s="4" t="str">
        <f>IFERROR(__xludf.DUMMYFUNCTION("""COMPUTED_VALUE"""),"Sector")</f>
        <v>Sector</v>
      </c>
    </row>
    <row r="10486">
      <c r="A10486" s="4" t="str">
        <f>IFERROR(__xludf.DUMMYFUNCTION("""COMPUTED_VALUE"""),"secure-cash")</f>
        <v>secure-cash</v>
      </c>
      <c r="B10486" s="4" t="str">
        <f>IFERROR(__xludf.DUMMYFUNCTION("""COMPUTED_VALUE"""),"scsx")</f>
        <v>scsx</v>
      </c>
      <c r="C10486" s="4" t="str">
        <f>IFERROR(__xludf.DUMMYFUNCTION("""COMPUTED_VALUE"""),"Secure Cash")</f>
        <v>Secure Cash</v>
      </c>
    </row>
    <row r="10487">
      <c r="A10487" s="4" t="str">
        <f>IFERROR(__xludf.DUMMYFUNCTION("""COMPUTED_VALUE"""),"securechain-ai")</f>
        <v>securechain-ai</v>
      </c>
      <c r="B10487" s="4" t="str">
        <f>IFERROR(__xludf.DUMMYFUNCTION("""COMPUTED_VALUE"""),"scai")</f>
        <v>scai</v>
      </c>
      <c r="C10487" s="4" t="str">
        <f>IFERROR(__xludf.DUMMYFUNCTION("""COMPUTED_VALUE"""),"SecureChain AI")</f>
        <v>SecureChain AI</v>
      </c>
    </row>
    <row r="10488">
      <c r="A10488" s="4" t="str">
        <f>IFERROR(__xludf.DUMMYFUNCTION("""COMPUTED_VALUE"""),"secured-moonrat-token")</f>
        <v>secured-moonrat-token</v>
      </c>
      <c r="B10488" s="4" t="str">
        <f>IFERROR(__xludf.DUMMYFUNCTION("""COMPUTED_VALUE"""),"smrat")</f>
        <v>smrat</v>
      </c>
      <c r="C10488" s="4" t="str">
        <f>IFERROR(__xludf.DUMMYFUNCTION("""COMPUTED_VALUE"""),"Secured MoonRat")</f>
        <v>Secured MoonRat</v>
      </c>
    </row>
    <row r="10489">
      <c r="A10489" s="4" t="str">
        <f>IFERROR(__xludf.DUMMYFUNCTION("""COMPUTED_VALUE"""),"secured-on-blockchain")</f>
        <v>secured-on-blockchain</v>
      </c>
      <c r="B10489" s="4" t="str">
        <f>IFERROR(__xludf.DUMMYFUNCTION("""COMPUTED_VALUE"""),"sob")</f>
        <v>sob</v>
      </c>
      <c r="C10489" s="4" t="str">
        <f>IFERROR(__xludf.DUMMYFUNCTION("""COMPUTED_VALUE"""),"Secured On Blockchain (OLD)")</f>
        <v>Secured On Blockchain (OLD)</v>
      </c>
    </row>
    <row r="10490">
      <c r="A10490" s="4" t="str">
        <f>IFERROR(__xludf.DUMMYFUNCTION("""COMPUTED_VALUE"""),"secured-on-blockchain-2")</f>
        <v>secured-on-blockchain-2</v>
      </c>
      <c r="B10490" s="4" t="str">
        <f>IFERROR(__xludf.DUMMYFUNCTION("""COMPUTED_VALUE"""),"sob")</f>
        <v>sob</v>
      </c>
      <c r="C10490" s="4" t="str">
        <f>IFERROR(__xludf.DUMMYFUNCTION("""COMPUTED_VALUE"""),"Secured On Blockchain")</f>
        <v>Secured On Blockchain</v>
      </c>
    </row>
    <row r="10491">
      <c r="A10491" s="4" t="str">
        <f>IFERROR(__xludf.DUMMYFUNCTION("""COMPUTED_VALUE"""),"seda-2")</f>
        <v>seda-2</v>
      </c>
      <c r="B10491" s="4" t="str">
        <f>IFERROR(__xludf.DUMMYFUNCTION("""COMPUTED_VALUE"""),"seda")</f>
        <v>seda</v>
      </c>
      <c r="C10491" s="4" t="str">
        <f>IFERROR(__xludf.DUMMYFUNCTION("""COMPUTED_VALUE"""),"SEDA")</f>
        <v>SEDA</v>
      </c>
    </row>
    <row r="10492">
      <c r="A10492" s="4" t="str">
        <f>IFERROR(__xludf.DUMMYFUNCTION("""COMPUTED_VALUE"""),"sedra-coin")</f>
        <v>sedra-coin</v>
      </c>
      <c r="B10492" s="4" t="str">
        <f>IFERROR(__xludf.DUMMYFUNCTION("""COMPUTED_VALUE"""),"sdr")</f>
        <v>sdr</v>
      </c>
      <c r="C10492" s="4" t="str">
        <f>IFERROR(__xludf.DUMMYFUNCTION("""COMPUTED_VALUE"""),"Sedra Coin")</f>
        <v>Sedra Coin</v>
      </c>
    </row>
    <row r="10493">
      <c r="A10493" s="4" t="str">
        <f>IFERROR(__xludf.DUMMYFUNCTION("""COMPUTED_VALUE"""),"seed-2")</f>
        <v>seed-2</v>
      </c>
      <c r="B10493" s="4" t="str">
        <f>IFERROR(__xludf.DUMMYFUNCTION("""COMPUTED_VALUE"""),"seed")</f>
        <v>seed</v>
      </c>
      <c r="C10493" s="4" t="str">
        <f>IFERROR(__xludf.DUMMYFUNCTION("""COMPUTED_VALUE"""),"SEED")</f>
        <v>SEED</v>
      </c>
    </row>
    <row r="10494">
      <c r="A10494" s="4" t="str">
        <f>IFERROR(__xludf.DUMMYFUNCTION("""COMPUTED_VALUE"""),"seeded-network")</f>
        <v>seeded-network</v>
      </c>
      <c r="B10494" s="4" t="str">
        <f>IFERROR(__xludf.DUMMYFUNCTION("""COMPUTED_VALUE"""),"seeded")</f>
        <v>seeded</v>
      </c>
      <c r="C10494" s="4" t="str">
        <f>IFERROR(__xludf.DUMMYFUNCTION("""COMPUTED_VALUE"""),"Seeded Network")</f>
        <v>Seeded Network</v>
      </c>
    </row>
    <row r="10495">
      <c r="A10495" s="4" t="str">
        <f>IFERROR(__xludf.DUMMYFUNCTION("""COMPUTED_VALUE"""),"seedify-fund")</f>
        <v>seedify-fund</v>
      </c>
      <c r="B10495" s="4" t="str">
        <f>IFERROR(__xludf.DUMMYFUNCTION("""COMPUTED_VALUE"""),"sfund")</f>
        <v>sfund</v>
      </c>
      <c r="C10495" s="4" t="str">
        <f>IFERROR(__xludf.DUMMYFUNCTION("""COMPUTED_VALUE"""),"Seedify.fund")</f>
        <v>Seedify.fund</v>
      </c>
    </row>
    <row r="10496">
      <c r="A10496" s="4" t="str">
        <f>IFERROR(__xludf.DUMMYFUNCTION("""COMPUTED_VALUE"""),"seedlaunch")</f>
        <v>seedlaunch</v>
      </c>
      <c r="B10496" s="4" t="str">
        <f>IFERROR(__xludf.DUMMYFUNCTION("""COMPUTED_VALUE"""),"slt")</f>
        <v>slt</v>
      </c>
      <c r="C10496" s="4" t="str">
        <f>IFERROR(__xludf.DUMMYFUNCTION("""COMPUTED_VALUE"""),"SeedLaunch")</f>
        <v>SeedLaunch</v>
      </c>
    </row>
    <row r="10497">
      <c r="A10497" s="4" t="str">
        <f>IFERROR(__xludf.DUMMYFUNCTION("""COMPUTED_VALUE"""),"seed-photo")</f>
        <v>seed-photo</v>
      </c>
      <c r="B10497" s="4" t="str">
        <f>IFERROR(__xludf.DUMMYFUNCTION("""COMPUTED_VALUE"""),"seed")</f>
        <v>seed</v>
      </c>
      <c r="C10497" s="4" t="str">
        <f>IFERROR(__xludf.DUMMYFUNCTION("""COMPUTED_VALUE"""),"Seed.Photo")</f>
        <v>Seed.Photo</v>
      </c>
    </row>
    <row r="10498">
      <c r="A10498" s="4" t="str">
        <f>IFERROR(__xludf.DUMMYFUNCTION("""COMPUTED_VALUE"""),"seeds")</f>
        <v>seeds</v>
      </c>
      <c r="B10498" s="4" t="str">
        <f>IFERROR(__xludf.DUMMYFUNCTION("""COMPUTED_VALUE"""),"seeds")</f>
        <v>seeds</v>
      </c>
      <c r="C10498" s="4" t="str">
        <f>IFERROR(__xludf.DUMMYFUNCTION("""COMPUTED_VALUE"""),"Seeds")</f>
        <v>Seeds</v>
      </c>
    </row>
    <row r="10499">
      <c r="A10499" s="4" t="str">
        <f>IFERROR(__xludf.DUMMYFUNCTION("""COMPUTED_VALUE"""),"seedx")</f>
        <v>seedx</v>
      </c>
      <c r="B10499" s="4" t="str">
        <f>IFERROR(__xludf.DUMMYFUNCTION("""COMPUTED_VALUE"""),"seedx")</f>
        <v>seedx</v>
      </c>
      <c r="C10499" s="4" t="str">
        <f>IFERROR(__xludf.DUMMYFUNCTION("""COMPUTED_VALUE"""),"SEEDx")</f>
        <v>SEEDx</v>
      </c>
    </row>
    <row r="10500">
      <c r="A10500" s="4" t="str">
        <f>IFERROR(__xludf.DUMMYFUNCTION("""COMPUTED_VALUE"""),"seek-tiger")</f>
        <v>seek-tiger</v>
      </c>
      <c r="B10500" s="4" t="str">
        <f>IFERROR(__xludf.DUMMYFUNCTION("""COMPUTED_VALUE"""),"sti")</f>
        <v>sti</v>
      </c>
      <c r="C10500" s="4" t="str">
        <f>IFERROR(__xludf.DUMMYFUNCTION("""COMPUTED_VALUE"""),"Seek Tiger")</f>
        <v>Seek Tiger</v>
      </c>
    </row>
    <row r="10501">
      <c r="A10501" s="4" t="str">
        <f>IFERROR(__xludf.DUMMYFUNCTION("""COMPUTED_VALUE"""),"segment")</f>
        <v>segment</v>
      </c>
      <c r="B10501" s="4" t="str">
        <f>IFERROR(__xludf.DUMMYFUNCTION("""COMPUTED_VALUE"""),"sef")</f>
        <v>sef</v>
      </c>
      <c r="C10501" s="4" t="str">
        <f>IFERROR(__xludf.DUMMYFUNCTION("""COMPUTED_VALUE"""),"Segment")</f>
        <v>Segment</v>
      </c>
    </row>
    <row r="10502">
      <c r="A10502" s="4" t="str">
        <f>IFERROR(__xludf.DUMMYFUNCTION("""COMPUTED_VALUE"""),"seidow")</f>
        <v>seidow</v>
      </c>
      <c r="B10502" s="4" t="str">
        <f>IFERROR(__xludf.DUMMYFUNCTION("""COMPUTED_VALUE"""),"seidow")</f>
        <v>seidow</v>
      </c>
      <c r="C10502" s="4" t="str">
        <f>IFERROR(__xludf.DUMMYFUNCTION("""COMPUTED_VALUE"""),"Seidow")</f>
        <v>Seidow</v>
      </c>
    </row>
    <row r="10503">
      <c r="A10503" s="4" t="str">
        <f>IFERROR(__xludf.DUMMYFUNCTION("""COMPUTED_VALUE"""),"seifmoon")</f>
        <v>seifmoon</v>
      </c>
      <c r="B10503" s="4" t="str">
        <f>IFERROR(__xludf.DUMMYFUNCTION("""COMPUTED_VALUE"""),"$seif")</f>
        <v>$seif</v>
      </c>
      <c r="C10503" s="4" t="str">
        <f>IFERROR(__xludf.DUMMYFUNCTION("""COMPUTED_VALUE"""),"Seifmoon")</f>
        <v>Seifmoon</v>
      </c>
    </row>
    <row r="10504">
      <c r="A10504" s="4" t="str">
        <f>IFERROR(__xludf.DUMMYFUNCTION("""COMPUTED_VALUE"""),"seiga")</f>
        <v>seiga</v>
      </c>
      <c r="B10504" s="4" t="str">
        <f>IFERROR(__xludf.DUMMYFUNCTION("""COMPUTED_VALUE"""),"seiga")</f>
        <v>seiga</v>
      </c>
      <c r="C10504" s="4" t="str">
        <f>IFERROR(__xludf.DUMMYFUNCTION("""COMPUTED_VALUE"""),"Seiga")</f>
        <v>Seiga</v>
      </c>
    </row>
    <row r="10505">
      <c r="A10505" s="4" t="str">
        <f>IFERROR(__xludf.DUMMYFUNCTION("""COMPUTED_VALUE"""),"seigniorage-shares")</f>
        <v>seigniorage-shares</v>
      </c>
      <c r="B10505" s="4" t="str">
        <f>IFERROR(__xludf.DUMMYFUNCTION("""COMPUTED_VALUE"""),"share")</f>
        <v>share</v>
      </c>
      <c r="C10505" s="4" t="str">
        <f>IFERROR(__xludf.DUMMYFUNCTION("""COMPUTED_VALUE"""),"Seigniorage Shares")</f>
        <v>Seigniorage Shares</v>
      </c>
    </row>
    <row r="10506">
      <c r="A10506" s="4" t="str">
        <f>IFERROR(__xludf.DUMMYFUNCTION("""COMPUTED_VALUE"""),"seilormoon")</f>
        <v>seilormoon</v>
      </c>
      <c r="B10506" s="4" t="str">
        <f>IFERROR(__xludf.DUMMYFUNCTION("""COMPUTED_VALUE"""),"seilor")</f>
        <v>seilor</v>
      </c>
      <c r="C10506" s="4" t="str">
        <f>IFERROR(__xludf.DUMMYFUNCTION("""COMPUTED_VALUE"""),"Seilormoon")</f>
        <v>Seilormoon</v>
      </c>
    </row>
    <row r="10507">
      <c r="A10507" s="4" t="str">
        <f>IFERROR(__xludf.DUMMYFUNCTION("""COMPUTED_VALUE"""),"seilu-bridge")</f>
        <v>seilu-bridge</v>
      </c>
      <c r="B10507" s="4" t="str">
        <f>IFERROR(__xludf.DUMMYFUNCTION("""COMPUTED_VALUE"""),"seilu")</f>
        <v>seilu</v>
      </c>
      <c r="C10507" s="4" t="str">
        <f>IFERROR(__xludf.DUMMYFUNCTION("""COMPUTED_VALUE"""),"Seilu Bridge")</f>
        <v>Seilu Bridge</v>
      </c>
    </row>
    <row r="10508">
      <c r="A10508" s="4" t="str">
        <f>IFERROR(__xludf.DUMMYFUNCTION("""COMPUTED_VALUE"""),"seimen")</f>
        <v>seimen</v>
      </c>
      <c r="B10508" s="4" t="str">
        <f>IFERROR(__xludf.DUMMYFUNCTION("""COMPUTED_VALUE"""),"seimen")</f>
        <v>seimen</v>
      </c>
      <c r="C10508" s="4" t="str">
        <f>IFERROR(__xludf.DUMMYFUNCTION("""COMPUTED_VALUE"""),"SEIMEN")</f>
        <v>SEIMEN</v>
      </c>
    </row>
    <row r="10509">
      <c r="A10509" s="4" t="str">
        <f>IFERROR(__xludf.DUMMYFUNCTION("""COMPUTED_VALUE"""),"seimoyed")</f>
        <v>seimoyed</v>
      </c>
      <c r="B10509" s="4" t="str">
        <f>IFERROR(__xludf.DUMMYFUNCTION("""COMPUTED_VALUE"""),"seimoyed")</f>
        <v>seimoyed</v>
      </c>
      <c r="C10509" s="4" t="str">
        <f>IFERROR(__xludf.DUMMYFUNCTION("""COMPUTED_VALUE"""),"Seimoyed")</f>
        <v>Seimoyed</v>
      </c>
    </row>
    <row r="10510">
      <c r="A10510" s="4" t="str">
        <f>IFERROR(__xludf.DUMMYFUNCTION("""COMPUTED_VALUE"""),"sei-network")</f>
        <v>sei-network</v>
      </c>
      <c r="B10510" s="4" t="str">
        <f>IFERROR(__xludf.DUMMYFUNCTION("""COMPUTED_VALUE"""),"sei")</f>
        <v>sei</v>
      </c>
      <c r="C10510" s="4" t="str">
        <f>IFERROR(__xludf.DUMMYFUNCTION("""COMPUTED_VALUE"""),"Sei")</f>
        <v>Sei</v>
      </c>
    </row>
    <row r="10511">
      <c r="A10511" s="4" t="str">
        <f>IFERROR(__xludf.DUMMYFUNCTION("""COMPUTED_VALUE"""),"seipex-credits")</f>
        <v>seipex-credits</v>
      </c>
      <c r="B10511" s="4" t="str">
        <f>IFERROR(__xludf.DUMMYFUNCTION("""COMPUTED_VALUE"""),"spex")</f>
        <v>spex</v>
      </c>
      <c r="C10511" s="4" t="str">
        <f>IFERROR(__xludf.DUMMYFUNCTION("""COMPUTED_VALUE"""),"Seipex Credits")</f>
        <v>Seipex Credits</v>
      </c>
    </row>
    <row r="10512">
      <c r="A10512" s="4" t="str">
        <f>IFERROR(__xludf.DUMMYFUNCTION("""COMPUTED_VALUE"""),"seiren-games-network")</f>
        <v>seiren-games-network</v>
      </c>
      <c r="B10512" s="4" t="str">
        <f>IFERROR(__xludf.DUMMYFUNCTION("""COMPUTED_VALUE"""),"serg")</f>
        <v>serg</v>
      </c>
      <c r="C10512" s="4" t="str">
        <f>IFERROR(__xludf.DUMMYFUNCTION("""COMPUTED_VALUE"""),"Seiren Games Network")</f>
        <v>Seiren Games Network</v>
      </c>
    </row>
    <row r="10513">
      <c r="A10513" s="4" t="str">
        <f>IFERROR(__xludf.DUMMYFUNCTION("""COMPUTED_VALUE"""),"seiwhale")</f>
        <v>seiwhale</v>
      </c>
      <c r="B10513" s="4" t="str">
        <f>IFERROR(__xludf.DUMMYFUNCTION("""COMPUTED_VALUE"""),"sei")</f>
        <v>sei</v>
      </c>
      <c r="C10513" s="4" t="str">
        <f>IFERROR(__xludf.DUMMYFUNCTION("""COMPUTED_VALUE"""),"SeiWhale")</f>
        <v>SeiWhale</v>
      </c>
    </row>
    <row r="10514">
      <c r="A10514" s="4" t="str">
        <f>IFERROR(__xludf.DUMMYFUNCTION("""COMPUTED_VALUE"""),"seiyan")</f>
        <v>seiyan</v>
      </c>
      <c r="B10514" s="4" t="str">
        <f>IFERROR(__xludf.DUMMYFUNCTION("""COMPUTED_VALUE"""),"seiyan")</f>
        <v>seiyan</v>
      </c>
      <c r="C10514" s="4" t="str">
        <f>IFERROR(__xludf.DUMMYFUNCTION("""COMPUTED_VALUE"""),"SEIYAN")</f>
        <v>SEIYAN</v>
      </c>
    </row>
    <row r="10515">
      <c r="A10515" s="4" t="str">
        <f>IFERROR(__xludf.DUMMYFUNCTION("""COMPUTED_VALUE"""),"sekai-dao")</f>
        <v>sekai-dao</v>
      </c>
      <c r="B10515" s="4" t="str">
        <f>IFERROR(__xludf.DUMMYFUNCTION("""COMPUTED_VALUE"""),"sekai")</f>
        <v>sekai</v>
      </c>
      <c r="C10515" s="4" t="str">
        <f>IFERROR(__xludf.DUMMYFUNCTION("""COMPUTED_VALUE"""),"Sekai DAO")</f>
        <v>Sekai DAO</v>
      </c>
    </row>
    <row r="10516">
      <c r="A10516" s="4" t="str">
        <f>IFERROR(__xludf.DUMMYFUNCTION("""COMPUTED_VALUE"""),"sekai-glory")</f>
        <v>sekai-glory</v>
      </c>
      <c r="B10516" s="4" t="str">
        <f>IFERROR(__xludf.DUMMYFUNCTION("""COMPUTED_VALUE"""),"glory")</f>
        <v>glory</v>
      </c>
      <c r="C10516" s="4" t="str">
        <f>IFERROR(__xludf.DUMMYFUNCTION("""COMPUTED_VALUE"""),"Sekai Glory")</f>
        <v>Sekai Glory</v>
      </c>
    </row>
    <row r="10517">
      <c r="A10517" s="4" t="str">
        <f>IFERROR(__xludf.DUMMYFUNCTION("""COMPUTED_VALUE"""),"sekuritance")</f>
        <v>sekuritance</v>
      </c>
      <c r="B10517" s="4" t="str">
        <f>IFERROR(__xludf.DUMMYFUNCTION("""COMPUTED_VALUE"""),"skrt")</f>
        <v>skrt</v>
      </c>
      <c r="C10517" s="4" t="str">
        <f>IFERROR(__xludf.DUMMYFUNCTION("""COMPUTED_VALUE"""),"Sekuritance")</f>
        <v>Sekuritance</v>
      </c>
    </row>
    <row r="10518">
      <c r="A10518" s="4" t="str">
        <f>IFERROR(__xludf.DUMMYFUNCTION("""COMPUTED_VALUE"""),"selfbar")</f>
        <v>selfbar</v>
      </c>
      <c r="B10518" s="4" t="str">
        <f>IFERROR(__xludf.DUMMYFUNCTION("""COMPUTED_VALUE"""),"sbar")</f>
        <v>sbar</v>
      </c>
      <c r="C10518" s="4" t="str">
        <f>IFERROR(__xludf.DUMMYFUNCTION("""COMPUTED_VALUE"""),"Selfbar")</f>
        <v>Selfbar</v>
      </c>
    </row>
    <row r="10519">
      <c r="A10519" s="4" t="str">
        <f>IFERROR(__xludf.DUMMYFUNCTION("""COMPUTED_VALUE"""),"selfcrypto")</f>
        <v>selfcrypto</v>
      </c>
      <c r="B10519" s="4" t="str">
        <f>IFERROR(__xludf.DUMMYFUNCTION("""COMPUTED_VALUE"""),"self")</f>
        <v>self</v>
      </c>
      <c r="C10519" s="4" t="str">
        <f>IFERROR(__xludf.DUMMYFUNCTION("""COMPUTED_VALUE"""),"SELFCrypto")</f>
        <v>SELFCrypto</v>
      </c>
    </row>
    <row r="10520">
      <c r="A10520" s="4" t="str">
        <f>IFERROR(__xludf.DUMMYFUNCTION("""COMPUTED_VALUE"""),"selfkey")</f>
        <v>selfkey</v>
      </c>
      <c r="B10520" s="4" t="str">
        <f>IFERROR(__xludf.DUMMYFUNCTION("""COMPUTED_VALUE"""),"key")</f>
        <v>key</v>
      </c>
      <c r="C10520" s="4" t="str">
        <f>IFERROR(__xludf.DUMMYFUNCTION("""COMPUTED_VALUE"""),"SelfKey")</f>
        <v>SelfKey</v>
      </c>
    </row>
    <row r="10521">
      <c r="A10521" s="4" t="str">
        <f>IFERROR(__xludf.DUMMYFUNCTION("""COMPUTED_VALUE"""),"selfkey-2")</f>
        <v>selfkey-2</v>
      </c>
      <c r="B10521" s="4" t="str">
        <f>IFERROR(__xludf.DUMMYFUNCTION("""COMPUTED_VALUE"""),"self")</f>
        <v>self</v>
      </c>
      <c r="C10521" s="4" t="str">
        <f>IFERROR(__xludf.DUMMYFUNCTION("""COMPUTED_VALUE"""),"SelfKey")</f>
        <v>SelfKey</v>
      </c>
    </row>
    <row r="10522">
      <c r="A10522" s="4" t="str">
        <f>IFERROR(__xludf.DUMMYFUNCTION("""COMPUTED_VALUE"""),"self-operating-ai")</f>
        <v>self-operating-ai</v>
      </c>
      <c r="B10522" s="4" t="str">
        <f>IFERROR(__xludf.DUMMYFUNCTION("""COMPUTED_VALUE"""),"soai")</f>
        <v>soai</v>
      </c>
      <c r="C10522" s="4" t="str">
        <f>IFERROR(__xludf.DUMMYFUNCTION("""COMPUTED_VALUE"""),"Self Operating AI")</f>
        <v>Self Operating AI</v>
      </c>
    </row>
    <row r="10523">
      <c r="A10523" s="4" t="str">
        <f>IFERROR(__xludf.DUMMYFUNCTION("""COMPUTED_VALUE"""),"self-token")</f>
        <v>self-token</v>
      </c>
      <c r="B10523" s="4" t="str">
        <f>IFERROR(__xludf.DUMMYFUNCTION("""COMPUTED_VALUE"""),"self")</f>
        <v>self</v>
      </c>
      <c r="C10523" s="4" t="str">
        <f>IFERROR(__xludf.DUMMYFUNCTION("""COMPUTED_VALUE"""),"Self Token")</f>
        <v>Self Token</v>
      </c>
    </row>
    <row r="10524">
      <c r="A10524" s="4" t="str">
        <f>IFERROR(__xludf.DUMMYFUNCTION("""COMPUTED_VALUE"""),"selo")</f>
        <v>selo</v>
      </c>
      <c r="B10524" s="4" t="str">
        <f>IFERROR(__xludf.DUMMYFUNCTION("""COMPUTED_VALUE"""),"selo")</f>
        <v>selo</v>
      </c>
      <c r="C10524" s="4" t="str">
        <f>IFERROR(__xludf.DUMMYFUNCTION("""COMPUTED_VALUE"""),"Selo")</f>
        <v>Selo</v>
      </c>
    </row>
    <row r="10525">
      <c r="A10525" s="4" t="str">
        <f>IFERROR(__xludf.DUMMYFUNCTION("""COMPUTED_VALUE"""),"sempsunai2-0")</f>
        <v>sempsunai2-0</v>
      </c>
      <c r="B10525" s="4" t="str">
        <f>IFERROR(__xludf.DUMMYFUNCTION("""COMPUTED_VALUE"""),"smai2.0")</f>
        <v>smai2.0</v>
      </c>
      <c r="C10525" s="4" t="str">
        <f>IFERROR(__xludf.DUMMYFUNCTION("""COMPUTED_VALUE"""),"SempsunAi2.0")</f>
        <v>SempsunAi2.0</v>
      </c>
    </row>
    <row r="10526">
      <c r="A10526" s="4" t="str">
        <f>IFERROR(__xludf.DUMMYFUNCTION("""COMPUTED_VALUE"""),"senate")</f>
        <v>senate</v>
      </c>
      <c r="B10526" s="4" t="str">
        <f>IFERROR(__xludf.DUMMYFUNCTION("""COMPUTED_VALUE"""),"senate")</f>
        <v>senate</v>
      </c>
      <c r="C10526" s="4" t="str">
        <f>IFERROR(__xludf.DUMMYFUNCTION("""COMPUTED_VALUE"""),"SENATE")</f>
        <v>SENATE</v>
      </c>
    </row>
    <row r="10527">
      <c r="A10527" s="4" t="str">
        <f>IFERROR(__xludf.DUMMYFUNCTION("""COMPUTED_VALUE"""),"sendcrypto")</f>
        <v>sendcrypto</v>
      </c>
      <c r="B10527" s="4" t="str">
        <f>IFERROR(__xludf.DUMMYFUNCTION("""COMPUTED_VALUE"""),"sendc")</f>
        <v>sendc</v>
      </c>
      <c r="C10527" s="4" t="str">
        <f>IFERROR(__xludf.DUMMYFUNCTION("""COMPUTED_VALUE"""),"SendCrypto")</f>
        <v>SendCrypto</v>
      </c>
    </row>
    <row r="10528">
      <c r="A10528" s="4" t="str">
        <f>IFERROR(__xludf.DUMMYFUNCTION("""COMPUTED_VALUE"""),"sendex-ai")</f>
        <v>sendex-ai</v>
      </c>
      <c r="B10528" s="4" t="str">
        <f>IFERROR(__xludf.DUMMYFUNCTION("""COMPUTED_VALUE"""),"sendex")</f>
        <v>sendex</v>
      </c>
      <c r="C10528" s="4" t="str">
        <f>IFERROR(__xludf.DUMMYFUNCTION("""COMPUTED_VALUE"""),"Sendex AI")</f>
        <v>Sendex AI</v>
      </c>
    </row>
    <row r="10529">
      <c r="A10529" s="4" t="str">
        <f>IFERROR(__xludf.DUMMYFUNCTION("""COMPUTED_VALUE"""),"send-finance")</f>
        <v>send-finance</v>
      </c>
      <c r="B10529" s="4" t="str">
        <f>IFERROR(__xludf.DUMMYFUNCTION("""COMPUTED_VALUE"""),"send")</f>
        <v>send</v>
      </c>
      <c r="C10529" s="4" t="str">
        <f>IFERROR(__xludf.DUMMYFUNCTION("""COMPUTED_VALUE"""),"Send Finance")</f>
        <v>Send Finance</v>
      </c>
    </row>
    <row r="10530">
      <c r="A10530" s="4" t="str">
        <f>IFERROR(__xludf.DUMMYFUNCTION("""COMPUTED_VALUE"""),"sendit")</f>
        <v>sendit</v>
      </c>
      <c r="B10530" s="4" t="str">
        <f>IFERROR(__xludf.DUMMYFUNCTION("""COMPUTED_VALUE"""),"sendit")</f>
        <v>sendit</v>
      </c>
      <c r="C10530" s="4" t="str">
        <f>IFERROR(__xludf.DUMMYFUNCTION("""COMPUTED_VALUE"""),"Sendit")</f>
        <v>Sendit</v>
      </c>
    </row>
    <row r="10531">
      <c r="A10531" s="4" t="str">
        <f>IFERROR(__xludf.DUMMYFUNCTION("""COMPUTED_VALUE"""),"sendpicks")</f>
        <v>sendpicks</v>
      </c>
      <c r="B10531" s="4" t="str">
        <f>IFERROR(__xludf.DUMMYFUNCTION("""COMPUTED_VALUE"""),"send")</f>
        <v>send</v>
      </c>
      <c r="C10531" s="4" t="str">
        <f>IFERROR(__xludf.DUMMYFUNCTION("""COMPUTED_VALUE"""),"Sendpicks")</f>
        <v>Sendpicks</v>
      </c>
    </row>
    <row r="10532">
      <c r="A10532" s="4" t="str">
        <f>IFERROR(__xludf.DUMMYFUNCTION("""COMPUTED_VALUE"""),"send-token")</f>
        <v>send-token</v>
      </c>
      <c r="B10532" s="4" t="str">
        <f>IFERROR(__xludf.DUMMYFUNCTION("""COMPUTED_VALUE"""),"send")</f>
        <v>send</v>
      </c>
      <c r="C10532" s="4" t="str">
        <f>IFERROR(__xludf.DUMMYFUNCTION("""COMPUTED_VALUE"""),"/send")</f>
        <v>/send</v>
      </c>
    </row>
    <row r="10533">
      <c r="A10533" s="4" t="str">
        <f>IFERROR(__xludf.DUMMYFUNCTION("""COMPUTED_VALUE"""),"seneca")</f>
        <v>seneca</v>
      </c>
      <c r="B10533" s="4" t="str">
        <f>IFERROR(__xludf.DUMMYFUNCTION("""COMPUTED_VALUE"""),"sen")</f>
        <v>sen</v>
      </c>
      <c r="C10533" s="4" t="str">
        <f>IFERROR(__xludf.DUMMYFUNCTION("""COMPUTED_VALUE"""),"Seneca")</f>
        <v>Seneca</v>
      </c>
    </row>
    <row r="10534">
      <c r="A10534" s="4" t="str">
        <f>IFERROR(__xludf.DUMMYFUNCTION("""COMPUTED_VALUE"""),"seneca-usd")</f>
        <v>seneca-usd</v>
      </c>
      <c r="B10534" s="4" t="str">
        <f>IFERROR(__xludf.DUMMYFUNCTION("""COMPUTED_VALUE"""),"senusd")</f>
        <v>senusd</v>
      </c>
      <c r="C10534" s="4" t="str">
        <f>IFERROR(__xludf.DUMMYFUNCTION("""COMPUTED_VALUE"""),"Seneca USD")</f>
        <v>Seneca USD</v>
      </c>
    </row>
    <row r="10535">
      <c r="A10535" s="4" t="str">
        <f>IFERROR(__xludf.DUMMYFUNCTION("""COMPUTED_VALUE"""),"sensay")</f>
        <v>sensay</v>
      </c>
      <c r="B10535" s="4" t="str">
        <f>IFERROR(__xludf.DUMMYFUNCTION("""COMPUTED_VALUE"""),"snsy")</f>
        <v>snsy</v>
      </c>
      <c r="C10535" s="4" t="str">
        <f>IFERROR(__xludf.DUMMYFUNCTION("""COMPUTED_VALUE"""),"Sensay")</f>
        <v>Sensay</v>
      </c>
    </row>
    <row r="10536">
      <c r="A10536" s="4" t="str">
        <f>IFERROR(__xludf.DUMMYFUNCTION("""COMPUTED_VALUE"""),"sense4fit")</f>
        <v>sense4fit</v>
      </c>
      <c r="B10536" s="4" t="str">
        <f>IFERROR(__xludf.DUMMYFUNCTION("""COMPUTED_VALUE"""),"sfit")</f>
        <v>sfit</v>
      </c>
      <c r="C10536" s="4" t="str">
        <f>IFERROR(__xludf.DUMMYFUNCTION("""COMPUTED_VALUE"""),"Sense4FIT")</f>
        <v>Sense4FIT</v>
      </c>
    </row>
    <row r="10537">
      <c r="A10537" s="4" t="str">
        <f>IFERROR(__xludf.DUMMYFUNCTION("""COMPUTED_VALUE"""),"sensei-dog")</f>
        <v>sensei-dog</v>
      </c>
      <c r="B10537" s="4" t="str">
        <f>IFERROR(__xludf.DUMMYFUNCTION("""COMPUTED_VALUE"""),"sensei")</f>
        <v>sensei</v>
      </c>
      <c r="C10537" s="4" t="str">
        <f>IFERROR(__xludf.DUMMYFUNCTION("""COMPUTED_VALUE"""),"Sensei Dog")</f>
        <v>Sensei Dog</v>
      </c>
    </row>
    <row r="10538">
      <c r="A10538" s="4" t="str">
        <f>IFERROR(__xludf.DUMMYFUNCTION("""COMPUTED_VALUE"""),"sensi")</f>
        <v>sensi</v>
      </c>
      <c r="B10538" s="4" t="str">
        <f>IFERROR(__xludf.DUMMYFUNCTION("""COMPUTED_VALUE"""),"sensi")</f>
        <v>sensi</v>
      </c>
      <c r="C10538" s="4" t="str">
        <f>IFERROR(__xludf.DUMMYFUNCTION("""COMPUTED_VALUE"""),"Sensi")</f>
        <v>Sensi</v>
      </c>
    </row>
    <row r="10539">
      <c r="A10539" s="4" t="str">
        <f>IFERROR(__xludf.DUMMYFUNCTION("""COMPUTED_VALUE"""),"sensitrust")</f>
        <v>sensitrust</v>
      </c>
      <c r="B10539" s="4" t="str">
        <f>IFERROR(__xludf.DUMMYFUNCTION("""COMPUTED_VALUE"""),"sets")</f>
        <v>sets</v>
      </c>
      <c r="C10539" s="4" t="str">
        <f>IFERROR(__xludf.DUMMYFUNCTION("""COMPUTED_VALUE"""),"Sensitrust")</f>
        <v>Sensitrust</v>
      </c>
    </row>
    <row r="10540">
      <c r="A10540" s="4" t="str">
        <f>IFERROR(__xludf.DUMMYFUNCTION("""COMPUTED_VALUE"""),"senso")</f>
        <v>senso</v>
      </c>
      <c r="B10540" s="4" t="str">
        <f>IFERROR(__xludf.DUMMYFUNCTION("""COMPUTED_VALUE"""),"senso")</f>
        <v>senso</v>
      </c>
      <c r="C10540" s="4" t="str">
        <f>IFERROR(__xludf.DUMMYFUNCTION("""COMPUTED_VALUE"""),"SENSO")</f>
        <v>SENSO</v>
      </c>
    </row>
    <row r="10541">
      <c r="A10541" s="4" t="str">
        <f>IFERROR(__xludf.DUMMYFUNCTION("""COMPUTED_VALUE"""),"senspark")</f>
        <v>senspark</v>
      </c>
      <c r="B10541" s="4" t="str">
        <f>IFERROR(__xludf.DUMMYFUNCTION("""COMPUTED_VALUE"""),"sen")</f>
        <v>sen</v>
      </c>
      <c r="C10541" s="4" t="str">
        <f>IFERROR(__xludf.DUMMYFUNCTION("""COMPUTED_VALUE"""),"Senspark")</f>
        <v>Senspark</v>
      </c>
    </row>
    <row r="10542">
      <c r="A10542" s="4" t="str">
        <f>IFERROR(__xludf.DUMMYFUNCTION("""COMPUTED_VALUE"""),"sentimentai")</f>
        <v>sentimentai</v>
      </c>
      <c r="B10542" s="4" t="str">
        <f>IFERROR(__xludf.DUMMYFUNCTION("""COMPUTED_VALUE"""),"sent")</f>
        <v>sent</v>
      </c>
      <c r="C10542" s="4" t="str">
        <f>IFERROR(__xludf.DUMMYFUNCTION("""COMPUTED_VALUE"""),"SentimentAI")</f>
        <v>SentimentAI</v>
      </c>
    </row>
    <row r="10543">
      <c r="A10543" s="4" t="str">
        <f>IFERROR(__xludf.DUMMYFUNCTION("""COMPUTED_VALUE"""),"sentiment-token")</f>
        <v>sentiment-token</v>
      </c>
      <c r="B10543" s="4" t="str">
        <f>IFERROR(__xludf.DUMMYFUNCTION("""COMPUTED_VALUE"""),"sent")</f>
        <v>sent</v>
      </c>
      <c r="C10543" s="4" t="str">
        <f>IFERROR(__xludf.DUMMYFUNCTION("""COMPUTED_VALUE"""),"Sentiment")</f>
        <v>Sentiment</v>
      </c>
    </row>
    <row r="10544">
      <c r="A10544" s="4" t="str">
        <f>IFERROR(__xludf.DUMMYFUNCTION("""COMPUTED_VALUE"""),"sentinel")</f>
        <v>sentinel</v>
      </c>
      <c r="B10544" s="4" t="str">
        <f>IFERROR(__xludf.DUMMYFUNCTION("""COMPUTED_VALUE"""),"dvpn")</f>
        <v>dvpn</v>
      </c>
      <c r="C10544" s="4" t="str">
        <f>IFERROR(__xludf.DUMMYFUNCTION("""COMPUTED_VALUE"""),"Sentinel")</f>
        <v>Sentinel</v>
      </c>
    </row>
    <row r="10545">
      <c r="A10545" s="4" t="str">
        <f>IFERROR(__xludf.DUMMYFUNCTION("""COMPUTED_VALUE"""),"sentinel-ai")</f>
        <v>sentinel-ai</v>
      </c>
      <c r="B10545" s="4" t="str">
        <f>IFERROR(__xludf.DUMMYFUNCTION("""COMPUTED_VALUE"""),"senai")</f>
        <v>senai</v>
      </c>
      <c r="C10545" s="4" t="str">
        <f>IFERROR(__xludf.DUMMYFUNCTION("""COMPUTED_VALUE"""),"Sentinel AI")</f>
        <v>Sentinel AI</v>
      </c>
    </row>
    <row r="10546">
      <c r="A10546" s="4" t="str">
        <f>IFERROR(__xludf.DUMMYFUNCTION("""COMPUTED_VALUE"""),"sentinel-bot-ai")</f>
        <v>sentinel-bot-ai</v>
      </c>
      <c r="B10546" s="4" t="str">
        <f>IFERROR(__xludf.DUMMYFUNCTION("""COMPUTED_VALUE"""),"snt")</f>
        <v>snt</v>
      </c>
      <c r="C10546" s="4" t="str">
        <f>IFERROR(__xludf.DUMMYFUNCTION("""COMPUTED_VALUE"""),"Sentinel Bot Ai")</f>
        <v>Sentinel Bot Ai</v>
      </c>
    </row>
    <row r="10547">
      <c r="A10547" s="4" t="str">
        <f>IFERROR(__xludf.DUMMYFUNCTION("""COMPUTED_VALUE"""),"sentinel-chain")</f>
        <v>sentinel-chain</v>
      </c>
      <c r="B10547" s="4" t="str">
        <f>IFERROR(__xludf.DUMMYFUNCTION("""COMPUTED_VALUE"""),"senc")</f>
        <v>senc</v>
      </c>
      <c r="C10547" s="4" t="str">
        <f>IFERROR(__xludf.DUMMYFUNCTION("""COMPUTED_VALUE"""),"Sentinel Chain")</f>
        <v>Sentinel Chain</v>
      </c>
    </row>
    <row r="10548">
      <c r="A10548" s="4" t="str">
        <f>IFERROR(__xludf.DUMMYFUNCTION("""COMPUTED_VALUE"""),"sentinel-group")</f>
        <v>sentinel-group</v>
      </c>
      <c r="B10548" s="4" t="str">
        <f>IFERROR(__xludf.DUMMYFUNCTION("""COMPUTED_VALUE"""),"dvpn")</f>
        <v>dvpn</v>
      </c>
      <c r="C10548" s="4" t="str">
        <f>IFERROR(__xludf.DUMMYFUNCTION("""COMPUTED_VALUE"""),"Sentinel [OLD]")</f>
        <v>Sentinel [OLD]</v>
      </c>
    </row>
    <row r="10549">
      <c r="A10549" s="4" t="str">
        <f>IFERROR(__xludf.DUMMYFUNCTION("""COMPUTED_VALUE"""),"sentinel-protocol")</f>
        <v>sentinel-protocol</v>
      </c>
      <c r="B10549" s="4" t="str">
        <f>IFERROR(__xludf.DUMMYFUNCTION("""COMPUTED_VALUE"""),"upp")</f>
        <v>upp</v>
      </c>
      <c r="C10549" s="4" t="str">
        <f>IFERROR(__xludf.DUMMYFUNCTION("""COMPUTED_VALUE"""),"Sentinel Protocol")</f>
        <v>Sentinel Protocol</v>
      </c>
    </row>
    <row r="10550">
      <c r="A10550" s="4" t="str">
        <f>IFERROR(__xludf.DUMMYFUNCTION("""COMPUTED_VALUE"""),"sentre")</f>
        <v>sentre</v>
      </c>
      <c r="B10550" s="4" t="str">
        <f>IFERROR(__xludf.DUMMYFUNCTION("""COMPUTED_VALUE"""),"sntr")</f>
        <v>sntr</v>
      </c>
      <c r="C10550" s="4" t="str">
        <f>IFERROR(__xludf.DUMMYFUNCTION("""COMPUTED_VALUE"""),"Sentre")</f>
        <v>Sentre</v>
      </c>
    </row>
    <row r="10551">
      <c r="A10551" s="4" t="str">
        <f>IFERROR(__xludf.DUMMYFUNCTION("""COMPUTED_VALUE"""),"seor-network")</f>
        <v>seor-network</v>
      </c>
      <c r="B10551" s="4" t="str">
        <f>IFERROR(__xludf.DUMMYFUNCTION("""COMPUTED_VALUE"""),"seor")</f>
        <v>seor</v>
      </c>
      <c r="C10551" s="4" t="str">
        <f>IFERROR(__xludf.DUMMYFUNCTION("""COMPUTED_VALUE"""),"SEOR Network")</f>
        <v>SEOR Network</v>
      </c>
    </row>
    <row r="10552">
      <c r="A10552" s="4" t="str">
        <f>IFERROR(__xludf.DUMMYFUNCTION("""COMPUTED_VALUE"""),"serbian-dancing-lady")</f>
        <v>serbian-dancing-lady</v>
      </c>
      <c r="B10552" s="4" t="str">
        <f>IFERROR(__xludf.DUMMYFUNCTION("""COMPUTED_VALUE"""),"сербскаяле")</f>
        <v>сербскаяле</v>
      </c>
      <c r="C10552" s="4" t="str">
        <f>IFERROR(__xludf.DUMMYFUNCTION("""COMPUTED_VALUE"""),"SERBIAN DANCING LADY")</f>
        <v>SERBIAN DANCING LADY</v>
      </c>
    </row>
    <row r="10553">
      <c r="A10553" s="4" t="str">
        <f>IFERROR(__xludf.DUMMYFUNCTION("""COMPUTED_VALUE"""),"serenity-shield")</f>
        <v>serenity-shield</v>
      </c>
      <c r="B10553" s="4" t="str">
        <f>IFERROR(__xludf.DUMMYFUNCTION("""COMPUTED_VALUE"""),"sersh")</f>
        <v>sersh</v>
      </c>
      <c r="C10553" s="4" t="str">
        <f>IFERROR(__xludf.DUMMYFUNCTION("""COMPUTED_VALUE"""),"Serenity Shield")</f>
        <v>Serenity Shield</v>
      </c>
    </row>
    <row r="10554">
      <c r="A10554" s="4" t="str">
        <f>IFERROR(__xludf.DUMMYFUNCTION("""COMPUTED_VALUE"""),"serum")</f>
        <v>serum</v>
      </c>
      <c r="B10554" s="4" t="str">
        <f>IFERROR(__xludf.DUMMYFUNCTION("""COMPUTED_VALUE"""),"srm")</f>
        <v>srm</v>
      </c>
      <c r="C10554" s="4" t="str">
        <f>IFERROR(__xludf.DUMMYFUNCTION("""COMPUTED_VALUE"""),"Serum")</f>
        <v>Serum</v>
      </c>
    </row>
    <row r="10555">
      <c r="A10555" s="4" t="str">
        <f>IFERROR(__xludf.DUMMYFUNCTION("""COMPUTED_VALUE"""),"serum-ser")</f>
        <v>serum-ser</v>
      </c>
      <c r="B10555" s="4" t="str">
        <f>IFERROR(__xludf.DUMMYFUNCTION("""COMPUTED_VALUE"""),"ser")</f>
        <v>ser</v>
      </c>
      <c r="C10555" s="4" t="str">
        <f>IFERROR(__xludf.DUMMYFUNCTION("""COMPUTED_VALUE"""),"Serum SER")</f>
        <v>Serum SER</v>
      </c>
    </row>
    <row r="10556">
      <c r="A10556" s="4" t="str">
        <f>IFERROR(__xludf.DUMMYFUNCTION("""COMPUTED_VALUE"""),"sesterce")</f>
        <v>sesterce</v>
      </c>
      <c r="B10556" s="4" t="str">
        <f>IFERROR(__xludf.DUMMYFUNCTION("""COMPUTED_VALUE"""),"ses")</f>
        <v>ses</v>
      </c>
      <c r="C10556" s="4" t="str">
        <f>IFERROR(__xludf.DUMMYFUNCTION("""COMPUTED_VALUE"""),"Sesterce")</f>
        <v>Sesterce</v>
      </c>
    </row>
    <row r="10557">
      <c r="A10557" s="4" t="str">
        <f>IFERROR(__xludf.DUMMYFUNCTION("""COMPUTED_VALUE"""),"seth")</f>
        <v>seth</v>
      </c>
      <c r="B10557" s="4" t="str">
        <f>IFERROR(__xludf.DUMMYFUNCTION("""COMPUTED_VALUE"""),"seth")</f>
        <v>seth</v>
      </c>
      <c r="C10557" s="4" t="str">
        <f>IFERROR(__xludf.DUMMYFUNCTION("""COMPUTED_VALUE"""),"sETH")</f>
        <v>sETH</v>
      </c>
    </row>
    <row r="10558">
      <c r="A10558" s="4" t="str">
        <f>IFERROR(__xludf.DUMMYFUNCTION("""COMPUTED_VALUE"""),"seth2")</f>
        <v>seth2</v>
      </c>
      <c r="B10558" s="4" t="str">
        <f>IFERROR(__xludf.DUMMYFUNCTION("""COMPUTED_VALUE"""),"seth2")</f>
        <v>seth2</v>
      </c>
      <c r="C10558" s="4" t="str">
        <f>IFERROR(__xludf.DUMMYFUNCTION("""COMPUTED_VALUE"""),"sETH2")</f>
        <v>sETH2</v>
      </c>
    </row>
    <row r="10559">
      <c r="A10559" s="4" t="str">
        <f>IFERROR(__xludf.DUMMYFUNCTION("""COMPUTED_VALUE"""),"settled-ethxy-token")</f>
        <v>settled-ethxy-token</v>
      </c>
      <c r="B10559" s="4" t="str">
        <f>IFERROR(__xludf.DUMMYFUNCTION("""COMPUTED_VALUE"""),"sexy")</f>
        <v>sexy</v>
      </c>
      <c r="C10559" s="4" t="str">
        <f>IFERROR(__xludf.DUMMYFUNCTION("""COMPUTED_VALUE"""),"Settled EthXY Token")</f>
        <v>Settled EthXY Token</v>
      </c>
    </row>
    <row r="10560">
      <c r="A10560" s="4" t="str">
        <f>IFERROR(__xludf.DUMMYFUNCTION("""COMPUTED_VALUE"""),"seur")</f>
        <v>seur</v>
      </c>
      <c r="B10560" s="4" t="str">
        <f>IFERROR(__xludf.DUMMYFUNCTION("""COMPUTED_VALUE"""),"seur")</f>
        <v>seur</v>
      </c>
      <c r="C10560" s="4" t="str">
        <f>IFERROR(__xludf.DUMMYFUNCTION("""COMPUTED_VALUE"""),"sEUR")</f>
        <v>sEUR</v>
      </c>
    </row>
    <row r="10561">
      <c r="A10561" s="4" t="str">
        <f>IFERROR(__xludf.DUMMYFUNCTION("""COMPUTED_VALUE"""),"sevilla-fan-token")</f>
        <v>sevilla-fan-token</v>
      </c>
      <c r="B10561" s="4" t="str">
        <f>IFERROR(__xludf.DUMMYFUNCTION("""COMPUTED_VALUE"""),"sevilla")</f>
        <v>sevilla</v>
      </c>
      <c r="C10561" s="4" t="str">
        <f>IFERROR(__xludf.DUMMYFUNCTION("""COMPUTED_VALUE"""),"Sevilla Fan Token")</f>
        <v>Sevilla Fan Token</v>
      </c>
    </row>
    <row r="10562">
      <c r="A10562" s="4" t="str">
        <f>IFERROR(__xludf.DUMMYFUNCTION("""COMPUTED_VALUE"""),"sexone")</f>
        <v>sexone</v>
      </c>
      <c r="B10562" s="4" t="str">
        <f>IFERROR(__xludf.DUMMYFUNCTION("""COMPUTED_VALUE"""),"sex")</f>
        <v>sex</v>
      </c>
      <c r="C10562" s="4" t="str">
        <f>IFERROR(__xludf.DUMMYFUNCTION("""COMPUTED_VALUE"""),"Sexone")</f>
        <v>Sexone</v>
      </c>
    </row>
    <row r="10563">
      <c r="A10563" s="4" t="str">
        <f>IFERROR(__xludf.DUMMYFUNCTION("""COMPUTED_VALUE"""),"s-finance")</f>
        <v>s-finance</v>
      </c>
      <c r="B10563" s="4" t="str">
        <f>IFERROR(__xludf.DUMMYFUNCTION("""COMPUTED_VALUE"""),"sfg")</f>
        <v>sfg</v>
      </c>
      <c r="C10563" s="4" t="str">
        <f>IFERROR(__xludf.DUMMYFUNCTION("""COMPUTED_VALUE"""),"S.Finance")</f>
        <v>S.Finance</v>
      </c>
    </row>
    <row r="10564">
      <c r="A10564" s="4" t="str">
        <f>IFERROR(__xludf.DUMMYFUNCTION("""COMPUTED_VALUE"""),"shack")</f>
        <v>shack</v>
      </c>
      <c r="B10564" s="4" t="str">
        <f>IFERROR(__xludf.DUMMYFUNCTION("""COMPUTED_VALUE"""),"shack")</f>
        <v>shack</v>
      </c>
      <c r="C10564" s="4" t="str">
        <f>IFERROR(__xludf.DUMMYFUNCTION("""COMPUTED_VALUE"""),"Shack")</f>
        <v>Shack</v>
      </c>
    </row>
    <row r="10565">
      <c r="A10565" s="4" t="str">
        <f>IFERROR(__xludf.DUMMYFUNCTION("""COMPUTED_VALUE"""),"shackleford")</f>
        <v>shackleford</v>
      </c>
      <c r="B10565" s="4" t="str">
        <f>IFERROR(__xludf.DUMMYFUNCTION("""COMPUTED_VALUE"""),"shack")</f>
        <v>shack</v>
      </c>
      <c r="C10565" s="4" t="str">
        <f>IFERROR(__xludf.DUMMYFUNCTION("""COMPUTED_VALUE"""),"Shackleford")</f>
        <v>Shackleford</v>
      </c>
    </row>
    <row r="10566">
      <c r="A10566" s="4" t="str">
        <f>IFERROR(__xludf.DUMMYFUNCTION("""COMPUTED_VALUE"""),"shade-cash")</f>
        <v>shade-cash</v>
      </c>
      <c r="B10566" s="4" t="str">
        <f>IFERROR(__xludf.DUMMYFUNCTION("""COMPUTED_VALUE"""),"shade")</f>
        <v>shade</v>
      </c>
      <c r="C10566" s="4" t="str">
        <f>IFERROR(__xludf.DUMMYFUNCTION("""COMPUTED_VALUE"""),"Shade Cash")</f>
        <v>Shade Cash</v>
      </c>
    </row>
    <row r="10567">
      <c r="A10567" s="4" t="str">
        <f>IFERROR(__xludf.DUMMYFUNCTION("""COMPUTED_VALUE"""),"shade-protocol")</f>
        <v>shade-protocol</v>
      </c>
      <c r="B10567" s="4" t="str">
        <f>IFERROR(__xludf.DUMMYFUNCTION("""COMPUTED_VALUE"""),"shd")</f>
        <v>shd</v>
      </c>
      <c r="C10567" s="4" t="str">
        <f>IFERROR(__xludf.DUMMYFUNCTION("""COMPUTED_VALUE"""),"Shade Protocol")</f>
        <v>Shade Protocol</v>
      </c>
    </row>
    <row r="10568">
      <c r="A10568" s="4" t="str">
        <f>IFERROR(__xludf.DUMMYFUNCTION("""COMPUTED_VALUE"""),"shadow")</f>
        <v>shadow</v>
      </c>
      <c r="B10568" s="4" t="str">
        <f>IFERROR(__xludf.DUMMYFUNCTION("""COMPUTED_VALUE"""),"shdw")</f>
        <v>shdw</v>
      </c>
      <c r="C10568" s="4" t="str">
        <f>IFERROR(__xludf.DUMMYFUNCTION("""COMPUTED_VALUE"""),"SHADOW")</f>
        <v>SHADOW</v>
      </c>
    </row>
    <row r="10569">
      <c r="A10569" s="4" t="str">
        <f>IFERROR(__xludf.DUMMYFUNCTION("""COMPUTED_VALUE"""),"shadowcats")</f>
        <v>shadowcats</v>
      </c>
      <c r="B10569" s="4" t="str">
        <f>IFERROR(__xludf.DUMMYFUNCTION("""COMPUTED_VALUE"""),"shadowcats")</f>
        <v>shadowcats</v>
      </c>
      <c r="C10569" s="4" t="str">
        <f>IFERROR(__xludf.DUMMYFUNCTION("""COMPUTED_VALUE"""),"Shadowcats")</f>
        <v>Shadowcats</v>
      </c>
    </row>
    <row r="10570">
      <c r="A10570" s="4" t="str">
        <f>IFERROR(__xludf.DUMMYFUNCTION("""COMPUTED_VALUE"""),"shadowfi-2")</f>
        <v>shadowfi-2</v>
      </c>
      <c r="B10570" s="4" t="str">
        <f>IFERROR(__xludf.DUMMYFUNCTION("""COMPUTED_VALUE"""),"sdf")</f>
        <v>sdf</v>
      </c>
      <c r="C10570" s="4" t="str">
        <f>IFERROR(__xludf.DUMMYFUNCTION("""COMPUTED_VALUE"""),"ShadowFi")</f>
        <v>ShadowFi</v>
      </c>
    </row>
    <row r="10571">
      <c r="A10571" s="4" t="str">
        <f>IFERROR(__xludf.DUMMYFUNCTION("""COMPUTED_VALUE"""),"shadowladys-dn404")</f>
        <v>shadowladys-dn404</v>
      </c>
      <c r="B10571" s="4" t="str">
        <f>IFERROR(__xludf.DUMMYFUNCTION("""COMPUTED_VALUE"""),"$shadow")</f>
        <v>$shadow</v>
      </c>
      <c r="C10571" s="4" t="str">
        <f>IFERROR(__xludf.DUMMYFUNCTION("""COMPUTED_VALUE"""),"Shadowladys DN404")</f>
        <v>Shadowladys DN404</v>
      </c>
    </row>
    <row r="10572">
      <c r="A10572" s="4" t="str">
        <f>IFERROR(__xludf.DUMMYFUNCTION("""COMPUTED_VALUE"""),"shadow-node")</f>
        <v>shadow-node</v>
      </c>
      <c r="B10572" s="4" t="str">
        <f>IFERROR(__xludf.DUMMYFUNCTION("""COMPUTED_VALUE"""),"svpn")</f>
        <v>svpn</v>
      </c>
      <c r="C10572" s="4" t="str">
        <f>IFERROR(__xludf.DUMMYFUNCTION("""COMPUTED_VALUE"""),"Shadow Node")</f>
        <v>Shadow Node</v>
      </c>
    </row>
    <row r="10573">
      <c r="A10573" s="4" t="str">
        <f>IFERROR(__xludf.DUMMYFUNCTION("""COMPUTED_VALUE"""),"shadows")</f>
        <v>shadows</v>
      </c>
      <c r="B10573" s="4" t="str">
        <f>IFERROR(__xludf.DUMMYFUNCTION("""COMPUTED_VALUE"""),"dows")</f>
        <v>dows</v>
      </c>
      <c r="C10573" s="4" t="str">
        <f>IFERROR(__xludf.DUMMYFUNCTION("""COMPUTED_VALUE"""),"Shadows")</f>
        <v>Shadows</v>
      </c>
    </row>
    <row r="10574">
      <c r="A10574" s="4" t="str">
        <f>IFERROR(__xludf.DUMMYFUNCTION("""COMPUTED_VALUE"""),"shadowswap-token")</f>
        <v>shadowswap-token</v>
      </c>
      <c r="B10574" s="4" t="str">
        <f>IFERROR(__xludf.DUMMYFUNCTION("""COMPUTED_VALUE"""),"shdw")</f>
        <v>shdw</v>
      </c>
      <c r="C10574" s="4" t="str">
        <f>IFERROR(__xludf.DUMMYFUNCTION("""COMPUTED_VALUE"""),"ShadowSwap Token")</f>
        <v>ShadowSwap Token</v>
      </c>
    </row>
    <row r="10575">
      <c r="A10575" s="4" t="str">
        <f>IFERROR(__xludf.DUMMYFUNCTION("""COMPUTED_VALUE"""),"shadowtokens-bridged-usdc-elastos")</f>
        <v>shadowtokens-bridged-usdc-elastos</v>
      </c>
      <c r="B10575" s="4" t="str">
        <f>IFERROR(__xludf.DUMMYFUNCTION("""COMPUTED_VALUE"""),"usdc")</f>
        <v>usdc</v>
      </c>
      <c r="C10575" s="4" t="str">
        <f>IFERROR(__xludf.DUMMYFUNCTION("""COMPUTED_VALUE"""),"ShadowTokens Bridged USDC (Elastos)")</f>
        <v>ShadowTokens Bridged USDC (Elastos)</v>
      </c>
    </row>
    <row r="10576">
      <c r="A10576" s="4" t="str">
        <f>IFERROR(__xludf.DUMMYFUNCTION("""COMPUTED_VALUE"""),"shadow-wizard-money-gang")</f>
        <v>shadow-wizard-money-gang</v>
      </c>
      <c r="B10576" s="4" t="str">
        <f>IFERROR(__xludf.DUMMYFUNCTION("""COMPUTED_VALUE"""),"gang")</f>
        <v>gang</v>
      </c>
      <c r="C10576" s="4" t="str">
        <f>IFERROR(__xludf.DUMMYFUNCTION("""COMPUTED_VALUE"""),"Shadow Wizard Money Gang")</f>
        <v>Shadow Wizard Money Gang</v>
      </c>
    </row>
    <row r="10577">
      <c r="A10577" s="4" t="str">
        <f>IFERROR(__xludf.DUMMYFUNCTION("""COMPUTED_VALUE"""),"shakita-inu")</f>
        <v>shakita-inu</v>
      </c>
      <c r="B10577" s="4" t="str">
        <f>IFERROR(__xludf.DUMMYFUNCTION("""COMPUTED_VALUE"""),"shak")</f>
        <v>shak</v>
      </c>
      <c r="C10577" s="4" t="str">
        <f>IFERROR(__xludf.DUMMYFUNCTION("""COMPUTED_VALUE"""),"Shakita Inu")</f>
        <v>Shakita Inu</v>
      </c>
    </row>
    <row r="10578">
      <c r="A10578" s="4" t="str">
        <f>IFERROR(__xludf.DUMMYFUNCTION("""COMPUTED_VALUE"""),"shambala")</f>
        <v>shambala</v>
      </c>
      <c r="B10578" s="4" t="str">
        <f>IFERROR(__xludf.DUMMYFUNCTION("""COMPUTED_VALUE"""),"bala")</f>
        <v>bala</v>
      </c>
      <c r="C10578" s="4" t="str">
        <f>IFERROR(__xludf.DUMMYFUNCTION("""COMPUTED_VALUE"""),"Shambala")</f>
        <v>Shambala</v>
      </c>
    </row>
    <row r="10579">
      <c r="A10579" s="4" t="str">
        <f>IFERROR(__xludf.DUMMYFUNCTION("""COMPUTED_VALUE"""),"shanghai-inu")</f>
        <v>shanghai-inu</v>
      </c>
      <c r="B10579" s="4" t="str">
        <f>IFERROR(__xludf.DUMMYFUNCTION("""COMPUTED_VALUE"""),"shang")</f>
        <v>shang</v>
      </c>
      <c r="C10579" s="4" t="str">
        <f>IFERROR(__xludf.DUMMYFUNCTION("""COMPUTED_VALUE"""),"Shanghai Inu")</f>
        <v>Shanghai Inu</v>
      </c>
    </row>
    <row r="10580">
      <c r="A10580" s="4" t="str">
        <f>IFERROR(__xludf.DUMMYFUNCTION("""COMPUTED_VALUE"""),"shanum")</f>
        <v>shanum</v>
      </c>
      <c r="B10580" s="4" t="str">
        <f>IFERROR(__xludf.DUMMYFUNCTION("""COMPUTED_VALUE"""),"shan")</f>
        <v>shan</v>
      </c>
      <c r="C10580" s="4" t="str">
        <f>IFERROR(__xludf.DUMMYFUNCTION("""COMPUTED_VALUE"""),"Shanum")</f>
        <v>Shanum</v>
      </c>
    </row>
    <row r="10581">
      <c r="A10581" s="4" t="str">
        <f>IFERROR(__xludf.DUMMYFUNCTION("""COMPUTED_VALUE"""),"shapeshift-fox-token")</f>
        <v>shapeshift-fox-token</v>
      </c>
      <c r="B10581" s="4" t="str">
        <f>IFERROR(__xludf.DUMMYFUNCTION("""COMPUTED_VALUE"""),"fox")</f>
        <v>fox</v>
      </c>
      <c r="C10581" s="4" t="str">
        <f>IFERROR(__xludf.DUMMYFUNCTION("""COMPUTED_VALUE"""),"ShapeShift FOX")</f>
        <v>ShapeShift FOX</v>
      </c>
    </row>
    <row r="10582">
      <c r="A10582" s="4" t="str">
        <f>IFERROR(__xludf.DUMMYFUNCTION("""COMPUTED_VALUE"""),"sharbi")</f>
        <v>sharbi</v>
      </c>
      <c r="B10582" s="4" t="str">
        <f>IFERROR(__xludf.DUMMYFUNCTION("""COMPUTED_VALUE"""),"$sharbi")</f>
        <v>$sharbi</v>
      </c>
      <c r="C10582" s="4" t="str">
        <f>IFERROR(__xludf.DUMMYFUNCTION("""COMPUTED_VALUE"""),"Sharbi")</f>
        <v>Sharbi</v>
      </c>
    </row>
    <row r="10583">
      <c r="A10583" s="4" t="str">
        <f>IFERROR(__xludf.DUMMYFUNCTION("""COMPUTED_VALUE"""),"shardeum")</f>
        <v>shardeum</v>
      </c>
      <c r="B10583" s="4" t="str">
        <f>IFERROR(__xludf.DUMMYFUNCTION("""COMPUTED_VALUE"""),"shm")</f>
        <v>shm</v>
      </c>
      <c r="C10583" s="4" t="str">
        <f>IFERROR(__xludf.DUMMYFUNCTION("""COMPUTED_VALUE"""),"Shardeum")</f>
        <v>Shardeum</v>
      </c>
    </row>
    <row r="10584">
      <c r="A10584" s="4" t="str">
        <f>IFERROR(__xludf.DUMMYFUNCTION("""COMPUTED_VALUE"""),"shardus")</f>
        <v>shardus</v>
      </c>
      <c r="B10584" s="4" t="str">
        <f>IFERROR(__xludf.DUMMYFUNCTION("""COMPUTED_VALUE"""),"ult")</f>
        <v>ult</v>
      </c>
      <c r="C10584" s="4" t="str">
        <f>IFERROR(__xludf.DUMMYFUNCTION("""COMPUTED_VALUE"""),"Shardus")</f>
        <v>Shardus</v>
      </c>
    </row>
    <row r="10585">
      <c r="A10585" s="4" t="str">
        <f>IFERROR(__xludf.DUMMYFUNCTION("""COMPUTED_VALUE"""),"sharedstake-governance-token")</f>
        <v>sharedstake-governance-token</v>
      </c>
      <c r="B10585" s="4" t="str">
        <f>IFERROR(__xludf.DUMMYFUNCTION("""COMPUTED_VALUE"""),"sgtv2")</f>
        <v>sgtv2</v>
      </c>
      <c r="C10585" s="4" t="str">
        <f>IFERROR(__xludf.DUMMYFUNCTION("""COMPUTED_VALUE"""),"SharedStake Governance v2")</f>
        <v>SharedStake Governance v2</v>
      </c>
    </row>
    <row r="10586">
      <c r="A10586" s="4" t="str">
        <f>IFERROR(__xludf.DUMMYFUNCTION("""COMPUTED_VALUE"""),"share-friend")</f>
        <v>share-friend</v>
      </c>
      <c r="B10586" s="4" t="str">
        <f>IFERROR(__xludf.DUMMYFUNCTION("""COMPUTED_VALUE"""),"sfriend")</f>
        <v>sfriend</v>
      </c>
      <c r="C10586" s="4" t="str">
        <f>IFERROR(__xludf.DUMMYFUNCTION("""COMPUTED_VALUE"""),"Share.Friend")</f>
        <v>Share.Friend</v>
      </c>
    </row>
    <row r="10587">
      <c r="A10587" s="4" t="str">
        <f>IFERROR(__xludf.DUMMYFUNCTION("""COMPUTED_VALUE"""),"sharering")</f>
        <v>sharering</v>
      </c>
      <c r="B10587" s="4" t="str">
        <f>IFERROR(__xludf.DUMMYFUNCTION("""COMPUTED_VALUE"""),"shr")</f>
        <v>shr</v>
      </c>
      <c r="C10587" s="4" t="str">
        <f>IFERROR(__xludf.DUMMYFUNCTION("""COMPUTED_VALUE"""),"Share")</f>
        <v>Share</v>
      </c>
    </row>
    <row r="10588">
      <c r="A10588" s="4" t="str">
        <f>IFERROR(__xludf.DUMMYFUNCTION("""COMPUTED_VALUE"""),"shares-finance")</f>
        <v>shares-finance</v>
      </c>
      <c r="B10588" s="4" t="str">
        <f>IFERROR(__xludf.DUMMYFUNCTION("""COMPUTED_VALUE"""),"shares")</f>
        <v>shares</v>
      </c>
      <c r="C10588" s="4" t="str">
        <f>IFERROR(__xludf.DUMMYFUNCTION("""COMPUTED_VALUE"""),"shares.finance")</f>
        <v>shares.finance</v>
      </c>
    </row>
    <row r="10589">
      <c r="A10589" s="4" t="str">
        <f>IFERROR(__xludf.DUMMYFUNCTION("""COMPUTED_VALUE"""),"sharetheshaka")</f>
        <v>sharetheshaka</v>
      </c>
      <c r="B10589" s="4" t="str">
        <f>IFERROR(__xludf.DUMMYFUNCTION("""COMPUTED_VALUE"""),"$shaka")</f>
        <v>$shaka</v>
      </c>
      <c r="C10589" s="4" t="str">
        <f>IFERROR(__xludf.DUMMYFUNCTION("""COMPUTED_VALUE"""),"Shaka")</f>
        <v>Shaka</v>
      </c>
    </row>
    <row r="10590">
      <c r="A10590" s="4" t="str">
        <f>IFERROR(__xludf.DUMMYFUNCTION("""COMPUTED_VALUE"""),"shark")</f>
        <v>shark</v>
      </c>
      <c r="B10590" s="4" t="str">
        <f>IFERROR(__xludf.DUMMYFUNCTION("""COMPUTED_VALUE"""),"shark")</f>
        <v>shark</v>
      </c>
      <c r="C10590" s="4" t="str">
        <f>IFERROR(__xludf.DUMMYFUNCTION("""COMPUTED_VALUE"""),"Shark")</f>
        <v>Shark</v>
      </c>
    </row>
    <row r="10591">
      <c r="A10591" s="4" t="str">
        <f>IFERROR(__xludf.DUMMYFUNCTION("""COMPUTED_VALUE"""),"shark-2")</f>
        <v>shark-2</v>
      </c>
      <c r="B10591" s="4" t="str">
        <f>IFERROR(__xludf.DUMMYFUNCTION("""COMPUTED_VALUE"""),"shark")</f>
        <v>shark</v>
      </c>
      <c r="C10591" s="4" t="str">
        <f>IFERROR(__xludf.DUMMYFUNCTION("""COMPUTED_VALUE"""),"Shark")</f>
        <v>Shark</v>
      </c>
    </row>
    <row r="10592">
      <c r="A10592" s="4" t="str">
        <f>IFERROR(__xludf.DUMMYFUNCTION("""COMPUTED_VALUE"""),"sharkbee")</f>
        <v>sharkbee</v>
      </c>
      <c r="B10592" s="4" t="str">
        <f>IFERROR(__xludf.DUMMYFUNCTION("""COMPUTED_VALUE"""),"sbee")</f>
        <v>sbee</v>
      </c>
      <c r="C10592" s="4" t="str">
        <f>IFERROR(__xludf.DUMMYFUNCTION("""COMPUTED_VALUE"""),"SharkBee")</f>
        <v>SharkBee</v>
      </c>
    </row>
    <row r="10593">
      <c r="A10593" s="4" t="str">
        <f>IFERROR(__xludf.DUMMYFUNCTION("""COMPUTED_VALUE"""),"shark-cat")</f>
        <v>shark-cat</v>
      </c>
      <c r="B10593" s="4" t="str">
        <f>IFERROR(__xludf.DUMMYFUNCTION("""COMPUTED_VALUE"""),"sc")</f>
        <v>sc</v>
      </c>
      <c r="C10593" s="4" t="str">
        <f>IFERROR(__xludf.DUMMYFUNCTION("""COMPUTED_VALUE"""),"Shark Cat")</f>
        <v>Shark Cat</v>
      </c>
    </row>
    <row r="10594">
      <c r="A10594" s="4" t="str">
        <f>IFERROR(__xludf.DUMMYFUNCTION("""COMPUTED_VALUE"""),"shark-protocol")</f>
        <v>shark-protocol</v>
      </c>
      <c r="B10594" s="4" t="str">
        <f>IFERROR(__xludf.DUMMYFUNCTION("""COMPUTED_VALUE"""),"shark")</f>
        <v>shark</v>
      </c>
      <c r="C10594" s="4" t="str">
        <f>IFERROR(__xludf.DUMMYFUNCTION("""COMPUTED_VALUE"""),"Shark Protocol")</f>
        <v>Shark Protocol</v>
      </c>
    </row>
    <row r="10595">
      <c r="A10595" s="4" t="str">
        <f>IFERROR(__xludf.DUMMYFUNCTION("""COMPUTED_VALUE"""),"sharky-fi")</f>
        <v>sharky-fi</v>
      </c>
      <c r="B10595" s="4" t="str">
        <f>IFERROR(__xludf.DUMMYFUNCTION("""COMPUTED_VALUE"""),"shark")</f>
        <v>shark</v>
      </c>
      <c r="C10595" s="5" t="str">
        <f>IFERROR(__xludf.DUMMYFUNCTION("""COMPUTED_VALUE"""),"Sharky.fi")</f>
        <v>Sharky.fi</v>
      </c>
    </row>
    <row r="10596">
      <c r="A10596" s="4" t="str">
        <f>IFERROR(__xludf.DUMMYFUNCTION("""COMPUTED_VALUE"""),"sharky-swap")</f>
        <v>sharky-swap</v>
      </c>
      <c r="B10596" s="4" t="str">
        <f>IFERROR(__xludf.DUMMYFUNCTION("""COMPUTED_VALUE"""),"sharky")</f>
        <v>sharky</v>
      </c>
      <c r="C10596" s="4" t="str">
        <f>IFERROR(__xludf.DUMMYFUNCTION("""COMPUTED_VALUE"""),"Sharky Swap")</f>
        <v>Sharky Swap</v>
      </c>
    </row>
    <row r="10597">
      <c r="A10597" s="4" t="str">
        <f>IFERROR(__xludf.DUMMYFUNCTION("""COMPUTED_VALUE"""),"sharp-portfolio-index")</f>
        <v>sharp-portfolio-index</v>
      </c>
      <c r="B10597" s="4" t="str">
        <f>IFERROR(__xludf.DUMMYFUNCTION("""COMPUTED_VALUE"""),"spi")</f>
        <v>spi</v>
      </c>
      <c r="C10597" s="4" t="str">
        <f>IFERROR(__xludf.DUMMYFUNCTION("""COMPUTED_VALUE"""),"Sharp Portfolio Index")</f>
        <v>Sharp Portfolio Index</v>
      </c>
    </row>
    <row r="10598">
      <c r="A10598" s="4" t="str">
        <f>IFERROR(__xludf.DUMMYFUNCTION("""COMPUTED_VALUE"""),"sheboshis")</f>
        <v>sheboshis</v>
      </c>
      <c r="B10598" s="4" t="str">
        <f>IFERROR(__xludf.DUMMYFUNCTION("""COMPUTED_VALUE"""),"sheb")</f>
        <v>sheb</v>
      </c>
      <c r="C10598" s="4" t="str">
        <f>IFERROR(__xludf.DUMMYFUNCTION("""COMPUTED_VALUE"""),"SHEBOSHIS")</f>
        <v>SHEBOSHIS</v>
      </c>
    </row>
    <row r="10599">
      <c r="A10599" s="4" t="str">
        <f>IFERROR(__xludf.DUMMYFUNCTION("""COMPUTED_VALUE"""),"sheesh-2")</f>
        <v>sheesh-2</v>
      </c>
      <c r="B10599" s="4" t="str">
        <f>IFERROR(__xludf.DUMMYFUNCTION("""COMPUTED_VALUE"""),"shs")</f>
        <v>shs</v>
      </c>
      <c r="C10599" s="4" t="str">
        <f>IFERROR(__xludf.DUMMYFUNCTION("""COMPUTED_VALUE"""),"Sheesh")</f>
        <v>Sheesh</v>
      </c>
    </row>
    <row r="10600">
      <c r="A10600" s="4" t="str">
        <f>IFERROR(__xludf.DUMMYFUNCTION("""COMPUTED_VALUE"""),"sheesha-finance")</f>
        <v>sheesha-finance</v>
      </c>
      <c r="B10600" s="4" t="str">
        <f>IFERROR(__xludf.DUMMYFUNCTION("""COMPUTED_VALUE"""),"sheesha")</f>
        <v>sheesha</v>
      </c>
      <c r="C10600" s="4" t="str">
        <f>IFERROR(__xludf.DUMMYFUNCTION("""COMPUTED_VALUE"""),"Sheesha Finance (BEP20)")</f>
        <v>Sheesha Finance (BEP20)</v>
      </c>
    </row>
    <row r="10601">
      <c r="A10601" s="4" t="str">
        <f>IFERROR(__xludf.DUMMYFUNCTION("""COMPUTED_VALUE"""),"sheesha-finance-erc20")</f>
        <v>sheesha-finance-erc20</v>
      </c>
      <c r="B10601" s="4" t="str">
        <f>IFERROR(__xludf.DUMMYFUNCTION("""COMPUTED_VALUE"""),"sheesha")</f>
        <v>sheesha</v>
      </c>
      <c r="C10601" s="4" t="str">
        <f>IFERROR(__xludf.DUMMYFUNCTION("""COMPUTED_VALUE"""),"Sheesha Finance (ERC20)")</f>
        <v>Sheesha Finance (ERC20)</v>
      </c>
    </row>
    <row r="10602">
      <c r="A10602" s="4" t="str">
        <f>IFERROR(__xludf.DUMMYFUNCTION("""COMPUTED_VALUE"""),"sheesha-finance-polygon")</f>
        <v>sheesha-finance-polygon</v>
      </c>
      <c r="B10602" s="4" t="str">
        <f>IFERROR(__xludf.DUMMYFUNCTION("""COMPUTED_VALUE"""),"msheesha")</f>
        <v>msheesha</v>
      </c>
      <c r="C10602" s="4" t="str">
        <f>IFERROR(__xludf.DUMMYFUNCTION("""COMPUTED_VALUE"""),"Sheesha Finance Polygon")</f>
        <v>Sheesha Finance Polygon</v>
      </c>
    </row>
    <row r="10603">
      <c r="A10603" s="4" t="str">
        <f>IFERROR(__xludf.DUMMYFUNCTION("""COMPUTED_VALUE"""),"sheeshin-on-solana")</f>
        <v>sheeshin-on-solana</v>
      </c>
      <c r="B10603" s="4" t="str">
        <f>IFERROR(__xludf.DUMMYFUNCTION("""COMPUTED_VALUE"""),"sheesh")</f>
        <v>sheesh</v>
      </c>
      <c r="C10603" s="4" t="str">
        <f>IFERROR(__xludf.DUMMYFUNCTION("""COMPUTED_VALUE"""),"SheeshSPL")</f>
        <v>SheeshSPL</v>
      </c>
    </row>
    <row r="10604">
      <c r="A10604" s="4" t="str">
        <f>IFERROR(__xludf.DUMMYFUNCTION("""COMPUTED_VALUE"""),"shell")</f>
        <v>shell</v>
      </c>
      <c r="B10604" s="4" t="str">
        <f>IFERROR(__xludf.DUMMYFUNCTION("""COMPUTED_VALUE"""),"ss20")</f>
        <v>ss20</v>
      </c>
      <c r="C10604" s="4" t="str">
        <f>IFERROR(__xludf.DUMMYFUNCTION("""COMPUTED_VALUE"""),"SHELL")</f>
        <v>SHELL</v>
      </c>
    </row>
    <row r="10605">
      <c r="A10605" s="4" t="str">
        <f>IFERROR(__xludf.DUMMYFUNCTION("""COMPUTED_VALUE"""),"shell-protocol-token")</f>
        <v>shell-protocol-token</v>
      </c>
      <c r="B10605" s="4" t="str">
        <f>IFERROR(__xludf.DUMMYFUNCTION("""COMPUTED_VALUE"""),"shell")</f>
        <v>shell</v>
      </c>
      <c r="C10605" s="4" t="str">
        <f>IFERROR(__xludf.DUMMYFUNCTION("""COMPUTED_VALUE"""),"Shell Protocol Token")</f>
        <v>Shell Protocol Token</v>
      </c>
    </row>
    <row r="10606">
      <c r="A10606" s="4" t="str">
        <f>IFERROR(__xludf.DUMMYFUNCTION("""COMPUTED_VALUE"""),"shelterz")</f>
        <v>shelterz</v>
      </c>
      <c r="B10606" s="4" t="str">
        <f>IFERROR(__xludf.DUMMYFUNCTION("""COMPUTED_VALUE"""),"terz")</f>
        <v>terz</v>
      </c>
      <c r="C10606" s="4" t="str">
        <f>IFERROR(__xludf.DUMMYFUNCTION("""COMPUTED_VALUE"""),"SHELTERZ")</f>
        <v>SHELTERZ</v>
      </c>
    </row>
    <row r="10607">
      <c r="A10607" s="4" t="str">
        <f>IFERROR(__xludf.DUMMYFUNCTION("""COMPUTED_VALUE"""),"shen")</f>
        <v>shen</v>
      </c>
      <c r="B10607" s="4" t="str">
        <f>IFERROR(__xludf.DUMMYFUNCTION("""COMPUTED_VALUE"""),"shen")</f>
        <v>shen</v>
      </c>
      <c r="C10607" s="4" t="str">
        <f>IFERROR(__xludf.DUMMYFUNCTION("""COMPUTED_VALUE"""),"Shen")</f>
        <v>Shen</v>
      </c>
    </row>
    <row r="10608">
      <c r="A10608" s="4" t="str">
        <f>IFERROR(__xludf.DUMMYFUNCTION("""COMPUTED_VALUE"""),"shepe")</f>
        <v>shepe</v>
      </c>
      <c r="B10608" s="4" t="str">
        <f>IFERROR(__xludf.DUMMYFUNCTION("""COMPUTED_VALUE"""),"$shepe")</f>
        <v>$shepe</v>
      </c>
      <c r="C10608" s="4" t="str">
        <f>IFERROR(__xludf.DUMMYFUNCTION("""COMPUTED_VALUE"""),"SHEPE")</f>
        <v>SHEPE</v>
      </c>
    </row>
    <row r="10609">
      <c r="A10609" s="4" t="str">
        <f>IFERROR(__xludf.DUMMYFUNCTION("""COMPUTED_VALUE"""),"shepherd-inu-2")</f>
        <v>shepherd-inu-2</v>
      </c>
      <c r="B10609" s="4" t="str">
        <f>IFERROR(__xludf.DUMMYFUNCTION("""COMPUTED_VALUE"""),"sinu")</f>
        <v>sinu</v>
      </c>
      <c r="C10609" s="4" t="str">
        <f>IFERROR(__xludf.DUMMYFUNCTION("""COMPUTED_VALUE"""),"Shepherd Inu")</f>
        <v>Shepherd Inu</v>
      </c>
    </row>
    <row r="10610">
      <c r="A10610" s="4" t="str">
        <f>IFERROR(__xludf.DUMMYFUNCTION("""COMPUTED_VALUE"""),"sherlock-defi")</f>
        <v>sherlock-defi</v>
      </c>
      <c r="B10610" s="4" t="str">
        <f>IFERROR(__xludf.DUMMYFUNCTION("""COMPUTED_VALUE"""),"slock")</f>
        <v>slock</v>
      </c>
      <c r="C10610" s="4" t="str">
        <f>IFERROR(__xludf.DUMMYFUNCTION("""COMPUTED_VALUE"""),"Sherlock Defi")</f>
        <v>Sherlock Defi</v>
      </c>
    </row>
    <row r="10611">
      <c r="A10611" s="4" t="str">
        <f>IFERROR(__xludf.DUMMYFUNCTION("""COMPUTED_VALUE"""),"shezmu")</f>
        <v>shezmu</v>
      </c>
      <c r="B10611" s="4" t="str">
        <f>IFERROR(__xludf.DUMMYFUNCTION("""COMPUTED_VALUE"""),"shezmu")</f>
        <v>shezmu</v>
      </c>
      <c r="C10611" s="4" t="str">
        <f>IFERROR(__xludf.DUMMYFUNCTION("""COMPUTED_VALUE"""),"Shezmu")</f>
        <v>Shezmu</v>
      </c>
    </row>
    <row r="10612">
      <c r="A10612" s="4" t="str">
        <f>IFERROR(__xludf.DUMMYFUNCTION("""COMPUTED_VALUE"""),"shib2")</f>
        <v>shib2</v>
      </c>
      <c r="B10612" s="4" t="str">
        <f>IFERROR(__xludf.DUMMYFUNCTION("""COMPUTED_VALUE"""),"shib2")</f>
        <v>shib2</v>
      </c>
      <c r="C10612" s="4" t="str">
        <f>IFERROR(__xludf.DUMMYFUNCTION("""COMPUTED_VALUE"""),"SHIB2")</f>
        <v>SHIB2</v>
      </c>
    </row>
    <row r="10613">
      <c r="A10613" s="4" t="str">
        <f>IFERROR(__xludf.DUMMYFUNCTION("""COMPUTED_VALUE"""),"shib2-0")</f>
        <v>shib2-0</v>
      </c>
      <c r="B10613" s="4" t="str">
        <f>IFERROR(__xludf.DUMMYFUNCTION("""COMPUTED_VALUE"""),"shib2.0")</f>
        <v>shib2.0</v>
      </c>
      <c r="C10613" s="4" t="str">
        <f>IFERROR(__xludf.DUMMYFUNCTION("""COMPUTED_VALUE"""),"Shib2.0")</f>
        <v>Shib2.0</v>
      </c>
    </row>
    <row r="10614">
      <c r="A10614" s="4" t="str">
        <f>IFERROR(__xludf.DUMMYFUNCTION("""COMPUTED_VALUE"""),"shiba")</f>
        <v>shiba</v>
      </c>
      <c r="B10614" s="4" t="str">
        <f>IFERROR(__xludf.DUMMYFUNCTION("""COMPUTED_VALUE"""),"shiba")</f>
        <v>shiba</v>
      </c>
      <c r="C10614" s="4" t="str">
        <f>IFERROR(__xludf.DUMMYFUNCTION("""COMPUTED_VALUE"""),"Shiba")</f>
        <v>Shiba</v>
      </c>
    </row>
    <row r="10615">
      <c r="A10615" s="4" t="str">
        <f>IFERROR(__xludf.DUMMYFUNCTION("""COMPUTED_VALUE"""),"shibaai")</f>
        <v>shibaai</v>
      </c>
      <c r="B10615" s="4" t="str">
        <f>IFERROR(__xludf.DUMMYFUNCTION("""COMPUTED_VALUE"""),"shibaai")</f>
        <v>shibaai</v>
      </c>
      <c r="C10615" s="4" t="str">
        <f>IFERROR(__xludf.DUMMYFUNCTION("""COMPUTED_VALUE"""),"SHIBAAI")</f>
        <v>SHIBAAI</v>
      </c>
    </row>
    <row r="10616">
      <c r="A10616" s="4" t="str">
        <f>IFERROR(__xludf.DUMMYFUNCTION("""COMPUTED_VALUE"""),"shiba-bsc")</f>
        <v>shiba-bsc</v>
      </c>
      <c r="B10616" s="4" t="str">
        <f>IFERROR(__xludf.DUMMYFUNCTION("""COMPUTED_VALUE"""),"shibsc")</f>
        <v>shibsc</v>
      </c>
      <c r="C10616" s="4" t="str">
        <f>IFERROR(__xludf.DUMMYFUNCTION("""COMPUTED_VALUE"""),"SHIBA BSC")</f>
        <v>SHIBA BSC</v>
      </c>
    </row>
    <row r="10617">
      <c r="A10617" s="4" t="str">
        <f>IFERROR(__xludf.DUMMYFUNCTION("""COMPUTED_VALUE"""),"shiba-cartel")</f>
        <v>shiba-cartel</v>
      </c>
      <c r="B10617" s="4" t="str">
        <f>IFERROR(__xludf.DUMMYFUNCTION("""COMPUTED_VALUE"""),"pesos")</f>
        <v>pesos</v>
      </c>
      <c r="C10617" s="4" t="str">
        <f>IFERROR(__xludf.DUMMYFUNCTION("""COMPUTED_VALUE"""),"Shiba Cartel")</f>
        <v>Shiba Cartel</v>
      </c>
    </row>
    <row r="10618">
      <c r="A10618" s="4" t="str">
        <f>IFERROR(__xludf.DUMMYFUNCTION("""COMPUTED_VALUE"""),"shiba-ceo")</f>
        <v>shiba-ceo</v>
      </c>
      <c r="B10618" s="4" t="str">
        <f>IFERROR(__xludf.DUMMYFUNCTION("""COMPUTED_VALUE"""),"shibceo")</f>
        <v>shibceo</v>
      </c>
      <c r="C10618" s="4" t="str">
        <f>IFERROR(__xludf.DUMMYFUNCTION("""COMPUTED_VALUE"""),"Shiba CEO")</f>
        <v>Shiba CEO</v>
      </c>
    </row>
    <row r="10619">
      <c r="A10619" s="4" t="str">
        <f>IFERROR(__xludf.DUMMYFUNCTION("""COMPUTED_VALUE"""),"shiba-classic")</f>
        <v>shiba-classic</v>
      </c>
      <c r="B10619" s="4" t="str">
        <f>IFERROR(__xludf.DUMMYFUNCTION("""COMPUTED_VALUE"""),"shibc")</f>
        <v>shibc</v>
      </c>
      <c r="C10619" s="4" t="str">
        <f>IFERROR(__xludf.DUMMYFUNCTION("""COMPUTED_VALUE"""),"Shiba Classic")</f>
        <v>Shiba Classic</v>
      </c>
    </row>
    <row r="10620">
      <c r="A10620" s="4" t="str">
        <f>IFERROR(__xludf.DUMMYFUNCTION("""COMPUTED_VALUE"""),"shibacorgi")</f>
        <v>shibacorgi</v>
      </c>
      <c r="B10620" s="4" t="str">
        <f>IFERROR(__xludf.DUMMYFUNCTION("""COMPUTED_VALUE"""),"shico")</f>
        <v>shico</v>
      </c>
      <c r="C10620" s="4" t="str">
        <f>IFERROR(__xludf.DUMMYFUNCTION("""COMPUTED_VALUE"""),"ShibaCorgi")</f>
        <v>ShibaCorgi</v>
      </c>
    </row>
    <row r="10621">
      <c r="A10621" s="4" t="str">
        <f>IFERROR(__xludf.DUMMYFUNCTION("""COMPUTED_VALUE"""),"shibadoge")</f>
        <v>shibadoge</v>
      </c>
      <c r="B10621" s="4" t="str">
        <f>IFERROR(__xludf.DUMMYFUNCTION("""COMPUTED_VALUE"""),"shibdoge")</f>
        <v>shibdoge</v>
      </c>
      <c r="C10621" s="4" t="str">
        <f>IFERROR(__xludf.DUMMYFUNCTION("""COMPUTED_VALUE"""),"ShibaDoge")</f>
        <v>ShibaDoge</v>
      </c>
    </row>
    <row r="10622">
      <c r="A10622" s="4" t="str">
        <f>IFERROR(__xludf.DUMMYFUNCTION("""COMPUTED_VALUE"""),"shiba-doge-burn")</f>
        <v>shiba-doge-burn</v>
      </c>
      <c r="B10622" s="4" t="str">
        <f>IFERROR(__xludf.DUMMYFUNCTION("""COMPUTED_VALUE"""),"burn")</f>
        <v>burn</v>
      </c>
      <c r="C10622" s="4" t="str">
        <f>IFERROR(__xludf.DUMMYFUNCTION("""COMPUTED_VALUE"""),"BURN")</f>
        <v>BURN</v>
      </c>
    </row>
    <row r="10623">
      <c r="A10623" s="4" t="str">
        <f>IFERROR(__xludf.DUMMYFUNCTION("""COMPUTED_VALUE"""),"shiba-floki")</f>
        <v>shiba-floki</v>
      </c>
      <c r="B10623" s="4" t="str">
        <f>IFERROR(__xludf.DUMMYFUNCTION("""COMPUTED_VALUE"""),"floki")</f>
        <v>floki</v>
      </c>
      <c r="C10623" s="4" t="str">
        <f>IFERROR(__xludf.DUMMYFUNCTION("""COMPUTED_VALUE"""),"Shiba Floki Inu")</f>
        <v>Shiba Floki Inu</v>
      </c>
    </row>
    <row r="10624">
      <c r="A10624" s="4" t="str">
        <f>IFERROR(__xludf.DUMMYFUNCTION("""COMPUTED_VALUE"""),"shibafomi")</f>
        <v>shibafomi</v>
      </c>
      <c r="B10624" s="4" t="str">
        <f>IFERROR(__xludf.DUMMYFUNCTION("""COMPUTED_VALUE"""),"shifo")</f>
        <v>shifo</v>
      </c>
      <c r="C10624" s="4" t="str">
        <f>IFERROR(__xludf.DUMMYFUNCTION("""COMPUTED_VALUE"""),"Shibafomi")</f>
        <v>Shibafomi</v>
      </c>
    </row>
    <row r="10625">
      <c r="A10625" s="4" t="str">
        <f>IFERROR(__xludf.DUMMYFUNCTION("""COMPUTED_VALUE"""),"shibai-labs")</f>
        <v>shibai-labs</v>
      </c>
      <c r="B10625" s="4" t="str">
        <f>IFERROR(__xludf.DUMMYFUNCTION("""COMPUTED_VALUE"""),"slab")</f>
        <v>slab</v>
      </c>
      <c r="C10625" s="4" t="str">
        <f>IFERROR(__xludf.DUMMYFUNCTION("""COMPUTED_VALUE"""),"ShibAI Labs")</f>
        <v>ShibAI Labs</v>
      </c>
    </row>
    <row r="10626">
      <c r="A10626" s="4" t="str">
        <f>IFERROR(__xludf.DUMMYFUNCTION("""COMPUTED_VALUE"""),"shiba-inu")</f>
        <v>shiba-inu</v>
      </c>
      <c r="B10626" s="4" t="str">
        <f>IFERROR(__xludf.DUMMYFUNCTION("""COMPUTED_VALUE"""),"shib")</f>
        <v>shib</v>
      </c>
      <c r="C10626" s="4" t="str">
        <f>IFERROR(__xludf.DUMMYFUNCTION("""COMPUTED_VALUE"""),"Shiba Inu")</f>
        <v>Shiba Inu</v>
      </c>
    </row>
    <row r="10627">
      <c r="A10627" s="4" t="str">
        <f>IFERROR(__xludf.DUMMYFUNCTION("""COMPUTED_VALUE"""),"shiba-inu-classic-2")</f>
        <v>shiba-inu-classic-2</v>
      </c>
      <c r="B10627" s="4" t="str">
        <f>IFERROR(__xludf.DUMMYFUNCTION("""COMPUTED_VALUE"""),"shibc")</f>
        <v>shibc</v>
      </c>
      <c r="C10627" s="4" t="str">
        <f>IFERROR(__xludf.DUMMYFUNCTION("""COMPUTED_VALUE"""),"Shiba Inu Classic")</f>
        <v>Shiba Inu Classic</v>
      </c>
    </row>
    <row r="10628">
      <c r="A10628" s="4" t="str">
        <f>IFERROR(__xludf.DUMMYFUNCTION("""COMPUTED_VALUE"""),"shiba-inu-empire")</f>
        <v>shiba-inu-empire</v>
      </c>
      <c r="B10628" s="4" t="str">
        <f>IFERROR(__xludf.DUMMYFUNCTION("""COMPUTED_VALUE"""),"shibemp")</f>
        <v>shibemp</v>
      </c>
      <c r="C10628" s="4" t="str">
        <f>IFERROR(__xludf.DUMMYFUNCTION("""COMPUTED_VALUE"""),"Shiba Inu Empire")</f>
        <v>Shiba Inu Empire</v>
      </c>
    </row>
    <row r="10629">
      <c r="A10629" s="4" t="str">
        <f>IFERROR(__xludf.DUMMYFUNCTION("""COMPUTED_VALUE"""),"shiba-inu-mother")</f>
        <v>shiba-inu-mother</v>
      </c>
      <c r="B10629" s="4" t="str">
        <f>IFERROR(__xludf.DUMMYFUNCTION("""COMPUTED_VALUE"""),"shibm")</f>
        <v>shibm</v>
      </c>
      <c r="C10629" s="4" t="str">
        <f>IFERROR(__xludf.DUMMYFUNCTION("""COMPUTED_VALUE"""),"Shiba Inu Mother")</f>
        <v>Shiba Inu Mother</v>
      </c>
    </row>
    <row r="10630">
      <c r="A10630" s="4" t="str">
        <f>IFERROR(__xludf.DUMMYFUNCTION("""COMPUTED_VALUE"""),"shiba-inu-wormhole")</f>
        <v>shiba-inu-wormhole</v>
      </c>
      <c r="B10630" s="4" t="str">
        <f>IFERROR(__xludf.DUMMYFUNCTION("""COMPUTED_VALUE"""),"shib")</f>
        <v>shib</v>
      </c>
      <c r="C10630" s="4" t="str">
        <f>IFERROR(__xludf.DUMMYFUNCTION("""COMPUTED_VALUE"""),"Shiba Inu (Wormhole)")</f>
        <v>Shiba Inu (Wormhole)</v>
      </c>
    </row>
    <row r="10631">
      <c r="A10631" s="4" t="str">
        <f>IFERROR(__xludf.DUMMYFUNCTION("""COMPUTED_VALUE"""),"shibaken-finance")</f>
        <v>shibaken-finance</v>
      </c>
      <c r="B10631" s="4" t="str">
        <f>IFERROR(__xludf.DUMMYFUNCTION("""COMPUTED_VALUE"""),"shibaken")</f>
        <v>shibaken</v>
      </c>
      <c r="C10631" s="4" t="str">
        <f>IFERROR(__xludf.DUMMYFUNCTION("""COMPUTED_VALUE"""),"Shibaken Finance")</f>
        <v>Shibaken Finance</v>
      </c>
    </row>
    <row r="10632">
      <c r="A10632" s="4" t="str">
        <f>IFERROR(__xludf.DUMMYFUNCTION("""COMPUTED_VALUE"""),"shibaments")</f>
        <v>shibaments</v>
      </c>
      <c r="B10632" s="4" t="str">
        <f>IFERROR(__xludf.DUMMYFUNCTION("""COMPUTED_VALUE"""),"sbmt")</f>
        <v>sbmt</v>
      </c>
      <c r="C10632" s="4" t="str">
        <f>IFERROR(__xludf.DUMMYFUNCTION("""COMPUTED_VALUE"""),"Shibaments")</f>
        <v>Shibaments</v>
      </c>
    </row>
    <row r="10633">
      <c r="A10633" s="4" t="str">
        <f>IFERROR(__xludf.DUMMYFUNCTION("""COMPUTED_VALUE"""),"shibana")</f>
        <v>shibana</v>
      </c>
      <c r="B10633" s="4" t="str">
        <f>IFERROR(__xludf.DUMMYFUNCTION("""COMPUTED_VALUE"""),"bana")</f>
        <v>bana</v>
      </c>
      <c r="C10633" s="4" t="str">
        <f>IFERROR(__xludf.DUMMYFUNCTION("""COMPUTED_VALUE"""),"Shibana")</f>
        <v>Shibana</v>
      </c>
    </row>
    <row r="10634">
      <c r="A10634" s="4" t="str">
        <f>IFERROR(__xludf.DUMMYFUNCTION("""COMPUTED_VALUE"""),"shibanft")</f>
        <v>shibanft</v>
      </c>
      <c r="B10634" s="4" t="str">
        <f>IFERROR(__xludf.DUMMYFUNCTION("""COMPUTED_VALUE"""),"shibanft")</f>
        <v>shibanft</v>
      </c>
      <c r="C10634" s="4" t="str">
        <f>IFERROR(__xludf.DUMMYFUNCTION("""COMPUTED_VALUE"""),"ShibaNFT")</f>
        <v>ShibaNFT</v>
      </c>
    </row>
    <row r="10635">
      <c r="A10635" s="4" t="str">
        <f>IFERROR(__xludf.DUMMYFUNCTION("""COMPUTED_VALUE"""),"shiba-nodes")</f>
        <v>shiba-nodes</v>
      </c>
      <c r="B10635" s="4" t="str">
        <f>IFERROR(__xludf.DUMMYFUNCTION("""COMPUTED_VALUE"""),"shino")</f>
        <v>shino</v>
      </c>
      <c r="C10635" s="4" t="str">
        <f>IFERROR(__xludf.DUMMYFUNCTION("""COMPUTED_VALUE"""),"Shiba Nodes")</f>
        <v>Shiba Nodes</v>
      </c>
    </row>
    <row r="10636">
      <c r="A10636" s="4" t="str">
        <f>IFERROR(__xludf.DUMMYFUNCTION("""COMPUTED_VALUE"""),"shibapoconk")</f>
        <v>shibapoconk</v>
      </c>
      <c r="B10636" s="4" t="str">
        <f>IFERROR(__xludf.DUMMYFUNCTION("""COMPUTED_VALUE"""),"conk")</f>
        <v>conk</v>
      </c>
      <c r="C10636" s="4" t="str">
        <f>IFERROR(__xludf.DUMMYFUNCTION("""COMPUTED_VALUE"""),"ShibaPoconk")</f>
        <v>ShibaPoconk</v>
      </c>
    </row>
    <row r="10637">
      <c r="A10637" s="4" t="str">
        <f>IFERROR(__xludf.DUMMYFUNCTION("""COMPUTED_VALUE"""),"shiba-predator")</f>
        <v>shiba-predator</v>
      </c>
      <c r="B10637" s="4" t="str">
        <f>IFERROR(__xludf.DUMMYFUNCTION("""COMPUTED_VALUE"""),"qom")</f>
        <v>qom</v>
      </c>
      <c r="C10637" s="4" t="str">
        <f>IFERROR(__xludf.DUMMYFUNCTION("""COMPUTED_VALUE"""),"Shiba Predator")</f>
        <v>Shiba Predator</v>
      </c>
    </row>
    <row r="10638">
      <c r="A10638" s="4" t="str">
        <f>IFERROR(__xludf.DUMMYFUNCTION("""COMPUTED_VALUE"""),"shiba-punkz")</f>
        <v>shiba-punkz</v>
      </c>
      <c r="B10638" s="4" t="str">
        <f>IFERROR(__xludf.DUMMYFUNCTION("""COMPUTED_VALUE"""),"spunk")</f>
        <v>spunk</v>
      </c>
      <c r="C10638" s="4" t="str">
        <f>IFERROR(__xludf.DUMMYFUNCTION("""COMPUTED_VALUE"""),"Shiba Punkz")</f>
        <v>Shiba Punkz</v>
      </c>
    </row>
    <row r="10639">
      <c r="A10639" s="4" t="str">
        <f>IFERROR(__xludf.DUMMYFUNCTION("""COMPUTED_VALUE"""),"shibaqua")</f>
        <v>shibaqua</v>
      </c>
      <c r="B10639" s="4" t="str">
        <f>IFERROR(__xludf.DUMMYFUNCTION("""COMPUTED_VALUE"""),"shib")</f>
        <v>shib</v>
      </c>
      <c r="C10639" s="4" t="str">
        <f>IFERROR(__xludf.DUMMYFUNCTION("""COMPUTED_VALUE"""),"Shibaqua")</f>
        <v>Shibaqua</v>
      </c>
    </row>
    <row r="10640">
      <c r="A10640" s="4" t="str">
        <f>IFERROR(__xludf.DUMMYFUNCTION("""COMPUTED_VALUE"""),"shibarium-dao")</f>
        <v>shibarium-dao</v>
      </c>
      <c r="B10640" s="4" t="str">
        <f>IFERROR(__xludf.DUMMYFUNCTION("""COMPUTED_VALUE"""),"shibdao")</f>
        <v>shibdao</v>
      </c>
      <c r="C10640" s="4" t="str">
        <f>IFERROR(__xludf.DUMMYFUNCTION("""COMPUTED_VALUE"""),"Shibarium DAO")</f>
        <v>Shibarium DAO</v>
      </c>
    </row>
    <row r="10641">
      <c r="A10641" s="4" t="str">
        <f>IFERROR(__xludf.DUMMYFUNCTION("""COMPUTED_VALUE"""),"shibarium-name-service")</f>
        <v>shibarium-name-service</v>
      </c>
      <c r="B10641" s="4" t="str">
        <f>IFERROR(__xludf.DUMMYFUNCTION("""COMPUTED_VALUE"""),"sns")</f>
        <v>sns</v>
      </c>
      <c r="C10641" s="4" t="str">
        <f>IFERROR(__xludf.DUMMYFUNCTION("""COMPUTED_VALUE"""),"Shibarium Name Service")</f>
        <v>Shibarium Name Service</v>
      </c>
    </row>
    <row r="10642">
      <c r="A10642" s="4" t="str">
        <f>IFERROR(__xludf.DUMMYFUNCTION("""COMPUTED_VALUE"""),"shibarium-perpetuals")</f>
        <v>shibarium-perpetuals</v>
      </c>
      <c r="B10642" s="4" t="str">
        <f>IFERROR(__xludf.DUMMYFUNCTION("""COMPUTED_VALUE"""),"serp")</f>
        <v>serp</v>
      </c>
      <c r="C10642" s="4" t="str">
        <f>IFERROR(__xludf.DUMMYFUNCTION("""COMPUTED_VALUE"""),"Shibarium Perpetuals")</f>
        <v>Shibarium Perpetuals</v>
      </c>
    </row>
    <row r="10643">
      <c r="A10643" s="4" t="str">
        <f>IFERROR(__xludf.DUMMYFUNCTION("""COMPUTED_VALUE"""),"shibarium-wrapped-bone")</f>
        <v>shibarium-wrapped-bone</v>
      </c>
      <c r="B10643" s="4" t="str">
        <f>IFERROR(__xludf.DUMMYFUNCTION("""COMPUTED_VALUE"""),"wbone")</f>
        <v>wbone</v>
      </c>
      <c r="C10643" s="4" t="str">
        <f>IFERROR(__xludf.DUMMYFUNCTION("""COMPUTED_VALUE"""),"Shibarium Wrapped BONE")</f>
        <v>Shibarium Wrapped BONE</v>
      </c>
    </row>
    <row r="10644">
      <c r="A10644" s="4" t="str">
        <f>IFERROR(__xludf.DUMMYFUNCTION("""COMPUTED_VALUE"""),"shiba-saga")</f>
        <v>shiba-saga</v>
      </c>
      <c r="B10644" s="4" t="str">
        <f>IFERROR(__xludf.DUMMYFUNCTION("""COMPUTED_VALUE"""),"shia")</f>
        <v>shia</v>
      </c>
      <c r="C10644" s="4" t="str">
        <f>IFERROR(__xludf.DUMMYFUNCTION("""COMPUTED_VALUE"""),"Shiba Saga")</f>
        <v>Shiba Saga</v>
      </c>
    </row>
    <row r="10645">
      <c r="A10645" s="4" t="str">
        <f>IFERROR(__xludf.DUMMYFUNCTION("""COMPUTED_VALUE"""),"shibasso")</f>
        <v>shibasso</v>
      </c>
      <c r="B10645" s="4" t="str">
        <f>IFERROR(__xludf.DUMMYFUNCTION("""COMPUTED_VALUE"""),"shibasso")</f>
        <v>shibasso</v>
      </c>
      <c r="C10645" s="4" t="str">
        <f>IFERROR(__xludf.DUMMYFUNCTION("""COMPUTED_VALUE"""),"Shibasso")</f>
        <v>Shibasso</v>
      </c>
    </row>
    <row r="10646">
      <c r="A10646" s="4" t="str">
        <f>IFERROR(__xludf.DUMMYFUNCTION("""COMPUTED_VALUE"""),"shibavax")</f>
        <v>shibavax</v>
      </c>
      <c r="B10646" s="4" t="str">
        <f>IFERROR(__xludf.DUMMYFUNCTION("""COMPUTED_VALUE"""),"shibx")</f>
        <v>shibx</v>
      </c>
      <c r="C10646" s="4" t="str">
        <f>IFERROR(__xludf.DUMMYFUNCTION("""COMPUTED_VALUE"""),"Shibavax")</f>
        <v>Shibavax</v>
      </c>
    </row>
    <row r="10647">
      <c r="A10647" s="4" t="str">
        <f>IFERROR(__xludf.DUMMYFUNCTION("""COMPUTED_VALUE"""),"shibaverse")</f>
        <v>shibaverse</v>
      </c>
      <c r="B10647" s="4" t="str">
        <f>IFERROR(__xludf.DUMMYFUNCTION("""COMPUTED_VALUE"""),"verse")</f>
        <v>verse</v>
      </c>
      <c r="C10647" s="4" t="str">
        <f>IFERROR(__xludf.DUMMYFUNCTION("""COMPUTED_VALUE"""),"Shibaverse")</f>
        <v>Shibaverse</v>
      </c>
    </row>
    <row r="10648">
      <c r="A10648" s="4" t="str">
        <f>IFERROR(__xludf.DUMMYFUNCTION("""COMPUTED_VALUE"""),"shiba-v-pepe")</f>
        <v>shiba-v-pepe</v>
      </c>
      <c r="B10648" s="4" t="str">
        <f>IFERROR(__xludf.DUMMYFUNCTION("""COMPUTED_VALUE"""),"shepe")</f>
        <v>shepe</v>
      </c>
      <c r="C10648" s="4" t="str">
        <f>IFERROR(__xludf.DUMMYFUNCTION("""COMPUTED_VALUE"""),"Shiba V Pepe")</f>
        <v>Shiba V Pepe</v>
      </c>
    </row>
    <row r="10649">
      <c r="A10649" s="4" t="str">
        <f>IFERROR(__xludf.DUMMYFUNCTION("""COMPUTED_VALUE"""),"shibawifhat")</f>
        <v>shibawifhat</v>
      </c>
      <c r="B10649" s="4" t="str">
        <f>IFERROR(__xludf.DUMMYFUNCTION("""COMPUTED_VALUE"""),"$wif")</f>
        <v>$wif</v>
      </c>
      <c r="C10649" s="4" t="str">
        <f>IFERROR(__xludf.DUMMYFUNCTION("""COMPUTED_VALUE"""),"shibawifhat")</f>
        <v>shibawifhat</v>
      </c>
    </row>
    <row r="10650">
      <c r="A10650" s="4" t="str">
        <f>IFERROR(__xludf.DUMMYFUNCTION("""COMPUTED_VALUE"""),"shibaw-inu")</f>
        <v>shibaw-inu</v>
      </c>
      <c r="B10650" s="4" t="str">
        <f>IFERROR(__xludf.DUMMYFUNCTION("""COMPUTED_VALUE"""),"shibaw")</f>
        <v>shibaw</v>
      </c>
      <c r="C10650" s="4" t="str">
        <f>IFERROR(__xludf.DUMMYFUNCTION("""COMPUTED_VALUE"""),"ShibaW Inu")</f>
        <v>ShibaW Inu</v>
      </c>
    </row>
    <row r="10651">
      <c r="A10651" s="4" t="str">
        <f>IFERROR(__xludf.DUMMYFUNCTION("""COMPUTED_VALUE"""),"shiba-wrestler-ai")</f>
        <v>shiba-wrestler-ai</v>
      </c>
      <c r="B10651" s="4" t="str">
        <f>IFERROR(__xludf.DUMMYFUNCTION("""COMPUTED_VALUE"""),"swweai")</f>
        <v>swweai</v>
      </c>
      <c r="C10651" s="4" t="str">
        <f>IFERROR(__xludf.DUMMYFUNCTION("""COMPUTED_VALUE"""),"SHIBA WRESTLER AI")</f>
        <v>SHIBA WRESTLER AI</v>
      </c>
    </row>
    <row r="10652">
      <c r="A10652" s="4" t="str">
        <f>IFERROR(__xludf.DUMMYFUNCTION("""COMPUTED_VALUE"""),"shibceo")</f>
        <v>shibceo</v>
      </c>
      <c r="B10652" s="4" t="str">
        <f>IFERROR(__xludf.DUMMYFUNCTION("""COMPUTED_VALUE"""),"shibceo")</f>
        <v>shibceo</v>
      </c>
      <c r="C10652" s="4" t="str">
        <f>IFERROR(__xludf.DUMMYFUNCTION("""COMPUTED_VALUE"""),"ShibCEO")</f>
        <v>ShibCEO</v>
      </c>
    </row>
    <row r="10653">
      <c r="A10653" s="4" t="str">
        <f>IFERROR(__xludf.DUMMYFUNCTION("""COMPUTED_VALUE"""),"shibelon")</f>
        <v>shibelon</v>
      </c>
      <c r="B10653" s="4" t="str">
        <f>IFERROR(__xludf.DUMMYFUNCTION("""COMPUTED_VALUE"""),"shibelon")</f>
        <v>shibelon</v>
      </c>
      <c r="C10653" s="4" t="str">
        <f>IFERROR(__xludf.DUMMYFUNCTION("""COMPUTED_VALUE"""),"ShibElon")</f>
        <v>ShibElon</v>
      </c>
    </row>
    <row r="10654">
      <c r="A10654" s="4" t="str">
        <f>IFERROR(__xludf.DUMMYFUNCTION("""COMPUTED_VALUE"""),"shibfalcon")</f>
        <v>shibfalcon</v>
      </c>
      <c r="B10654" s="4" t="str">
        <f>IFERROR(__xludf.DUMMYFUNCTION("""COMPUTED_VALUE"""),"shflcn")</f>
        <v>shflcn</v>
      </c>
      <c r="C10654" s="4" t="str">
        <f>IFERROR(__xludf.DUMMYFUNCTION("""COMPUTED_VALUE"""),"ShibFalcon")</f>
        <v>ShibFalcon</v>
      </c>
    </row>
    <row r="10655">
      <c r="A10655" s="4" t="str">
        <f>IFERROR(__xludf.DUMMYFUNCTION("""COMPUTED_VALUE"""),"shibgf")</f>
        <v>shibgf</v>
      </c>
      <c r="B10655" s="4" t="str">
        <f>IFERROR(__xludf.DUMMYFUNCTION("""COMPUTED_VALUE"""),"shibgf")</f>
        <v>shibgf</v>
      </c>
      <c r="C10655" s="4" t="str">
        <f>IFERROR(__xludf.DUMMYFUNCTION("""COMPUTED_VALUE"""),"SHIBGF")</f>
        <v>SHIBGF</v>
      </c>
    </row>
    <row r="10656">
      <c r="A10656" s="4" t="str">
        <f>IFERROR(__xludf.DUMMYFUNCTION("""COMPUTED_VALUE"""),"shibking")</f>
        <v>shibking</v>
      </c>
      <c r="B10656" s="4" t="str">
        <f>IFERROR(__xludf.DUMMYFUNCTION("""COMPUTED_VALUE"""),"shibking")</f>
        <v>shibking</v>
      </c>
      <c r="C10656" s="4" t="str">
        <f>IFERROR(__xludf.DUMMYFUNCTION("""COMPUTED_VALUE"""),"ShibKing")</f>
        <v>ShibKing</v>
      </c>
    </row>
    <row r="10657">
      <c r="A10657" s="4" t="str">
        <f>IFERROR(__xludf.DUMMYFUNCTION("""COMPUTED_VALUE"""),"shibnaut")</f>
        <v>shibnaut</v>
      </c>
      <c r="B10657" s="4" t="str">
        <f>IFERROR(__xludf.DUMMYFUNCTION("""COMPUTED_VALUE"""),"shibn")</f>
        <v>shibn</v>
      </c>
      <c r="C10657" s="4" t="str">
        <f>IFERROR(__xludf.DUMMYFUNCTION("""COMPUTED_VALUE"""),"Shibnaut")</f>
        <v>Shibnaut</v>
      </c>
    </row>
    <row r="10658">
      <c r="A10658" s="4" t="str">
        <f>IFERROR(__xludf.DUMMYFUNCTION("""COMPUTED_VALUE"""),"shibonk")</f>
        <v>shibonk</v>
      </c>
      <c r="B10658" s="4" t="str">
        <f>IFERROR(__xludf.DUMMYFUNCTION("""COMPUTED_VALUE"""),"shibo")</f>
        <v>shibo</v>
      </c>
      <c r="C10658" s="4" t="str">
        <f>IFERROR(__xludf.DUMMYFUNCTION("""COMPUTED_VALUE"""),"ShibonkBSC")</f>
        <v>ShibonkBSC</v>
      </c>
    </row>
    <row r="10659">
      <c r="A10659" s="4" t="str">
        <f>IFERROR(__xludf.DUMMYFUNCTION("""COMPUTED_VALUE"""),"shibonk-311f81df-a4ea-4f31-9e61-df0af8211bd7")</f>
        <v>shibonk-311f81df-a4ea-4f31-9e61-df0af8211bd7</v>
      </c>
      <c r="B10659" s="4" t="str">
        <f>IFERROR(__xludf.DUMMYFUNCTION("""COMPUTED_VALUE"""),"sbonk")</f>
        <v>sbonk</v>
      </c>
      <c r="C10659" s="4" t="str">
        <f>IFERROR(__xludf.DUMMYFUNCTION("""COMPUTED_VALUE"""),"SHIBONK")</f>
        <v>SHIBONK</v>
      </c>
    </row>
    <row r="10660">
      <c r="A10660" s="4" t="str">
        <f>IFERROR(__xludf.DUMMYFUNCTION("""COMPUTED_VALUE"""),"shiboo")</f>
        <v>shiboo</v>
      </c>
      <c r="B10660" s="4" t="str">
        <f>IFERROR(__xludf.DUMMYFUNCTION("""COMPUTED_VALUE"""),"shiboo")</f>
        <v>shiboo</v>
      </c>
      <c r="C10660" s="4" t="str">
        <f>IFERROR(__xludf.DUMMYFUNCTION("""COMPUTED_VALUE"""),"Shiboo")</f>
        <v>Shiboo</v>
      </c>
    </row>
    <row r="10661">
      <c r="A10661" s="4" t="str">
        <f>IFERROR(__xludf.DUMMYFUNCTION("""COMPUTED_VALUE"""),"shib-original-vision")</f>
        <v>shib-original-vision</v>
      </c>
      <c r="B10661" s="4" t="str">
        <f>IFERROR(__xludf.DUMMYFUNCTION("""COMPUTED_VALUE"""),"sov")</f>
        <v>sov</v>
      </c>
      <c r="C10661" s="4" t="str">
        <f>IFERROR(__xludf.DUMMYFUNCTION("""COMPUTED_VALUE"""),"Shib Original Vision")</f>
        <v>Shib Original Vision</v>
      </c>
    </row>
    <row r="10662">
      <c r="A10662" s="4" t="str">
        <f>IFERROR(__xludf.DUMMYFUNCTION("""COMPUTED_VALUE"""),"shiboshi")</f>
        <v>shiboshi</v>
      </c>
      <c r="B10662" s="4" t="str">
        <f>IFERROR(__xludf.DUMMYFUNCTION("""COMPUTED_VALUE"""),"shiboshi")</f>
        <v>shiboshi</v>
      </c>
      <c r="C10662" s="4" t="str">
        <f>IFERROR(__xludf.DUMMYFUNCTION("""COMPUTED_VALUE"""),"Shiboshi")</f>
        <v>Shiboshi</v>
      </c>
    </row>
    <row r="10663">
      <c r="A10663" s="4" t="str">
        <f>IFERROR(__xludf.DUMMYFUNCTION("""COMPUTED_VALUE"""),"shibot")</f>
        <v>shibot</v>
      </c>
      <c r="B10663" s="4" t="str">
        <f>IFERROR(__xludf.DUMMYFUNCTION("""COMPUTED_VALUE"""),"shibot")</f>
        <v>shibot</v>
      </c>
      <c r="C10663" s="4" t="str">
        <f>IFERROR(__xludf.DUMMYFUNCTION("""COMPUTED_VALUE"""),"Shibot")</f>
        <v>Shibot</v>
      </c>
    </row>
    <row r="10664">
      <c r="A10664" s="4" t="str">
        <f>IFERROR(__xludf.DUMMYFUNCTION("""COMPUTED_VALUE"""),"shibwifhatcoin")</f>
        <v>shibwifhatcoin</v>
      </c>
      <c r="B10664" s="4" t="str">
        <f>IFERROR(__xludf.DUMMYFUNCTION("""COMPUTED_VALUE"""),"shib")</f>
        <v>shib</v>
      </c>
      <c r="C10664" s="4" t="str">
        <f>IFERROR(__xludf.DUMMYFUNCTION("""COMPUTED_VALUE"""),"Shibwifhatcoin")</f>
        <v>Shibwifhatcoin</v>
      </c>
    </row>
    <row r="10665">
      <c r="A10665" s="4" t="str">
        <f>IFERROR(__xludf.DUMMYFUNCTION("""COMPUTED_VALUE"""),"shiden")</f>
        <v>shiden</v>
      </c>
      <c r="B10665" s="4" t="str">
        <f>IFERROR(__xludf.DUMMYFUNCTION("""COMPUTED_VALUE"""),"sdn")</f>
        <v>sdn</v>
      </c>
      <c r="C10665" s="4" t="str">
        <f>IFERROR(__xludf.DUMMYFUNCTION("""COMPUTED_VALUE"""),"Shiden Network")</f>
        <v>Shiden Network</v>
      </c>
    </row>
    <row r="10666">
      <c r="A10666" s="4" t="str">
        <f>IFERROR(__xludf.DUMMYFUNCTION("""COMPUTED_VALUE"""),"shido")</f>
        <v>shido</v>
      </c>
      <c r="B10666" s="4" t="str">
        <f>IFERROR(__xludf.DUMMYFUNCTION("""COMPUTED_VALUE"""),"shido")</f>
        <v>shido</v>
      </c>
      <c r="C10666" s="4" t="str">
        <f>IFERROR(__xludf.DUMMYFUNCTION("""COMPUTED_VALUE"""),"Shido [OLD]")</f>
        <v>Shido [OLD]</v>
      </c>
    </row>
    <row r="10667">
      <c r="A10667" s="4" t="str">
        <f>IFERROR(__xludf.DUMMYFUNCTION("""COMPUTED_VALUE"""),"shido-2")</f>
        <v>shido-2</v>
      </c>
      <c r="B10667" s="4" t="str">
        <f>IFERROR(__xludf.DUMMYFUNCTION("""COMPUTED_VALUE"""),"shido")</f>
        <v>shido</v>
      </c>
      <c r="C10667" s="4" t="str">
        <f>IFERROR(__xludf.DUMMYFUNCTION("""COMPUTED_VALUE"""),"Shido")</f>
        <v>Shido</v>
      </c>
    </row>
    <row r="10668">
      <c r="A10668" s="4" t="str">
        <f>IFERROR(__xludf.DUMMYFUNCTION("""COMPUTED_VALUE"""),"shield-bsc-token")</f>
        <v>shield-bsc-token</v>
      </c>
      <c r="B10668" s="4" t="str">
        <f>IFERROR(__xludf.DUMMYFUNCTION("""COMPUTED_VALUE"""),"shdb")</f>
        <v>shdb</v>
      </c>
      <c r="C10668" s="4" t="str">
        <f>IFERROR(__xludf.DUMMYFUNCTION("""COMPUTED_VALUE"""),"Shield BSC Token")</f>
        <v>Shield BSC Token</v>
      </c>
    </row>
    <row r="10669">
      <c r="A10669" s="4" t="str">
        <f>IFERROR(__xludf.DUMMYFUNCTION("""COMPUTED_VALUE"""),"shield-network")</f>
        <v>shield-network</v>
      </c>
      <c r="B10669" s="4" t="str">
        <f>IFERROR(__xludf.DUMMYFUNCTION("""COMPUTED_VALUE"""),"shieldnet")</f>
        <v>shieldnet</v>
      </c>
      <c r="C10669" s="4" t="str">
        <f>IFERROR(__xludf.DUMMYFUNCTION("""COMPUTED_VALUE"""),"Shield Network")</f>
        <v>Shield Network</v>
      </c>
    </row>
    <row r="10670">
      <c r="A10670" s="4" t="str">
        <f>IFERROR(__xludf.DUMMYFUNCTION("""COMPUTED_VALUE"""),"shield-protocol-2")</f>
        <v>shield-protocol-2</v>
      </c>
      <c r="B10670" s="4" t="str">
        <f>IFERROR(__xludf.DUMMYFUNCTION("""COMPUTED_VALUE"""),"shield")</f>
        <v>shield</v>
      </c>
      <c r="C10670" s="4" t="str">
        <f>IFERROR(__xludf.DUMMYFUNCTION("""COMPUTED_VALUE"""),"Shield Protocol")</f>
        <v>Shield Protocol</v>
      </c>
    </row>
    <row r="10671">
      <c r="A10671" s="4" t="str">
        <f>IFERROR(__xludf.DUMMYFUNCTION("""COMPUTED_VALUE"""),"shieldtokencoin")</f>
        <v>shieldtokencoin</v>
      </c>
      <c r="B10671" s="4" t="str">
        <f>IFERROR(__xludf.DUMMYFUNCTION("""COMPUTED_VALUE"""),"0stc")</f>
        <v>0stc</v>
      </c>
      <c r="C10671" s="4" t="str">
        <f>IFERROR(__xludf.DUMMYFUNCTION("""COMPUTED_VALUE"""),"ShieldTokenCoin")</f>
        <v>ShieldTokenCoin</v>
      </c>
    </row>
    <row r="10672">
      <c r="A10672" s="4" t="str">
        <f>IFERROR(__xludf.DUMMYFUNCTION("""COMPUTED_VALUE"""),"shih-tzu")</f>
        <v>shih-tzu</v>
      </c>
      <c r="B10672" s="4" t="str">
        <f>IFERROR(__xludf.DUMMYFUNCTION("""COMPUTED_VALUE"""),"shih")</f>
        <v>shih</v>
      </c>
      <c r="C10672" s="4" t="str">
        <f>IFERROR(__xludf.DUMMYFUNCTION("""COMPUTED_VALUE"""),"Shih Tzu")</f>
        <v>Shih Tzu</v>
      </c>
    </row>
    <row r="10673">
      <c r="A10673" s="4" t="str">
        <f>IFERROR(__xludf.DUMMYFUNCTION("""COMPUTED_VALUE"""),"shikoku")</f>
        <v>shikoku</v>
      </c>
      <c r="B10673" s="4" t="str">
        <f>IFERROR(__xludf.DUMMYFUNCTION("""COMPUTED_VALUE"""),"shik")</f>
        <v>shik</v>
      </c>
      <c r="C10673" s="4" t="str">
        <f>IFERROR(__xludf.DUMMYFUNCTION("""COMPUTED_VALUE"""),"Shikoku")</f>
        <v>Shikoku</v>
      </c>
    </row>
    <row r="10674">
      <c r="A10674" s="4" t="str">
        <f>IFERROR(__xludf.DUMMYFUNCTION("""COMPUTED_VALUE"""),"shikoku-inu")</f>
        <v>shikoku-inu</v>
      </c>
      <c r="B10674" s="4" t="str">
        <f>IFERROR(__xludf.DUMMYFUNCTION("""COMPUTED_VALUE"""),"shiko")</f>
        <v>shiko</v>
      </c>
      <c r="C10674" s="4" t="str">
        <f>IFERROR(__xludf.DUMMYFUNCTION("""COMPUTED_VALUE"""),"Shikoku Inu")</f>
        <v>Shikoku Inu</v>
      </c>
    </row>
    <row r="10675">
      <c r="A10675" s="4" t="str">
        <f>IFERROR(__xludf.DUMMYFUNCTION("""COMPUTED_VALUE"""),"shila-inu")</f>
        <v>shila-inu</v>
      </c>
      <c r="B10675" s="4" t="str">
        <f>IFERROR(__xludf.DUMMYFUNCTION("""COMPUTED_VALUE"""),"shil")</f>
        <v>shil</v>
      </c>
      <c r="C10675" s="4" t="str">
        <f>IFERROR(__xludf.DUMMYFUNCTION("""COMPUTED_VALUE"""),"Shila Inu")</f>
        <v>Shila Inu</v>
      </c>
    </row>
    <row r="10676">
      <c r="A10676" s="4" t="str">
        <f>IFERROR(__xludf.DUMMYFUNCTION("""COMPUTED_VALUE"""),"shilld")</f>
        <v>shilld</v>
      </c>
      <c r="B10676" s="4" t="str">
        <f>IFERROR(__xludf.DUMMYFUNCTION("""COMPUTED_VALUE"""),"shilld")</f>
        <v>shilld</v>
      </c>
      <c r="C10676" s="4" t="str">
        <f>IFERROR(__xludf.DUMMYFUNCTION("""COMPUTED_VALUE"""),"SHILLD")</f>
        <v>SHILLD</v>
      </c>
    </row>
    <row r="10677">
      <c r="A10677" s="4" t="str">
        <f>IFERROR(__xludf.DUMMYFUNCTION("""COMPUTED_VALUE"""),"shill-guard-token")</f>
        <v>shill-guard-token</v>
      </c>
      <c r="B10677" s="4" t="str">
        <f>IFERROR(__xludf.DUMMYFUNCTION("""COMPUTED_VALUE"""),"sgt")</f>
        <v>sgt</v>
      </c>
      <c r="C10677" s="4" t="str">
        <f>IFERROR(__xludf.DUMMYFUNCTION("""COMPUTED_VALUE"""),"Shill Guard Token")</f>
        <v>Shill Guard Token</v>
      </c>
    </row>
    <row r="10678">
      <c r="A10678" s="4" t="str">
        <f>IFERROR(__xludf.DUMMYFUNCTION("""COMPUTED_VALUE"""),"shill-token")</f>
        <v>shill-token</v>
      </c>
      <c r="B10678" s="4" t="str">
        <f>IFERROR(__xludf.DUMMYFUNCTION("""COMPUTED_VALUE"""),"shill")</f>
        <v>shill</v>
      </c>
      <c r="C10678" s="4" t="str">
        <f>IFERROR(__xludf.DUMMYFUNCTION("""COMPUTED_VALUE"""),"SHILL Token")</f>
        <v>SHILL Token</v>
      </c>
    </row>
    <row r="10679">
      <c r="A10679" s="4" t="str">
        <f>IFERROR(__xludf.DUMMYFUNCTION("""COMPUTED_VALUE"""),"shilly-bar")</f>
        <v>shilly-bar</v>
      </c>
      <c r="B10679" s="4" t="str">
        <f>IFERROR(__xludf.DUMMYFUNCTION("""COMPUTED_VALUE"""),"shbar")</f>
        <v>shbar</v>
      </c>
      <c r="C10679" s="4" t="str">
        <f>IFERROR(__xludf.DUMMYFUNCTION("""COMPUTED_VALUE"""),"Shilly Bar")</f>
        <v>Shilly Bar</v>
      </c>
    </row>
    <row r="10680">
      <c r="A10680" s="4" t="str">
        <f>IFERROR(__xludf.DUMMYFUNCTION("""COMPUTED_VALUE"""),"shimmer")</f>
        <v>shimmer</v>
      </c>
      <c r="B10680" s="4" t="str">
        <f>IFERROR(__xludf.DUMMYFUNCTION("""COMPUTED_VALUE"""),"smr")</f>
        <v>smr</v>
      </c>
      <c r="C10680" s="4" t="str">
        <f>IFERROR(__xludf.DUMMYFUNCTION("""COMPUTED_VALUE"""),"Shimmer")</f>
        <v>Shimmer</v>
      </c>
    </row>
    <row r="10681">
      <c r="A10681" s="4" t="str">
        <f>IFERROR(__xludf.DUMMYFUNCTION("""COMPUTED_VALUE"""),"shimmerbridge-bridged-usdt-shimmerevm")</f>
        <v>shimmerbridge-bridged-usdt-shimmerevm</v>
      </c>
      <c r="B10681" s="4" t="str">
        <f>IFERROR(__xludf.DUMMYFUNCTION("""COMPUTED_VALUE"""),"usdt")</f>
        <v>usdt</v>
      </c>
      <c r="C10681" s="4" t="str">
        <f>IFERROR(__xludf.DUMMYFUNCTION("""COMPUTED_VALUE"""),"ShimmerBridge Bridged USDT (ShimmerEVM)")</f>
        <v>ShimmerBridge Bridged USDT (ShimmerEVM)</v>
      </c>
    </row>
    <row r="10682">
      <c r="A10682" s="4" t="str">
        <f>IFERROR(__xludf.DUMMYFUNCTION("""COMPUTED_VALUE"""),"shimmersea-lum")</f>
        <v>shimmersea-lum</v>
      </c>
      <c r="B10682" s="4" t="str">
        <f>IFERROR(__xludf.DUMMYFUNCTION("""COMPUTED_VALUE"""),"lum")</f>
        <v>lum</v>
      </c>
      <c r="C10682" s="4" t="str">
        <f>IFERROR(__xludf.DUMMYFUNCTION("""COMPUTED_VALUE"""),"ShimmerSea Lum")</f>
        <v>ShimmerSea Lum</v>
      </c>
    </row>
    <row r="10683">
      <c r="A10683" s="4" t="str">
        <f>IFERROR(__xludf.DUMMYFUNCTION("""COMPUTED_VALUE"""),"shina-inu")</f>
        <v>shina-inu</v>
      </c>
      <c r="B10683" s="4" t="str">
        <f>IFERROR(__xludf.DUMMYFUNCTION("""COMPUTED_VALUE"""),"shi")</f>
        <v>shi</v>
      </c>
      <c r="C10683" s="4" t="str">
        <f>IFERROR(__xludf.DUMMYFUNCTION("""COMPUTED_VALUE"""),"Shina Inu")</f>
        <v>Shina Inu</v>
      </c>
    </row>
    <row r="10684">
      <c r="A10684" s="4" t="str">
        <f>IFERROR(__xludf.DUMMYFUNCTION("""COMPUTED_VALUE"""),"shine-chain")</f>
        <v>shine-chain</v>
      </c>
      <c r="B10684" s="4" t="str">
        <f>IFERROR(__xludf.DUMMYFUNCTION("""COMPUTED_VALUE"""),"sc20")</f>
        <v>sc20</v>
      </c>
      <c r="C10684" s="4" t="str">
        <f>IFERROR(__xludf.DUMMYFUNCTION("""COMPUTED_VALUE"""),"Shine Chain")</f>
        <v>Shine Chain</v>
      </c>
    </row>
    <row r="10685">
      <c r="A10685" s="4" t="str">
        <f>IFERROR(__xludf.DUMMYFUNCTION("""COMPUTED_VALUE"""),"shinji-inu")</f>
        <v>shinji-inu</v>
      </c>
      <c r="B10685" s="4" t="str">
        <f>IFERROR(__xludf.DUMMYFUNCTION("""COMPUTED_VALUE"""),"shinji")</f>
        <v>shinji</v>
      </c>
      <c r="C10685" s="4" t="str">
        <f>IFERROR(__xludf.DUMMYFUNCTION("""COMPUTED_VALUE"""),"Shinji Inu")</f>
        <v>Shinji Inu</v>
      </c>
    </row>
    <row r="10686">
      <c r="A10686" s="4" t="str">
        <f>IFERROR(__xludf.DUMMYFUNCTION("""COMPUTED_VALUE"""),"shinjiru-inu")</f>
        <v>shinjiru-inu</v>
      </c>
      <c r="B10686" s="4" t="str">
        <f>IFERROR(__xludf.DUMMYFUNCTION("""COMPUTED_VALUE"""),"shinji")</f>
        <v>shinji</v>
      </c>
      <c r="C10686" s="4" t="str">
        <f>IFERROR(__xludf.DUMMYFUNCTION("""COMPUTED_VALUE"""),"Shinjiru Inu")</f>
        <v>Shinjiru Inu</v>
      </c>
    </row>
    <row r="10687">
      <c r="A10687" s="4" t="str">
        <f>IFERROR(__xludf.DUMMYFUNCTION("""COMPUTED_VALUE"""),"shinobi-2")</f>
        <v>shinobi-2</v>
      </c>
      <c r="B10687" s="4" t="str">
        <f>IFERROR(__xludf.DUMMYFUNCTION("""COMPUTED_VALUE"""),"ninja")</f>
        <v>ninja</v>
      </c>
      <c r="C10687" s="4" t="str">
        <f>IFERROR(__xludf.DUMMYFUNCTION("""COMPUTED_VALUE"""),"Shinobi")</f>
        <v>Shinobi</v>
      </c>
    </row>
    <row r="10688">
      <c r="A10688" s="4" t="str">
        <f>IFERROR(__xludf.DUMMYFUNCTION("""COMPUTED_VALUE"""),"shira-cat")</f>
        <v>shira-cat</v>
      </c>
      <c r="B10688" s="4" t="str">
        <f>IFERROR(__xludf.DUMMYFUNCTION("""COMPUTED_VALUE"""),"catshira")</f>
        <v>catshira</v>
      </c>
      <c r="C10688" s="4" t="str">
        <f>IFERROR(__xludf.DUMMYFUNCTION("""COMPUTED_VALUE"""),"Shira Cat")</f>
        <v>Shira Cat</v>
      </c>
    </row>
    <row r="10689">
      <c r="A10689" s="4" t="str">
        <f>IFERROR(__xludf.DUMMYFUNCTION("""COMPUTED_VALUE"""),"shiro-the-frogdog")</f>
        <v>shiro-the-frogdog</v>
      </c>
      <c r="B10689" s="4" t="str">
        <f>IFERROR(__xludf.DUMMYFUNCTION("""COMPUTED_VALUE"""),"frogdog")</f>
        <v>frogdog</v>
      </c>
      <c r="C10689" s="4" t="str">
        <f>IFERROR(__xludf.DUMMYFUNCTION("""COMPUTED_VALUE"""),"Shiro the FrogDog")</f>
        <v>Shiro the FrogDog</v>
      </c>
    </row>
    <row r="10690">
      <c r="A10690" s="4" t="str">
        <f>IFERROR(__xludf.DUMMYFUNCTION("""COMPUTED_VALUE"""),"shirtum")</f>
        <v>shirtum</v>
      </c>
      <c r="B10690" s="4" t="str">
        <f>IFERROR(__xludf.DUMMYFUNCTION("""COMPUTED_VALUE"""),"shi")</f>
        <v>shi</v>
      </c>
      <c r="C10690" s="4" t="str">
        <f>IFERROR(__xludf.DUMMYFUNCTION("""COMPUTED_VALUE"""),"Shirtum")</f>
        <v>Shirtum</v>
      </c>
    </row>
    <row r="10691">
      <c r="A10691" s="4" t="str">
        <f>IFERROR(__xludf.DUMMYFUNCTION("""COMPUTED_VALUE"""),"shiryo-inu")</f>
        <v>shiryo-inu</v>
      </c>
      <c r="B10691" s="4" t="str">
        <f>IFERROR(__xludf.DUMMYFUNCTION("""COMPUTED_VALUE"""),"shiryo-inu")</f>
        <v>shiryo-inu</v>
      </c>
      <c r="C10691" s="4" t="str">
        <f>IFERROR(__xludf.DUMMYFUNCTION("""COMPUTED_VALUE"""),"Shiryo")</f>
        <v>Shiryo</v>
      </c>
    </row>
    <row r="10692">
      <c r="A10692" s="4" t="str">
        <f>IFERROR(__xludf.DUMMYFUNCTION("""COMPUTED_VALUE"""),"shita-kiri-suzume")</f>
        <v>shita-kiri-suzume</v>
      </c>
      <c r="B10692" s="4" t="str">
        <f>IFERROR(__xludf.DUMMYFUNCTION("""COMPUTED_VALUE"""),"suzume")</f>
        <v>suzume</v>
      </c>
      <c r="C10692" s="4" t="str">
        <f>IFERROR(__xludf.DUMMYFUNCTION("""COMPUTED_VALUE"""),"Shita-kiri Suzume")</f>
        <v>Shita-kiri Suzume</v>
      </c>
    </row>
    <row r="10693">
      <c r="A10693" s="4" t="str">
        <f>IFERROR(__xludf.DUMMYFUNCTION("""COMPUTED_VALUE"""),"shitzu")</f>
        <v>shitzu</v>
      </c>
      <c r="B10693" s="4" t="str">
        <f>IFERROR(__xludf.DUMMYFUNCTION("""COMPUTED_VALUE"""),"shitzu")</f>
        <v>shitzu</v>
      </c>
      <c r="C10693" s="4" t="str">
        <f>IFERROR(__xludf.DUMMYFUNCTION("""COMPUTED_VALUE"""),"Shitzu")</f>
        <v>Shitzu</v>
      </c>
    </row>
    <row r="10694">
      <c r="A10694" s="4" t="str">
        <f>IFERROR(__xludf.DUMMYFUNCTION("""COMPUTED_VALUE"""),"shiva-inu")</f>
        <v>shiva-inu</v>
      </c>
      <c r="B10694" s="4" t="str">
        <f>IFERROR(__xludf.DUMMYFUNCTION("""COMPUTED_VALUE"""),"shiv")</f>
        <v>shiv</v>
      </c>
      <c r="C10694" s="4" t="str">
        <f>IFERROR(__xludf.DUMMYFUNCTION("""COMPUTED_VALUE"""),"Shiva Inu")</f>
        <v>Shiva Inu</v>
      </c>
    </row>
    <row r="10695">
      <c r="A10695" s="4" t="str">
        <f>IFERROR(__xludf.DUMMYFUNCTION("""COMPUTED_VALUE"""),"shockwaves")</f>
        <v>shockwaves</v>
      </c>
      <c r="B10695" s="4" t="str">
        <f>IFERROR(__xludf.DUMMYFUNCTION("""COMPUTED_VALUE"""),"neuros")</f>
        <v>neuros</v>
      </c>
      <c r="C10695" s="4" t="str">
        <f>IFERROR(__xludf.DUMMYFUNCTION("""COMPUTED_VALUE"""),"Shockwaves")</f>
        <v>Shockwaves</v>
      </c>
    </row>
    <row r="10696">
      <c r="A10696" s="4" t="str">
        <f>IFERROR(__xludf.DUMMYFUNCTION("""COMPUTED_VALUE"""),"shoe404")</f>
        <v>shoe404</v>
      </c>
      <c r="B10696" s="4" t="str">
        <f>IFERROR(__xludf.DUMMYFUNCTION("""COMPUTED_VALUE"""),"shoe")</f>
        <v>shoe</v>
      </c>
      <c r="C10696" s="4" t="str">
        <f>IFERROR(__xludf.DUMMYFUNCTION("""COMPUTED_VALUE"""),"Shoe404")</f>
        <v>Shoe404</v>
      </c>
    </row>
    <row r="10697">
      <c r="A10697" s="4" t="str">
        <f>IFERROR(__xludf.DUMMYFUNCTION("""COMPUTED_VALUE"""),"shoebill-coin")</f>
        <v>shoebill-coin</v>
      </c>
      <c r="B10697" s="4" t="str">
        <f>IFERROR(__xludf.DUMMYFUNCTION("""COMPUTED_VALUE"""),"shbl")</f>
        <v>shbl</v>
      </c>
      <c r="C10697" s="4" t="str">
        <f>IFERROR(__xludf.DUMMYFUNCTION("""COMPUTED_VALUE"""),"Shoebill Coin")</f>
        <v>Shoebill Coin</v>
      </c>
    </row>
    <row r="10698">
      <c r="A10698" s="4" t="str">
        <f>IFERROR(__xludf.DUMMYFUNCTION("""COMPUTED_VALUE"""),"shoefy")</f>
        <v>shoefy</v>
      </c>
      <c r="B10698" s="4" t="str">
        <f>IFERROR(__xludf.DUMMYFUNCTION("""COMPUTED_VALUE"""),"shoe")</f>
        <v>shoe</v>
      </c>
      <c r="C10698" s="4" t="str">
        <f>IFERROR(__xludf.DUMMYFUNCTION("""COMPUTED_VALUE"""),"ShoeFy")</f>
        <v>ShoeFy</v>
      </c>
    </row>
    <row r="10699">
      <c r="A10699" s="4" t="str">
        <f>IFERROR(__xludf.DUMMYFUNCTION("""COMPUTED_VALUE"""),"shoki")</f>
        <v>shoki</v>
      </c>
      <c r="B10699" s="4" t="str">
        <f>IFERROR(__xludf.DUMMYFUNCTION("""COMPUTED_VALUE"""),"shoki")</f>
        <v>shoki</v>
      </c>
      <c r="C10699" s="4" t="str">
        <f>IFERROR(__xludf.DUMMYFUNCTION("""COMPUTED_VALUE"""),"Shoki")</f>
        <v>Shoki</v>
      </c>
    </row>
    <row r="10700">
      <c r="A10700" s="4" t="str">
        <f>IFERROR(__xludf.DUMMYFUNCTION("""COMPUTED_VALUE"""),"shontoken")</f>
        <v>shontoken</v>
      </c>
      <c r="B10700" s="4" t="str">
        <f>IFERROR(__xludf.DUMMYFUNCTION("""COMPUTED_VALUE"""),"shon")</f>
        <v>shon</v>
      </c>
      <c r="C10700" s="4" t="str">
        <f>IFERROR(__xludf.DUMMYFUNCTION("""COMPUTED_VALUE"""),"Shon")</f>
        <v>Shon</v>
      </c>
    </row>
    <row r="10701">
      <c r="A10701" s="4" t="str">
        <f>IFERROR(__xludf.DUMMYFUNCTION("""COMPUTED_VALUE"""),"shoot-2")</f>
        <v>shoot-2</v>
      </c>
      <c r="B10701" s="4" t="str">
        <f>IFERROR(__xludf.DUMMYFUNCTION("""COMPUTED_VALUE"""),"shoot")</f>
        <v>shoot</v>
      </c>
      <c r="C10701" s="4" t="str">
        <f>IFERROR(__xludf.DUMMYFUNCTION("""COMPUTED_VALUE"""),"SHOOT")</f>
        <v>SHOOT</v>
      </c>
    </row>
    <row r="10702">
      <c r="A10702" s="4" t="str">
        <f>IFERROR(__xludf.DUMMYFUNCTION("""COMPUTED_VALUE"""),"shopnext-loyalty-token")</f>
        <v>shopnext-loyalty-token</v>
      </c>
      <c r="B10702" s="4" t="str">
        <f>IFERROR(__xludf.DUMMYFUNCTION("""COMPUTED_VALUE"""),"next")</f>
        <v>next</v>
      </c>
      <c r="C10702" s="4" t="str">
        <f>IFERROR(__xludf.DUMMYFUNCTION("""COMPUTED_VALUE"""),"ShopNext Loyalty Token")</f>
        <v>ShopNext Loyalty Token</v>
      </c>
    </row>
    <row r="10703">
      <c r="A10703" s="4" t="str">
        <f>IFERROR(__xludf.DUMMYFUNCTION("""COMPUTED_VALUE"""),"shopnext-reward-token")</f>
        <v>shopnext-reward-token</v>
      </c>
      <c r="B10703" s="4" t="str">
        <f>IFERROR(__xludf.DUMMYFUNCTION("""COMPUTED_VALUE"""),"ste")</f>
        <v>ste</v>
      </c>
      <c r="C10703" s="4" t="str">
        <f>IFERROR(__xludf.DUMMYFUNCTION("""COMPUTED_VALUE"""),"ShopNEXT Reward Token")</f>
        <v>ShopNEXT Reward Token</v>
      </c>
    </row>
    <row r="10704">
      <c r="A10704" s="4" t="str">
        <f>IFERROR(__xludf.DUMMYFUNCTION("""COMPUTED_VALUE"""),"shoppingfriend-ai")</f>
        <v>shoppingfriend-ai</v>
      </c>
      <c r="B10704" s="4" t="str">
        <f>IFERROR(__xludf.DUMMYFUNCTION("""COMPUTED_VALUE"""),"aibuddy")</f>
        <v>aibuddy</v>
      </c>
      <c r="C10704" s="5" t="str">
        <f>IFERROR(__xludf.DUMMYFUNCTION("""COMPUTED_VALUE"""),"ShoppingFriend.AI")</f>
        <v>ShoppingFriend.AI</v>
      </c>
    </row>
    <row r="10705">
      <c r="A10705" s="4" t="str">
        <f>IFERROR(__xludf.DUMMYFUNCTION("""COMPUTED_VALUE"""),"shopping-io-token")</f>
        <v>shopping-io-token</v>
      </c>
      <c r="B10705" s="4" t="str">
        <f>IFERROR(__xludf.DUMMYFUNCTION("""COMPUTED_VALUE"""),"shop")</f>
        <v>shop</v>
      </c>
      <c r="C10705" s="5" t="str">
        <f>IFERROR(__xludf.DUMMYFUNCTION("""COMPUTED_VALUE"""),"Shopping.io")</f>
        <v>Shopping.io</v>
      </c>
    </row>
    <row r="10706">
      <c r="A10706" s="4" t="str">
        <f>IFERROR(__xludf.DUMMYFUNCTION("""COMPUTED_VALUE"""),"short-term-t-bill-token")</f>
        <v>short-term-t-bill-token</v>
      </c>
      <c r="B10706" s="4" t="str">
        <f>IFERROR(__xludf.DUMMYFUNCTION("""COMPUTED_VALUE"""),"stbt")</f>
        <v>stbt</v>
      </c>
      <c r="C10706" s="4" t="str">
        <f>IFERROR(__xludf.DUMMYFUNCTION("""COMPUTED_VALUE"""),"Short-term T-Bill Token")</f>
        <v>Short-term T-Bill Token</v>
      </c>
    </row>
    <row r="10707">
      <c r="A10707" s="4" t="str">
        <f>IFERROR(__xludf.DUMMYFUNCTION("""COMPUTED_VALUE"""),"shping")</f>
        <v>shping</v>
      </c>
      <c r="B10707" s="4" t="str">
        <f>IFERROR(__xludf.DUMMYFUNCTION("""COMPUTED_VALUE"""),"shping")</f>
        <v>shping</v>
      </c>
      <c r="C10707" s="4" t="str">
        <f>IFERROR(__xludf.DUMMYFUNCTION("""COMPUTED_VALUE"""),"Shping")</f>
        <v>Shping</v>
      </c>
    </row>
    <row r="10708">
      <c r="A10708" s="4" t="str">
        <f>IFERROR(__xludf.DUMMYFUNCTION("""COMPUTED_VALUE"""),"shrapnel-2")</f>
        <v>shrapnel-2</v>
      </c>
      <c r="B10708" s="4" t="str">
        <f>IFERROR(__xludf.DUMMYFUNCTION("""COMPUTED_VALUE"""),"shrap")</f>
        <v>shrap</v>
      </c>
      <c r="C10708" s="4" t="str">
        <f>IFERROR(__xludf.DUMMYFUNCTION("""COMPUTED_VALUE"""),"Shrapnel")</f>
        <v>Shrapnel</v>
      </c>
    </row>
    <row r="10709">
      <c r="A10709" s="4" t="str">
        <f>IFERROR(__xludf.DUMMYFUNCTION("""COMPUTED_VALUE"""),"shredn")</f>
        <v>shredn</v>
      </c>
      <c r="B10709" s="4" t="str">
        <f>IFERROR(__xludf.DUMMYFUNCTION("""COMPUTED_VALUE"""),"shred")</f>
        <v>shred</v>
      </c>
      <c r="C10709" s="4" t="str">
        <f>IFERROR(__xludf.DUMMYFUNCTION("""COMPUTED_VALUE"""),"ShredN")</f>
        <v>ShredN</v>
      </c>
    </row>
    <row r="10710">
      <c r="A10710" s="4" t="str">
        <f>IFERROR(__xludf.DUMMYFUNCTION("""COMPUTED_VALUE"""),"shredn-dog")</f>
        <v>shredn-dog</v>
      </c>
      <c r="B10710" s="4" t="str">
        <f>IFERROR(__xludf.DUMMYFUNCTION("""COMPUTED_VALUE"""),"shredn")</f>
        <v>shredn</v>
      </c>
      <c r="C10710" s="4" t="str">
        <f>IFERROR(__xludf.DUMMYFUNCTION("""COMPUTED_VALUE"""),"Shredn Dog")</f>
        <v>Shredn Dog</v>
      </c>
    </row>
    <row r="10711">
      <c r="A10711" s="4" t="str">
        <f>IFERROR(__xludf.DUMMYFUNCTION("""COMPUTED_VALUE"""),"shree")</f>
        <v>shree</v>
      </c>
      <c r="B10711" s="4" t="str">
        <f>IFERROR(__xludf.DUMMYFUNCTION("""COMPUTED_VALUE"""),"shr")</f>
        <v>shr</v>
      </c>
      <c r="C10711" s="4" t="str">
        <f>IFERROR(__xludf.DUMMYFUNCTION("""COMPUTED_VALUE"""),"SHREE")</f>
        <v>SHREE</v>
      </c>
    </row>
    <row r="10712">
      <c r="A10712" s="4" t="str">
        <f>IFERROR(__xludf.DUMMYFUNCTION("""COMPUTED_VALUE"""),"shrimp")</f>
        <v>shrimp</v>
      </c>
      <c r="B10712" s="4" t="str">
        <f>IFERROR(__xludf.DUMMYFUNCTION("""COMPUTED_VALUE"""),"shrimp")</f>
        <v>shrimp</v>
      </c>
      <c r="C10712" s="4" t="str">
        <f>IFERROR(__xludf.DUMMYFUNCTION("""COMPUTED_VALUE"""),"Shrimp")</f>
        <v>Shrimp</v>
      </c>
    </row>
    <row r="10713">
      <c r="A10713" s="4" t="str">
        <f>IFERROR(__xludf.DUMMYFUNCTION("""COMPUTED_VALUE"""),"shroom")</f>
        <v>shroom</v>
      </c>
      <c r="B10713" s="4" t="str">
        <f>IFERROR(__xludf.DUMMYFUNCTION("""COMPUTED_VALUE"""),"shroom")</f>
        <v>shroom</v>
      </c>
      <c r="C10713" s="4" t="str">
        <f>IFERROR(__xludf.DUMMYFUNCTION("""COMPUTED_VALUE"""),"Shroom")</f>
        <v>Shroom</v>
      </c>
    </row>
    <row r="10714">
      <c r="A10714" s="4" t="str">
        <f>IFERROR(__xludf.DUMMYFUNCTION("""COMPUTED_VALUE"""),"shroom-finance")</f>
        <v>shroom-finance</v>
      </c>
      <c r="B10714" s="4" t="str">
        <f>IFERROR(__xludf.DUMMYFUNCTION("""COMPUTED_VALUE"""),"shroom")</f>
        <v>shroom</v>
      </c>
      <c r="C10714" s="4" t="str">
        <f>IFERROR(__xludf.DUMMYFUNCTION("""COMPUTED_VALUE"""),"Niftyx Protocol")</f>
        <v>Niftyx Protocol</v>
      </c>
    </row>
    <row r="10715">
      <c r="A10715" s="4" t="str">
        <f>IFERROR(__xludf.DUMMYFUNCTION("""COMPUTED_VALUE"""),"shuffle-2")</f>
        <v>shuffle-2</v>
      </c>
      <c r="B10715" s="4" t="str">
        <f>IFERROR(__xludf.DUMMYFUNCTION("""COMPUTED_VALUE"""),"shfl")</f>
        <v>shfl</v>
      </c>
      <c r="C10715" s="4" t="str">
        <f>IFERROR(__xludf.DUMMYFUNCTION("""COMPUTED_VALUE"""),"Shuffle")</f>
        <v>Shuffle</v>
      </c>
    </row>
    <row r="10716">
      <c r="A10716" s="4" t="str">
        <f>IFERROR(__xludf.DUMMYFUNCTION("""COMPUTED_VALUE"""),"shuffle-by-hupayx")</f>
        <v>shuffle-by-hupayx</v>
      </c>
      <c r="B10716" s="4" t="str">
        <f>IFERROR(__xludf.DUMMYFUNCTION("""COMPUTED_VALUE"""),"sfl")</f>
        <v>sfl</v>
      </c>
      <c r="C10716" s="4" t="str">
        <f>IFERROR(__xludf.DUMMYFUNCTION("""COMPUTED_VALUE"""),"SHUFFLE by HUPAYX")</f>
        <v>SHUFFLE by HUPAYX</v>
      </c>
    </row>
    <row r="10717">
      <c r="A10717" s="4" t="str">
        <f>IFERROR(__xludf.DUMMYFUNCTION("""COMPUTED_VALUE"""),"shui")</f>
        <v>shui</v>
      </c>
      <c r="B10717" s="4" t="str">
        <f>IFERROR(__xludf.DUMMYFUNCTION("""COMPUTED_VALUE"""),"shui")</f>
        <v>shui</v>
      </c>
      <c r="C10717" s="4" t="str">
        <f>IFERROR(__xludf.DUMMYFUNCTION("""COMPUTED_VALUE"""),"SHUI")</f>
        <v>SHUI</v>
      </c>
    </row>
    <row r="10718">
      <c r="A10718" s="4" t="str">
        <f>IFERROR(__xludf.DUMMYFUNCTION("""COMPUTED_VALUE"""),"shui-cfx")</f>
        <v>shui-cfx</v>
      </c>
      <c r="B10718" s="4" t="str">
        <f>IFERROR(__xludf.DUMMYFUNCTION("""COMPUTED_VALUE"""),"scfx")</f>
        <v>scfx</v>
      </c>
      <c r="C10718" s="4" t="str">
        <f>IFERROR(__xludf.DUMMYFUNCTION("""COMPUTED_VALUE"""),"SHUI CFX")</f>
        <v>SHUI CFX</v>
      </c>
    </row>
    <row r="10719">
      <c r="A10719" s="4" t="str">
        <f>IFERROR(__xludf.DUMMYFUNCTION("""COMPUTED_VALUE"""),"shuts-wave")</f>
        <v>shuts-wave</v>
      </c>
      <c r="B10719" s="4" t="str">
        <f>IFERROR(__xludf.DUMMYFUNCTION("""COMPUTED_VALUE"""),"swave")</f>
        <v>swave</v>
      </c>
      <c r="C10719" s="4" t="str">
        <f>IFERROR(__xludf.DUMMYFUNCTION("""COMPUTED_VALUE"""),"shuts Wave")</f>
        <v>shuts Wave</v>
      </c>
    </row>
    <row r="10720">
      <c r="A10720" s="4" t="str">
        <f>IFERROR(__xludf.DUMMYFUNCTION("""COMPUTED_VALUE"""),"shutter")</f>
        <v>shutter</v>
      </c>
      <c r="B10720" s="4" t="str">
        <f>IFERROR(__xludf.DUMMYFUNCTION("""COMPUTED_VALUE"""),"shu")</f>
        <v>shu</v>
      </c>
      <c r="C10720" s="4" t="str">
        <f>IFERROR(__xludf.DUMMYFUNCTION("""COMPUTED_VALUE"""),"Shutter")</f>
        <v>Shutter</v>
      </c>
    </row>
    <row r="10721">
      <c r="A10721" s="4" t="str">
        <f>IFERROR(__xludf.DUMMYFUNCTION("""COMPUTED_VALUE"""),"shyft-network-2")</f>
        <v>shyft-network-2</v>
      </c>
      <c r="B10721" s="4" t="str">
        <f>IFERROR(__xludf.DUMMYFUNCTION("""COMPUTED_VALUE"""),"shft")</f>
        <v>shft</v>
      </c>
      <c r="C10721" s="4" t="str">
        <f>IFERROR(__xludf.DUMMYFUNCTION("""COMPUTED_VALUE"""),"Shyft Network")</f>
        <v>Shyft Network</v>
      </c>
    </row>
    <row r="10722">
      <c r="A10722" s="4" t="str">
        <f>IFERROR(__xludf.DUMMYFUNCTION("""COMPUTED_VALUE"""),"siacoin")</f>
        <v>siacoin</v>
      </c>
      <c r="B10722" s="4" t="str">
        <f>IFERROR(__xludf.DUMMYFUNCTION("""COMPUTED_VALUE"""),"sc")</f>
        <v>sc</v>
      </c>
      <c r="C10722" s="4" t="str">
        <f>IFERROR(__xludf.DUMMYFUNCTION("""COMPUTED_VALUE"""),"Siacoin")</f>
        <v>Siacoin</v>
      </c>
    </row>
    <row r="10723">
      <c r="A10723" s="4" t="str">
        <f>IFERROR(__xludf.DUMMYFUNCTION("""COMPUTED_VALUE"""),"siamese")</f>
        <v>siamese</v>
      </c>
      <c r="B10723" s="4" t="str">
        <f>IFERROR(__xludf.DUMMYFUNCTION("""COMPUTED_VALUE"""),"siam")</f>
        <v>siam</v>
      </c>
      <c r="C10723" s="4" t="str">
        <f>IFERROR(__xludf.DUMMYFUNCTION("""COMPUTED_VALUE"""),"Siamese")</f>
        <v>Siamese</v>
      </c>
    </row>
    <row r="10724">
      <c r="A10724" s="4" t="str">
        <f>IFERROR(__xludf.DUMMYFUNCTION("""COMPUTED_VALUE"""),"siaprime-coin")</f>
        <v>siaprime-coin</v>
      </c>
      <c r="B10724" s="4" t="str">
        <f>IFERROR(__xludf.DUMMYFUNCTION("""COMPUTED_VALUE"""),"scp")</f>
        <v>scp</v>
      </c>
      <c r="C10724" s="4" t="str">
        <f>IFERROR(__xludf.DUMMYFUNCTION("""COMPUTED_VALUE"""),"ScPrime")</f>
        <v>ScPrime</v>
      </c>
    </row>
    <row r="10725">
      <c r="A10725" s="4" t="str">
        <f>IFERROR(__xludf.DUMMYFUNCTION("""COMPUTED_VALUE"""),"side-eye-cat")</f>
        <v>side-eye-cat</v>
      </c>
      <c r="B10725" s="4" t="str">
        <f>IFERROR(__xludf.DUMMYFUNCTION("""COMPUTED_VALUE"""),"sec")</f>
        <v>sec</v>
      </c>
      <c r="C10725" s="4" t="str">
        <f>IFERROR(__xludf.DUMMYFUNCTION("""COMPUTED_VALUE"""),"Side Eye Cat")</f>
        <v>Side Eye Cat</v>
      </c>
    </row>
    <row r="10726">
      <c r="A10726" s="4" t="str">
        <f>IFERROR(__xludf.DUMMYFUNCTION("""COMPUTED_VALUE"""),"sideshift-token")</f>
        <v>sideshift-token</v>
      </c>
      <c r="B10726" s="4" t="str">
        <f>IFERROR(__xludf.DUMMYFUNCTION("""COMPUTED_VALUE"""),"xai")</f>
        <v>xai</v>
      </c>
      <c r="C10726" s="4" t="str">
        <f>IFERROR(__xludf.DUMMYFUNCTION("""COMPUTED_VALUE"""),"SideShift")</f>
        <v>SideShift</v>
      </c>
    </row>
    <row r="10727">
      <c r="A10727" s="4" t="str">
        <f>IFERROR(__xludf.DUMMYFUNCTION("""COMPUTED_VALUE"""),"sidus")</f>
        <v>sidus</v>
      </c>
      <c r="B10727" s="4" t="str">
        <f>IFERROR(__xludf.DUMMYFUNCTION("""COMPUTED_VALUE"""),"sidus")</f>
        <v>sidus</v>
      </c>
      <c r="C10727" s="4" t="str">
        <f>IFERROR(__xludf.DUMMYFUNCTION("""COMPUTED_VALUE"""),"Sidus")</f>
        <v>Sidus</v>
      </c>
    </row>
    <row r="10728">
      <c r="A10728" s="4" t="str">
        <f>IFERROR(__xludf.DUMMYFUNCTION("""COMPUTED_VALUE"""),"sienna")</f>
        <v>sienna</v>
      </c>
      <c r="B10728" s="4" t="str">
        <f>IFERROR(__xludf.DUMMYFUNCTION("""COMPUTED_VALUE"""),"sienna")</f>
        <v>sienna</v>
      </c>
      <c r="C10728" s="4" t="str">
        <f>IFERROR(__xludf.DUMMYFUNCTION("""COMPUTED_VALUE"""),"Sienna")</f>
        <v>Sienna</v>
      </c>
    </row>
    <row r="10729">
      <c r="A10729" s="4" t="str">
        <f>IFERROR(__xludf.DUMMYFUNCTION("""COMPUTED_VALUE"""),"sienna-erc20")</f>
        <v>sienna-erc20</v>
      </c>
      <c r="B10729" s="4" t="str">
        <f>IFERROR(__xludf.DUMMYFUNCTION("""COMPUTED_VALUE"""),"wsienna")</f>
        <v>wsienna</v>
      </c>
      <c r="C10729" s="4" t="str">
        <f>IFERROR(__xludf.DUMMYFUNCTION("""COMPUTED_VALUE"""),"Sienna [ERC-20]")</f>
        <v>Sienna [ERC-20]</v>
      </c>
    </row>
    <row r="10730">
      <c r="A10730" s="4" t="str">
        <f>IFERROR(__xludf.DUMMYFUNCTION("""COMPUTED_VALUE"""),"sifchain")</f>
        <v>sifchain</v>
      </c>
      <c r="B10730" s="4" t="str">
        <f>IFERROR(__xludf.DUMMYFUNCTION("""COMPUTED_VALUE"""),"erowan")</f>
        <v>erowan</v>
      </c>
      <c r="C10730" s="4" t="str">
        <f>IFERROR(__xludf.DUMMYFUNCTION("""COMPUTED_VALUE"""),"Sifchain")</f>
        <v>Sifchain</v>
      </c>
    </row>
    <row r="10731">
      <c r="A10731" s="4" t="str">
        <f>IFERROR(__xludf.DUMMYFUNCTION("""COMPUTED_VALUE"""),"sifu-vision-2")</f>
        <v>sifu-vision-2</v>
      </c>
      <c r="B10731" s="4" t="str">
        <f>IFERROR(__xludf.DUMMYFUNCTION("""COMPUTED_VALUE"""),"sifu")</f>
        <v>sifu</v>
      </c>
      <c r="C10731" s="4" t="str">
        <f>IFERROR(__xludf.DUMMYFUNCTION("""COMPUTED_VALUE"""),"Sifu Vision")</f>
        <v>Sifu Vision</v>
      </c>
    </row>
    <row r="10732">
      <c r="A10732" s="4" t="str">
        <f>IFERROR(__xludf.DUMMYFUNCTION("""COMPUTED_VALUE"""),"sign")</f>
        <v>sign</v>
      </c>
      <c r="B10732" s="4" t="str">
        <f>IFERROR(__xludf.DUMMYFUNCTION("""COMPUTED_VALUE"""),"sign")</f>
        <v>sign</v>
      </c>
      <c r="C10732" s="4" t="str">
        <f>IFERROR(__xludf.DUMMYFUNCTION("""COMPUTED_VALUE"""),"Sign Token")</f>
        <v>Sign Token</v>
      </c>
    </row>
    <row r="10733">
      <c r="A10733" s="4" t="str">
        <f>IFERROR(__xludf.DUMMYFUNCTION("""COMPUTED_VALUE"""),"signai")</f>
        <v>signai</v>
      </c>
      <c r="B10733" s="4" t="str">
        <f>IFERROR(__xludf.DUMMYFUNCTION("""COMPUTED_VALUE"""),"sai")</f>
        <v>sai</v>
      </c>
      <c r="C10733" s="4" t="str">
        <f>IFERROR(__xludf.DUMMYFUNCTION("""COMPUTED_VALUE"""),"SignAI")</f>
        <v>SignAI</v>
      </c>
    </row>
    <row r="10734">
      <c r="A10734" s="4" t="str">
        <f>IFERROR(__xludf.DUMMYFUNCTION("""COMPUTED_VALUE"""),"signata")</f>
        <v>signata</v>
      </c>
      <c r="B10734" s="4" t="str">
        <f>IFERROR(__xludf.DUMMYFUNCTION("""COMPUTED_VALUE"""),"sata")</f>
        <v>sata</v>
      </c>
      <c r="C10734" s="4" t="str">
        <f>IFERROR(__xludf.DUMMYFUNCTION("""COMPUTED_VALUE"""),"Signata")</f>
        <v>Signata</v>
      </c>
    </row>
    <row r="10735">
      <c r="A10735" s="4" t="str">
        <f>IFERROR(__xludf.DUMMYFUNCTION("""COMPUTED_VALUE"""),"signed")</f>
        <v>signed</v>
      </c>
      <c r="B10735" s="4" t="str">
        <f>IFERROR(__xludf.DUMMYFUNCTION("""COMPUTED_VALUE"""),"sign")</f>
        <v>sign</v>
      </c>
      <c r="C10735" s="4" t="str">
        <f>IFERROR(__xludf.DUMMYFUNCTION("""COMPUTED_VALUE"""),"Signed")</f>
        <v>Signed</v>
      </c>
    </row>
    <row r="10736">
      <c r="A10736" s="4" t="str">
        <f>IFERROR(__xludf.DUMMYFUNCTION("""COMPUTED_VALUE"""),"signet")</f>
        <v>signet</v>
      </c>
      <c r="B10736" s="4" t="str">
        <f>IFERROR(__xludf.DUMMYFUNCTION("""COMPUTED_VALUE"""),"sig")</f>
        <v>sig</v>
      </c>
      <c r="C10736" s="4" t="str">
        <f>IFERROR(__xludf.DUMMYFUNCTION("""COMPUTED_VALUE"""),"Signet")</f>
        <v>Signet</v>
      </c>
    </row>
    <row r="10737">
      <c r="A10737" s="4" t="str">
        <f>IFERROR(__xludf.DUMMYFUNCTION("""COMPUTED_VALUE"""),"signum")</f>
        <v>signum</v>
      </c>
      <c r="B10737" s="4" t="str">
        <f>IFERROR(__xludf.DUMMYFUNCTION("""COMPUTED_VALUE"""),"signa")</f>
        <v>signa</v>
      </c>
      <c r="C10737" s="4" t="str">
        <f>IFERROR(__xludf.DUMMYFUNCTION("""COMPUTED_VALUE"""),"Signum")</f>
        <v>Signum</v>
      </c>
    </row>
    <row r="10738">
      <c r="A10738" s="4" t="str">
        <f>IFERROR(__xludf.DUMMYFUNCTION("""COMPUTED_VALUE"""),"silent-notary")</f>
        <v>silent-notary</v>
      </c>
      <c r="B10738" s="4" t="str">
        <f>IFERROR(__xludf.DUMMYFUNCTION("""COMPUTED_VALUE"""),"ubsn")</f>
        <v>ubsn</v>
      </c>
      <c r="C10738" s="4" t="str">
        <f>IFERROR(__xludf.DUMMYFUNCTION("""COMPUTED_VALUE"""),"Silent Notary")</f>
        <v>Silent Notary</v>
      </c>
    </row>
    <row r="10739">
      <c r="A10739" s="4" t="str">
        <f>IFERROR(__xludf.DUMMYFUNCTION("""COMPUTED_VALUE"""),"silk")</f>
        <v>silk</v>
      </c>
      <c r="B10739" s="4" t="str">
        <f>IFERROR(__xludf.DUMMYFUNCTION("""COMPUTED_VALUE"""),"silk")</f>
        <v>silk</v>
      </c>
      <c r="C10739" s="4" t="str">
        <f>IFERROR(__xludf.DUMMYFUNCTION("""COMPUTED_VALUE"""),"Spider Tanks")</f>
        <v>Spider Tanks</v>
      </c>
    </row>
    <row r="10740">
      <c r="A10740" s="4" t="str">
        <f>IFERROR(__xludf.DUMMYFUNCTION("""COMPUTED_VALUE"""),"silk-bcec1136-561c-4706-a42c-8b67d0d7f7d2")</f>
        <v>silk-bcec1136-561c-4706-a42c-8b67d0d7f7d2</v>
      </c>
      <c r="B10740" s="4" t="str">
        <f>IFERROR(__xludf.DUMMYFUNCTION("""COMPUTED_VALUE"""),"silk")</f>
        <v>silk</v>
      </c>
      <c r="C10740" s="4" t="str">
        <f>IFERROR(__xludf.DUMMYFUNCTION("""COMPUTED_VALUE"""),"Silk")</f>
        <v>Silk</v>
      </c>
    </row>
    <row r="10741">
      <c r="A10741" s="4" t="str">
        <f>IFERROR(__xludf.DUMMYFUNCTION("""COMPUTED_VALUE"""),"sillybird")</f>
        <v>sillybird</v>
      </c>
      <c r="B10741" s="4" t="str">
        <f>IFERROR(__xludf.DUMMYFUNCTION("""COMPUTED_VALUE"""),"sib")</f>
        <v>sib</v>
      </c>
      <c r="C10741" s="4" t="str">
        <f>IFERROR(__xludf.DUMMYFUNCTION("""COMPUTED_VALUE"""),"Sillybird")</f>
        <v>Sillybird</v>
      </c>
    </row>
    <row r="10742">
      <c r="A10742" s="4" t="str">
        <f>IFERROR(__xludf.DUMMYFUNCTION("""COMPUTED_VALUE"""),"silly-bonk")</f>
        <v>silly-bonk</v>
      </c>
      <c r="B10742" s="4" t="str">
        <f>IFERROR(__xludf.DUMMYFUNCTION("""COMPUTED_VALUE"""),"sillybonk")</f>
        <v>sillybonk</v>
      </c>
      <c r="C10742" s="4" t="str">
        <f>IFERROR(__xludf.DUMMYFUNCTION("""COMPUTED_VALUE"""),"Silly Bonk")</f>
        <v>Silly Bonk</v>
      </c>
    </row>
    <row r="10743">
      <c r="A10743" s="4" t="str">
        <f>IFERROR(__xludf.DUMMYFUNCTION("""COMPUTED_VALUE"""),"sillycat")</f>
        <v>sillycat</v>
      </c>
      <c r="B10743" s="4" t="str">
        <f>IFERROR(__xludf.DUMMYFUNCTION("""COMPUTED_VALUE"""),"sillycat")</f>
        <v>sillycat</v>
      </c>
      <c r="C10743" s="4" t="str">
        <f>IFERROR(__xludf.DUMMYFUNCTION("""COMPUTED_VALUE"""),"Sillycat")</f>
        <v>Sillycat</v>
      </c>
    </row>
    <row r="10744">
      <c r="A10744" s="4" t="str">
        <f>IFERROR(__xludf.DUMMYFUNCTION("""COMPUTED_VALUE"""),"silly-dragon")</f>
        <v>silly-dragon</v>
      </c>
      <c r="B10744" s="4" t="str">
        <f>IFERROR(__xludf.DUMMYFUNCTION("""COMPUTED_VALUE"""),"silly")</f>
        <v>silly</v>
      </c>
      <c r="C10744" s="4" t="str">
        <f>IFERROR(__xludf.DUMMYFUNCTION("""COMPUTED_VALUE"""),"Silly Dragon")</f>
        <v>Silly Dragon</v>
      </c>
    </row>
    <row r="10745">
      <c r="A10745" s="4" t="str">
        <f>IFERROR(__xludf.DUMMYFUNCTION("""COMPUTED_VALUE"""),"silly-goose")</f>
        <v>silly-goose</v>
      </c>
      <c r="B10745" s="4" t="str">
        <f>IFERROR(__xludf.DUMMYFUNCTION("""COMPUTED_VALUE"""),"goo")</f>
        <v>goo</v>
      </c>
      <c r="C10745" s="4" t="str">
        <f>IFERROR(__xludf.DUMMYFUNCTION("""COMPUTED_VALUE"""),"Silly Goose")</f>
        <v>Silly Goose</v>
      </c>
    </row>
    <row r="10746">
      <c r="A10746" s="4" t="str">
        <f>IFERROR(__xludf.DUMMYFUNCTION("""COMPUTED_VALUE"""),"sillynubcat")</f>
        <v>sillynubcat</v>
      </c>
      <c r="B10746" s="4" t="str">
        <f>IFERROR(__xludf.DUMMYFUNCTION("""COMPUTED_VALUE"""),"nub")</f>
        <v>nub</v>
      </c>
      <c r="C10746" s="4" t="str">
        <f>IFERROR(__xludf.DUMMYFUNCTION("""COMPUTED_VALUE"""),"Sillynubcat")</f>
        <v>Sillynubcat</v>
      </c>
    </row>
    <row r="10747">
      <c r="A10747" s="4" t="str">
        <f>IFERROR(__xludf.DUMMYFUNCTION("""COMPUTED_VALUE"""),"silo-finance")</f>
        <v>silo-finance</v>
      </c>
      <c r="B10747" s="4" t="str">
        <f>IFERROR(__xludf.DUMMYFUNCTION("""COMPUTED_VALUE"""),"silo")</f>
        <v>silo</v>
      </c>
      <c r="C10747" s="4" t="str">
        <f>IFERROR(__xludf.DUMMYFUNCTION("""COMPUTED_VALUE"""),"Silo Finance")</f>
        <v>Silo Finance</v>
      </c>
    </row>
    <row r="10748">
      <c r="A10748" s="4" t="str">
        <f>IFERROR(__xludf.DUMMYFUNCTION("""COMPUTED_VALUE"""),"silva-token")</f>
        <v>silva-token</v>
      </c>
      <c r="B10748" s="4" t="str">
        <f>IFERROR(__xludf.DUMMYFUNCTION("""COMPUTED_VALUE"""),"silva")</f>
        <v>silva</v>
      </c>
      <c r="C10748" s="4" t="str">
        <f>IFERROR(__xludf.DUMMYFUNCTION("""COMPUTED_VALUE"""),"Silva")</f>
        <v>Silva</v>
      </c>
    </row>
    <row r="10749">
      <c r="A10749" s="4" t="str">
        <f>IFERROR(__xludf.DUMMYFUNCTION("""COMPUTED_VALUE"""),"silver")</f>
        <v>silver</v>
      </c>
      <c r="B10749" s="4" t="str">
        <f>IFERROR(__xludf.DUMMYFUNCTION("""COMPUTED_VALUE"""),"silver")</f>
        <v>silver</v>
      </c>
      <c r="C10749" s="4" t="str">
        <f>IFERROR(__xludf.DUMMYFUNCTION("""COMPUTED_VALUE"""),"SILVER")</f>
        <v>SILVER</v>
      </c>
    </row>
    <row r="10750">
      <c r="A10750" s="4" t="str">
        <f>IFERROR(__xludf.DUMMYFUNCTION("""COMPUTED_VALUE"""),"silverstonks")</f>
        <v>silverstonks</v>
      </c>
      <c r="B10750" s="4" t="str">
        <f>IFERROR(__xludf.DUMMYFUNCTION("""COMPUTED_VALUE"""),"sstx")</f>
        <v>sstx</v>
      </c>
      <c r="C10750" s="4" t="str">
        <f>IFERROR(__xludf.DUMMYFUNCTION("""COMPUTED_VALUE"""),"Silver Stonks")</f>
        <v>Silver Stonks</v>
      </c>
    </row>
    <row r="10751">
      <c r="A10751" s="4" t="str">
        <f>IFERROR(__xludf.DUMMYFUNCTION("""COMPUTED_VALUE"""),"silver-tokenized-stock-defichain")</f>
        <v>silver-tokenized-stock-defichain</v>
      </c>
      <c r="B10751" s="4" t="str">
        <f>IFERROR(__xludf.DUMMYFUNCTION("""COMPUTED_VALUE"""),"dslv")</f>
        <v>dslv</v>
      </c>
      <c r="C10751" s="4" t="str">
        <f>IFERROR(__xludf.DUMMYFUNCTION("""COMPUTED_VALUE"""),"iShares Silver Trust Defichain")</f>
        <v>iShares Silver Trust Defichain</v>
      </c>
    </row>
    <row r="10752">
      <c r="A10752" s="4" t="str">
        <f>IFERROR(__xludf.DUMMYFUNCTION("""COMPUTED_VALUE"""),"simba-coin")</f>
        <v>simba-coin</v>
      </c>
      <c r="B10752" s="4" t="str">
        <f>IFERROR(__xludf.DUMMYFUNCTION("""COMPUTED_VALUE"""),"simba")</f>
        <v>simba</v>
      </c>
      <c r="C10752" s="4" t="str">
        <f>IFERROR(__xludf.DUMMYFUNCTION("""COMPUTED_VALUE"""),"Simba Coin")</f>
        <v>Simba Coin</v>
      </c>
    </row>
    <row r="10753">
      <c r="A10753" s="4" t="str">
        <f>IFERROR(__xludf.DUMMYFUNCTION("""COMPUTED_VALUE"""),"simbcoin-swap")</f>
        <v>simbcoin-swap</v>
      </c>
      <c r="B10753" s="4" t="str">
        <f>IFERROR(__xludf.DUMMYFUNCTION("""COMPUTED_VALUE"""),"smbswap")</f>
        <v>smbswap</v>
      </c>
      <c r="C10753" s="4" t="str">
        <f>IFERROR(__xludf.DUMMYFUNCTION("""COMPUTED_VALUE"""),"SimbCoin Swap")</f>
        <v>SimbCoin Swap</v>
      </c>
    </row>
    <row r="10754">
      <c r="A10754" s="4" t="str">
        <f>IFERROR(__xludf.DUMMYFUNCTION("""COMPUTED_VALUE"""),"simong-coin")</f>
        <v>simong-coin</v>
      </c>
      <c r="B10754" s="4" t="str">
        <f>IFERROR(__xludf.DUMMYFUNCTION("""COMPUTED_VALUE"""),"smc")</f>
        <v>smc</v>
      </c>
      <c r="C10754" s="4" t="str">
        <f>IFERROR(__xludf.DUMMYFUNCTION("""COMPUTED_VALUE"""),"SIMONG COIN")</f>
        <v>SIMONG COIN</v>
      </c>
    </row>
    <row r="10755">
      <c r="A10755" s="4" t="str">
        <f>IFERROR(__xludf.DUMMYFUNCTION("""COMPUTED_VALUE"""),"simple-asymmetry-eth")</f>
        <v>simple-asymmetry-eth</v>
      </c>
      <c r="B10755" s="4" t="str">
        <f>IFERROR(__xludf.DUMMYFUNCTION("""COMPUTED_VALUE"""),"safeth")</f>
        <v>safeth</v>
      </c>
      <c r="C10755" s="4" t="str">
        <f>IFERROR(__xludf.DUMMYFUNCTION("""COMPUTED_VALUE"""),"Simple Asymmetry ETH")</f>
        <v>Simple Asymmetry ETH</v>
      </c>
    </row>
    <row r="10756">
      <c r="A10756" s="4" t="str">
        <f>IFERROR(__xludf.DUMMYFUNCTION("""COMPUTED_VALUE"""),"simplehub")</f>
        <v>simplehub</v>
      </c>
      <c r="B10756" s="4" t="str">
        <f>IFERROR(__xludf.DUMMYFUNCTION("""COMPUTED_VALUE"""),"shub")</f>
        <v>shub</v>
      </c>
      <c r="C10756" s="4" t="str">
        <f>IFERROR(__xludf.DUMMYFUNCTION("""COMPUTED_VALUE"""),"SimpleHub")</f>
        <v>SimpleHub</v>
      </c>
    </row>
    <row r="10757">
      <c r="A10757" s="4" t="str">
        <f>IFERROR(__xludf.DUMMYFUNCTION("""COMPUTED_VALUE"""),"simple-masternode-coin")</f>
        <v>simple-masternode-coin</v>
      </c>
      <c r="B10757" s="4" t="str">
        <f>IFERROR(__xludf.DUMMYFUNCTION("""COMPUTED_VALUE"""),"smnc")</f>
        <v>smnc</v>
      </c>
      <c r="C10757" s="4" t="str">
        <f>IFERROR(__xludf.DUMMYFUNCTION("""COMPUTED_VALUE"""),"Simple Masternode Coin")</f>
        <v>Simple Masternode Coin</v>
      </c>
    </row>
    <row r="10758">
      <c r="A10758" s="4" t="str">
        <f>IFERROR(__xludf.DUMMYFUNCTION("""COMPUTED_VALUE"""),"simple-token")</f>
        <v>simple-token</v>
      </c>
      <c r="B10758" s="4" t="str">
        <f>IFERROR(__xludf.DUMMYFUNCTION("""COMPUTED_VALUE"""),"ost")</f>
        <v>ost</v>
      </c>
      <c r="C10758" s="4" t="str">
        <f>IFERROR(__xludf.DUMMYFUNCTION("""COMPUTED_VALUE"""),"OST")</f>
        <v>OST</v>
      </c>
    </row>
    <row r="10759">
      <c r="A10759" s="4" t="str">
        <f>IFERROR(__xludf.DUMMYFUNCTION("""COMPUTED_VALUE"""),"simpli-finance")</f>
        <v>simpli-finance</v>
      </c>
      <c r="B10759" s="4" t="str">
        <f>IFERROR(__xludf.DUMMYFUNCTION("""COMPUTED_VALUE"""),"simpli")</f>
        <v>simpli</v>
      </c>
      <c r="C10759" s="4" t="str">
        <f>IFERROR(__xludf.DUMMYFUNCTION("""COMPUTED_VALUE"""),"Simpli Finance")</f>
        <v>Simpli Finance</v>
      </c>
    </row>
    <row r="10760">
      <c r="A10760" s="4" t="str">
        <f>IFERROR(__xludf.DUMMYFUNCTION("""COMPUTED_VALUE"""),"simpson6900")</f>
        <v>simpson6900</v>
      </c>
      <c r="B10760" s="4" t="str">
        <f>IFERROR(__xludf.DUMMYFUNCTION("""COMPUTED_VALUE"""),"simpson690")</f>
        <v>simpson690</v>
      </c>
      <c r="C10760" s="4" t="str">
        <f>IFERROR(__xludf.DUMMYFUNCTION("""COMPUTED_VALUE"""),"Simpson6900")</f>
        <v>Simpson6900</v>
      </c>
    </row>
    <row r="10761">
      <c r="A10761" s="4" t="str">
        <f>IFERROR(__xludf.DUMMYFUNCTION("""COMPUTED_VALUE"""),"simracer-coin")</f>
        <v>simracer-coin</v>
      </c>
      <c r="B10761" s="4" t="str">
        <f>IFERROR(__xludf.DUMMYFUNCTION("""COMPUTED_VALUE"""),"src")</f>
        <v>src</v>
      </c>
      <c r="C10761" s="4" t="str">
        <f>IFERROR(__xludf.DUMMYFUNCTION("""COMPUTED_VALUE"""),"Simracer Coin")</f>
        <v>Simracer Coin</v>
      </c>
    </row>
    <row r="10762">
      <c r="A10762" s="4" t="str">
        <f>IFERROR(__xludf.DUMMYFUNCTION("""COMPUTED_VALUE"""),"sin")</f>
        <v>sin</v>
      </c>
      <c r="B10762" s="4" t="str">
        <f>IFERROR(__xludf.DUMMYFUNCTION("""COMPUTED_VALUE"""),"sin")</f>
        <v>sin</v>
      </c>
      <c r="C10762" s="4" t="str">
        <f>IFERROR(__xludf.DUMMYFUNCTION("""COMPUTED_VALUE"""),"sinDAO")</f>
        <v>sinDAO</v>
      </c>
    </row>
    <row r="10763">
      <c r="A10763" s="4" t="str">
        <f>IFERROR(__xludf.DUMMYFUNCTION("""COMPUTED_VALUE"""),"sin-city")</f>
        <v>sin-city</v>
      </c>
      <c r="B10763" s="4" t="str">
        <f>IFERROR(__xludf.DUMMYFUNCTION("""COMPUTED_VALUE"""),"sin")</f>
        <v>sin</v>
      </c>
      <c r="C10763" s="4" t="str">
        <f>IFERROR(__xludf.DUMMYFUNCTION("""COMPUTED_VALUE"""),"Sinverse")</f>
        <v>Sinverse</v>
      </c>
    </row>
    <row r="10764">
      <c r="A10764" s="4" t="str">
        <f>IFERROR(__xludf.DUMMYFUNCTION("""COMPUTED_VALUE"""),"sincronix")</f>
        <v>sincronix</v>
      </c>
      <c r="B10764" s="4" t="str">
        <f>IFERROR(__xludf.DUMMYFUNCTION("""COMPUTED_VALUE"""),"snx")</f>
        <v>snx</v>
      </c>
      <c r="C10764" s="4" t="str">
        <f>IFERROR(__xludf.DUMMYFUNCTION("""COMPUTED_VALUE"""),"SincroniX")</f>
        <v>SincroniX</v>
      </c>
    </row>
    <row r="10765">
      <c r="A10765" s="4" t="str">
        <f>IFERROR(__xludf.DUMMYFUNCTION("""COMPUTED_VALUE"""),"sindi")</f>
        <v>sindi</v>
      </c>
      <c r="B10765" s="4" t="str">
        <f>IFERROR(__xludf.DUMMYFUNCTION("""COMPUTED_VALUE"""),"sindi")</f>
        <v>sindi</v>
      </c>
      <c r="C10765" s="4" t="str">
        <f>IFERROR(__xludf.DUMMYFUNCTION("""COMPUTED_VALUE"""),"SINDI")</f>
        <v>SINDI</v>
      </c>
    </row>
    <row r="10766">
      <c r="A10766" s="4" t="str">
        <f>IFERROR(__xludf.DUMMYFUNCTION("""COMPUTED_VALUE"""),"single-finance")</f>
        <v>single-finance</v>
      </c>
      <c r="B10766" s="4" t="str">
        <f>IFERROR(__xludf.DUMMYFUNCTION("""COMPUTED_VALUE"""),"single")</f>
        <v>single</v>
      </c>
      <c r="C10766" s="4" t="str">
        <f>IFERROR(__xludf.DUMMYFUNCTION("""COMPUTED_VALUE"""),"Single Finance")</f>
        <v>Single Finance</v>
      </c>
    </row>
    <row r="10767">
      <c r="A10767" s="4" t="str">
        <f>IFERROR(__xludf.DUMMYFUNCTION("""COMPUTED_VALUE"""),"sing-token")</f>
        <v>sing-token</v>
      </c>
      <c r="B10767" s="4" t="str">
        <f>IFERROR(__xludf.DUMMYFUNCTION("""COMPUTED_VALUE"""),"sing")</f>
        <v>sing</v>
      </c>
      <c r="C10767" s="4" t="str">
        <f>IFERROR(__xludf.DUMMYFUNCTION("""COMPUTED_VALUE"""),"Sing")</f>
        <v>Sing</v>
      </c>
    </row>
    <row r="10768">
      <c r="A10768" s="4" t="str">
        <f>IFERROR(__xludf.DUMMYFUNCTION("""COMPUTED_VALUE"""),"sing-token-ftm")</f>
        <v>sing-token-ftm</v>
      </c>
      <c r="B10768" s="4" t="str">
        <f>IFERROR(__xludf.DUMMYFUNCTION("""COMPUTED_VALUE"""),"sing")</f>
        <v>sing</v>
      </c>
      <c r="C10768" s="4" t="str">
        <f>IFERROR(__xludf.DUMMYFUNCTION("""COMPUTED_VALUE"""),"Sing FTM")</f>
        <v>Sing FTM</v>
      </c>
    </row>
    <row r="10769">
      <c r="A10769" s="4" t="str">
        <f>IFERROR(__xludf.DUMMYFUNCTION("""COMPUTED_VALUE"""),"singulardtv")</f>
        <v>singulardtv</v>
      </c>
      <c r="B10769" s="4" t="str">
        <f>IFERROR(__xludf.DUMMYFUNCTION("""COMPUTED_VALUE"""),"sngls")</f>
        <v>sngls</v>
      </c>
      <c r="C10769" s="4" t="str">
        <f>IFERROR(__xludf.DUMMYFUNCTION("""COMPUTED_VALUE"""),"SingularDTV")</f>
        <v>SingularDTV</v>
      </c>
    </row>
    <row r="10770">
      <c r="A10770" s="4" t="str">
        <f>IFERROR(__xludf.DUMMYFUNCTION("""COMPUTED_VALUE"""),"singularity")</f>
        <v>singularity</v>
      </c>
      <c r="B10770" s="4" t="str">
        <f>IFERROR(__xludf.DUMMYFUNCTION("""COMPUTED_VALUE"""),"sgly")</f>
        <v>sgly</v>
      </c>
      <c r="C10770" s="4" t="str">
        <f>IFERROR(__xludf.DUMMYFUNCTION("""COMPUTED_VALUE"""),"Singularity")</f>
        <v>Singularity</v>
      </c>
    </row>
    <row r="10771">
      <c r="A10771" s="4" t="str">
        <f>IFERROR(__xludf.DUMMYFUNCTION("""COMPUTED_VALUE"""),"singularitydao")</f>
        <v>singularitydao</v>
      </c>
      <c r="B10771" s="4" t="str">
        <f>IFERROR(__xludf.DUMMYFUNCTION("""COMPUTED_VALUE"""),"sdao")</f>
        <v>sdao</v>
      </c>
      <c r="C10771" s="4" t="str">
        <f>IFERROR(__xludf.DUMMYFUNCTION("""COMPUTED_VALUE"""),"SingularityDAO")</f>
        <v>SingularityDAO</v>
      </c>
    </row>
    <row r="10772">
      <c r="A10772" s="4" t="str">
        <f>IFERROR(__xludf.DUMMYFUNCTION("""COMPUTED_VALUE"""),"singularitynet")</f>
        <v>singularitynet</v>
      </c>
      <c r="B10772" s="4" t="str">
        <f>IFERROR(__xludf.DUMMYFUNCTION("""COMPUTED_VALUE"""),"agix")</f>
        <v>agix</v>
      </c>
      <c r="C10772" s="4" t="str">
        <f>IFERROR(__xludf.DUMMYFUNCTION("""COMPUTED_VALUE"""),"SingularityNET")</f>
        <v>SingularityNET</v>
      </c>
    </row>
    <row r="10773">
      <c r="A10773" s="4" t="str">
        <f>IFERROR(__xludf.DUMMYFUNCTION("""COMPUTED_VALUE"""),"sino")</f>
        <v>sino</v>
      </c>
      <c r="B10773" s="4" t="str">
        <f>IFERROR(__xludf.DUMMYFUNCTION("""COMPUTED_VALUE"""),"sino")</f>
        <v>sino</v>
      </c>
      <c r="C10773" s="5" t="str">
        <f>IFERROR(__xludf.DUMMYFUNCTION("""COMPUTED_VALUE"""),"Cantosino.com")</f>
        <v>Cantosino.com</v>
      </c>
    </row>
    <row r="10774">
      <c r="A10774" s="4" t="str">
        <f>IFERROR(__xludf.DUMMYFUNCTION("""COMPUTED_VALUE"""),"sint-truidense-voetbalvereniging-fan-token")</f>
        <v>sint-truidense-voetbalvereniging-fan-token</v>
      </c>
      <c r="B10774" s="4" t="str">
        <f>IFERROR(__xludf.DUMMYFUNCTION("""COMPUTED_VALUE"""),"stv")</f>
        <v>stv</v>
      </c>
      <c r="C10774" s="4" t="str">
        <f>IFERROR(__xludf.DUMMYFUNCTION("""COMPUTED_VALUE"""),"Sint-Truidense Voetbalvereniging Fan Token")</f>
        <v>Sint-Truidense Voetbalvereniging Fan Token</v>
      </c>
    </row>
    <row r="10775">
      <c r="A10775" s="4" t="str">
        <f>IFERROR(__xludf.DUMMYFUNCTION("""COMPUTED_VALUE"""),"sipher")</f>
        <v>sipher</v>
      </c>
      <c r="B10775" s="4" t="str">
        <f>IFERROR(__xludf.DUMMYFUNCTION("""COMPUTED_VALUE"""),"sipher")</f>
        <v>sipher</v>
      </c>
      <c r="C10775" s="4" t="str">
        <f>IFERROR(__xludf.DUMMYFUNCTION("""COMPUTED_VALUE"""),"SIPHER")</f>
        <v>SIPHER</v>
      </c>
    </row>
    <row r="10776">
      <c r="A10776" s="4" t="str">
        <f>IFERROR(__xludf.DUMMYFUNCTION("""COMPUTED_VALUE"""),"siphon-life-spell")</f>
        <v>siphon-life-spell</v>
      </c>
      <c r="B10776" s="4" t="str">
        <f>IFERROR(__xludf.DUMMYFUNCTION("""COMPUTED_VALUE"""),"sls")</f>
        <v>sls</v>
      </c>
      <c r="C10776" s="4" t="str">
        <f>IFERROR(__xludf.DUMMYFUNCTION("""COMPUTED_VALUE"""),"Siphon Life Spell")</f>
        <v>Siphon Life Spell</v>
      </c>
    </row>
    <row r="10777">
      <c r="A10777" s="4" t="str">
        <f>IFERROR(__xludf.DUMMYFUNCTION("""COMPUTED_VALUE"""),"sir")</f>
        <v>sir</v>
      </c>
      <c r="B10777" s="4" t="str">
        <f>IFERROR(__xludf.DUMMYFUNCTION("""COMPUTED_VALUE"""),"sir")</f>
        <v>sir</v>
      </c>
      <c r="C10777" s="4" t="str">
        <f>IFERROR(__xludf.DUMMYFUNCTION("""COMPUTED_VALUE"""),"Sir")</f>
        <v>Sir</v>
      </c>
    </row>
    <row r="10778">
      <c r="A10778" s="4" t="str">
        <f>IFERROR(__xludf.DUMMYFUNCTION("""COMPUTED_VALUE"""),"siren")</f>
        <v>siren</v>
      </c>
      <c r="B10778" s="4" t="str">
        <f>IFERROR(__xludf.DUMMYFUNCTION("""COMPUTED_VALUE"""),"si")</f>
        <v>si</v>
      </c>
      <c r="C10778" s="4" t="str">
        <f>IFERROR(__xludf.DUMMYFUNCTION("""COMPUTED_VALUE"""),"Siren")</f>
        <v>Siren</v>
      </c>
    </row>
    <row r="10779">
      <c r="A10779" s="4" t="str">
        <f>IFERROR(__xludf.DUMMYFUNCTION("""COMPUTED_VALUE"""),"sirin-labs-token")</f>
        <v>sirin-labs-token</v>
      </c>
      <c r="B10779" s="4" t="str">
        <f>IFERROR(__xludf.DUMMYFUNCTION("""COMPUTED_VALUE"""),"srn")</f>
        <v>srn</v>
      </c>
      <c r="C10779" s="4" t="str">
        <f>IFERROR(__xludf.DUMMYFUNCTION("""COMPUTED_VALUE"""),"Sirin Labs")</f>
        <v>Sirin Labs</v>
      </c>
    </row>
    <row r="10780">
      <c r="A10780" s="4" t="str">
        <f>IFERROR(__xludf.DUMMYFUNCTION("""COMPUTED_VALUE"""),"sirius-finance")</f>
        <v>sirius-finance</v>
      </c>
      <c r="B10780" s="4" t="str">
        <f>IFERROR(__xludf.DUMMYFUNCTION("""COMPUTED_VALUE"""),"srs")</f>
        <v>srs</v>
      </c>
      <c r="C10780" s="4" t="str">
        <f>IFERROR(__xludf.DUMMYFUNCTION("""COMPUTED_VALUE"""),"Sirius Finance")</f>
        <v>Sirius Finance</v>
      </c>
    </row>
    <row r="10781">
      <c r="A10781" s="4" t="str">
        <f>IFERROR(__xludf.DUMMYFUNCTION("""COMPUTED_VALUE"""),"siriusnet")</f>
        <v>siriusnet</v>
      </c>
      <c r="B10781" s="4" t="str">
        <f>IFERROR(__xludf.DUMMYFUNCTION("""COMPUTED_VALUE"""),"sint")</f>
        <v>sint</v>
      </c>
      <c r="C10781" s="4" t="str">
        <f>IFERROR(__xludf.DUMMYFUNCTION("""COMPUTED_VALUE"""),"Siriusnet")</f>
        <v>Siriusnet</v>
      </c>
    </row>
    <row r="10782">
      <c r="A10782" s="4" t="str">
        <f>IFERROR(__xludf.DUMMYFUNCTION("""COMPUTED_VALUE"""),"sispop")</f>
        <v>sispop</v>
      </c>
      <c r="B10782" s="4" t="str">
        <f>IFERROR(__xludf.DUMMYFUNCTION("""COMPUTED_VALUE"""),"sispop")</f>
        <v>sispop</v>
      </c>
      <c r="C10782" s="4" t="str">
        <f>IFERROR(__xludf.DUMMYFUNCTION("""COMPUTED_VALUE"""),"SISPOP")</f>
        <v>SISPOP</v>
      </c>
    </row>
    <row r="10783">
      <c r="A10783" s="4" t="str">
        <f>IFERROR(__xludf.DUMMYFUNCTION("""COMPUTED_VALUE"""),"six-network")</f>
        <v>six-network</v>
      </c>
      <c r="B10783" s="4" t="str">
        <f>IFERROR(__xludf.DUMMYFUNCTION("""COMPUTED_VALUE"""),"six")</f>
        <v>six</v>
      </c>
      <c r="C10783" s="4" t="str">
        <f>IFERROR(__xludf.DUMMYFUNCTION("""COMPUTED_VALUE"""),"SIX Network")</f>
        <v>SIX Network</v>
      </c>
    </row>
    <row r="10784">
      <c r="A10784" s="4" t="str">
        <f>IFERROR(__xludf.DUMMYFUNCTION("""COMPUTED_VALUE"""),"six-sigma")</f>
        <v>six-sigma</v>
      </c>
      <c r="B10784" s="4" t="str">
        <f>IFERROR(__xludf.DUMMYFUNCTION("""COMPUTED_VALUE"""),"sge")</f>
        <v>sge</v>
      </c>
      <c r="C10784" s="4" t="str">
        <f>IFERROR(__xludf.DUMMYFUNCTION("""COMPUTED_VALUE"""),"Six Sigma")</f>
        <v>Six Sigma</v>
      </c>
    </row>
    <row r="10785">
      <c r="A10785" s="4" t="str">
        <f>IFERROR(__xludf.DUMMYFUNCTION("""COMPUTED_VALUE"""),"size")</f>
        <v>size</v>
      </c>
      <c r="B10785" s="4" t="str">
        <f>IFERROR(__xludf.DUMMYFUNCTION("""COMPUTED_VALUE"""),"size")</f>
        <v>size</v>
      </c>
      <c r="C10785" s="4" t="str">
        <f>IFERROR(__xludf.DUMMYFUNCTION("""COMPUTED_VALUE"""),"SIZE")</f>
        <v>SIZE</v>
      </c>
    </row>
    <row r="10786">
      <c r="A10786" s="4" t="str">
        <f>IFERROR(__xludf.DUMMYFUNCTION("""COMPUTED_VALUE"""),"size-2")</f>
        <v>size-2</v>
      </c>
      <c r="B10786" s="4" t="str">
        <f>IFERROR(__xludf.DUMMYFUNCTION("""COMPUTED_VALUE"""),"size")</f>
        <v>size</v>
      </c>
      <c r="C10786" s="4" t="str">
        <f>IFERROR(__xludf.DUMMYFUNCTION("""COMPUTED_VALUE"""),"SIZE")</f>
        <v>SIZE</v>
      </c>
    </row>
    <row r="10787">
      <c r="A10787" s="4" t="str">
        <f>IFERROR(__xludf.DUMMYFUNCTION("""COMPUTED_VALUE"""),"sj741-emeralds")</f>
        <v>sj741-emeralds</v>
      </c>
      <c r="B10787" s="4" t="str">
        <f>IFERROR(__xludf.DUMMYFUNCTION("""COMPUTED_VALUE"""),"emerald")</f>
        <v>emerald</v>
      </c>
      <c r="C10787" s="4" t="str">
        <f>IFERROR(__xludf.DUMMYFUNCTION("""COMPUTED_VALUE"""),"SJ741 Emeralds")</f>
        <v>SJ741 Emeralds</v>
      </c>
    </row>
    <row r="10788">
      <c r="A10788" s="4" t="str">
        <f>IFERROR(__xludf.DUMMYFUNCTION("""COMPUTED_VALUE"""),"skale")</f>
        <v>skale</v>
      </c>
      <c r="B10788" s="4" t="str">
        <f>IFERROR(__xludf.DUMMYFUNCTION("""COMPUTED_VALUE"""),"skl")</f>
        <v>skl</v>
      </c>
      <c r="C10788" s="4" t="str">
        <f>IFERROR(__xludf.DUMMYFUNCTION("""COMPUTED_VALUE"""),"SKALE")</f>
        <v>SKALE</v>
      </c>
    </row>
    <row r="10789">
      <c r="A10789" s="4" t="str">
        <f>IFERROR(__xludf.DUMMYFUNCTION("""COMPUTED_VALUE"""),"skeb")</f>
        <v>skeb</v>
      </c>
      <c r="B10789" s="4" t="str">
        <f>IFERROR(__xludf.DUMMYFUNCTION("""COMPUTED_VALUE"""),"skeb")</f>
        <v>skeb</v>
      </c>
      <c r="C10789" s="4" t="str">
        <f>IFERROR(__xludf.DUMMYFUNCTION("""COMPUTED_VALUE"""),"Skeb")</f>
        <v>Skeb</v>
      </c>
    </row>
    <row r="10790">
      <c r="A10790" s="4" t="str">
        <f>IFERROR(__xludf.DUMMYFUNCTION("""COMPUTED_VALUE"""),"skey-network")</f>
        <v>skey-network</v>
      </c>
      <c r="B10790" s="4" t="str">
        <f>IFERROR(__xludf.DUMMYFUNCTION("""COMPUTED_VALUE"""),"skey")</f>
        <v>skey</v>
      </c>
      <c r="C10790" s="4" t="str">
        <f>IFERROR(__xludf.DUMMYFUNCTION("""COMPUTED_VALUE"""),"Skey Network")</f>
        <v>Skey Network</v>
      </c>
    </row>
    <row r="10791">
      <c r="A10791" s="4" t="str">
        <f>IFERROR(__xludf.DUMMYFUNCTION("""COMPUTED_VALUE"""),"skibidi-toilet")</f>
        <v>skibidi-toilet</v>
      </c>
      <c r="B10791" s="4" t="str">
        <f>IFERROR(__xludf.DUMMYFUNCTION("""COMPUTED_VALUE"""),"toilet")</f>
        <v>toilet</v>
      </c>
      <c r="C10791" s="4" t="str">
        <f>IFERROR(__xludf.DUMMYFUNCTION("""COMPUTED_VALUE"""),"Skibidi Toilet")</f>
        <v>Skibidi Toilet</v>
      </c>
    </row>
    <row r="10792">
      <c r="A10792" s="4" t="str">
        <f>IFERROR(__xludf.DUMMYFUNCTION("""COMPUTED_VALUE"""),"sklay")</f>
        <v>sklay</v>
      </c>
      <c r="B10792" s="4" t="str">
        <f>IFERROR(__xludf.DUMMYFUNCTION("""COMPUTED_VALUE"""),"sklay")</f>
        <v>sklay</v>
      </c>
      <c r="C10792" s="4" t="str">
        <f>IFERROR(__xludf.DUMMYFUNCTION("""COMPUTED_VALUE"""),"sKLAY")</f>
        <v>sKLAY</v>
      </c>
    </row>
    <row r="10793">
      <c r="A10793" s="4" t="str">
        <f>IFERROR(__xludf.DUMMYFUNCTION("""COMPUTED_VALUE"""),"skol")</f>
        <v>skol</v>
      </c>
      <c r="B10793" s="4" t="str">
        <f>IFERROR(__xludf.DUMMYFUNCTION("""COMPUTED_VALUE"""),"$skol")</f>
        <v>$skol</v>
      </c>
      <c r="C10793" s="4" t="str">
        <f>IFERROR(__xludf.DUMMYFUNCTION("""COMPUTED_VALUE"""),"Skol")</f>
        <v>Skol</v>
      </c>
    </row>
    <row r="10794">
      <c r="A10794" s="4" t="str">
        <f>IFERROR(__xludf.DUMMYFUNCTION("""COMPUTED_VALUE"""),"skolana")</f>
        <v>skolana</v>
      </c>
      <c r="B10794" s="4" t="str">
        <f>IFERROR(__xludf.DUMMYFUNCTION("""COMPUTED_VALUE"""),"skol")</f>
        <v>skol</v>
      </c>
      <c r="C10794" s="4" t="str">
        <f>IFERROR(__xludf.DUMMYFUNCTION("""COMPUTED_VALUE"""),"SKOLANA")</f>
        <v>SKOLANA</v>
      </c>
    </row>
    <row r="10795">
      <c r="A10795" s="4" t="str">
        <f>IFERROR(__xludf.DUMMYFUNCTION("""COMPUTED_VALUE"""),"skrimples")</f>
        <v>skrimples</v>
      </c>
      <c r="B10795" s="4" t="str">
        <f>IFERROR(__xludf.DUMMYFUNCTION("""COMPUTED_VALUE"""),"skrimp")</f>
        <v>skrimp</v>
      </c>
      <c r="C10795" s="4" t="str">
        <f>IFERROR(__xludf.DUMMYFUNCTION("""COMPUTED_VALUE"""),"Skrimples")</f>
        <v>Skrimples</v>
      </c>
    </row>
    <row r="10796">
      <c r="A10796" s="4" t="str">
        <f>IFERROR(__xludf.DUMMYFUNCTION("""COMPUTED_VALUE"""),"skrumble-network")</f>
        <v>skrumble-network</v>
      </c>
      <c r="B10796" s="4" t="str">
        <f>IFERROR(__xludf.DUMMYFUNCTION("""COMPUTED_VALUE"""),"skm")</f>
        <v>skm</v>
      </c>
      <c r="C10796" s="4" t="str">
        <f>IFERROR(__xludf.DUMMYFUNCTION("""COMPUTED_VALUE"""),"Skrumble Network")</f>
        <v>Skrumble Network</v>
      </c>
    </row>
    <row r="10797">
      <c r="A10797" s="4" t="str">
        <f>IFERROR(__xludf.DUMMYFUNCTION("""COMPUTED_VALUE"""),"skullswap-exchange")</f>
        <v>skullswap-exchange</v>
      </c>
      <c r="B10797" s="4" t="str">
        <f>IFERROR(__xludf.DUMMYFUNCTION("""COMPUTED_VALUE"""),"skull")</f>
        <v>skull</v>
      </c>
      <c r="C10797" s="4" t="str">
        <f>IFERROR(__xludf.DUMMYFUNCTION("""COMPUTED_VALUE"""),"SkullSwap Exchange")</f>
        <v>SkullSwap Exchange</v>
      </c>
    </row>
    <row r="10798">
      <c r="A10798" s="4" t="str">
        <f>IFERROR(__xludf.DUMMYFUNCTION("""COMPUTED_VALUE"""),"skycoin")</f>
        <v>skycoin</v>
      </c>
      <c r="B10798" s="4" t="str">
        <f>IFERROR(__xludf.DUMMYFUNCTION("""COMPUTED_VALUE"""),"sky")</f>
        <v>sky</v>
      </c>
      <c r="C10798" s="4" t="str">
        <f>IFERROR(__xludf.DUMMYFUNCTION("""COMPUTED_VALUE"""),"Skycoin")</f>
        <v>Skycoin</v>
      </c>
    </row>
    <row r="10799">
      <c r="A10799" s="4" t="str">
        <f>IFERROR(__xludf.DUMMYFUNCTION("""COMPUTED_VALUE"""),"skydogenet")</f>
        <v>skydogenet</v>
      </c>
      <c r="B10799" s="4" t="str">
        <f>IFERROR(__xludf.DUMMYFUNCTION("""COMPUTED_VALUE"""),"skydoge")</f>
        <v>skydoge</v>
      </c>
      <c r="C10799" s="4" t="str">
        <f>IFERROR(__xludf.DUMMYFUNCTION("""COMPUTED_VALUE"""),"skydogenet")</f>
        <v>skydogenet</v>
      </c>
    </row>
    <row r="10800">
      <c r="A10800" s="4" t="str">
        <f>IFERROR(__xludf.DUMMYFUNCTION("""COMPUTED_VALUE"""),"skydrome")</f>
        <v>skydrome</v>
      </c>
      <c r="B10800" s="4" t="str">
        <f>IFERROR(__xludf.DUMMYFUNCTION("""COMPUTED_VALUE"""),"sky")</f>
        <v>sky</v>
      </c>
      <c r="C10800" s="4" t="str">
        <f>IFERROR(__xludf.DUMMYFUNCTION("""COMPUTED_VALUE"""),"Skydrome")</f>
        <v>Skydrome</v>
      </c>
    </row>
    <row r="10801">
      <c r="A10801" s="4" t="str">
        <f>IFERROR(__xludf.DUMMYFUNCTION("""COMPUTED_VALUE"""),"sky-hause")</f>
        <v>sky-hause</v>
      </c>
      <c r="B10801" s="4" t="str">
        <f>IFERROR(__xludf.DUMMYFUNCTION("""COMPUTED_VALUE"""),"skyh")</f>
        <v>skyh</v>
      </c>
      <c r="C10801" s="4" t="str">
        <f>IFERROR(__xludf.DUMMYFUNCTION("""COMPUTED_VALUE"""),"Sky Hause")</f>
        <v>Sky Hause</v>
      </c>
    </row>
    <row r="10802">
      <c r="A10802" s="4" t="str">
        <f>IFERROR(__xludf.DUMMYFUNCTION("""COMPUTED_VALUE"""),"skypath")</f>
        <v>skypath</v>
      </c>
      <c r="B10802" s="4" t="str">
        <f>IFERROR(__xludf.DUMMYFUNCTION("""COMPUTED_VALUE"""),"sky")</f>
        <v>sky</v>
      </c>
      <c r="C10802" s="4" t="str">
        <f>IFERROR(__xludf.DUMMYFUNCTION("""COMPUTED_VALUE"""),"Skypath")</f>
        <v>Skypath</v>
      </c>
    </row>
    <row r="10803">
      <c r="A10803" s="4" t="str">
        <f>IFERROR(__xludf.DUMMYFUNCTION("""COMPUTED_VALUE"""),"skyplay")</f>
        <v>skyplay</v>
      </c>
      <c r="B10803" s="4" t="str">
        <f>IFERROR(__xludf.DUMMYFUNCTION("""COMPUTED_VALUE"""),"skp")</f>
        <v>skp</v>
      </c>
      <c r="C10803" s="4" t="str">
        <f>IFERROR(__xludf.DUMMYFUNCTION("""COMPUTED_VALUE"""),"SKYPlay")</f>
        <v>SKYPlay</v>
      </c>
    </row>
    <row r="10804">
      <c r="A10804" s="4" t="str">
        <f>IFERROR(__xludf.DUMMYFUNCTION("""COMPUTED_VALUE"""),"skyrim-finance")</f>
        <v>skyrim-finance</v>
      </c>
      <c r="B10804" s="4" t="str">
        <f>IFERROR(__xludf.DUMMYFUNCTION("""COMPUTED_VALUE"""),"skyrim")</f>
        <v>skyrim</v>
      </c>
      <c r="C10804" s="4" t="str">
        <f>IFERROR(__xludf.DUMMYFUNCTION("""COMPUTED_VALUE"""),"Skyrim Finance")</f>
        <v>Skyrim Finance</v>
      </c>
    </row>
    <row r="10805">
      <c r="A10805" s="4" t="str">
        <f>IFERROR(__xludf.DUMMYFUNCTION("""COMPUTED_VALUE"""),"slam-token")</f>
        <v>slam-token</v>
      </c>
      <c r="B10805" s="4" t="str">
        <f>IFERROR(__xludf.DUMMYFUNCTION("""COMPUTED_VALUE"""),"slam")</f>
        <v>slam</v>
      </c>
      <c r="C10805" s="4" t="str">
        <f>IFERROR(__xludf.DUMMYFUNCTION("""COMPUTED_VALUE"""),"Slam")</f>
        <v>Slam</v>
      </c>
    </row>
    <row r="10806">
      <c r="A10806" s="4" t="str">
        <f>IFERROR(__xludf.DUMMYFUNCTION("""COMPUTED_VALUE"""),"slap-face")</f>
        <v>slap-face</v>
      </c>
      <c r="B10806" s="4" t="str">
        <f>IFERROR(__xludf.DUMMYFUNCTION("""COMPUTED_VALUE"""),"slafac")</f>
        <v>slafac</v>
      </c>
      <c r="C10806" s="4" t="str">
        <f>IFERROR(__xludf.DUMMYFUNCTION("""COMPUTED_VALUE"""),"Slap Face")</f>
        <v>Slap Face</v>
      </c>
    </row>
    <row r="10807">
      <c r="A10807" s="4" t="str">
        <f>IFERROR(__xludf.DUMMYFUNCTION("""COMPUTED_VALUE"""),"sl-benfica-fan-token")</f>
        <v>sl-benfica-fan-token</v>
      </c>
      <c r="B10807" s="4" t="str">
        <f>IFERROR(__xludf.DUMMYFUNCTION("""COMPUTED_VALUE"""),"benfica")</f>
        <v>benfica</v>
      </c>
      <c r="C10807" s="4" t="str">
        <f>IFERROR(__xludf.DUMMYFUNCTION("""COMPUTED_VALUE"""),"SL Benfica Fan Token")</f>
        <v>SL Benfica Fan Token</v>
      </c>
    </row>
    <row r="10808">
      <c r="A10808" s="4" t="str">
        <f>IFERROR(__xludf.DUMMYFUNCTION("""COMPUTED_VALUE"""),"sleepless-ai")</f>
        <v>sleepless-ai</v>
      </c>
      <c r="B10808" s="4" t="str">
        <f>IFERROR(__xludf.DUMMYFUNCTION("""COMPUTED_VALUE"""),"ai")</f>
        <v>ai</v>
      </c>
      <c r="C10808" s="4" t="str">
        <f>IFERROR(__xludf.DUMMYFUNCTION("""COMPUTED_VALUE"""),"Sleepless AI")</f>
        <v>Sleepless AI</v>
      </c>
    </row>
    <row r="10809">
      <c r="A10809" s="4" t="str">
        <f>IFERROR(__xludf.DUMMYFUNCTION("""COMPUTED_VALUE"""),"slerf")</f>
        <v>slerf</v>
      </c>
      <c r="B10809" s="4" t="str">
        <f>IFERROR(__xludf.DUMMYFUNCTION("""COMPUTED_VALUE"""),"slerf")</f>
        <v>slerf</v>
      </c>
      <c r="C10809" s="4" t="str">
        <f>IFERROR(__xludf.DUMMYFUNCTION("""COMPUTED_VALUE"""),"Slerf")</f>
        <v>Slerf</v>
      </c>
    </row>
    <row r="10810">
      <c r="A10810" s="4" t="str">
        <f>IFERROR(__xludf.DUMMYFUNCTION("""COMPUTED_VALUE"""),"slex")</f>
        <v>slex</v>
      </c>
      <c r="B10810" s="4" t="str">
        <f>IFERROR(__xludf.DUMMYFUNCTION("""COMPUTED_VALUE"""),"slex")</f>
        <v>slex</v>
      </c>
      <c r="C10810" s="4" t="str">
        <f>IFERROR(__xludf.DUMMYFUNCTION("""COMPUTED_VALUE"""),"Slex")</f>
        <v>Slex</v>
      </c>
    </row>
    <row r="10811">
      <c r="A10811" s="4" t="str">
        <f>IFERROR(__xludf.DUMMYFUNCTION("""COMPUTED_VALUE"""),"slimcoin")</f>
        <v>slimcoin</v>
      </c>
      <c r="B10811" s="4" t="str">
        <f>IFERROR(__xludf.DUMMYFUNCTION("""COMPUTED_VALUE"""),"slm")</f>
        <v>slm</v>
      </c>
      <c r="C10811" s="4" t="str">
        <f>IFERROR(__xludf.DUMMYFUNCTION("""COMPUTED_VALUE"""),"Slimcoin")</f>
        <v>Slimcoin</v>
      </c>
    </row>
    <row r="10812">
      <c r="A10812" s="4" t="str">
        <f>IFERROR(__xludf.DUMMYFUNCTION("""COMPUTED_VALUE"""),"slingshot")</f>
        <v>slingshot</v>
      </c>
      <c r="B10812" s="4" t="str">
        <f>IFERROR(__xludf.DUMMYFUNCTION("""COMPUTED_VALUE"""),"sling")</f>
        <v>sling</v>
      </c>
      <c r="C10812" s="4" t="str">
        <f>IFERROR(__xludf.DUMMYFUNCTION("""COMPUTED_VALUE"""),"Slingshot")</f>
        <v>Slingshot</v>
      </c>
    </row>
    <row r="10813">
      <c r="A10813" s="4" t="str">
        <f>IFERROR(__xludf.DUMMYFUNCTION("""COMPUTED_VALUE"""),"slm-games")</f>
        <v>slm-games</v>
      </c>
      <c r="B10813" s="4" t="str">
        <f>IFERROR(__xludf.DUMMYFUNCTION("""COMPUTED_VALUE"""),"slm")</f>
        <v>slm</v>
      </c>
      <c r="C10813" s="4" t="str">
        <f>IFERROR(__xludf.DUMMYFUNCTION("""COMPUTED_VALUE"""),"SLM.Games")</f>
        <v>SLM.Games</v>
      </c>
    </row>
    <row r="10814">
      <c r="A10814" s="4" t="str">
        <f>IFERROR(__xludf.DUMMYFUNCTION("""COMPUTED_VALUE"""),"slnv2")</f>
        <v>slnv2</v>
      </c>
      <c r="B10814" s="4" t="str">
        <f>IFERROR(__xludf.DUMMYFUNCTION("""COMPUTED_VALUE"""),"slnv2")</f>
        <v>slnv2</v>
      </c>
      <c r="C10814" s="4" t="str">
        <f>IFERROR(__xludf.DUMMYFUNCTION("""COMPUTED_VALUE"""),"SLNV2")</f>
        <v>SLNV2</v>
      </c>
    </row>
    <row r="10815">
      <c r="A10815" s="4" t="str">
        <f>IFERROR(__xludf.DUMMYFUNCTION("""COMPUTED_VALUE"""),"slp")</f>
        <v>slp</v>
      </c>
      <c r="B10815" s="4" t="str">
        <f>IFERROR(__xludf.DUMMYFUNCTION("""COMPUTED_VALUE"""),"slp")</f>
        <v>slp</v>
      </c>
      <c r="C10815" s="4" t="str">
        <f>IFERROR(__xludf.DUMMYFUNCTION("""COMPUTED_VALUE"""),"SLP")</f>
        <v>SLP</v>
      </c>
    </row>
    <row r="10816">
      <c r="A10816" s="4" t="str">
        <f>IFERROR(__xludf.DUMMYFUNCTION("""COMPUTED_VALUE"""),"small-doge")</f>
        <v>small-doge</v>
      </c>
      <c r="B10816" s="4" t="str">
        <f>IFERROR(__xludf.DUMMYFUNCTION("""COMPUTED_VALUE"""),"sdog")</f>
        <v>sdog</v>
      </c>
      <c r="C10816" s="4" t="str">
        <f>IFERROR(__xludf.DUMMYFUNCTION("""COMPUTED_VALUE"""),"Small Doge")</f>
        <v>Small Doge</v>
      </c>
    </row>
    <row r="10817">
      <c r="A10817" s="4" t="str">
        <f>IFERROR(__xludf.DUMMYFUNCTION("""COMPUTED_VALUE"""),"smardex")</f>
        <v>smardex</v>
      </c>
      <c r="B10817" s="4" t="str">
        <f>IFERROR(__xludf.DUMMYFUNCTION("""COMPUTED_VALUE"""),"sdex")</f>
        <v>sdex</v>
      </c>
      <c r="C10817" s="4" t="str">
        <f>IFERROR(__xludf.DUMMYFUNCTION("""COMPUTED_VALUE"""),"SmarDex")</f>
        <v>SmarDex</v>
      </c>
    </row>
    <row r="10818">
      <c r="A10818" s="4" t="str">
        <f>IFERROR(__xludf.DUMMYFUNCTION("""COMPUTED_VALUE"""),"smart-aliens")</f>
        <v>smart-aliens</v>
      </c>
      <c r="B10818" s="4" t="str">
        <f>IFERROR(__xludf.DUMMYFUNCTION("""COMPUTED_VALUE"""),"sas")</f>
        <v>sas</v>
      </c>
      <c r="C10818" s="4" t="str">
        <f>IFERROR(__xludf.DUMMYFUNCTION("""COMPUTED_VALUE"""),"Smart Aliens")</f>
        <v>Smart Aliens</v>
      </c>
    </row>
    <row r="10819">
      <c r="A10819" s="4" t="str">
        <f>IFERROR(__xludf.DUMMYFUNCTION("""COMPUTED_VALUE"""),"smartaudit-ai")</f>
        <v>smartaudit-ai</v>
      </c>
      <c r="B10819" s="4" t="str">
        <f>IFERROR(__xludf.DUMMYFUNCTION("""COMPUTED_VALUE"""),"audit")</f>
        <v>audit</v>
      </c>
      <c r="C10819" s="4" t="str">
        <f>IFERROR(__xludf.DUMMYFUNCTION("""COMPUTED_VALUE"""),"SmartAudit AI")</f>
        <v>SmartAudit AI</v>
      </c>
    </row>
    <row r="10820">
      <c r="A10820" s="4" t="str">
        <f>IFERROR(__xludf.DUMMYFUNCTION("""COMPUTED_VALUE"""),"smart-blockchain")</f>
        <v>smart-blockchain</v>
      </c>
      <c r="B10820" s="4" t="str">
        <f>IFERROR(__xludf.DUMMYFUNCTION("""COMPUTED_VALUE"""),"smart")</f>
        <v>smart</v>
      </c>
      <c r="C10820" s="4" t="str">
        <f>IFERROR(__xludf.DUMMYFUNCTION("""COMPUTED_VALUE"""),"SMART BLOCKCHAIN")</f>
        <v>SMART BLOCKCHAIN</v>
      </c>
    </row>
    <row r="10821">
      <c r="A10821" s="4" t="str">
        <f>IFERROR(__xludf.DUMMYFUNCTION("""COMPUTED_VALUE"""),"smart-block-chain-city")</f>
        <v>smart-block-chain-city</v>
      </c>
      <c r="B10821" s="4" t="str">
        <f>IFERROR(__xludf.DUMMYFUNCTION("""COMPUTED_VALUE"""),"sbcc")</f>
        <v>sbcc</v>
      </c>
      <c r="C10821" s="4" t="str">
        <f>IFERROR(__xludf.DUMMYFUNCTION("""COMPUTED_VALUE"""),"Smart Block Chain City")</f>
        <v>Smart Block Chain City</v>
      </c>
    </row>
    <row r="10822">
      <c r="A10822" s="4" t="str">
        <f>IFERROR(__xludf.DUMMYFUNCTION("""COMPUTED_VALUE"""),"smartcash")</f>
        <v>smartcash</v>
      </c>
      <c r="B10822" s="4" t="str">
        <f>IFERROR(__xludf.DUMMYFUNCTION("""COMPUTED_VALUE"""),"smart")</f>
        <v>smart</v>
      </c>
      <c r="C10822" s="4" t="str">
        <f>IFERROR(__xludf.DUMMYFUNCTION("""COMPUTED_VALUE"""),"SmartCash")</f>
        <v>SmartCash</v>
      </c>
    </row>
    <row r="10823">
      <c r="A10823" s="4" t="str">
        <f>IFERROR(__xludf.DUMMYFUNCTION("""COMPUTED_VALUE"""),"smart-coin-smrtr")</f>
        <v>smart-coin-smrtr</v>
      </c>
      <c r="B10823" s="4" t="str">
        <f>IFERROR(__xludf.DUMMYFUNCTION("""COMPUTED_VALUE"""),"smrtr")</f>
        <v>smrtr</v>
      </c>
      <c r="C10823" s="4" t="str">
        <f>IFERROR(__xludf.DUMMYFUNCTION("""COMPUTED_VALUE"""),"SmarterCoin")</f>
        <v>SmarterCoin</v>
      </c>
    </row>
    <row r="10824">
      <c r="A10824" s="4" t="str">
        <f>IFERROR(__xludf.DUMMYFUNCTION("""COMPUTED_VALUE"""),"smartcredit-token")</f>
        <v>smartcredit-token</v>
      </c>
      <c r="B10824" s="4" t="str">
        <f>IFERROR(__xludf.DUMMYFUNCTION("""COMPUTED_VALUE"""),"smartcredit")</f>
        <v>smartcredit</v>
      </c>
      <c r="C10824" s="4" t="str">
        <f>IFERROR(__xludf.DUMMYFUNCTION("""COMPUTED_VALUE"""),"SmartCredit")</f>
        <v>SmartCredit</v>
      </c>
    </row>
    <row r="10825">
      <c r="A10825" s="4" t="str">
        <f>IFERROR(__xludf.DUMMYFUNCTION("""COMPUTED_VALUE"""),"smart-game-finance")</f>
        <v>smart-game-finance</v>
      </c>
      <c r="B10825" s="4" t="str">
        <f>IFERROR(__xludf.DUMMYFUNCTION("""COMPUTED_VALUE"""),"smart")</f>
        <v>smart</v>
      </c>
      <c r="C10825" s="4" t="str">
        <f>IFERROR(__xludf.DUMMYFUNCTION("""COMPUTED_VALUE"""),"Smart Game Finance")</f>
        <v>Smart Game Finance</v>
      </c>
    </row>
    <row r="10826">
      <c r="A10826" s="4" t="str">
        <f>IFERROR(__xludf.DUMMYFUNCTION("""COMPUTED_VALUE"""),"smartlands")</f>
        <v>smartlands</v>
      </c>
      <c r="B10826" s="4" t="str">
        <f>IFERROR(__xludf.DUMMYFUNCTION("""COMPUTED_VALUE"""),"dnt")</f>
        <v>dnt</v>
      </c>
      <c r="C10826" s="4" t="str">
        <f>IFERROR(__xludf.DUMMYFUNCTION("""COMPUTED_VALUE"""),"Definder Network")</f>
        <v>Definder Network</v>
      </c>
    </row>
    <row r="10827">
      <c r="A10827" s="4" t="str">
        <f>IFERROR(__xludf.DUMMYFUNCTION("""COMPUTED_VALUE"""),"smart-layer-network")</f>
        <v>smart-layer-network</v>
      </c>
      <c r="B10827" s="4" t="str">
        <f>IFERROR(__xludf.DUMMYFUNCTION("""COMPUTED_VALUE"""),"sln")</f>
        <v>sln</v>
      </c>
      <c r="C10827" s="4" t="str">
        <f>IFERROR(__xludf.DUMMYFUNCTION("""COMPUTED_VALUE"""),"Smart Layer Network")</f>
        <v>Smart Layer Network</v>
      </c>
    </row>
    <row r="10828">
      <c r="A10828" s="4" t="str">
        <f>IFERROR(__xludf.DUMMYFUNCTION("""COMPUTED_VALUE"""),"smartlink")</f>
        <v>smartlink</v>
      </c>
      <c r="B10828" s="4" t="str">
        <f>IFERROR(__xludf.DUMMYFUNCTION("""COMPUTED_VALUE"""),"smak")</f>
        <v>smak</v>
      </c>
      <c r="C10828" s="4" t="str">
        <f>IFERROR(__xludf.DUMMYFUNCTION("""COMPUTED_VALUE"""),"Smartlink")</f>
        <v>Smartlink</v>
      </c>
    </row>
    <row r="10829">
      <c r="A10829" s="4" t="str">
        <f>IFERROR(__xludf.DUMMYFUNCTION("""COMPUTED_VALUE"""),"smart-marketing-token")</f>
        <v>smart-marketing-token</v>
      </c>
      <c r="B10829" s="4" t="str">
        <f>IFERROR(__xludf.DUMMYFUNCTION("""COMPUTED_VALUE"""),"smt")</f>
        <v>smt</v>
      </c>
      <c r="C10829" s="4" t="str">
        <f>IFERROR(__xludf.DUMMYFUNCTION("""COMPUTED_VALUE"""),"Smart Marketing")</f>
        <v>Smart Marketing</v>
      </c>
    </row>
    <row r="10830">
      <c r="A10830" s="4" t="str">
        <f>IFERROR(__xludf.DUMMYFUNCTION("""COMPUTED_VALUE"""),"smartmesh")</f>
        <v>smartmesh</v>
      </c>
      <c r="B10830" s="4" t="str">
        <f>IFERROR(__xludf.DUMMYFUNCTION("""COMPUTED_VALUE"""),"smt")</f>
        <v>smt</v>
      </c>
      <c r="C10830" s="4" t="str">
        <f>IFERROR(__xludf.DUMMYFUNCTION("""COMPUTED_VALUE"""),"SmartMesh")</f>
        <v>SmartMesh</v>
      </c>
    </row>
    <row r="10831">
      <c r="A10831" s="4" t="str">
        <f>IFERROR(__xludf.DUMMYFUNCTION("""COMPUTED_VALUE"""),"smart-mfg")</f>
        <v>smart-mfg</v>
      </c>
      <c r="B10831" s="4" t="str">
        <f>IFERROR(__xludf.DUMMYFUNCTION("""COMPUTED_VALUE"""),"mfg")</f>
        <v>mfg</v>
      </c>
      <c r="C10831" s="4" t="str">
        <f>IFERROR(__xludf.DUMMYFUNCTION("""COMPUTED_VALUE"""),"Smart MFG")</f>
        <v>Smart MFG</v>
      </c>
    </row>
    <row r="10832">
      <c r="A10832" s="4" t="str">
        <f>IFERROR(__xludf.DUMMYFUNCTION("""COMPUTED_VALUE"""),"smartmoney")</f>
        <v>smartmoney</v>
      </c>
      <c r="B10832" s="4" t="str">
        <f>IFERROR(__xludf.DUMMYFUNCTION("""COMPUTED_VALUE"""),"smrt")</f>
        <v>smrt</v>
      </c>
      <c r="C10832" s="4" t="str">
        <f>IFERROR(__xludf.DUMMYFUNCTION("""COMPUTED_VALUE"""),"SmartMoney")</f>
        <v>SmartMoney</v>
      </c>
    </row>
    <row r="10833">
      <c r="A10833" s="4" t="str">
        <f>IFERROR(__xludf.DUMMYFUNCTION("""COMPUTED_VALUE"""),"smartnft")</f>
        <v>smartnft</v>
      </c>
      <c r="B10833" s="4" t="str">
        <f>IFERROR(__xludf.DUMMYFUNCTION("""COMPUTED_VALUE"""),"smartnft")</f>
        <v>smartnft</v>
      </c>
      <c r="C10833" s="4" t="str">
        <f>IFERROR(__xludf.DUMMYFUNCTION("""COMPUTED_VALUE"""),"SmartNFT")</f>
        <v>SmartNFT</v>
      </c>
    </row>
    <row r="10834">
      <c r="A10834" s="4" t="str">
        <f>IFERROR(__xludf.DUMMYFUNCTION("""COMPUTED_VALUE"""),"smartofgiving")</f>
        <v>smartofgiving</v>
      </c>
      <c r="B10834" s="4" t="str">
        <f>IFERROR(__xludf.DUMMYFUNCTION("""COMPUTED_VALUE"""),"aog")</f>
        <v>aog</v>
      </c>
      <c r="C10834" s="4" t="str">
        <f>IFERROR(__xludf.DUMMYFUNCTION("""COMPUTED_VALUE"""),"smARTOFGIVING")</f>
        <v>smARTOFGIVING</v>
      </c>
    </row>
    <row r="10835">
      <c r="A10835" s="4" t="str">
        <f>IFERROR(__xludf.DUMMYFUNCTION("""COMPUTED_VALUE"""),"smartpad-2")</f>
        <v>smartpad-2</v>
      </c>
      <c r="B10835" s="4" t="str">
        <f>IFERROR(__xludf.DUMMYFUNCTION("""COMPUTED_VALUE"""),"pad")</f>
        <v>pad</v>
      </c>
      <c r="C10835" s="4" t="str">
        <f>IFERROR(__xludf.DUMMYFUNCTION("""COMPUTED_VALUE"""),"SmartPad")</f>
        <v>SmartPad</v>
      </c>
    </row>
    <row r="10836">
      <c r="A10836" s="4" t="str">
        <f>IFERROR(__xludf.DUMMYFUNCTION("""COMPUTED_VALUE"""),"smart-reward-token")</f>
        <v>smart-reward-token</v>
      </c>
      <c r="B10836" s="4" t="str">
        <f>IFERROR(__xludf.DUMMYFUNCTION("""COMPUTED_VALUE"""),"srt")</f>
        <v>srt</v>
      </c>
      <c r="C10836" s="4" t="str">
        <f>IFERROR(__xludf.DUMMYFUNCTION("""COMPUTED_VALUE"""),"Smart Reward Token")</f>
        <v>Smart Reward Token</v>
      </c>
    </row>
    <row r="10837">
      <c r="A10837" s="4" t="str">
        <f>IFERROR(__xludf.DUMMYFUNCTION("""COMPUTED_VALUE"""),"smartsettoken")</f>
        <v>smartsettoken</v>
      </c>
      <c r="B10837" s="4" t="str">
        <f>IFERROR(__xludf.DUMMYFUNCTION("""COMPUTED_VALUE"""),"sst")</f>
        <v>sst</v>
      </c>
      <c r="C10837" s="4" t="str">
        <f>IFERROR(__xludf.DUMMYFUNCTION("""COMPUTED_VALUE"""),"SmartsetToken")</f>
        <v>SmartsetToken</v>
      </c>
    </row>
    <row r="10838">
      <c r="A10838" s="4" t="str">
        <f>IFERROR(__xludf.DUMMYFUNCTION("""COMPUTED_VALUE"""),"smartshare")</f>
        <v>smartshare</v>
      </c>
      <c r="B10838" s="4" t="str">
        <f>IFERROR(__xludf.DUMMYFUNCTION("""COMPUTED_VALUE"""),"ssp")</f>
        <v>ssp</v>
      </c>
      <c r="C10838" s="4" t="str">
        <f>IFERROR(__xludf.DUMMYFUNCTION("""COMPUTED_VALUE"""),"Smartshare")</f>
        <v>Smartshare</v>
      </c>
    </row>
    <row r="10839">
      <c r="A10839" s="4" t="str">
        <f>IFERROR(__xludf.DUMMYFUNCTION("""COMPUTED_VALUE"""),"smart-trade-bot")</f>
        <v>smart-trade-bot</v>
      </c>
      <c r="B10839" s="4" t="str">
        <f>IFERROR(__xludf.DUMMYFUNCTION("""COMPUTED_VALUE"""),"smart-bot")</f>
        <v>smart-bot</v>
      </c>
      <c r="C10839" s="4" t="str">
        <f>IFERROR(__xludf.DUMMYFUNCTION("""COMPUTED_VALUE"""),"Smart Trade-BOT")</f>
        <v>Smart Trade-BOT</v>
      </c>
    </row>
    <row r="10840">
      <c r="A10840" s="4" t="str">
        <f>IFERROR(__xludf.DUMMYFUNCTION("""COMPUTED_VALUE"""),"smart-valor")</f>
        <v>smart-valor</v>
      </c>
      <c r="B10840" s="4" t="str">
        <f>IFERROR(__xludf.DUMMYFUNCTION("""COMPUTED_VALUE"""),"valor")</f>
        <v>valor</v>
      </c>
      <c r="C10840" s="4" t="str">
        <f>IFERROR(__xludf.DUMMYFUNCTION("""COMPUTED_VALUE"""),"Smart Valor")</f>
        <v>Smart Valor</v>
      </c>
    </row>
    <row r="10841">
      <c r="A10841" s="4" t="str">
        <f>IFERROR(__xludf.DUMMYFUNCTION("""COMPUTED_VALUE"""),"smart-wallet-token")</f>
        <v>smart-wallet-token</v>
      </c>
      <c r="B10841" s="4" t="str">
        <f>IFERROR(__xludf.DUMMYFUNCTION("""COMPUTED_VALUE"""),"swt")</f>
        <v>swt</v>
      </c>
      <c r="C10841" s="4" t="str">
        <f>IFERROR(__xludf.DUMMYFUNCTION("""COMPUTED_VALUE"""),"Smart Wallet")</f>
        <v>Smart Wallet</v>
      </c>
    </row>
    <row r="10842">
      <c r="A10842" s="4" t="str">
        <f>IFERROR(__xludf.DUMMYFUNCTION("""COMPUTED_VALUE"""),"smartworld-global")</f>
        <v>smartworld-global</v>
      </c>
      <c r="B10842" s="4" t="str">
        <f>IFERROR(__xludf.DUMMYFUNCTION("""COMPUTED_VALUE"""),"swgt")</f>
        <v>swgt</v>
      </c>
      <c r="C10842" s="4" t="str">
        <f>IFERROR(__xludf.DUMMYFUNCTION("""COMPUTED_VALUE"""),"SmartWorld Global Token")</f>
        <v>SmartWorld Global Token</v>
      </c>
    </row>
    <row r="10843">
      <c r="A10843" s="4" t="str">
        <f>IFERROR(__xludf.DUMMYFUNCTION("""COMPUTED_VALUE"""),"smart-world-union")</f>
        <v>smart-world-union</v>
      </c>
      <c r="B10843" s="4" t="str">
        <f>IFERROR(__xludf.DUMMYFUNCTION("""COMPUTED_VALUE"""),"swu")</f>
        <v>swu</v>
      </c>
      <c r="C10843" s="4" t="str">
        <f>IFERROR(__xludf.DUMMYFUNCTION("""COMPUTED_VALUE"""),"Smart World Union")</f>
        <v>Smart World Union</v>
      </c>
    </row>
    <row r="10844">
      <c r="A10844" s="4" t="str">
        <f>IFERROR(__xludf.DUMMYFUNCTION("""COMPUTED_VALUE"""),"smarty-pay")</f>
        <v>smarty-pay</v>
      </c>
      <c r="B10844" s="4" t="str">
        <f>IFERROR(__xludf.DUMMYFUNCTION("""COMPUTED_VALUE"""),"spy")</f>
        <v>spy</v>
      </c>
      <c r="C10844" s="4" t="str">
        <f>IFERROR(__xludf.DUMMYFUNCTION("""COMPUTED_VALUE"""),"Smarty Pay")</f>
        <v>Smarty Pay</v>
      </c>
    </row>
    <row r="10845">
      <c r="A10845" s="4" t="str">
        <f>IFERROR(__xludf.DUMMYFUNCTION("""COMPUTED_VALUE"""),"smash-cash")</f>
        <v>smash-cash</v>
      </c>
      <c r="B10845" s="4" t="str">
        <f>IFERROR(__xludf.DUMMYFUNCTION("""COMPUTED_VALUE"""),"smash")</f>
        <v>smash</v>
      </c>
      <c r="C10845" s="4" t="str">
        <f>IFERROR(__xludf.DUMMYFUNCTION("""COMPUTED_VALUE"""),"Smash Cash")</f>
        <v>Smash Cash</v>
      </c>
    </row>
    <row r="10846">
      <c r="A10846" s="4" t="str">
        <f>IFERROR(__xludf.DUMMYFUNCTION("""COMPUTED_VALUE"""),"smell")</f>
        <v>smell</v>
      </c>
      <c r="B10846" s="4" t="str">
        <f>IFERROR(__xludf.DUMMYFUNCTION("""COMPUTED_VALUE"""),"sml")</f>
        <v>sml</v>
      </c>
      <c r="C10846" s="4" t="str">
        <f>IFERROR(__xludf.DUMMYFUNCTION("""COMPUTED_VALUE"""),"Smell")</f>
        <v>Smell</v>
      </c>
    </row>
    <row r="10847">
      <c r="A10847" s="4" t="str">
        <f>IFERROR(__xludf.DUMMYFUNCTION("""COMPUTED_VALUE"""),"smileai")</f>
        <v>smileai</v>
      </c>
      <c r="B10847" s="4" t="str">
        <f>IFERROR(__xludf.DUMMYFUNCTION("""COMPUTED_VALUE"""),"smile")</f>
        <v>smile</v>
      </c>
      <c r="C10847" s="4" t="str">
        <f>IFERROR(__xludf.DUMMYFUNCTION("""COMPUTED_VALUE"""),"SmileAI")</f>
        <v>SmileAI</v>
      </c>
    </row>
    <row r="10848">
      <c r="A10848" s="4" t="str">
        <f>IFERROR(__xludf.DUMMYFUNCTION("""COMPUTED_VALUE"""),"smilestack")</f>
        <v>smilestack</v>
      </c>
      <c r="B10848" s="4" t="str">
        <f>IFERROR(__xludf.DUMMYFUNCTION("""COMPUTED_VALUE"""),"sst")</f>
        <v>sst</v>
      </c>
      <c r="C10848" s="4" t="str">
        <f>IFERROR(__xludf.DUMMYFUNCTION("""COMPUTED_VALUE"""),"SmileStack")</f>
        <v>SmileStack</v>
      </c>
    </row>
    <row r="10849">
      <c r="A10849" s="4" t="str">
        <f>IFERROR(__xludf.DUMMYFUNCTION("""COMPUTED_VALUE"""),"smiley-coin")</f>
        <v>smiley-coin</v>
      </c>
      <c r="B10849" s="4" t="str">
        <f>IFERROR(__xludf.DUMMYFUNCTION("""COMPUTED_VALUE"""),"smiley")</f>
        <v>smiley</v>
      </c>
      <c r="C10849" s="4" t="str">
        <f>IFERROR(__xludf.DUMMYFUNCTION("""COMPUTED_VALUE"""),"Smiley Coin")</f>
        <v>Smiley Coin</v>
      </c>
    </row>
    <row r="10850">
      <c r="A10850" s="4" t="str">
        <f>IFERROR(__xludf.DUMMYFUNCTION("""COMPUTED_VALUE"""),"smog")</f>
        <v>smog</v>
      </c>
      <c r="B10850" s="4" t="str">
        <f>IFERROR(__xludf.DUMMYFUNCTION("""COMPUTED_VALUE"""),"smog")</f>
        <v>smog</v>
      </c>
      <c r="C10850" s="4" t="str">
        <f>IFERROR(__xludf.DUMMYFUNCTION("""COMPUTED_VALUE"""),"Smog")</f>
        <v>Smog</v>
      </c>
    </row>
    <row r="10851">
      <c r="A10851" s="4" t="str">
        <f>IFERROR(__xludf.DUMMYFUNCTION("""COMPUTED_VALUE"""),"smoked-token-burn")</f>
        <v>smoked-token-burn</v>
      </c>
      <c r="B10851" s="4" t="str">
        <f>IFERROR(__xludf.DUMMYFUNCTION("""COMPUTED_VALUE"""),"burn")</f>
        <v>burn</v>
      </c>
      <c r="C10851" s="4" t="str">
        <f>IFERROR(__xludf.DUMMYFUNCTION("""COMPUTED_VALUE"""),"Smoked Token Burn")</f>
        <v>Smoked Token Burn</v>
      </c>
    </row>
    <row r="10852">
      <c r="A10852" s="4" t="str">
        <f>IFERROR(__xludf.DUMMYFUNCTION("""COMPUTED_VALUE"""),"smolano")</f>
        <v>smolano</v>
      </c>
      <c r="B10852" s="4" t="str">
        <f>IFERROR(__xludf.DUMMYFUNCTION("""COMPUTED_VALUE"""),"slo")</f>
        <v>slo</v>
      </c>
      <c r="C10852" s="4" t="str">
        <f>IFERROR(__xludf.DUMMYFUNCTION("""COMPUTED_VALUE"""),"SmoLanO")</f>
        <v>SmoLanO</v>
      </c>
    </row>
    <row r="10853">
      <c r="A10853" s="4" t="str">
        <f>IFERROR(__xludf.DUMMYFUNCTION("""COMPUTED_VALUE"""),"smolcoin")</f>
        <v>smolcoin</v>
      </c>
      <c r="B10853" s="4" t="str">
        <f>IFERROR(__xludf.DUMMYFUNCTION("""COMPUTED_VALUE"""),"smol")</f>
        <v>smol</v>
      </c>
      <c r="C10853" s="4" t="str">
        <f>IFERROR(__xludf.DUMMYFUNCTION("""COMPUTED_VALUE"""),"Smolcoin")</f>
        <v>Smolcoin</v>
      </c>
    </row>
    <row r="10854">
      <c r="A10854" s="4" t="str">
        <f>IFERROR(__xludf.DUMMYFUNCTION("""COMPUTED_VALUE"""),"smolecoin")</f>
        <v>smolecoin</v>
      </c>
      <c r="B10854" s="4" t="str">
        <f>IFERROR(__xludf.DUMMYFUNCTION("""COMPUTED_VALUE"""),"smole")</f>
        <v>smole</v>
      </c>
      <c r="C10854" s="4" t="str">
        <f>IFERROR(__xludf.DUMMYFUNCTION("""COMPUTED_VALUE"""),"smolecoin")</f>
        <v>smolecoin</v>
      </c>
    </row>
    <row r="10855">
      <c r="A10855" s="4" t="str">
        <f>IFERROR(__xludf.DUMMYFUNCTION("""COMPUTED_VALUE"""),"smol-su")</f>
        <v>smol-su</v>
      </c>
      <c r="B10855" s="4" t="str">
        <f>IFERROR(__xludf.DUMMYFUNCTION("""COMPUTED_VALUE"""),"su")</f>
        <v>su</v>
      </c>
      <c r="C10855" s="4" t="str">
        <f>IFERROR(__xludf.DUMMYFUNCTION("""COMPUTED_VALUE"""),"Smol Su")</f>
        <v>Smol Su</v>
      </c>
    </row>
    <row r="10856">
      <c r="A10856" s="4" t="str">
        <f>IFERROR(__xludf.DUMMYFUNCTION("""COMPUTED_VALUE"""),"smooth-love-potion")</f>
        <v>smooth-love-potion</v>
      </c>
      <c r="B10856" s="4" t="str">
        <f>IFERROR(__xludf.DUMMYFUNCTION("""COMPUTED_VALUE"""),"slp")</f>
        <v>slp</v>
      </c>
      <c r="C10856" s="4" t="str">
        <f>IFERROR(__xludf.DUMMYFUNCTION("""COMPUTED_VALUE"""),"Smooth Love Potion")</f>
        <v>Smooth Love Potion</v>
      </c>
    </row>
    <row r="10857">
      <c r="A10857" s="4" t="str">
        <f>IFERROR(__xludf.DUMMYFUNCTION("""COMPUTED_VALUE"""),"smoothy")</f>
        <v>smoothy</v>
      </c>
      <c r="B10857" s="4" t="str">
        <f>IFERROR(__xludf.DUMMYFUNCTION("""COMPUTED_VALUE"""),"smty")</f>
        <v>smty</v>
      </c>
      <c r="C10857" s="4" t="str">
        <f>IFERROR(__xludf.DUMMYFUNCTION("""COMPUTED_VALUE"""),"Smoothy")</f>
        <v>Smoothy</v>
      </c>
    </row>
    <row r="10858">
      <c r="A10858" s="4" t="str">
        <f>IFERROR(__xludf.DUMMYFUNCTION("""COMPUTED_VALUE"""),"smorf")</f>
        <v>smorf</v>
      </c>
      <c r="B10858" s="4" t="str">
        <f>IFERROR(__xludf.DUMMYFUNCTION("""COMPUTED_VALUE"""),"smorf")</f>
        <v>smorf</v>
      </c>
      <c r="C10858" s="4" t="str">
        <f>IFERROR(__xludf.DUMMYFUNCTION("""COMPUTED_VALUE"""),"smorf")</f>
        <v>smorf</v>
      </c>
    </row>
    <row r="10859">
      <c r="A10859" s="4" t="str">
        <f>IFERROR(__xludf.DUMMYFUNCTION("""COMPUTED_VALUE"""),"smp-finance")</f>
        <v>smp-finance</v>
      </c>
      <c r="B10859" s="4" t="str">
        <f>IFERROR(__xludf.DUMMYFUNCTION("""COMPUTED_VALUE"""),"smpf")</f>
        <v>smpf</v>
      </c>
      <c r="C10859" s="4" t="str">
        <f>IFERROR(__xludf.DUMMYFUNCTION("""COMPUTED_VALUE"""),"SMP Finance")</f>
        <v>SMP Finance</v>
      </c>
    </row>
    <row r="10860">
      <c r="A10860" s="4" t="str">
        <f>IFERROR(__xludf.DUMMYFUNCTION("""COMPUTED_VALUE"""),"smudge-cat")</f>
        <v>smudge-cat</v>
      </c>
      <c r="B10860" s="4" t="str">
        <f>IFERROR(__xludf.DUMMYFUNCTION("""COMPUTED_VALUE"""),"smudcat")</f>
        <v>smudcat</v>
      </c>
      <c r="C10860" s="4" t="str">
        <f>IFERROR(__xludf.DUMMYFUNCTION("""COMPUTED_VALUE"""),"Smudge Cat")</f>
        <v>Smudge Cat</v>
      </c>
    </row>
    <row r="10861">
      <c r="A10861" s="4" t="str">
        <f>IFERROR(__xludf.DUMMYFUNCTION("""COMPUTED_VALUE"""),"smudge-lord")</f>
        <v>smudge-lord</v>
      </c>
      <c r="B10861" s="4" t="str">
        <f>IFERROR(__xludf.DUMMYFUNCTION("""COMPUTED_VALUE"""),"smudge")</f>
        <v>smudge</v>
      </c>
      <c r="C10861" s="4" t="str">
        <f>IFERROR(__xludf.DUMMYFUNCTION("""COMPUTED_VALUE"""),"Smudge Lord")</f>
        <v>Smudge Lord</v>
      </c>
    </row>
    <row r="10862">
      <c r="A10862" s="4" t="str">
        <f>IFERROR(__xludf.DUMMYFUNCTION("""COMPUTED_VALUE"""),"smurfsinu")</f>
        <v>smurfsinu</v>
      </c>
      <c r="B10862" s="4" t="str">
        <f>IFERROR(__xludf.DUMMYFUNCTION("""COMPUTED_VALUE"""),"smurf")</f>
        <v>smurf</v>
      </c>
      <c r="C10862" s="4" t="str">
        <f>IFERROR(__xludf.DUMMYFUNCTION("""COMPUTED_VALUE"""),"SmurfsINU")</f>
        <v>SmurfsINU</v>
      </c>
    </row>
    <row r="10863">
      <c r="A10863" s="4" t="str">
        <f>IFERROR(__xludf.DUMMYFUNCTION("""COMPUTED_VALUE"""),"snailbrook")</f>
        <v>snailbrook</v>
      </c>
      <c r="B10863" s="4" t="str">
        <f>IFERROR(__xludf.DUMMYFUNCTION("""COMPUTED_VALUE"""),"snail")</f>
        <v>snail</v>
      </c>
      <c r="C10863" s="4" t="str">
        <f>IFERROR(__xludf.DUMMYFUNCTION("""COMPUTED_VALUE"""),"SnailBrook")</f>
        <v>SnailBrook</v>
      </c>
    </row>
    <row r="10864">
      <c r="A10864" s="4" t="str">
        <f>IFERROR(__xludf.DUMMYFUNCTION("""COMPUTED_VALUE"""),"snailmoon")</f>
        <v>snailmoon</v>
      </c>
      <c r="B10864" s="4" t="str">
        <f>IFERROR(__xludf.DUMMYFUNCTION("""COMPUTED_VALUE"""),"snm")</f>
        <v>snm</v>
      </c>
      <c r="C10864" s="4" t="str">
        <f>IFERROR(__xludf.DUMMYFUNCTION("""COMPUTED_VALUE"""),"SnailMoon")</f>
        <v>SnailMoon</v>
      </c>
    </row>
    <row r="10865">
      <c r="A10865" s="4" t="str">
        <f>IFERROR(__xludf.DUMMYFUNCTION("""COMPUTED_VALUE"""),"snail-trail")</f>
        <v>snail-trail</v>
      </c>
      <c r="B10865" s="4" t="str">
        <f>IFERROR(__xludf.DUMMYFUNCTION("""COMPUTED_VALUE"""),"slime")</f>
        <v>slime</v>
      </c>
      <c r="C10865" s="4" t="str">
        <f>IFERROR(__xludf.DUMMYFUNCTION("""COMPUTED_VALUE"""),"Snail Trail")</f>
        <v>Snail Trail</v>
      </c>
    </row>
    <row r="10866">
      <c r="A10866" s="4" t="str">
        <f>IFERROR(__xludf.DUMMYFUNCTION("""COMPUTED_VALUE"""),"snake-city")</f>
        <v>snake-city</v>
      </c>
      <c r="B10866" s="4" t="str">
        <f>IFERROR(__xludf.DUMMYFUNCTION("""COMPUTED_VALUE"""),"snct")</f>
        <v>snct</v>
      </c>
      <c r="C10866" s="4" t="str">
        <f>IFERROR(__xludf.DUMMYFUNCTION("""COMPUTED_VALUE"""),"Snake City")</f>
        <v>Snake City</v>
      </c>
    </row>
    <row r="10867">
      <c r="A10867" s="4" t="str">
        <f>IFERROR(__xludf.DUMMYFUNCTION("""COMPUTED_VALUE"""),"snakes-game")</f>
        <v>snakes-game</v>
      </c>
      <c r="B10867" s="4" t="str">
        <f>IFERROR(__xludf.DUMMYFUNCTION("""COMPUTED_VALUE"""),"snakes")</f>
        <v>snakes</v>
      </c>
      <c r="C10867" s="4" t="str">
        <f>IFERROR(__xludf.DUMMYFUNCTION("""COMPUTED_VALUE"""),"Snakes Game")</f>
        <v>Snakes Game</v>
      </c>
    </row>
    <row r="10868">
      <c r="A10868" s="4" t="str">
        <f>IFERROR(__xludf.DUMMYFUNCTION("""COMPUTED_VALUE"""),"snapcat")</f>
        <v>snapcat</v>
      </c>
      <c r="B10868" s="4" t="str">
        <f>IFERROR(__xludf.DUMMYFUNCTION("""COMPUTED_VALUE"""),"snapcat")</f>
        <v>snapcat</v>
      </c>
      <c r="C10868" s="4" t="str">
        <f>IFERROR(__xludf.DUMMYFUNCTION("""COMPUTED_VALUE"""),"Snapcat")</f>
        <v>Snapcat</v>
      </c>
    </row>
    <row r="10869">
      <c r="A10869" s="4" t="str">
        <f>IFERROR(__xludf.DUMMYFUNCTION("""COMPUTED_VALUE"""),"snap-kero")</f>
        <v>snap-kero</v>
      </c>
      <c r="B10869" s="4" t="str">
        <f>IFERROR(__xludf.DUMMYFUNCTION("""COMPUTED_VALUE"""),"$nap")</f>
        <v>$nap</v>
      </c>
      <c r="C10869" s="4" t="str">
        <f>IFERROR(__xludf.DUMMYFUNCTION("""COMPUTED_VALUE"""),"SNAP")</f>
        <v>SNAP</v>
      </c>
    </row>
    <row r="10870">
      <c r="A10870" s="4" t="str">
        <f>IFERROR(__xludf.DUMMYFUNCTION("""COMPUTED_VALUE"""),"snaps")</f>
        <v>snaps</v>
      </c>
      <c r="B10870" s="4" t="str">
        <f>IFERROR(__xludf.DUMMYFUNCTION("""COMPUTED_VALUE"""),"snps")</f>
        <v>snps</v>
      </c>
      <c r="C10870" s="4" t="str">
        <f>IFERROR(__xludf.DUMMYFUNCTION("""COMPUTED_VALUE"""),"Snaps")</f>
        <v>Snaps</v>
      </c>
    </row>
    <row r="10871">
      <c r="A10871" s="4" t="str">
        <f>IFERROR(__xludf.DUMMYFUNCTION("""COMPUTED_VALUE"""),"snark-launch")</f>
        <v>snark-launch</v>
      </c>
      <c r="B10871" s="4" t="str">
        <f>IFERROR(__xludf.DUMMYFUNCTION("""COMPUTED_VALUE"""),"$snrk")</f>
        <v>$snrk</v>
      </c>
      <c r="C10871" s="4" t="str">
        <f>IFERROR(__xludf.DUMMYFUNCTION("""COMPUTED_VALUE"""),"Snark Launch")</f>
        <v>Snark Launch</v>
      </c>
    </row>
    <row r="10872">
      <c r="A10872" s="4" t="str">
        <f>IFERROR(__xludf.DUMMYFUNCTION("""COMPUTED_VALUE"""),"sneel")</f>
        <v>sneel</v>
      </c>
      <c r="B10872" s="4" t="str">
        <f>IFERROR(__xludf.DUMMYFUNCTION("""COMPUTED_VALUE"""),"sneel")</f>
        <v>sneel</v>
      </c>
      <c r="C10872" s="4" t="str">
        <f>IFERROR(__xludf.DUMMYFUNCTION("""COMPUTED_VALUE"""),"SNEEL")</f>
        <v>SNEEL</v>
      </c>
    </row>
    <row r="10873">
      <c r="A10873" s="4" t="str">
        <f>IFERROR(__xludf.DUMMYFUNCTION("""COMPUTED_VALUE"""),"snek")</f>
        <v>snek</v>
      </c>
      <c r="B10873" s="4" t="str">
        <f>IFERROR(__xludf.DUMMYFUNCTION("""COMPUTED_VALUE"""),"snek")</f>
        <v>snek</v>
      </c>
      <c r="C10873" s="4" t="str">
        <f>IFERROR(__xludf.DUMMYFUNCTION("""COMPUTED_VALUE"""),"Snek")</f>
        <v>Snek</v>
      </c>
    </row>
    <row r="10874">
      <c r="A10874" s="4" t="str">
        <f>IFERROR(__xludf.DUMMYFUNCTION("""COMPUTED_VALUE"""),"snepe")</f>
        <v>snepe</v>
      </c>
      <c r="B10874" s="4" t="str">
        <f>IFERROR(__xludf.DUMMYFUNCTION("""COMPUTED_VALUE"""),"snepe")</f>
        <v>snepe</v>
      </c>
      <c r="C10874" s="4" t="str">
        <f>IFERROR(__xludf.DUMMYFUNCTION("""COMPUTED_VALUE"""),"SNEPE")</f>
        <v>SNEPE</v>
      </c>
    </row>
    <row r="10875">
      <c r="A10875" s="4" t="str">
        <f>IFERROR(__xludf.DUMMYFUNCTION("""COMPUTED_VALUE"""),"snetwork")</f>
        <v>snetwork</v>
      </c>
      <c r="B10875" s="4" t="str">
        <f>IFERROR(__xludf.DUMMYFUNCTION("""COMPUTED_VALUE"""),"snet")</f>
        <v>snet</v>
      </c>
      <c r="C10875" s="4" t="str">
        <f>IFERROR(__xludf.DUMMYFUNCTION("""COMPUTED_VALUE"""),"Snetwork")</f>
        <v>Snetwork</v>
      </c>
    </row>
    <row r="10876">
      <c r="A10876" s="4" t="str">
        <f>IFERROR(__xludf.DUMMYFUNCTION("""COMPUTED_VALUE"""),"snfts-seedify-nft-space")</f>
        <v>snfts-seedify-nft-space</v>
      </c>
      <c r="B10876" s="4" t="str">
        <f>IFERROR(__xludf.DUMMYFUNCTION("""COMPUTED_VALUE"""),"snfts")</f>
        <v>snfts</v>
      </c>
      <c r="C10876" s="4" t="str">
        <f>IFERROR(__xludf.DUMMYFUNCTION("""COMPUTED_VALUE"""),"Seedify NFT Space")</f>
        <v>Seedify NFT Space</v>
      </c>
    </row>
    <row r="10877">
      <c r="A10877" s="4" t="str">
        <f>IFERROR(__xludf.DUMMYFUNCTION("""COMPUTED_VALUE"""),"snibbu")</f>
        <v>snibbu</v>
      </c>
      <c r="B10877" s="4" t="str">
        <f>IFERROR(__xludf.DUMMYFUNCTION("""COMPUTED_VALUE"""),"snibbu")</f>
        <v>snibbu</v>
      </c>
      <c r="C10877" s="4" t="str">
        <f>IFERROR(__xludf.DUMMYFUNCTION("""COMPUTED_VALUE"""),"Snibbu")</f>
        <v>Snibbu</v>
      </c>
    </row>
    <row r="10878">
      <c r="A10878" s="4" t="str">
        <f>IFERROR(__xludf.DUMMYFUNCTION("""COMPUTED_VALUE"""),"snipe-finance")</f>
        <v>snipe-finance</v>
      </c>
      <c r="B10878" s="4" t="str">
        <f>IFERROR(__xludf.DUMMYFUNCTION("""COMPUTED_VALUE"""),"snipe")</f>
        <v>snipe</v>
      </c>
      <c r="C10878" s="4" t="str">
        <f>IFERROR(__xludf.DUMMYFUNCTION("""COMPUTED_VALUE"""),"Snipe Finance")</f>
        <v>Snipe Finance</v>
      </c>
    </row>
    <row r="10879">
      <c r="A10879" s="4" t="str">
        <f>IFERROR(__xludf.DUMMYFUNCTION("""COMPUTED_VALUE"""),"snkrz-fit")</f>
        <v>snkrz-fit</v>
      </c>
      <c r="B10879" s="4" t="str">
        <f>IFERROR(__xludf.DUMMYFUNCTION("""COMPUTED_VALUE"""),"fit")</f>
        <v>fit</v>
      </c>
      <c r="C10879" s="4" t="str">
        <f>IFERROR(__xludf.DUMMYFUNCTION("""COMPUTED_VALUE"""),"Fit")</f>
        <v>Fit</v>
      </c>
    </row>
    <row r="10880">
      <c r="A10880" s="4" t="str">
        <f>IFERROR(__xludf.DUMMYFUNCTION("""COMPUTED_VALUE"""),"snook")</f>
        <v>snook</v>
      </c>
      <c r="B10880" s="4" t="str">
        <f>IFERROR(__xludf.DUMMYFUNCTION("""COMPUTED_VALUE"""),"snk")</f>
        <v>snk</v>
      </c>
      <c r="C10880" s="4" t="str">
        <f>IFERROR(__xludf.DUMMYFUNCTION("""COMPUTED_VALUE"""),"Snook")</f>
        <v>Snook</v>
      </c>
    </row>
    <row r="10881">
      <c r="A10881" s="4" t="str">
        <f>IFERROR(__xludf.DUMMYFUNCTION("""COMPUTED_VALUE"""),"snoopybabe")</f>
        <v>snoopybabe</v>
      </c>
      <c r="B10881" s="4" t="str">
        <f>IFERROR(__xludf.DUMMYFUNCTION("""COMPUTED_VALUE"""),"sbabe")</f>
        <v>sbabe</v>
      </c>
      <c r="C10881" s="4" t="str">
        <f>IFERROR(__xludf.DUMMYFUNCTION("""COMPUTED_VALUE"""),"SNOOPYBABE")</f>
        <v>SNOOPYBABE</v>
      </c>
    </row>
    <row r="10882">
      <c r="A10882" s="4" t="str">
        <f>IFERROR(__xludf.DUMMYFUNCTION("""COMPUTED_VALUE"""),"snowball-2")</f>
        <v>snowball-2</v>
      </c>
      <c r="B10882" s="4" t="str">
        <f>IFERROR(__xludf.DUMMYFUNCTION("""COMPUTED_VALUE"""),"snox")</f>
        <v>snox</v>
      </c>
      <c r="C10882" s="4" t="str">
        <f>IFERROR(__xludf.DUMMYFUNCTION("""COMPUTED_VALUE"""),"Snowball")</f>
        <v>Snowball</v>
      </c>
    </row>
    <row r="10883">
      <c r="A10883" s="4" t="str">
        <f>IFERROR(__xludf.DUMMYFUNCTION("""COMPUTED_VALUE"""),"snowball-token")</f>
        <v>snowball-token</v>
      </c>
      <c r="B10883" s="4" t="str">
        <f>IFERROR(__xludf.DUMMYFUNCTION("""COMPUTED_VALUE"""),"snob")</f>
        <v>snob</v>
      </c>
      <c r="C10883" s="4" t="str">
        <f>IFERROR(__xludf.DUMMYFUNCTION("""COMPUTED_VALUE"""),"Snowball")</f>
        <v>Snowball</v>
      </c>
    </row>
    <row r="10884">
      <c r="A10884" s="4" t="str">
        <f>IFERROR(__xludf.DUMMYFUNCTION("""COMPUTED_VALUE"""),"snowbank")</f>
        <v>snowbank</v>
      </c>
      <c r="B10884" s="4" t="str">
        <f>IFERROR(__xludf.DUMMYFUNCTION("""COMPUTED_VALUE"""),"sb")</f>
        <v>sb</v>
      </c>
      <c r="C10884" s="4" t="str">
        <f>IFERROR(__xludf.DUMMYFUNCTION("""COMPUTED_VALUE"""),"Snowbank")</f>
        <v>Snowbank</v>
      </c>
    </row>
    <row r="10885">
      <c r="A10885" s="4" t="str">
        <f>IFERROR(__xludf.DUMMYFUNCTION("""COMPUTED_VALUE"""),"snow-bot")</f>
        <v>snow-bot</v>
      </c>
      <c r="B10885" s="4" t="str">
        <f>IFERROR(__xludf.DUMMYFUNCTION("""COMPUTED_VALUE"""),"sbot")</f>
        <v>sbot</v>
      </c>
      <c r="C10885" s="4" t="str">
        <f>IFERROR(__xludf.DUMMYFUNCTION("""COMPUTED_VALUE"""),"Snow Bot")</f>
        <v>Snow Bot</v>
      </c>
    </row>
    <row r="10886">
      <c r="A10886" s="4" t="str">
        <f>IFERROR(__xludf.DUMMYFUNCTION("""COMPUTED_VALUE"""),"snowcrash-token")</f>
        <v>snowcrash-token</v>
      </c>
      <c r="B10886" s="4" t="str">
        <f>IFERROR(__xludf.DUMMYFUNCTION("""COMPUTED_VALUE"""),"nora")</f>
        <v>nora</v>
      </c>
      <c r="C10886" s="4" t="str">
        <f>IFERROR(__xludf.DUMMYFUNCTION("""COMPUTED_VALUE"""),"SnowCrash")</f>
        <v>SnowCrash</v>
      </c>
    </row>
    <row r="10887">
      <c r="A10887" s="4" t="str">
        <f>IFERROR(__xludf.DUMMYFUNCTION("""COMPUTED_VALUE"""),"snow-inu")</f>
        <v>snow-inu</v>
      </c>
      <c r="B10887" s="4" t="str">
        <f>IFERROR(__xludf.DUMMYFUNCTION("""COMPUTED_VALUE"""),"snow")</f>
        <v>snow</v>
      </c>
      <c r="C10887" s="4" t="str">
        <f>IFERROR(__xludf.DUMMYFUNCTION("""COMPUTED_VALUE"""),"Snow Inu")</f>
        <v>Snow Inu</v>
      </c>
    </row>
    <row r="10888">
      <c r="A10888" s="4" t="str">
        <f>IFERROR(__xludf.DUMMYFUNCTION("""COMPUTED_VALUE"""),"snow-leopard-irbis")</f>
        <v>snow-leopard-irbis</v>
      </c>
      <c r="B10888" s="4" t="str">
        <f>IFERROR(__xludf.DUMMYFUNCTION("""COMPUTED_VALUE"""),"irbis")</f>
        <v>irbis</v>
      </c>
      <c r="C10888" s="4" t="str">
        <f>IFERROR(__xludf.DUMMYFUNCTION("""COMPUTED_VALUE"""),"Snow Leopard - IRBIS")</f>
        <v>Snow Leopard - IRBIS</v>
      </c>
    </row>
    <row r="10889">
      <c r="A10889" s="4" t="str">
        <f>IFERROR(__xludf.DUMMYFUNCTION("""COMPUTED_VALUE"""),"snowman")</f>
        <v>snowman</v>
      </c>
      <c r="B10889" s="4" t="str">
        <f>IFERROR(__xludf.DUMMYFUNCTION("""COMPUTED_VALUE"""),"snow")</f>
        <v>snow</v>
      </c>
      <c r="C10889" s="4" t="str">
        <f>IFERROR(__xludf.DUMMYFUNCTION("""COMPUTED_VALUE"""),"Snowman")</f>
        <v>Snowman</v>
      </c>
    </row>
    <row r="10890">
      <c r="A10890" s="4" t="str">
        <f>IFERROR(__xludf.DUMMYFUNCTION("""COMPUTED_VALUE"""),"snowswap")</f>
        <v>snowswap</v>
      </c>
      <c r="B10890" s="4" t="str">
        <f>IFERROR(__xludf.DUMMYFUNCTION("""COMPUTED_VALUE"""),"snow")</f>
        <v>snow</v>
      </c>
      <c r="C10890" s="4" t="str">
        <f>IFERROR(__xludf.DUMMYFUNCTION("""COMPUTED_VALUE"""),"Snowswap")</f>
        <v>Snowswap</v>
      </c>
    </row>
    <row r="10891">
      <c r="A10891" s="4" t="str">
        <f>IFERROR(__xludf.DUMMYFUNCTION("""COMPUTED_VALUE"""),"snowtomb")</f>
        <v>snowtomb</v>
      </c>
      <c r="B10891" s="4" t="str">
        <f>IFERROR(__xludf.DUMMYFUNCTION("""COMPUTED_VALUE"""),"stomb")</f>
        <v>stomb</v>
      </c>
      <c r="C10891" s="4" t="str">
        <f>IFERROR(__xludf.DUMMYFUNCTION("""COMPUTED_VALUE"""),"Snowtomb")</f>
        <v>Snowtomb</v>
      </c>
    </row>
    <row r="10892">
      <c r="A10892" s="4" t="str">
        <f>IFERROR(__xludf.DUMMYFUNCTION("""COMPUTED_VALUE"""),"snowtomb-lot")</f>
        <v>snowtomb-lot</v>
      </c>
      <c r="B10892" s="4" t="str">
        <f>IFERROR(__xludf.DUMMYFUNCTION("""COMPUTED_VALUE"""),"slot")</f>
        <v>slot</v>
      </c>
      <c r="C10892" s="4" t="str">
        <f>IFERROR(__xludf.DUMMYFUNCTION("""COMPUTED_VALUE"""),"Snowtomb LOT")</f>
        <v>Snowtomb LOT</v>
      </c>
    </row>
    <row r="10893">
      <c r="A10893" s="4" t="str">
        <f>IFERROR(__xludf.DUMMYFUNCTION("""COMPUTED_VALUE"""),"snx-yvault")</f>
        <v>snx-yvault</v>
      </c>
      <c r="B10893" s="4" t="str">
        <f>IFERROR(__xludf.DUMMYFUNCTION("""COMPUTED_VALUE"""),"yvsnx")</f>
        <v>yvsnx</v>
      </c>
      <c r="C10893" s="4" t="str">
        <f>IFERROR(__xludf.DUMMYFUNCTION("""COMPUTED_VALUE"""),"SNX yVault")</f>
        <v>SNX yVault</v>
      </c>
    </row>
    <row r="10894">
      <c r="A10894" s="4" t="str">
        <f>IFERROR(__xludf.DUMMYFUNCTION("""COMPUTED_VALUE"""),"soakmont")</f>
        <v>soakmont</v>
      </c>
      <c r="B10894" s="4" t="str">
        <f>IFERROR(__xludf.DUMMYFUNCTION("""COMPUTED_VALUE"""),"skmt")</f>
        <v>skmt</v>
      </c>
      <c r="C10894" s="4" t="str">
        <f>IFERROR(__xludf.DUMMYFUNCTION("""COMPUTED_VALUE"""),"Soakmont")</f>
        <v>Soakmont</v>
      </c>
    </row>
    <row r="10895">
      <c r="A10895" s="4" t="str">
        <f>IFERROR(__xludf.DUMMYFUNCTION("""COMPUTED_VALUE"""),"soarchain")</f>
        <v>soarchain</v>
      </c>
      <c r="B10895" s="4" t="str">
        <f>IFERROR(__xludf.DUMMYFUNCTION("""COMPUTED_VALUE"""),"motus")</f>
        <v>motus</v>
      </c>
      <c r="C10895" s="4" t="str">
        <f>IFERROR(__xludf.DUMMYFUNCTION("""COMPUTED_VALUE"""),"Soarchain")</f>
        <v>Soarchain</v>
      </c>
    </row>
    <row r="10896">
      <c r="A10896" s="4" t="str">
        <f>IFERROR(__xludf.DUMMYFUNCTION("""COMPUTED_VALUE"""),"sobit-bridge")</f>
        <v>sobit-bridge</v>
      </c>
      <c r="B10896" s="4" t="str">
        <f>IFERROR(__xludf.DUMMYFUNCTION("""COMPUTED_VALUE"""),"sobb")</f>
        <v>sobb</v>
      </c>
      <c r="C10896" s="4" t="str">
        <f>IFERROR(__xludf.DUMMYFUNCTION("""COMPUTED_VALUE"""),"SoBit Bridge")</f>
        <v>SoBit Bridge</v>
      </c>
    </row>
    <row r="10897">
      <c r="A10897" s="4" t="str">
        <f>IFERROR(__xludf.DUMMYFUNCTION("""COMPUTED_VALUE"""),"soccer-crypto")</f>
        <v>soccer-crypto</v>
      </c>
      <c r="B10897" s="4" t="str">
        <f>IFERROR(__xludf.DUMMYFUNCTION("""COMPUTED_VALUE"""),"sot")</f>
        <v>sot</v>
      </c>
      <c r="C10897" s="4" t="str">
        <f>IFERROR(__xludf.DUMMYFUNCTION("""COMPUTED_VALUE"""),"Soccer Crypto")</f>
        <v>Soccer Crypto</v>
      </c>
    </row>
    <row r="10898">
      <c r="A10898" s="4" t="str">
        <f>IFERROR(__xludf.DUMMYFUNCTION("""COMPUTED_VALUE"""),"socean-staked-sol")</f>
        <v>socean-staked-sol</v>
      </c>
      <c r="B10898" s="4" t="str">
        <f>IFERROR(__xludf.DUMMYFUNCTION("""COMPUTED_VALUE"""),"inf")</f>
        <v>inf</v>
      </c>
      <c r="C10898" s="4" t="str">
        <f>IFERROR(__xludf.DUMMYFUNCTION("""COMPUTED_VALUE"""),"Infinity")</f>
        <v>Infinity</v>
      </c>
    </row>
    <row r="10899">
      <c r="A10899" s="4" t="str">
        <f>IFERROR(__xludf.DUMMYFUNCTION("""COMPUTED_VALUE"""),"social-ai")</f>
        <v>social-ai</v>
      </c>
      <c r="B10899" s="4" t="str">
        <f>IFERROR(__xludf.DUMMYFUNCTION("""COMPUTED_VALUE"""),"socialai")</f>
        <v>socialai</v>
      </c>
      <c r="C10899" s="4" t="str">
        <f>IFERROR(__xludf.DUMMYFUNCTION("""COMPUTED_VALUE"""),"Social AI")</f>
        <v>Social AI</v>
      </c>
    </row>
    <row r="10900">
      <c r="A10900" s="4" t="str">
        <f>IFERROR(__xludf.DUMMYFUNCTION("""COMPUTED_VALUE"""),"social-capitalism-2")</f>
        <v>social-capitalism-2</v>
      </c>
      <c r="B10900" s="4" t="str">
        <f>IFERROR(__xludf.DUMMYFUNCTION("""COMPUTED_VALUE"""),"socap")</f>
        <v>socap</v>
      </c>
      <c r="C10900" s="4" t="str">
        <f>IFERROR(__xludf.DUMMYFUNCTION("""COMPUTED_VALUE"""),"Social Capitalism")</f>
        <v>Social Capitalism</v>
      </c>
    </row>
    <row r="10901">
      <c r="A10901" s="4" t="str">
        <f>IFERROR(__xludf.DUMMYFUNCTION("""COMPUTED_VALUE"""),"social-good-project")</f>
        <v>social-good-project</v>
      </c>
      <c r="B10901" s="4" t="str">
        <f>IFERROR(__xludf.DUMMYFUNCTION("""COMPUTED_VALUE"""),"sg")</f>
        <v>sg</v>
      </c>
      <c r="C10901" s="4" t="str">
        <f>IFERROR(__xludf.DUMMYFUNCTION("""COMPUTED_VALUE"""),"SocialGood")</f>
        <v>SocialGood</v>
      </c>
    </row>
    <row r="10902">
      <c r="A10902" s="4" t="str">
        <f>IFERROR(__xludf.DUMMYFUNCTION("""COMPUTED_VALUE"""),"social-send")</f>
        <v>social-send</v>
      </c>
      <c r="B10902" s="4" t="str">
        <f>IFERROR(__xludf.DUMMYFUNCTION("""COMPUTED_VALUE"""),"send")</f>
        <v>send</v>
      </c>
      <c r="C10902" s="4" t="str">
        <f>IFERROR(__xludf.DUMMYFUNCTION("""COMPUTED_VALUE"""),"Social Send")</f>
        <v>Social Send</v>
      </c>
    </row>
    <row r="10903">
      <c r="A10903" s="4" t="str">
        <f>IFERROR(__xludf.DUMMYFUNCTION("""COMPUTED_VALUE"""),"socialswap-token")</f>
        <v>socialswap-token</v>
      </c>
      <c r="B10903" s="4" t="str">
        <f>IFERROR(__xludf.DUMMYFUNCTION("""COMPUTED_VALUE"""),"sst")</f>
        <v>sst</v>
      </c>
      <c r="C10903" s="4" t="str">
        <f>IFERROR(__xludf.DUMMYFUNCTION("""COMPUTED_VALUE"""),"Social Swap")</f>
        <v>Social Swap</v>
      </c>
    </row>
    <row r="10904">
      <c r="A10904" s="4" t="str">
        <f>IFERROR(__xludf.DUMMYFUNCTION("""COMPUTED_VALUE"""),"societe-generale-forge-eurcv")</f>
        <v>societe-generale-forge-eurcv</v>
      </c>
      <c r="B10904" s="4" t="str">
        <f>IFERROR(__xludf.DUMMYFUNCTION("""COMPUTED_VALUE"""),"eurcv")</f>
        <v>eurcv</v>
      </c>
      <c r="C10904" s="4" t="str">
        <f>IFERROR(__xludf.DUMMYFUNCTION("""COMPUTED_VALUE"""),"Societe Generale-FORGE EURCV")</f>
        <v>Societe Generale-FORGE EURCV</v>
      </c>
    </row>
    <row r="10905">
      <c r="A10905" s="4" t="str">
        <f>IFERROR(__xludf.DUMMYFUNCTION("""COMPUTED_VALUE"""),"sociocat")</f>
        <v>sociocat</v>
      </c>
      <c r="B10905" s="4" t="str">
        <f>IFERROR(__xludf.DUMMYFUNCTION("""COMPUTED_VALUE"""),"$cat")</f>
        <v>$cat</v>
      </c>
      <c r="C10905" s="4" t="str">
        <f>IFERROR(__xludf.DUMMYFUNCTION("""COMPUTED_VALUE"""),"SocioCat")</f>
        <v>SocioCat</v>
      </c>
    </row>
    <row r="10906">
      <c r="A10906" s="4" t="str">
        <f>IFERROR(__xludf.DUMMYFUNCTION("""COMPUTED_VALUE"""),"socol")</f>
        <v>socol</v>
      </c>
      <c r="B10906" s="4" t="str">
        <f>IFERROR(__xludf.DUMMYFUNCTION("""COMPUTED_VALUE"""),"simp")</f>
        <v>simp</v>
      </c>
      <c r="C10906" s="4" t="str">
        <f>IFERROR(__xludf.DUMMYFUNCTION("""COMPUTED_VALUE"""),"SO-COL")</f>
        <v>SO-COL</v>
      </c>
    </row>
    <row r="10907">
      <c r="A10907" s="4" t="str">
        <f>IFERROR(__xludf.DUMMYFUNCTION("""COMPUTED_VALUE"""),"socomfy")</f>
        <v>socomfy</v>
      </c>
      <c r="B10907" s="4" t="str">
        <f>IFERROR(__xludf.DUMMYFUNCTION("""COMPUTED_VALUE"""),"comfy")</f>
        <v>comfy</v>
      </c>
      <c r="C10907" s="4" t="str">
        <f>IFERROR(__xludf.DUMMYFUNCTION("""COMPUTED_VALUE"""),"SOCOMFY")</f>
        <v>SOCOMFY</v>
      </c>
    </row>
    <row r="10908">
      <c r="A10908" s="4" t="str">
        <f>IFERROR(__xludf.DUMMYFUNCTION("""COMPUTED_VALUE"""),"socrates")</f>
        <v>socrates</v>
      </c>
      <c r="B10908" s="4" t="str">
        <f>IFERROR(__xludf.DUMMYFUNCTION("""COMPUTED_VALUE"""),"soc")</f>
        <v>soc</v>
      </c>
      <c r="C10908" s="4" t="str">
        <f>IFERROR(__xludf.DUMMYFUNCTION("""COMPUTED_VALUE"""),"Socrates")</f>
        <v>Socrates</v>
      </c>
    </row>
    <row r="10909">
      <c r="A10909" s="4" t="str">
        <f>IFERROR(__xludf.DUMMYFUNCTION("""COMPUTED_VALUE"""),"sodi-protocol")</f>
        <v>sodi-protocol</v>
      </c>
      <c r="B10909" s="4" t="str">
        <f>IFERROR(__xludf.DUMMYFUNCTION("""COMPUTED_VALUE"""),"sodi")</f>
        <v>sodi</v>
      </c>
      <c r="C10909" s="4" t="str">
        <f>IFERROR(__xludf.DUMMYFUNCTION("""COMPUTED_VALUE"""),"Sodi Protocol")</f>
        <v>Sodi Protocol</v>
      </c>
    </row>
    <row r="10910">
      <c r="A10910" s="4" t="str">
        <f>IFERROR(__xludf.DUMMYFUNCTION("""COMPUTED_VALUE"""),"soft-dao")</f>
        <v>soft-dao</v>
      </c>
      <c r="B10910" s="4" t="str">
        <f>IFERROR(__xludf.DUMMYFUNCTION("""COMPUTED_VALUE"""),"soft")</f>
        <v>soft</v>
      </c>
      <c r="C10910" s="4" t="str">
        <f>IFERROR(__xludf.DUMMYFUNCTION("""COMPUTED_VALUE"""),"Soft DAO")</f>
        <v>Soft DAO</v>
      </c>
    </row>
    <row r="10911">
      <c r="A10911" s="4" t="str">
        <f>IFERROR(__xludf.DUMMYFUNCTION("""COMPUTED_VALUE"""),"soge-2")</f>
        <v>soge-2</v>
      </c>
      <c r="B10911" s="4" t="str">
        <f>IFERROR(__xludf.DUMMYFUNCTION("""COMPUTED_VALUE"""),"soge")</f>
        <v>soge</v>
      </c>
      <c r="C10911" s="4" t="str">
        <f>IFERROR(__xludf.DUMMYFUNCTION("""COMPUTED_VALUE"""),"SOGE")</f>
        <v>SOGE</v>
      </c>
    </row>
    <row r="10912">
      <c r="A10912" s="4" t="str">
        <f>IFERROR(__xludf.DUMMYFUNCTION("""COMPUTED_VALUE"""),"sohotrn")</f>
        <v>sohotrn</v>
      </c>
      <c r="B10912" s="4" t="str">
        <f>IFERROR(__xludf.DUMMYFUNCTION("""COMPUTED_VALUE"""),"sohot")</f>
        <v>sohot</v>
      </c>
      <c r="C10912" s="4" t="str">
        <f>IFERROR(__xludf.DUMMYFUNCTION("""COMPUTED_VALUE"""),"SOHOTRN")</f>
        <v>SOHOTRN</v>
      </c>
    </row>
    <row r="10913">
      <c r="A10913" s="4" t="str">
        <f>IFERROR(__xludf.DUMMYFUNCTION("""COMPUTED_VALUE"""),"soil")</f>
        <v>soil</v>
      </c>
      <c r="B10913" s="4" t="str">
        <f>IFERROR(__xludf.DUMMYFUNCTION("""COMPUTED_VALUE"""),"soil")</f>
        <v>soil</v>
      </c>
      <c r="C10913" s="4" t="str">
        <f>IFERROR(__xludf.DUMMYFUNCTION("""COMPUTED_VALUE"""),"Soil")</f>
        <v>Soil</v>
      </c>
    </row>
    <row r="10914">
      <c r="A10914" s="4" t="str">
        <f>IFERROR(__xludf.DUMMYFUNCTION("""COMPUTED_VALUE"""),"sojak")</f>
        <v>sojak</v>
      </c>
      <c r="B10914" s="4" t="str">
        <f>IFERROR(__xludf.DUMMYFUNCTION("""COMPUTED_VALUE"""),"sojak")</f>
        <v>sojak</v>
      </c>
      <c r="C10914" s="4" t="str">
        <f>IFERROR(__xludf.DUMMYFUNCTION("""COMPUTED_VALUE"""),"Sojak")</f>
        <v>Sojak</v>
      </c>
    </row>
    <row r="10915">
      <c r="A10915" s="4" t="str">
        <f>IFERROR(__xludf.DUMMYFUNCTION("""COMPUTED_VALUE"""),"sojudao")</f>
        <v>sojudao</v>
      </c>
      <c r="B10915" s="4" t="str">
        <f>IFERROR(__xludf.DUMMYFUNCTION("""COMPUTED_VALUE"""),"soju")</f>
        <v>soju</v>
      </c>
      <c r="C10915" s="4" t="str">
        <f>IFERROR(__xludf.DUMMYFUNCTION("""COMPUTED_VALUE"""),"SOJUDAO")</f>
        <v>SOJUDAO</v>
      </c>
    </row>
    <row r="10916">
      <c r="A10916" s="4" t="str">
        <f>IFERROR(__xludf.DUMMYFUNCTION("""COMPUTED_VALUE"""),"sokuswap")</f>
        <v>sokuswap</v>
      </c>
      <c r="B10916" s="4" t="str">
        <f>IFERROR(__xludf.DUMMYFUNCTION("""COMPUTED_VALUE"""),"soku")</f>
        <v>soku</v>
      </c>
      <c r="C10916" s="4" t="str">
        <f>IFERROR(__xludf.DUMMYFUNCTION("""COMPUTED_VALUE"""),"SokuSwap")</f>
        <v>SokuSwap</v>
      </c>
    </row>
    <row r="10917">
      <c r="A10917" s="4" t="str">
        <f>IFERROR(__xludf.DUMMYFUNCTION("""COMPUTED_VALUE"""),"solabrador-2")</f>
        <v>solabrador-2</v>
      </c>
      <c r="B10917" s="4" t="str">
        <f>IFERROR(__xludf.DUMMYFUNCTION("""COMPUTED_VALUE"""),"sober")</f>
        <v>sober</v>
      </c>
      <c r="C10917" s="4" t="str">
        <f>IFERROR(__xludf.DUMMYFUNCTION("""COMPUTED_VALUE"""),"Solabrador")</f>
        <v>Solabrador</v>
      </c>
    </row>
    <row r="10918">
      <c r="A10918" s="4" t="str">
        <f>IFERROR(__xludf.DUMMYFUNCTION("""COMPUTED_VALUE"""),"solala")</f>
        <v>solala</v>
      </c>
      <c r="B10918" s="4" t="str">
        <f>IFERROR(__xludf.DUMMYFUNCTION("""COMPUTED_VALUE"""),"solala")</f>
        <v>solala</v>
      </c>
      <c r="C10918" s="4" t="str">
        <f>IFERROR(__xludf.DUMMYFUNCTION("""COMPUTED_VALUE"""),"Solala")</f>
        <v>Solala</v>
      </c>
    </row>
    <row r="10919">
      <c r="A10919" s="4" t="str">
        <f>IFERROR(__xludf.DUMMYFUNCTION("""COMPUTED_VALUE"""),"solalgo")</f>
        <v>solalgo</v>
      </c>
      <c r="B10919" s="4" t="str">
        <f>IFERROR(__xludf.DUMMYFUNCTION("""COMPUTED_VALUE"""),"slgo")</f>
        <v>slgo</v>
      </c>
      <c r="C10919" s="4" t="str">
        <f>IFERROR(__xludf.DUMMYFUNCTION("""COMPUTED_VALUE"""),"Solalgo")</f>
        <v>Solalgo</v>
      </c>
    </row>
    <row r="10920">
      <c r="A10920" s="4" t="str">
        <f>IFERROR(__xludf.DUMMYFUNCTION("""COMPUTED_VALUE"""),"solama")</f>
        <v>solama</v>
      </c>
      <c r="B10920" s="4" t="str">
        <f>IFERROR(__xludf.DUMMYFUNCTION("""COMPUTED_VALUE"""),"solama")</f>
        <v>solama</v>
      </c>
      <c r="C10920" s="4" t="str">
        <f>IFERROR(__xludf.DUMMYFUNCTION("""COMPUTED_VALUE"""),"Solama")</f>
        <v>Solama</v>
      </c>
    </row>
    <row r="10921">
      <c r="A10921" s="4" t="str">
        <f>IFERROR(__xludf.DUMMYFUNCTION("""COMPUTED_VALUE"""),"solamander")</f>
        <v>solamander</v>
      </c>
      <c r="B10921" s="4" t="str">
        <f>IFERROR(__xludf.DUMMYFUNCTION("""COMPUTED_VALUE"""),"soly")</f>
        <v>soly</v>
      </c>
      <c r="C10921" s="4" t="str">
        <f>IFERROR(__xludf.DUMMYFUNCTION("""COMPUTED_VALUE"""),"Solamander")</f>
        <v>Solamander</v>
      </c>
    </row>
    <row r="10922">
      <c r="A10922" s="4" t="str">
        <f>IFERROR(__xludf.DUMMYFUNCTION("""COMPUTED_VALUE"""),"solamb")</f>
        <v>solamb</v>
      </c>
      <c r="B10922" s="4" t="str">
        <f>IFERROR(__xludf.DUMMYFUNCTION("""COMPUTED_VALUE"""),"solamb")</f>
        <v>solamb</v>
      </c>
      <c r="C10922" s="4" t="str">
        <f>IFERROR(__xludf.DUMMYFUNCTION("""COMPUTED_VALUE"""),"Solamb")</f>
        <v>Solamb</v>
      </c>
    </row>
    <row r="10923">
      <c r="A10923" s="4" t="str">
        <f>IFERROR(__xludf.DUMMYFUNCTION("""COMPUTED_VALUE"""),"solana")</f>
        <v>solana</v>
      </c>
      <c r="B10923" s="4" t="str">
        <f>IFERROR(__xludf.DUMMYFUNCTION("""COMPUTED_VALUE"""),"sol")</f>
        <v>sol</v>
      </c>
      <c r="C10923" s="4" t="str">
        <f>IFERROR(__xludf.DUMMYFUNCTION("""COMPUTED_VALUE"""),"Solana")</f>
        <v>Solana</v>
      </c>
    </row>
    <row r="10924">
      <c r="A10924" s="4" t="str">
        <f>IFERROR(__xludf.DUMMYFUNCTION("""COMPUTED_VALUE"""),"solanaape")</f>
        <v>solanaape</v>
      </c>
      <c r="B10924" s="4" t="str">
        <f>IFERROR(__xludf.DUMMYFUNCTION("""COMPUTED_VALUE"""),"sape")</f>
        <v>sape</v>
      </c>
      <c r="C10924" s="4" t="str">
        <f>IFERROR(__xludf.DUMMYFUNCTION("""COMPUTED_VALUE"""),"SolanaApe")</f>
        <v>SolanaApe</v>
      </c>
    </row>
    <row r="10925">
      <c r="A10925" s="4" t="str">
        <f>IFERROR(__xludf.DUMMYFUNCTION("""COMPUTED_VALUE"""),"solana-arcade")</f>
        <v>solana-arcade</v>
      </c>
      <c r="B10925" s="4" t="str">
        <f>IFERROR(__xludf.DUMMYFUNCTION("""COMPUTED_VALUE"""),"solcade")</f>
        <v>solcade</v>
      </c>
      <c r="C10925" s="4" t="str">
        <f>IFERROR(__xludf.DUMMYFUNCTION("""COMPUTED_VALUE"""),"Solana Arcade")</f>
        <v>Solana Arcade</v>
      </c>
    </row>
    <row r="10926">
      <c r="A10926" s="4" t="str">
        <f>IFERROR(__xludf.DUMMYFUNCTION("""COMPUTED_VALUE"""),"solana-beach")</f>
        <v>solana-beach</v>
      </c>
      <c r="B10926" s="4" t="str">
        <f>IFERROR(__xludf.DUMMYFUNCTION("""COMPUTED_VALUE"""),"solana")</f>
        <v>solana</v>
      </c>
      <c r="C10926" s="4" t="str">
        <f>IFERROR(__xludf.DUMMYFUNCTION("""COMPUTED_VALUE"""),"Solana Beach")</f>
        <v>Solana Beach</v>
      </c>
    </row>
    <row r="10927">
      <c r="A10927" s="4" t="str">
        <f>IFERROR(__xludf.DUMMYFUNCTION("""COMPUTED_VALUE"""),"solanaconda")</f>
        <v>solanaconda</v>
      </c>
      <c r="B10927" s="4" t="str">
        <f>IFERROR(__xludf.DUMMYFUNCTION("""COMPUTED_VALUE"""),"sonda")</f>
        <v>sonda</v>
      </c>
      <c r="C10927" s="4" t="str">
        <f>IFERROR(__xludf.DUMMYFUNCTION("""COMPUTED_VALUE"""),"Solanaconda")</f>
        <v>Solanaconda</v>
      </c>
    </row>
    <row r="10928">
      <c r="A10928" s="4" t="str">
        <f>IFERROR(__xludf.DUMMYFUNCTION("""COMPUTED_VALUE"""),"solanacorn")</f>
        <v>solanacorn</v>
      </c>
      <c r="B10928" s="4" t="str">
        <f>IFERROR(__xludf.DUMMYFUNCTION("""COMPUTED_VALUE"""),"corn")</f>
        <v>corn</v>
      </c>
      <c r="C10928" s="4" t="str">
        <f>IFERROR(__xludf.DUMMYFUNCTION("""COMPUTED_VALUE"""),"Solanacorn")</f>
        <v>Solanacorn</v>
      </c>
    </row>
    <row r="10929">
      <c r="A10929" s="4" t="str">
        <f>IFERROR(__xludf.DUMMYFUNCTION("""COMPUTED_VALUE"""),"solana-ecosystem-index")</f>
        <v>solana-ecosystem-index</v>
      </c>
      <c r="B10929" s="4" t="str">
        <f>IFERROR(__xludf.DUMMYFUNCTION("""COMPUTED_VALUE"""),"soli")</f>
        <v>soli</v>
      </c>
      <c r="C10929" s="4" t="str">
        <f>IFERROR(__xludf.DUMMYFUNCTION("""COMPUTED_VALUE"""),"Solana Ecosystem Index")</f>
        <v>Solana Ecosystem Index</v>
      </c>
    </row>
    <row r="10930">
      <c r="A10930" s="4" t="str">
        <f>IFERROR(__xludf.DUMMYFUNCTION("""COMPUTED_VALUE"""),"solana-gun")</f>
        <v>solana-gun</v>
      </c>
      <c r="B10930" s="4" t="str">
        <f>IFERROR(__xludf.DUMMYFUNCTION("""COMPUTED_VALUE"""),"solgun")</f>
        <v>solgun</v>
      </c>
      <c r="C10930" s="4" t="str">
        <f>IFERROR(__xludf.DUMMYFUNCTION("""COMPUTED_VALUE"""),"Solana Gun")</f>
        <v>Solana Gun</v>
      </c>
    </row>
    <row r="10931">
      <c r="A10931" s="4" t="str">
        <f>IFERROR(__xludf.DUMMYFUNCTION("""COMPUTED_VALUE"""),"solanahub-staked-sol")</f>
        <v>solanahub-staked-sol</v>
      </c>
      <c r="B10931" s="4" t="str">
        <f>IFERROR(__xludf.DUMMYFUNCTION("""COMPUTED_VALUE"""),"hubsol")</f>
        <v>hubsol</v>
      </c>
      <c r="C10931" s="4" t="str">
        <f>IFERROR(__xludf.DUMMYFUNCTION("""COMPUTED_VALUE"""),"SolanaHub staked SOL")</f>
        <v>SolanaHub staked SOL</v>
      </c>
    </row>
    <row r="10932">
      <c r="A10932" s="4" t="str">
        <f>IFERROR(__xludf.DUMMYFUNCTION("""COMPUTED_VALUE"""),"solana-inu")</f>
        <v>solana-inu</v>
      </c>
      <c r="B10932" s="4" t="str">
        <f>IFERROR(__xludf.DUMMYFUNCTION("""COMPUTED_VALUE"""),"inu")</f>
        <v>inu</v>
      </c>
      <c r="C10932" s="4" t="str">
        <f>IFERROR(__xludf.DUMMYFUNCTION("""COMPUTED_VALUE"""),"Solana Inu")</f>
        <v>Solana Inu</v>
      </c>
    </row>
    <row r="10933">
      <c r="A10933" s="4" t="str">
        <f>IFERROR(__xludf.DUMMYFUNCTION("""COMPUTED_VALUE"""),"solana-meme-token")</f>
        <v>solana-meme-token</v>
      </c>
      <c r="B10933" s="4" t="str">
        <f>IFERROR(__xludf.DUMMYFUNCTION("""COMPUTED_VALUE"""),"sol10")</f>
        <v>sol10</v>
      </c>
      <c r="C10933" s="4" t="str">
        <f>IFERROR(__xludf.DUMMYFUNCTION("""COMPUTED_VALUE"""),"SOLANA MEME TOKEN")</f>
        <v>SOLANA MEME TOKEN</v>
      </c>
    </row>
    <row r="10934">
      <c r="A10934" s="4" t="str">
        <f>IFERROR(__xludf.DUMMYFUNCTION("""COMPUTED_VALUE"""),"solana-nut")</f>
        <v>solana-nut</v>
      </c>
      <c r="B10934" s="4" t="str">
        <f>IFERROR(__xludf.DUMMYFUNCTION("""COMPUTED_VALUE"""),"solnut")</f>
        <v>solnut</v>
      </c>
      <c r="C10934" s="4" t="str">
        <f>IFERROR(__xludf.DUMMYFUNCTION("""COMPUTED_VALUE"""),"Solana Nut")</f>
        <v>Solana Nut</v>
      </c>
    </row>
    <row r="10935">
      <c r="A10935" s="4" t="str">
        <f>IFERROR(__xludf.DUMMYFUNCTION("""COMPUTED_VALUE"""),"solanapepe")</f>
        <v>solanapepe</v>
      </c>
      <c r="B10935" s="4" t="str">
        <f>IFERROR(__xludf.DUMMYFUNCTION("""COMPUTED_VALUE"""),"spepe")</f>
        <v>spepe</v>
      </c>
      <c r="C10935" s="4" t="str">
        <f>IFERROR(__xludf.DUMMYFUNCTION("""COMPUTED_VALUE"""),"SolanaPepe")</f>
        <v>SolanaPepe</v>
      </c>
    </row>
    <row r="10936">
      <c r="A10936" s="4" t="str">
        <f>IFERROR(__xludf.DUMMYFUNCTION("""COMPUTED_VALUE"""),"solanaprime")</f>
        <v>solanaprime</v>
      </c>
      <c r="B10936" s="4" t="str">
        <f>IFERROR(__xludf.DUMMYFUNCTION("""COMPUTED_VALUE"""),"prime")</f>
        <v>prime</v>
      </c>
      <c r="C10936" s="4" t="str">
        <f>IFERROR(__xludf.DUMMYFUNCTION("""COMPUTED_VALUE"""),"SolanaPrime")</f>
        <v>SolanaPrime</v>
      </c>
    </row>
    <row r="10937">
      <c r="A10937" s="4" t="str">
        <f>IFERROR(__xludf.DUMMYFUNCTION("""COMPUTED_VALUE"""),"solana-shib")</f>
        <v>solana-shib</v>
      </c>
      <c r="B10937" s="4" t="str">
        <f>IFERROR(__xludf.DUMMYFUNCTION("""COMPUTED_VALUE"""),"sshib")</f>
        <v>sshib</v>
      </c>
      <c r="C10937" s="4" t="str">
        <f>IFERROR(__xludf.DUMMYFUNCTION("""COMPUTED_VALUE"""),"Solana Shib ")</f>
        <v>Solana Shib </v>
      </c>
    </row>
    <row r="10938">
      <c r="A10938" s="4" t="str">
        <f>IFERROR(__xludf.DUMMYFUNCTION("""COMPUTED_VALUE"""),"solana-street-bets")</f>
        <v>solana-street-bets</v>
      </c>
      <c r="B10938" s="4" t="str">
        <f>IFERROR(__xludf.DUMMYFUNCTION("""COMPUTED_VALUE"""),"ssb")</f>
        <v>ssb</v>
      </c>
      <c r="C10938" s="4" t="str">
        <f>IFERROR(__xludf.DUMMYFUNCTION("""COMPUTED_VALUE"""),"Solana Street Bets")</f>
        <v>Solana Street Bets</v>
      </c>
    </row>
    <row r="10939">
      <c r="A10939" s="4" t="str">
        <f>IFERROR(__xludf.DUMMYFUNCTION("""COMPUTED_VALUE"""),"solana-wars")</f>
        <v>solana-wars</v>
      </c>
      <c r="B10939" s="4" t="str">
        <f>IFERROR(__xludf.DUMMYFUNCTION("""COMPUTED_VALUE"""),"solwars")</f>
        <v>solwars</v>
      </c>
      <c r="C10939" s="4" t="str">
        <f>IFERROR(__xludf.DUMMYFUNCTION("""COMPUTED_VALUE"""),"Solana Wars")</f>
        <v>Solana Wars</v>
      </c>
    </row>
    <row r="10940">
      <c r="A10940" s="4" t="str">
        <f>IFERROR(__xludf.DUMMYFUNCTION("""COMPUTED_VALUE"""),"solanium")</f>
        <v>solanium</v>
      </c>
      <c r="B10940" s="4" t="str">
        <f>IFERROR(__xludf.DUMMYFUNCTION("""COMPUTED_VALUE"""),"slim")</f>
        <v>slim</v>
      </c>
      <c r="C10940" s="4" t="str">
        <f>IFERROR(__xludf.DUMMYFUNCTION("""COMPUTED_VALUE"""),"Solanium")</f>
        <v>Solanium</v>
      </c>
    </row>
    <row r="10941">
      <c r="A10941" s="4" t="str">
        <f>IFERROR(__xludf.DUMMYFUNCTION("""COMPUTED_VALUE"""),"solape-token")</f>
        <v>solape-token</v>
      </c>
      <c r="B10941" s="4" t="str">
        <f>IFERROR(__xludf.DUMMYFUNCTION("""COMPUTED_VALUE"""),"solape")</f>
        <v>solape</v>
      </c>
      <c r="C10941" s="4" t="str">
        <f>IFERROR(__xludf.DUMMYFUNCTION("""COMPUTED_VALUE"""),"SOLAPE")</f>
        <v>SOLAPE</v>
      </c>
    </row>
    <row r="10942">
      <c r="A10942" s="4" t="str">
        <f>IFERROR(__xludf.DUMMYFUNCTION("""COMPUTED_VALUE"""),"solar")</f>
        <v>solar</v>
      </c>
      <c r="B10942" s="4" t="str">
        <f>IFERROR(__xludf.DUMMYFUNCTION("""COMPUTED_VALUE"""),"solar")</f>
        <v>solar</v>
      </c>
      <c r="C10942" s="4" t="str">
        <f>IFERROR(__xludf.DUMMYFUNCTION("""COMPUTED_VALUE"""),"Solar")</f>
        <v>Solar</v>
      </c>
    </row>
    <row r="10943">
      <c r="A10943" s="4" t="str">
        <f>IFERROR(__xludf.DUMMYFUNCTION("""COMPUTED_VALUE"""),"solarbeam")</f>
        <v>solarbeam</v>
      </c>
      <c r="B10943" s="4" t="str">
        <f>IFERROR(__xludf.DUMMYFUNCTION("""COMPUTED_VALUE"""),"solar")</f>
        <v>solar</v>
      </c>
      <c r="C10943" s="4" t="str">
        <f>IFERROR(__xludf.DUMMYFUNCTION("""COMPUTED_VALUE"""),"Solarbeam")</f>
        <v>Solarbeam</v>
      </c>
    </row>
    <row r="10944">
      <c r="A10944" s="4" t="str">
        <f>IFERROR(__xludf.DUMMYFUNCTION("""COMPUTED_VALUE"""),"solar-bear")</f>
        <v>solar-bear</v>
      </c>
      <c r="B10944" s="4" t="str">
        <f>IFERROR(__xludf.DUMMYFUNCTION("""COMPUTED_VALUE"""),"solbear")</f>
        <v>solbear</v>
      </c>
      <c r="C10944" s="4" t="str">
        <f>IFERROR(__xludf.DUMMYFUNCTION("""COMPUTED_VALUE"""),"Solar Bear")</f>
        <v>Solar Bear</v>
      </c>
    </row>
    <row r="10945">
      <c r="A10945" s="4" t="str">
        <f>IFERROR(__xludf.DUMMYFUNCTION("""COMPUTED_VALUE"""),"solarcoin")</f>
        <v>solarcoin</v>
      </c>
      <c r="B10945" s="4" t="str">
        <f>IFERROR(__xludf.DUMMYFUNCTION("""COMPUTED_VALUE"""),"slr")</f>
        <v>slr</v>
      </c>
      <c r="C10945" s="4" t="str">
        <f>IFERROR(__xludf.DUMMYFUNCTION("""COMPUTED_VALUE"""),"Solarcoin")</f>
        <v>Solarcoin</v>
      </c>
    </row>
    <row r="10946">
      <c r="A10946" s="4" t="str">
        <f>IFERROR(__xludf.DUMMYFUNCTION("""COMPUTED_VALUE"""),"solar-dex")</f>
        <v>solar-dex</v>
      </c>
      <c r="B10946" s="4" t="str">
        <f>IFERROR(__xludf.DUMMYFUNCTION("""COMPUTED_VALUE"""),"solar")</f>
        <v>solar</v>
      </c>
      <c r="C10946" s="4" t="str">
        <f>IFERROR(__xludf.DUMMYFUNCTION("""COMPUTED_VALUE"""),"Solar Dex")</f>
        <v>Solar Dex</v>
      </c>
    </row>
    <row r="10947">
      <c r="A10947" s="4" t="str">
        <f>IFERROR(__xludf.DUMMYFUNCTION("""COMPUTED_VALUE"""),"solar-energy")</f>
        <v>solar-energy</v>
      </c>
      <c r="B10947" s="4" t="str">
        <f>IFERROR(__xludf.DUMMYFUNCTION("""COMPUTED_VALUE"""),"seg")</f>
        <v>seg</v>
      </c>
      <c r="C10947" s="4" t="str">
        <f>IFERROR(__xludf.DUMMYFUNCTION("""COMPUTED_VALUE"""),"Solar Energy")</f>
        <v>Solar Energy</v>
      </c>
    </row>
    <row r="10948">
      <c r="A10948" s="4" t="str">
        <f>IFERROR(__xludf.DUMMYFUNCTION("""COMPUTED_VALUE"""),"solareum-2")</f>
        <v>solareum-2</v>
      </c>
      <c r="B10948" s="4" t="str">
        <f>IFERROR(__xludf.DUMMYFUNCTION("""COMPUTED_VALUE"""),"solar")</f>
        <v>solar</v>
      </c>
      <c r="C10948" s="4" t="str">
        <f>IFERROR(__xludf.DUMMYFUNCTION("""COMPUTED_VALUE"""),"Solareum")</f>
        <v>Solareum</v>
      </c>
    </row>
    <row r="10949">
      <c r="A10949" s="4" t="str">
        <f>IFERROR(__xludf.DUMMYFUNCTION("""COMPUTED_VALUE"""),"solareum-3")</f>
        <v>solareum-3</v>
      </c>
      <c r="B10949" s="4" t="str">
        <f>IFERROR(__xludf.DUMMYFUNCTION("""COMPUTED_VALUE"""),"solareum")</f>
        <v>solareum</v>
      </c>
      <c r="C10949" s="4" t="str">
        <f>IFERROR(__xludf.DUMMYFUNCTION("""COMPUTED_VALUE"""),"SOLAREUM")</f>
        <v>SOLAREUM</v>
      </c>
    </row>
    <row r="10950">
      <c r="A10950" s="4" t="str">
        <f>IFERROR(__xludf.DUMMYFUNCTION("""COMPUTED_VALUE"""),"solareum-d260e488-50a0-4048-ace4-1b82f9822903")</f>
        <v>solareum-d260e488-50a0-4048-ace4-1b82f9822903</v>
      </c>
      <c r="B10950" s="4" t="str">
        <f>IFERROR(__xludf.DUMMYFUNCTION("""COMPUTED_VALUE"""),"srm")</f>
        <v>srm</v>
      </c>
      <c r="C10950" s="4" t="str">
        <f>IFERROR(__xludf.DUMMYFUNCTION("""COMPUTED_VALUE"""),"Solareum")</f>
        <v>Solareum</v>
      </c>
    </row>
    <row r="10951">
      <c r="A10951" s="4" t="str">
        <f>IFERROR(__xludf.DUMMYFUNCTION("""COMPUTED_VALUE"""),"solareum-wallet")</f>
        <v>solareum-wallet</v>
      </c>
      <c r="B10951" s="4" t="str">
        <f>IFERROR(__xludf.DUMMYFUNCTION("""COMPUTED_VALUE"""),"xsb")</f>
        <v>xsb</v>
      </c>
      <c r="C10951" s="4" t="str">
        <f>IFERROR(__xludf.DUMMYFUNCTION("""COMPUTED_VALUE"""),"Solareum Wallet")</f>
        <v>Solareum Wallet</v>
      </c>
    </row>
    <row r="10952">
      <c r="A10952" s="4" t="str">
        <f>IFERROR(__xludf.DUMMYFUNCTION("""COMPUTED_VALUE"""),"solarflare")</f>
        <v>solarflare</v>
      </c>
      <c r="B10952" s="4" t="str">
        <f>IFERROR(__xludf.DUMMYFUNCTION("""COMPUTED_VALUE"""),"flare")</f>
        <v>flare</v>
      </c>
      <c r="C10952" s="4" t="str">
        <f>IFERROR(__xludf.DUMMYFUNCTION("""COMPUTED_VALUE"""),"Solarflare")</f>
        <v>Solarflare</v>
      </c>
    </row>
    <row r="10953">
      <c r="A10953" s="4" t="str">
        <f>IFERROR(__xludf.DUMMYFUNCTION("""COMPUTED_VALUE"""),"solar-full-cycle")</f>
        <v>solar-full-cycle</v>
      </c>
      <c r="B10953" s="4" t="str">
        <f>IFERROR(__xludf.DUMMYFUNCTION("""COMPUTED_VALUE"""),"sfc")</f>
        <v>sfc</v>
      </c>
      <c r="C10953" s="4" t="str">
        <f>IFERROR(__xludf.DUMMYFUNCTION("""COMPUTED_VALUE"""),"Solar Full Cycle")</f>
        <v>Solar Full Cycle</v>
      </c>
    </row>
    <row r="10954">
      <c r="A10954" s="4" t="str">
        <f>IFERROR(__xludf.DUMMYFUNCTION("""COMPUTED_VALUE"""),"solar-swap")</f>
        <v>solar-swap</v>
      </c>
      <c r="B10954" s="4" t="str">
        <f>IFERROR(__xludf.DUMMYFUNCTION("""COMPUTED_VALUE"""),"solar")</f>
        <v>solar</v>
      </c>
      <c r="C10954" s="4" t="str">
        <f>IFERROR(__xludf.DUMMYFUNCTION("""COMPUTED_VALUE"""),"Solar Swap")</f>
        <v>Solar Swap</v>
      </c>
    </row>
    <row r="10955">
      <c r="A10955" s="4" t="str">
        <f>IFERROR(__xludf.DUMMYFUNCTION("""COMPUTED_VALUE"""),"sola-token")</f>
        <v>sola-token</v>
      </c>
      <c r="B10955" s="4" t="str">
        <f>IFERROR(__xludf.DUMMYFUNCTION("""COMPUTED_VALUE"""),"sola")</f>
        <v>sola</v>
      </c>
      <c r="C10955" s="4" t="str">
        <f>IFERROR(__xludf.DUMMYFUNCTION("""COMPUTED_VALUE"""),"SOLA")</f>
        <v>SOLA</v>
      </c>
    </row>
    <row r="10956">
      <c r="A10956" s="4" t="str">
        <f>IFERROR(__xludf.DUMMYFUNCTION("""COMPUTED_VALUE"""),"solav")</f>
        <v>solav</v>
      </c>
      <c r="B10956" s="4" t="str">
        <f>IFERROR(__xludf.DUMMYFUNCTION("""COMPUTED_VALUE"""),"solav")</f>
        <v>solav</v>
      </c>
      <c r="C10956" s="4" t="str">
        <f>IFERROR(__xludf.DUMMYFUNCTION("""COMPUTED_VALUE"""),"SOLAV")</f>
        <v>SOLAV</v>
      </c>
    </row>
    <row r="10957">
      <c r="A10957" s="4" t="str">
        <f>IFERROR(__xludf.DUMMYFUNCTION("""COMPUTED_VALUE"""),"solawave")</f>
        <v>solawave</v>
      </c>
      <c r="B10957" s="4" t="str">
        <f>IFERROR(__xludf.DUMMYFUNCTION("""COMPUTED_VALUE"""),"solawave")</f>
        <v>solawave</v>
      </c>
      <c r="C10957" s="4" t="str">
        <f>IFERROR(__xludf.DUMMYFUNCTION("""COMPUTED_VALUE"""),"Solawave")</f>
        <v>Solawave</v>
      </c>
    </row>
    <row r="10958">
      <c r="A10958" s="4" t="str">
        <f>IFERROR(__xludf.DUMMYFUNCTION("""COMPUTED_VALUE"""),"sola-x")</f>
        <v>sola-x</v>
      </c>
      <c r="B10958" s="4" t="str">
        <f>IFERROR(__xludf.DUMMYFUNCTION("""COMPUTED_VALUE"""),"sax")</f>
        <v>sax</v>
      </c>
      <c r="C10958" s="4" t="str">
        <f>IFERROR(__xludf.DUMMYFUNCTION("""COMPUTED_VALUE"""),"SOLA-X")</f>
        <v>SOLA-X</v>
      </c>
    </row>
    <row r="10959">
      <c r="A10959" s="4" t="str">
        <f>IFERROR(__xludf.DUMMYFUNCTION("""COMPUTED_VALUE"""),"sol-baby-doge")</f>
        <v>sol-baby-doge</v>
      </c>
      <c r="B10959" s="4" t="str">
        <f>IFERROR(__xludf.DUMMYFUNCTION("""COMPUTED_VALUE"""),"sbabydoge")</f>
        <v>sbabydoge</v>
      </c>
      <c r="C10959" s="4" t="str">
        <f>IFERROR(__xludf.DUMMYFUNCTION("""COMPUTED_VALUE"""),"SOL Baby Doge")</f>
        <v>SOL Baby Doge</v>
      </c>
    </row>
    <row r="10960">
      <c r="A10960" s="4" t="str">
        <f>IFERROR(__xludf.DUMMYFUNCTION("""COMPUTED_VALUE"""),"solbank")</f>
        <v>solbank</v>
      </c>
      <c r="B10960" s="4" t="str">
        <f>IFERROR(__xludf.DUMMYFUNCTION("""COMPUTED_VALUE"""),"sb")</f>
        <v>sb</v>
      </c>
      <c r="C10960" s="4" t="str">
        <f>IFERROR(__xludf.DUMMYFUNCTION("""COMPUTED_VALUE"""),"Solbank")</f>
        <v>Solbank</v>
      </c>
    </row>
    <row r="10961">
      <c r="A10961" s="4" t="str">
        <f>IFERROR(__xludf.DUMMYFUNCTION("""COMPUTED_VALUE"""),"solberg")</f>
        <v>solberg</v>
      </c>
      <c r="B10961" s="4" t="str">
        <f>IFERROR(__xludf.DUMMYFUNCTION("""COMPUTED_VALUE"""),"slb")</f>
        <v>slb</v>
      </c>
      <c r="C10961" s="4" t="str">
        <f>IFERROR(__xludf.DUMMYFUNCTION("""COMPUTED_VALUE"""),"Solberg")</f>
        <v>Solberg</v>
      </c>
    </row>
    <row r="10962">
      <c r="A10962" s="4" t="str">
        <f>IFERROR(__xludf.DUMMYFUNCTION("""COMPUTED_VALUE"""),"solblaze")</f>
        <v>solblaze</v>
      </c>
      <c r="B10962" s="4" t="str">
        <f>IFERROR(__xludf.DUMMYFUNCTION("""COMPUTED_VALUE"""),"blze")</f>
        <v>blze</v>
      </c>
      <c r="C10962" s="4" t="str">
        <f>IFERROR(__xludf.DUMMYFUNCTION("""COMPUTED_VALUE"""),"Blaze")</f>
        <v>Blaze</v>
      </c>
    </row>
    <row r="10963">
      <c r="A10963" s="4" t="str">
        <f>IFERROR(__xludf.DUMMYFUNCTION("""COMPUTED_VALUE"""),"solbook")</f>
        <v>solbook</v>
      </c>
      <c r="B10963" s="4" t="str">
        <f>IFERROR(__xludf.DUMMYFUNCTION("""COMPUTED_VALUE"""),"book")</f>
        <v>book</v>
      </c>
      <c r="C10963" s="4" t="str">
        <f>IFERROR(__xludf.DUMMYFUNCTION("""COMPUTED_VALUE"""),"SolBook")</f>
        <v>SolBook</v>
      </c>
    </row>
    <row r="10964">
      <c r="A10964" s="4" t="str">
        <f>IFERROR(__xludf.DUMMYFUNCTION("""COMPUTED_VALUE"""),"solbot")</f>
        <v>solbot</v>
      </c>
      <c r="B10964" s="4" t="str">
        <f>IFERROR(__xludf.DUMMYFUNCTION("""COMPUTED_VALUE"""),"solb")</f>
        <v>solb</v>
      </c>
      <c r="C10964" s="4" t="str">
        <f>IFERROR(__xludf.DUMMYFUNCTION("""COMPUTED_VALUE"""),"SOLBOT")</f>
        <v>SOLBOT</v>
      </c>
    </row>
    <row r="10965">
      <c r="A10965" s="4" t="str">
        <f>IFERROR(__xludf.DUMMYFUNCTION("""COMPUTED_VALUE"""),"solbroe")</f>
        <v>solbroe</v>
      </c>
      <c r="B10965" s="4" t="str">
        <f>IFERROR(__xludf.DUMMYFUNCTION("""COMPUTED_VALUE"""),"solbroe")</f>
        <v>solbroe</v>
      </c>
      <c r="C10965" s="4" t="str">
        <f>IFERROR(__xludf.DUMMYFUNCTION("""COMPUTED_VALUE"""),"SolBroe")</f>
        <v>SolBroe</v>
      </c>
    </row>
    <row r="10966">
      <c r="A10966" s="4" t="str">
        <f>IFERROR(__xludf.DUMMYFUNCTION("""COMPUTED_VALUE"""),"solbull")</f>
        <v>solbull</v>
      </c>
      <c r="B10966" s="4" t="str">
        <f>IFERROR(__xludf.DUMMYFUNCTION("""COMPUTED_VALUE"""),"solbull")</f>
        <v>solbull</v>
      </c>
      <c r="C10966" s="4" t="str">
        <f>IFERROR(__xludf.DUMMYFUNCTION("""COMPUTED_VALUE"""),"Solbull")</f>
        <v>Solbull</v>
      </c>
    </row>
    <row r="10967">
      <c r="A10967" s="4" t="str">
        <f>IFERROR(__xludf.DUMMYFUNCTION("""COMPUTED_VALUE"""),"solcard")</f>
        <v>solcard</v>
      </c>
      <c r="B10967" s="4" t="str">
        <f>IFERROR(__xludf.DUMMYFUNCTION("""COMPUTED_VALUE"""),"solc")</f>
        <v>solc</v>
      </c>
      <c r="C10967" s="4" t="str">
        <f>IFERROR(__xludf.DUMMYFUNCTION("""COMPUTED_VALUE"""),"SolCard")</f>
        <v>SolCard</v>
      </c>
    </row>
    <row r="10968">
      <c r="A10968" s="4" t="str">
        <f>IFERROR(__xludf.DUMMYFUNCTION("""COMPUTED_VALUE"""),"solcasino-token")</f>
        <v>solcasino-token</v>
      </c>
      <c r="B10968" s="4" t="str">
        <f>IFERROR(__xludf.DUMMYFUNCTION("""COMPUTED_VALUE"""),"scs")</f>
        <v>scs</v>
      </c>
      <c r="C10968" s="4" t="str">
        <f>IFERROR(__xludf.DUMMYFUNCTION("""COMPUTED_VALUE"""),"Solcasino Token")</f>
        <v>Solcasino Token</v>
      </c>
    </row>
    <row r="10969">
      <c r="A10969" s="4" t="str">
        <f>IFERROR(__xludf.DUMMYFUNCTION("""COMPUTED_VALUE"""),"solcats")</f>
        <v>solcats</v>
      </c>
      <c r="B10969" s="4" t="str">
        <f>IFERROR(__xludf.DUMMYFUNCTION("""COMPUTED_VALUE"""),"meow")</f>
        <v>meow</v>
      </c>
      <c r="C10969" s="4" t="str">
        <f>IFERROR(__xludf.DUMMYFUNCTION("""COMPUTED_VALUE"""),"Solcats")</f>
        <v>Solcats</v>
      </c>
    </row>
    <row r="10970">
      <c r="A10970" s="4" t="str">
        <f>IFERROR(__xludf.DUMMYFUNCTION("""COMPUTED_VALUE"""),"solchat")</f>
        <v>solchat</v>
      </c>
      <c r="B10970" s="4" t="str">
        <f>IFERROR(__xludf.DUMMYFUNCTION("""COMPUTED_VALUE"""),"chat")</f>
        <v>chat</v>
      </c>
      <c r="C10970" s="4" t="str">
        <f>IFERROR(__xludf.DUMMYFUNCTION("""COMPUTED_VALUE"""),"Solchat")</f>
        <v>Solchat</v>
      </c>
    </row>
    <row r="10971">
      <c r="A10971" s="4" t="str">
        <f>IFERROR(__xludf.DUMMYFUNCTION("""COMPUTED_VALUE"""),"solchicks-shards")</f>
        <v>solchicks-shards</v>
      </c>
      <c r="B10971" s="4" t="str">
        <f>IFERROR(__xludf.DUMMYFUNCTION("""COMPUTED_VALUE"""),"shards")</f>
        <v>shards</v>
      </c>
      <c r="C10971" s="4" t="str">
        <f>IFERROR(__xludf.DUMMYFUNCTION("""COMPUTED_VALUE"""),"SolChicks Shards")</f>
        <v>SolChicks Shards</v>
      </c>
    </row>
    <row r="10972">
      <c r="A10972" s="4" t="str">
        <f>IFERROR(__xludf.DUMMYFUNCTION("""COMPUTED_VALUE"""),"solchicks-token")</f>
        <v>solchicks-token</v>
      </c>
      <c r="B10972" s="4" t="str">
        <f>IFERROR(__xludf.DUMMYFUNCTION("""COMPUTED_VALUE"""),"chicks")</f>
        <v>chicks</v>
      </c>
      <c r="C10972" s="4" t="str">
        <f>IFERROR(__xludf.DUMMYFUNCTION("""COMPUTED_VALUE"""),"SolChicks")</f>
        <v>SolChicks</v>
      </c>
    </row>
    <row r="10973">
      <c r="A10973" s="4" t="str">
        <f>IFERROR(__xludf.DUMMYFUNCTION("""COMPUTED_VALUE"""),"solcial")</f>
        <v>solcial</v>
      </c>
      <c r="B10973" s="4" t="str">
        <f>IFERROR(__xludf.DUMMYFUNCTION("""COMPUTED_VALUE"""),"slcl")</f>
        <v>slcl</v>
      </c>
      <c r="C10973" s="4" t="str">
        <f>IFERROR(__xludf.DUMMYFUNCTION("""COMPUTED_VALUE"""),"Solcial")</f>
        <v>Solcial</v>
      </c>
    </row>
    <row r="10974">
      <c r="A10974" s="4" t="str">
        <f>IFERROR(__xludf.DUMMYFUNCTION("""COMPUTED_VALUE"""),"solcloud")</f>
        <v>solcloud</v>
      </c>
      <c r="B10974" s="4" t="str">
        <f>IFERROR(__xludf.DUMMYFUNCTION("""COMPUTED_VALUE"""),"cloud")</f>
        <v>cloud</v>
      </c>
      <c r="C10974" s="4" t="str">
        <f>IFERROR(__xludf.DUMMYFUNCTION("""COMPUTED_VALUE"""),"SolCloud")</f>
        <v>SolCloud</v>
      </c>
    </row>
    <row r="10975">
      <c r="A10975" s="4" t="str">
        <f>IFERROR(__xludf.DUMMYFUNCTION("""COMPUTED_VALUE"""),"solclout")</f>
        <v>solclout</v>
      </c>
      <c r="B10975" s="4" t="str">
        <f>IFERROR(__xludf.DUMMYFUNCTION("""COMPUTED_VALUE"""),"sct")</f>
        <v>sct</v>
      </c>
      <c r="C10975" s="4" t="str">
        <f>IFERROR(__xludf.DUMMYFUNCTION("""COMPUTED_VALUE"""),"SolClout")</f>
        <v>SolClout</v>
      </c>
    </row>
    <row r="10976">
      <c r="A10976" s="4" t="str">
        <f>IFERROR(__xludf.DUMMYFUNCTION("""COMPUTED_VALUE"""),"soldex")</f>
        <v>soldex</v>
      </c>
      <c r="B10976" s="4" t="str">
        <f>IFERROR(__xludf.DUMMYFUNCTION("""COMPUTED_VALUE"""),"solx")</f>
        <v>solx</v>
      </c>
      <c r="C10976" s="4" t="str">
        <f>IFERROR(__xludf.DUMMYFUNCTION("""COMPUTED_VALUE"""),"Soldex")</f>
        <v>Soldex</v>
      </c>
    </row>
    <row r="10977">
      <c r="A10977" s="4" t="str">
        <f>IFERROR(__xludf.DUMMYFUNCTION("""COMPUTED_VALUE"""),"soldocs")</f>
        <v>soldocs</v>
      </c>
      <c r="B10977" s="4" t="str">
        <f>IFERROR(__xludf.DUMMYFUNCTION("""COMPUTED_VALUE"""),"docs")</f>
        <v>docs</v>
      </c>
      <c r="C10977" s="4" t="str">
        <f>IFERROR(__xludf.DUMMYFUNCTION("""COMPUTED_VALUE"""),"SolDocs")</f>
        <v>SolDocs</v>
      </c>
    </row>
    <row r="10978">
      <c r="A10978" s="4" t="str">
        <f>IFERROR(__xludf.DUMMYFUNCTION("""COMPUTED_VALUE"""),"soldoge")</f>
        <v>soldoge</v>
      </c>
      <c r="B10978" s="4" t="str">
        <f>IFERROR(__xludf.DUMMYFUNCTION("""COMPUTED_VALUE"""),"sdoge")</f>
        <v>sdoge</v>
      </c>
      <c r="C10978" s="4" t="str">
        <f>IFERROR(__xludf.DUMMYFUNCTION("""COMPUTED_VALUE"""),"SolDoge")</f>
        <v>SolDoge</v>
      </c>
    </row>
    <row r="10979">
      <c r="A10979" s="4" t="str">
        <f>IFERROR(__xludf.DUMMYFUNCTION("""COMPUTED_VALUE"""),"soldragon")</f>
        <v>soldragon</v>
      </c>
      <c r="B10979" s="4" t="str">
        <f>IFERROR(__xludf.DUMMYFUNCTION("""COMPUTED_VALUE"""),"dragon")</f>
        <v>dragon</v>
      </c>
      <c r="C10979" s="4" t="str">
        <f>IFERROR(__xludf.DUMMYFUNCTION("""COMPUTED_VALUE"""),"SolDragon")</f>
        <v>SolDragon</v>
      </c>
    </row>
    <row r="10980">
      <c r="A10980" s="4" t="str">
        <f>IFERROR(__xludf.DUMMYFUNCTION("""COMPUTED_VALUE"""),"solend")</f>
        <v>solend</v>
      </c>
      <c r="B10980" s="4" t="str">
        <f>IFERROR(__xludf.DUMMYFUNCTION("""COMPUTED_VALUE"""),"slnd")</f>
        <v>slnd</v>
      </c>
      <c r="C10980" s="4" t="str">
        <f>IFERROR(__xludf.DUMMYFUNCTION("""COMPUTED_VALUE"""),"Solend")</f>
        <v>Solend</v>
      </c>
    </row>
    <row r="10981">
      <c r="A10981" s="4" t="str">
        <f>IFERROR(__xludf.DUMMYFUNCTION("""COMPUTED_VALUE"""),"soletheon")</f>
        <v>soletheon</v>
      </c>
      <c r="B10981" s="4" t="str">
        <f>IFERROR(__xludf.DUMMYFUNCTION("""COMPUTED_VALUE"""),"solen")</f>
        <v>solen</v>
      </c>
      <c r="C10981" s="4" t="str">
        <f>IFERROR(__xludf.DUMMYFUNCTION("""COMPUTED_VALUE"""),"Soletheon")</f>
        <v>Soletheon</v>
      </c>
    </row>
    <row r="10982">
      <c r="A10982" s="4" t="str">
        <f>IFERROR(__xludf.DUMMYFUNCTION("""COMPUTED_VALUE"""),"solex-finance")</f>
        <v>solex-finance</v>
      </c>
      <c r="B10982" s="4" t="str">
        <f>IFERROR(__xludf.DUMMYFUNCTION("""COMPUTED_VALUE"""),"slx")</f>
        <v>slx</v>
      </c>
      <c r="C10982" s="4" t="str">
        <f>IFERROR(__xludf.DUMMYFUNCTION("""COMPUTED_VALUE"""),"Solex Finance")</f>
        <v>Solex Finance</v>
      </c>
    </row>
    <row r="10983">
      <c r="A10983" s="4" t="str">
        <f>IFERROR(__xludf.DUMMYFUNCTION("""COMPUTED_VALUE"""),"solfarm")</f>
        <v>solfarm</v>
      </c>
      <c r="B10983" s="4" t="str">
        <f>IFERROR(__xludf.DUMMYFUNCTION("""COMPUTED_VALUE"""),"tulip")</f>
        <v>tulip</v>
      </c>
      <c r="C10983" s="4" t="str">
        <f>IFERROR(__xludf.DUMMYFUNCTION("""COMPUTED_VALUE"""),"Tulip Protocol")</f>
        <v>Tulip Protocol</v>
      </c>
    </row>
    <row r="10984">
      <c r="A10984" s="4" t="str">
        <f>IFERROR(__xludf.DUMMYFUNCTION("""COMPUTED_VALUE"""),"solfarm-2")</f>
        <v>solfarm-2</v>
      </c>
      <c r="B10984" s="4" t="str">
        <f>IFERROR(__xludf.DUMMYFUNCTION("""COMPUTED_VALUE"""),"sfarm")</f>
        <v>sfarm</v>
      </c>
      <c r="C10984" s="4" t="str">
        <f>IFERROR(__xludf.DUMMYFUNCTION("""COMPUTED_VALUE"""),"SolFarm")</f>
        <v>SolFarm</v>
      </c>
    </row>
    <row r="10985">
      <c r="A10985" s="4" t="str">
        <f>IFERROR(__xludf.DUMMYFUNCTION("""COMPUTED_VALUE"""),"solfiles")</f>
        <v>solfiles</v>
      </c>
      <c r="B10985" s="4" t="str">
        <f>IFERROR(__xludf.DUMMYFUNCTION("""COMPUTED_VALUE"""),"files")</f>
        <v>files</v>
      </c>
      <c r="C10985" s="4" t="str">
        <f>IFERROR(__xludf.DUMMYFUNCTION("""COMPUTED_VALUE"""),"Solfiles")</f>
        <v>Solfiles</v>
      </c>
    </row>
    <row r="10986">
      <c r="A10986" s="4" t="str">
        <f>IFERROR(__xludf.DUMMYFUNCTION("""COMPUTED_VALUE"""),"solfriends")</f>
        <v>solfriends</v>
      </c>
      <c r="B10986" s="4" t="str">
        <f>IFERROR(__xludf.DUMMYFUNCTION("""COMPUTED_VALUE"""),"friends")</f>
        <v>friends</v>
      </c>
      <c r="C10986" s="4" t="str">
        <f>IFERROR(__xludf.DUMMYFUNCTION("""COMPUTED_VALUE"""),"SolFriends")</f>
        <v>SolFriends</v>
      </c>
    </row>
    <row r="10987">
      <c r="A10987" s="4" t="str">
        <f>IFERROR(__xludf.DUMMYFUNCTION("""COMPUTED_VALUE"""),"solge")</f>
        <v>solge</v>
      </c>
      <c r="B10987" s="4" t="str">
        <f>IFERROR(__xludf.DUMMYFUNCTION("""COMPUTED_VALUE"""),"solge")</f>
        <v>solge</v>
      </c>
      <c r="C10987" s="4" t="str">
        <f>IFERROR(__xludf.DUMMYFUNCTION("""COMPUTED_VALUE"""),"Solge")</f>
        <v>Solge</v>
      </c>
    </row>
    <row r="10988">
      <c r="A10988" s="4" t="str">
        <f>IFERROR(__xludf.DUMMYFUNCTION("""COMPUTED_VALUE"""),"solgoat")</f>
        <v>solgoat</v>
      </c>
      <c r="B10988" s="4" t="str">
        <f>IFERROR(__xludf.DUMMYFUNCTION("""COMPUTED_VALUE"""),"solgoat")</f>
        <v>solgoat</v>
      </c>
      <c r="C10988" s="4" t="str">
        <f>IFERROR(__xludf.DUMMYFUNCTION("""COMPUTED_VALUE"""),"SolGoat")</f>
        <v>SolGoat</v>
      </c>
    </row>
    <row r="10989">
      <c r="A10989" s="4" t="str">
        <f>IFERROR(__xludf.DUMMYFUNCTION("""COMPUTED_VALUE"""),"solgram")</f>
        <v>solgram</v>
      </c>
      <c r="B10989" s="4" t="str">
        <f>IFERROR(__xludf.DUMMYFUNCTION("""COMPUTED_VALUE"""),"gram")</f>
        <v>gram</v>
      </c>
      <c r="C10989" s="4" t="str">
        <f>IFERROR(__xludf.DUMMYFUNCTION("""COMPUTED_VALUE"""),"SOLGRAM")</f>
        <v>SOLGRAM</v>
      </c>
    </row>
    <row r="10990">
      <c r="A10990" s="4" t="str">
        <f>IFERROR(__xludf.DUMMYFUNCTION("""COMPUTED_VALUE"""),"solgraph")</f>
        <v>solgraph</v>
      </c>
      <c r="B10990" s="4" t="str">
        <f>IFERROR(__xludf.DUMMYFUNCTION("""COMPUTED_VALUE"""),"graph")</f>
        <v>graph</v>
      </c>
      <c r="C10990" s="4" t="str">
        <f>IFERROR(__xludf.DUMMYFUNCTION("""COMPUTED_VALUE"""),"SolGraph")</f>
        <v>SolGraph</v>
      </c>
    </row>
    <row r="10991">
      <c r="A10991" s="4" t="str">
        <f>IFERROR(__xludf.DUMMYFUNCTION("""COMPUTED_VALUE"""),"solice")</f>
        <v>solice</v>
      </c>
      <c r="B10991" s="4" t="str">
        <f>IFERROR(__xludf.DUMMYFUNCTION("""COMPUTED_VALUE"""),"slc")</f>
        <v>slc</v>
      </c>
      <c r="C10991" s="4" t="str">
        <f>IFERROR(__xludf.DUMMYFUNCTION("""COMPUTED_VALUE"""),"Solice")</f>
        <v>Solice</v>
      </c>
    </row>
    <row r="10992">
      <c r="A10992" s="4" t="str">
        <f>IFERROR(__xludf.DUMMYFUNCTION("""COMPUTED_VALUE"""),"solidefi")</f>
        <v>solidefi</v>
      </c>
      <c r="B10992" s="4" t="str">
        <f>IFERROR(__xludf.DUMMYFUNCTION("""COMPUTED_VALUE"""),"solfi")</f>
        <v>solfi</v>
      </c>
      <c r="C10992" s="4" t="str">
        <f>IFERROR(__xludf.DUMMYFUNCTION("""COMPUTED_VALUE"""),"SoliDefi")</f>
        <v>SoliDefi</v>
      </c>
    </row>
    <row r="10993">
      <c r="A10993" s="4" t="str">
        <f>IFERROR(__xludf.DUMMYFUNCTION("""COMPUTED_VALUE"""),"solidex")</f>
        <v>solidex</v>
      </c>
      <c r="B10993" s="4" t="str">
        <f>IFERROR(__xludf.DUMMYFUNCTION("""COMPUTED_VALUE"""),"sex")</f>
        <v>sex</v>
      </c>
      <c r="C10993" s="4" t="str">
        <f>IFERROR(__xludf.DUMMYFUNCTION("""COMPUTED_VALUE"""),"Solidex")</f>
        <v>Solidex</v>
      </c>
    </row>
    <row r="10994">
      <c r="A10994" s="4" t="str">
        <f>IFERROR(__xludf.DUMMYFUNCTION("""COMPUTED_VALUE"""),"solidlizard")</f>
        <v>solidlizard</v>
      </c>
      <c r="B10994" s="4" t="str">
        <f>IFERROR(__xludf.DUMMYFUNCTION("""COMPUTED_VALUE"""),"sliz")</f>
        <v>sliz</v>
      </c>
      <c r="C10994" s="4" t="str">
        <f>IFERROR(__xludf.DUMMYFUNCTION("""COMPUTED_VALUE"""),"SolidLizard")</f>
        <v>SolidLizard</v>
      </c>
    </row>
    <row r="10995">
      <c r="A10995" s="4" t="str">
        <f>IFERROR(__xludf.DUMMYFUNCTION("""COMPUTED_VALUE"""),"solidlizard-synthetic-usd")</f>
        <v>solidlizard-synthetic-usd</v>
      </c>
      <c r="B10995" s="4" t="str">
        <f>IFERROR(__xludf.DUMMYFUNCTION("""COMPUTED_VALUE"""),"slzusdc")</f>
        <v>slzusdc</v>
      </c>
      <c r="C10995" s="4" t="str">
        <f>IFERROR(__xludf.DUMMYFUNCTION("""COMPUTED_VALUE"""),"SolidLizard synthetic USD")</f>
        <v>SolidLizard synthetic USD</v>
      </c>
    </row>
    <row r="10996">
      <c r="A10996" s="4" t="str">
        <f>IFERROR(__xludf.DUMMYFUNCTION("""COMPUTED_VALUE"""),"solidlydex")</f>
        <v>solidlydex</v>
      </c>
      <c r="B10996" s="4" t="str">
        <f>IFERROR(__xludf.DUMMYFUNCTION("""COMPUTED_VALUE"""),"solid")</f>
        <v>solid</v>
      </c>
      <c r="C10996" s="4" t="str">
        <f>IFERROR(__xludf.DUMMYFUNCTION("""COMPUTED_VALUE"""),"Solidly")</f>
        <v>Solidly</v>
      </c>
    </row>
    <row r="10997">
      <c r="A10997" s="4" t="str">
        <f>IFERROR(__xludf.DUMMYFUNCTION("""COMPUTED_VALUE"""),"solido-finance")</f>
        <v>solido-finance</v>
      </c>
      <c r="B10997" s="4" t="str">
        <f>IFERROR(__xludf.DUMMYFUNCTION("""COMPUTED_VALUE"""),"sido")</f>
        <v>sido</v>
      </c>
      <c r="C10997" s="4" t="str">
        <f>IFERROR(__xludf.DUMMYFUNCTION("""COMPUTED_VALUE"""),"Solido Finance")</f>
        <v>Solido Finance</v>
      </c>
    </row>
    <row r="10998">
      <c r="A10998" s="4" t="str">
        <f>IFERROR(__xludf.DUMMYFUNCTION("""COMPUTED_VALUE"""),"solidus-aitech")</f>
        <v>solidus-aitech</v>
      </c>
      <c r="B10998" s="4" t="str">
        <f>IFERROR(__xludf.DUMMYFUNCTION("""COMPUTED_VALUE"""),"aitech")</f>
        <v>aitech</v>
      </c>
      <c r="C10998" s="4" t="str">
        <f>IFERROR(__xludf.DUMMYFUNCTION("""COMPUTED_VALUE"""),"Solidus Ai Tech")</f>
        <v>Solidus Ai Tech</v>
      </c>
    </row>
    <row r="10999">
      <c r="A10999" s="4" t="str">
        <f>IFERROR(__xludf.DUMMYFUNCTION("""COMPUTED_VALUE"""),"sol-killer")</f>
        <v>sol-killer</v>
      </c>
      <c r="B10999" s="4" t="str">
        <f>IFERROR(__xludf.DUMMYFUNCTION("""COMPUTED_VALUE"""),"damn")</f>
        <v>damn</v>
      </c>
      <c r="C10999" s="4" t="str">
        <f>IFERROR(__xludf.DUMMYFUNCTION("""COMPUTED_VALUE"""),"Sol Killer")</f>
        <v>Sol Killer</v>
      </c>
    </row>
    <row r="11000">
      <c r="A11000" s="4" t="str">
        <f>IFERROR(__xludf.DUMMYFUNCTION("""COMPUTED_VALUE"""),"sollabs")</f>
        <v>sollabs</v>
      </c>
      <c r="B11000" s="4" t="str">
        <f>IFERROR(__xludf.DUMMYFUNCTION("""COMPUTED_VALUE"""),"$sollabs")</f>
        <v>$sollabs</v>
      </c>
      <c r="C11000" s="4" t="str">
        <f>IFERROR(__xludf.DUMMYFUNCTION("""COMPUTED_VALUE"""),"SOLLABS")</f>
        <v>SOLLABS</v>
      </c>
    </row>
    <row r="11001">
      <c r="A11001" s="4" t="str">
        <f>IFERROR(__xludf.DUMMYFUNCTION("""COMPUTED_VALUE"""),"solmail")</f>
        <v>solmail</v>
      </c>
      <c r="B11001" s="4" t="str">
        <f>IFERROR(__xludf.DUMMYFUNCTION("""COMPUTED_VALUE"""),"mail")</f>
        <v>mail</v>
      </c>
      <c r="C11001" s="4" t="str">
        <f>IFERROR(__xludf.DUMMYFUNCTION("""COMPUTED_VALUE"""),"SolMail")</f>
        <v>SolMail</v>
      </c>
    </row>
    <row r="11002">
      <c r="A11002" s="4" t="str">
        <f>IFERROR(__xludf.DUMMYFUNCTION("""COMPUTED_VALUE"""),"solmash")</f>
        <v>solmash</v>
      </c>
      <c r="B11002" s="4" t="str">
        <f>IFERROR(__xludf.DUMMYFUNCTION("""COMPUTED_VALUE"""),"mash")</f>
        <v>mash</v>
      </c>
      <c r="C11002" s="4" t="str">
        <f>IFERROR(__xludf.DUMMYFUNCTION("""COMPUTED_VALUE"""),"SolMash")</f>
        <v>SolMash</v>
      </c>
    </row>
    <row r="11003">
      <c r="A11003" s="4" t="str">
        <f>IFERROR(__xludf.DUMMYFUNCTION("""COMPUTED_VALUE"""),"solmedia")</f>
        <v>solmedia</v>
      </c>
      <c r="B11003" s="4" t="str">
        <f>IFERROR(__xludf.DUMMYFUNCTION("""COMPUTED_VALUE"""),"media")</f>
        <v>media</v>
      </c>
      <c r="C11003" s="4" t="str">
        <f>IFERROR(__xludf.DUMMYFUNCTION("""COMPUTED_VALUE"""),"Solmedia")</f>
        <v>Solmedia</v>
      </c>
    </row>
    <row r="11004">
      <c r="A11004" s="4" t="str">
        <f>IFERROR(__xludf.DUMMYFUNCTION("""COMPUTED_VALUE"""),"solmoon-2")</f>
        <v>solmoon-2</v>
      </c>
      <c r="B11004" s="4" t="str">
        <f>IFERROR(__xludf.DUMMYFUNCTION("""COMPUTED_VALUE"""),"smoon")</f>
        <v>smoon</v>
      </c>
      <c r="C11004" s="4" t="str">
        <f>IFERROR(__xludf.DUMMYFUNCTION("""COMPUTED_VALUE"""),"SolMoon")</f>
        <v>SolMoon</v>
      </c>
    </row>
    <row r="11005">
      <c r="A11005" s="4" t="str">
        <f>IFERROR(__xludf.DUMMYFUNCTION("""COMPUTED_VALUE"""),"solmoon-bsc")</f>
        <v>solmoon-bsc</v>
      </c>
      <c r="B11005" s="4" t="str">
        <f>IFERROR(__xludf.DUMMYFUNCTION("""COMPUTED_VALUE"""),"smoon")</f>
        <v>smoon</v>
      </c>
      <c r="C11005" s="4" t="str">
        <f>IFERROR(__xludf.DUMMYFUNCTION("""COMPUTED_VALUE"""),"Solmoon BSC")</f>
        <v>Solmoon BSC</v>
      </c>
    </row>
    <row r="11006">
      <c r="A11006" s="4" t="str">
        <f>IFERROR(__xludf.DUMMYFUNCTION("""COMPUTED_VALUE"""),"solnado-cash")</f>
        <v>solnado-cash</v>
      </c>
      <c r="B11006" s="4" t="str">
        <f>IFERROR(__xludf.DUMMYFUNCTION("""COMPUTED_VALUE"""),"cash")</f>
        <v>cash</v>
      </c>
      <c r="C11006" s="4" t="str">
        <f>IFERROR(__xludf.DUMMYFUNCTION("""COMPUTED_VALUE"""),"Solnado Cash")</f>
        <v>Solnado Cash</v>
      </c>
    </row>
    <row r="11007">
      <c r="A11007" s="4" t="str">
        <f>IFERROR(__xludf.DUMMYFUNCTION("""COMPUTED_VALUE"""),"solnyfans")</f>
        <v>solnyfans</v>
      </c>
      <c r="B11007" s="4" t="str">
        <f>IFERROR(__xludf.DUMMYFUNCTION("""COMPUTED_VALUE"""),"solnyfans")</f>
        <v>solnyfans</v>
      </c>
      <c r="C11007" s="4" t="str">
        <f>IFERROR(__xludf.DUMMYFUNCTION("""COMPUTED_VALUE"""),"SolnyFans")</f>
        <v>SolnyFans</v>
      </c>
    </row>
    <row r="11008">
      <c r="A11008" s="4" t="str">
        <f>IFERROR(__xludf.DUMMYFUNCTION("""COMPUTED_VALUE"""),"solo-coin")</f>
        <v>solo-coin</v>
      </c>
      <c r="B11008" s="4" t="str">
        <f>IFERROR(__xludf.DUMMYFUNCTION("""COMPUTED_VALUE"""),"solo")</f>
        <v>solo</v>
      </c>
      <c r="C11008" s="4" t="str">
        <f>IFERROR(__xludf.DUMMYFUNCTION("""COMPUTED_VALUE"""),"Sologenic")</f>
        <v>Sologenic</v>
      </c>
    </row>
    <row r="11009">
      <c r="A11009" s="4" t="str">
        <f>IFERROR(__xludf.DUMMYFUNCTION("""COMPUTED_VALUE"""),"solomon-defina")</f>
        <v>solomon-defina</v>
      </c>
      <c r="B11009" s="4" t="str">
        <f>IFERROR(__xludf.DUMMYFUNCTION("""COMPUTED_VALUE"""),"solo")</f>
        <v>solo</v>
      </c>
      <c r="C11009" s="4" t="str">
        <f>IFERROR(__xludf.DUMMYFUNCTION("""COMPUTED_VALUE"""),"Solomon (Defina)")</f>
        <v>Solomon (Defina)</v>
      </c>
    </row>
    <row r="11010">
      <c r="A11010" s="4" t="str">
        <f>IFERROR(__xludf.DUMMYFUNCTION("""COMPUTED_VALUE"""),"solong-the-dragon")</f>
        <v>solong-the-dragon</v>
      </c>
      <c r="B11010" s="4" t="str">
        <f>IFERROR(__xludf.DUMMYFUNCTION("""COMPUTED_VALUE"""),"solong")</f>
        <v>solong</v>
      </c>
      <c r="C11010" s="4" t="str">
        <f>IFERROR(__xludf.DUMMYFUNCTION("""COMPUTED_VALUE"""),"SOLONG The Dragon")</f>
        <v>SOLONG The Dragon</v>
      </c>
    </row>
    <row r="11011">
      <c r="A11011" s="4" t="str">
        <f>IFERROR(__xludf.DUMMYFUNCTION("""COMPUTED_VALUE"""),"solordi")</f>
        <v>solordi</v>
      </c>
      <c r="B11011" s="4" t="str">
        <f>IFERROR(__xludf.DUMMYFUNCTION("""COMPUTED_VALUE"""),"solo")</f>
        <v>solo</v>
      </c>
      <c r="C11011" s="4" t="str">
        <f>IFERROR(__xludf.DUMMYFUNCTION("""COMPUTED_VALUE"""),"Solordi")</f>
        <v>Solordi</v>
      </c>
    </row>
    <row r="11012">
      <c r="A11012" s="4" t="str">
        <f>IFERROR(__xludf.DUMMYFUNCTION("""COMPUTED_VALUE"""),"solpaca")</f>
        <v>solpaca</v>
      </c>
      <c r="B11012" s="4" t="str">
        <f>IFERROR(__xludf.DUMMYFUNCTION("""COMPUTED_VALUE"""),"solpac")</f>
        <v>solpac</v>
      </c>
      <c r="C11012" s="4" t="str">
        <f>IFERROR(__xludf.DUMMYFUNCTION("""COMPUTED_VALUE"""),"Solpaca")</f>
        <v>Solpaca</v>
      </c>
    </row>
    <row r="11013">
      <c r="A11013" s="4" t="str">
        <f>IFERROR(__xludf.DUMMYFUNCTION("""COMPUTED_VALUE"""),"solpad-finance")</f>
        <v>solpad-finance</v>
      </c>
      <c r="B11013" s="4" t="str">
        <f>IFERROR(__xludf.DUMMYFUNCTION("""COMPUTED_VALUE"""),"solpad")</f>
        <v>solpad</v>
      </c>
      <c r="C11013" s="4" t="str">
        <f>IFERROR(__xludf.DUMMYFUNCTION("""COMPUTED_VALUE"""),"Solpad Finance")</f>
        <v>Solpad Finance</v>
      </c>
    </row>
    <row r="11014">
      <c r="A11014" s="4" t="str">
        <f>IFERROR(__xludf.DUMMYFUNCTION("""COMPUTED_VALUE"""),"solpaka")</f>
        <v>solpaka</v>
      </c>
      <c r="B11014" s="4" t="str">
        <f>IFERROR(__xludf.DUMMYFUNCTION("""COMPUTED_VALUE"""),"solpaka")</f>
        <v>solpaka</v>
      </c>
      <c r="C11014" s="4" t="str">
        <f>IFERROR(__xludf.DUMMYFUNCTION("""COMPUTED_VALUE"""),"Solpaka")</f>
        <v>Solpaka</v>
      </c>
    </row>
    <row r="11015">
      <c r="A11015" s="4" t="str">
        <f>IFERROR(__xludf.DUMMYFUNCTION("""COMPUTED_VALUE"""),"solpay-finance")</f>
        <v>solpay-finance</v>
      </c>
      <c r="B11015" s="4" t="str">
        <f>IFERROR(__xludf.DUMMYFUNCTION("""COMPUTED_VALUE"""),"solpay")</f>
        <v>solpay</v>
      </c>
      <c r="C11015" s="4" t="str">
        <f>IFERROR(__xludf.DUMMYFUNCTION("""COMPUTED_VALUE"""),"SolPay Finance")</f>
        <v>SolPay Finance</v>
      </c>
    </row>
    <row r="11016">
      <c r="A11016" s="4" t="str">
        <f>IFERROR(__xludf.DUMMYFUNCTION("""COMPUTED_VALUE"""),"solpets")</f>
        <v>solpets</v>
      </c>
      <c r="B11016" s="4" t="str">
        <f>IFERROR(__xludf.DUMMYFUNCTION("""COMPUTED_VALUE"""),"pets")</f>
        <v>pets</v>
      </c>
      <c r="C11016" s="4" t="str">
        <f>IFERROR(__xludf.DUMMYFUNCTION("""COMPUTED_VALUE"""),"SolPets")</f>
        <v>SolPets</v>
      </c>
    </row>
    <row r="11017">
      <c r="A11017" s="4" t="str">
        <f>IFERROR(__xludf.DUMMYFUNCTION("""COMPUTED_VALUE"""),"solphin")</f>
        <v>solphin</v>
      </c>
      <c r="B11017" s="4" t="str">
        <f>IFERROR(__xludf.DUMMYFUNCTION("""COMPUTED_VALUE"""),"solphin")</f>
        <v>solphin</v>
      </c>
      <c r="C11017" s="4" t="str">
        <f>IFERROR(__xludf.DUMMYFUNCTION("""COMPUTED_VALUE"""),"Solphin")</f>
        <v>Solphin</v>
      </c>
    </row>
    <row r="11018">
      <c r="A11018" s="4" t="str">
        <f>IFERROR(__xludf.DUMMYFUNCTION("""COMPUTED_VALUE"""),"solragon")</f>
        <v>solragon</v>
      </c>
      <c r="B11018" s="4" t="str">
        <f>IFERROR(__xludf.DUMMYFUNCTION("""COMPUTED_VALUE"""),"srgn")</f>
        <v>srgn</v>
      </c>
      <c r="C11018" s="4" t="str">
        <f>IFERROR(__xludf.DUMMYFUNCTION("""COMPUTED_VALUE"""),"SolRagon")</f>
        <v>SolRagon</v>
      </c>
    </row>
    <row r="11019">
      <c r="A11019" s="4" t="str">
        <f>IFERROR(__xludf.DUMMYFUNCTION("""COMPUTED_VALUE"""),"solrazr")</f>
        <v>solrazr</v>
      </c>
      <c r="B11019" s="4" t="str">
        <f>IFERROR(__xludf.DUMMYFUNCTION("""COMPUTED_VALUE"""),"solr")</f>
        <v>solr</v>
      </c>
      <c r="C11019" s="4" t="str">
        <f>IFERROR(__xludf.DUMMYFUNCTION("""COMPUTED_VALUE"""),"RazrFi")</f>
        <v>RazrFi</v>
      </c>
    </row>
    <row r="11020">
      <c r="A11020" s="4" t="str">
        <f>IFERROR(__xludf.DUMMYFUNCTION("""COMPUTED_VALUE"""),"solrise-finance")</f>
        <v>solrise-finance</v>
      </c>
      <c r="B11020" s="4" t="str">
        <f>IFERROR(__xludf.DUMMYFUNCTION("""COMPUTED_VALUE"""),"slrs")</f>
        <v>slrs</v>
      </c>
      <c r="C11020" s="4" t="str">
        <f>IFERROR(__xludf.DUMMYFUNCTION("""COMPUTED_VALUE"""),"Solrise Finance")</f>
        <v>Solrise Finance</v>
      </c>
    </row>
    <row r="11021">
      <c r="A11021" s="4" t="str">
        <f>IFERROR(__xludf.DUMMYFUNCTION("""COMPUTED_VALUE"""),"sols")</f>
        <v>sols</v>
      </c>
      <c r="B11021" s="4" t="str">
        <f>IFERROR(__xludf.DUMMYFUNCTION("""COMPUTED_VALUE"""),"sols")</f>
        <v>sols</v>
      </c>
      <c r="C11021" s="4" t="str">
        <f>IFERROR(__xludf.DUMMYFUNCTION("""COMPUTED_VALUE"""),"sols")</f>
        <v>sols</v>
      </c>
    </row>
    <row r="11022">
      <c r="A11022" s="4" t="str">
        <f>IFERROR(__xludf.DUMMYFUNCTION("""COMPUTED_VALUE"""),"solsnap")</f>
        <v>solsnap</v>
      </c>
      <c r="B11022" s="4" t="str">
        <f>IFERROR(__xludf.DUMMYFUNCTION("""COMPUTED_VALUE"""),"snap")</f>
        <v>snap</v>
      </c>
      <c r="C11022" s="4" t="str">
        <f>IFERROR(__xludf.DUMMYFUNCTION("""COMPUTED_VALUE"""),"SolSnap")</f>
        <v>SolSnap</v>
      </c>
    </row>
    <row r="11023">
      <c r="A11023" s="4" t="str">
        <f>IFERROR(__xludf.DUMMYFUNCTION("""COMPUTED_VALUE"""),"sols-ordinals")</f>
        <v>sols-ordinals</v>
      </c>
      <c r="B11023" s="4" t="str">
        <f>IFERROR(__xludf.DUMMYFUNCTION("""COMPUTED_VALUE"""),"sols")</f>
        <v>sols</v>
      </c>
      <c r="C11023" s="4" t="str">
        <f>IFERROR(__xludf.DUMMYFUNCTION("""COMPUTED_VALUE"""),"SOLS (Ordinals)")</f>
        <v>SOLS (Ordinals)</v>
      </c>
    </row>
    <row r="11024">
      <c r="A11024" s="4" t="str">
        <f>IFERROR(__xludf.DUMMYFUNCTION("""COMPUTED_VALUE"""),"solspend")</f>
        <v>solspend</v>
      </c>
      <c r="B11024" s="4" t="str">
        <f>IFERROR(__xludf.DUMMYFUNCTION("""COMPUTED_VALUE"""),"spend")</f>
        <v>spend</v>
      </c>
      <c r="C11024" s="4" t="str">
        <f>IFERROR(__xludf.DUMMYFUNCTION("""COMPUTED_VALUE"""),"SolSpend")</f>
        <v>SolSpend</v>
      </c>
    </row>
    <row r="11025">
      <c r="A11025" s="4" t="str">
        <f>IFERROR(__xludf.DUMMYFUNCTION("""COMPUTED_VALUE"""),"solster")</f>
        <v>solster</v>
      </c>
      <c r="B11025" s="4" t="str">
        <f>IFERROR(__xludf.DUMMYFUNCTION("""COMPUTED_VALUE"""),"str")</f>
        <v>str</v>
      </c>
      <c r="C11025" s="4" t="str">
        <f>IFERROR(__xludf.DUMMYFUNCTION("""COMPUTED_VALUE"""),"Solster")</f>
        <v>Solster</v>
      </c>
    </row>
    <row r="11026">
      <c r="A11026" s="4" t="str">
        <f>IFERROR(__xludf.DUMMYFUNCTION("""COMPUTED_VALUE"""),"solstorm")</f>
        <v>solstorm</v>
      </c>
      <c r="B11026" s="4" t="str">
        <f>IFERROR(__xludf.DUMMYFUNCTION("""COMPUTED_VALUE"""),"storm")</f>
        <v>storm</v>
      </c>
      <c r="C11026" s="4" t="str">
        <f>IFERROR(__xludf.DUMMYFUNCTION("""COMPUTED_VALUE"""),"SOLSTORM")</f>
        <v>SOLSTORM</v>
      </c>
    </row>
    <row r="11027">
      <c r="A11027" s="4" t="str">
        <f>IFERROR(__xludf.DUMMYFUNCTION("""COMPUTED_VALUE"""),"solstream")</f>
        <v>solstream</v>
      </c>
      <c r="B11027" s="4" t="str">
        <f>IFERROR(__xludf.DUMMYFUNCTION("""COMPUTED_VALUE"""),"stream")</f>
        <v>stream</v>
      </c>
      <c r="C11027" s="4" t="str">
        <f>IFERROR(__xludf.DUMMYFUNCTION("""COMPUTED_VALUE"""),"Solstream")</f>
        <v>Solstream</v>
      </c>
    </row>
    <row r="11028">
      <c r="A11028" s="4" t="str">
        <f>IFERROR(__xludf.DUMMYFUNCTION("""COMPUTED_VALUE"""),"soltato-fries")</f>
        <v>soltato-fries</v>
      </c>
      <c r="B11028" s="4" t="str">
        <f>IFERROR(__xludf.DUMMYFUNCTION("""COMPUTED_VALUE"""),"fries")</f>
        <v>fries</v>
      </c>
      <c r="C11028" s="4" t="str">
        <f>IFERROR(__xludf.DUMMYFUNCTION("""COMPUTED_VALUE"""),"Soltato FRIES")</f>
        <v>Soltato FRIES</v>
      </c>
    </row>
    <row r="11029">
      <c r="A11029" s="4" t="str">
        <f>IFERROR(__xludf.DUMMYFUNCTION("""COMPUTED_VALUE"""),"soltradingbot")</f>
        <v>soltradingbot</v>
      </c>
      <c r="B11029" s="4" t="str">
        <f>IFERROR(__xludf.DUMMYFUNCTION("""COMPUTED_VALUE"""),"stbot")</f>
        <v>stbot</v>
      </c>
      <c r="C11029" s="4" t="str">
        <f>IFERROR(__xludf.DUMMYFUNCTION("""COMPUTED_VALUE"""),"SolTradingBot")</f>
        <v>SolTradingBot</v>
      </c>
    </row>
    <row r="11030">
      <c r="A11030" s="4" t="str">
        <f>IFERROR(__xludf.DUMMYFUNCTION("""COMPUTED_VALUE"""),"solum")</f>
        <v>solum</v>
      </c>
      <c r="B11030" s="4" t="str">
        <f>IFERROR(__xludf.DUMMYFUNCTION("""COMPUTED_VALUE"""),"solum")</f>
        <v>solum</v>
      </c>
      <c r="C11030" s="4" t="str">
        <f>IFERROR(__xludf.DUMMYFUNCTION("""COMPUTED_VALUE"""),"Solum")</f>
        <v>Solum</v>
      </c>
    </row>
    <row r="11031">
      <c r="A11031" s="4" t="str">
        <f>IFERROR(__xludf.DUMMYFUNCTION("""COMPUTED_VALUE"""),"solv-btc")</f>
        <v>solv-btc</v>
      </c>
      <c r="B11031" s="4" t="str">
        <f>IFERROR(__xludf.DUMMYFUNCTION("""COMPUTED_VALUE"""),"solvbtc")</f>
        <v>solvbtc</v>
      </c>
      <c r="C11031" s="4" t="str">
        <f>IFERROR(__xludf.DUMMYFUNCTION("""COMPUTED_VALUE"""),"Solv BTC")</f>
        <v>Solv BTC</v>
      </c>
    </row>
    <row r="11032">
      <c r="A11032" s="4" t="str">
        <f>IFERROR(__xludf.DUMMYFUNCTION("""COMPUTED_VALUE"""),"solve-care")</f>
        <v>solve-care</v>
      </c>
      <c r="B11032" s="4" t="str">
        <f>IFERROR(__xludf.DUMMYFUNCTION("""COMPUTED_VALUE"""),"solve")</f>
        <v>solve</v>
      </c>
      <c r="C11032" s="4" t="str">
        <f>IFERROR(__xludf.DUMMYFUNCTION("""COMPUTED_VALUE"""),"SOLVE")</f>
        <v>SOLVE</v>
      </c>
    </row>
    <row r="11033">
      <c r="A11033" s="4" t="str">
        <f>IFERROR(__xludf.DUMMYFUNCTION("""COMPUTED_VALUE"""),"solvegas")</f>
        <v>solvegas</v>
      </c>
      <c r="B11033" s="4" t="str">
        <f>IFERROR(__xludf.DUMMYFUNCTION("""COMPUTED_VALUE"""),"solvegas")</f>
        <v>solvegas</v>
      </c>
      <c r="C11033" s="4" t="str">
        <f>IFERROR(__xludf.DUMMYFUNCTION("""COMPUTED_VALUE"""),"SolVegas")</f>
        <v>SolVegas</v>
      </c>
    </row>
    <row r="11034">
      <c r="A11034" s="4" t="str">
        <f>IFERROR(__xludf.DUMMYFUNCTION("""COMPUTED_VALUE"""),"solv-protocol-stusd")</f>
        <v>solv-protocol-stusd</v>
      </c>
      <c r="B11034" s="4" t="str">
        <f>IFERROR(__xludf.DUMMYFUNCTION("""COMPUTED_VALUE"""),"stusd")</f>
        <v>stusd</v>
      </c>
      <c r="C11034" s="4" t="str">
        <f>IFERROR(__xludf.DUMMYFUNCTION("""COMPUTED_VALUE"""),"Solv Protocol stUSD")</f>
        <v>Solv Protocol stUSD</v>
      </c>
    </row>
    <row r="11035">
      <c r="A11035" s="4" t="str">
        <f>IFERROR(__xludf.DUMMYFUNCTION("""COMPUTED_VALUE"""),"sol-wormhole")</f>
        <v>sol-wormhole</v>
      </c>
      <c r="B11035" s="4" t="str">
        <f>IFERROR(__xludf.DUMMYFUNCTION("""COMPUTED_VALUE"""),"sol")</f>
        <v>sol</v>
      </c>
      <c r="C11035" s="4" t="str">
        <f>IFERROR(__xludf.DUMMYFUNCTION("""COMPUTED_VALUE"""),"SOL (Wormhole)")</f>
        <v>SOL (Wormhole)</v>
      </c>
    </row>
    <row r="11036">
      <c r="A11036" s="4" t="str">
        <f>IFERROR(__xludf.DUMMYFUNCTION("""COMPUTED_VALUE"""),"sol-x")</f>
        <v>sol-x</v>
      </c>
      <c r="B11036" s="4" t="str">
        <f>IFERROR(__xludf.DUMMYFUNCTION("""COMPUTED_VALUE"""),"solx")</f>
        <v>solx</v>
      </c>
      <c r="C11036" s="4" t="str">
        <f>IFERROR(__xludf.DUMMYFUNCTION("""COMPUTED_VALUE"""),"Sol X")</f>
        <v>Sol X</v>
      </c>
    </row>
    <row r="11037">
      <c r="A11037" s="4" t="str">
        <f>IFERROR(__xludf.DUMMYFUNCTION("""COMPUTED_VALUE"""),"solxdex")</f>
        <v>solxdex</v>
      </c>
      <c r="B11037" s="4" t="str">
        <f>IFERROR(__xludf.DUMMYFUNCTION("""COMPUTED_VALUE"""),"solx")</f>
        <v>solx</v>
      </c>
      <c r="C11037" s="4" t="str">
        <f>IFERROR(__xludf.DUMMYFUNCTION("""COMPUTED_VALUE"""),"SolXdex")</f>
        <v>SolXdex</v>
      </c>
    </row>
    <row r="11038">
      <c r="A11038" s="4" t="str">
        <f>IFERROR(__xludf.DUMMYFUNCTION("""COMPUTED_VALUE"""),"solx-gaming-guild")</f>
        <v>solx-gaming-guild</v>
      </c>
      <c r="B11038" s="4" t="str">
        <f>IFERROR(__xludf.DUMMYFUNCTION("""COMPUTED_VALUE"""),"sgg")</f>
        <v>sgg</v>
      </c>
      <c r="C11038" s="4" t="str">
        <f>IFERROR(__xludf.DUMMYFUNCTION("""COMPUTED_VALUE"""),"SolX Gaming Guild")</f>
        <v>SolX Gaming Guild</v>
      </c>
    </row>
    <row r="11039">
      <c r="A11039" s="4" t="str">
        <f>IFERROR(__xludf.DUMMYFUNCTION("""COMPUTED_VALUE"""),"solyard-finance")</f>
        <v>solyard-finance</v>
      </c>
      <c r="B11039" s="4" t="str">
        <f>IFERROR(__xludf.DUMMYFUNCTION("""COMPUTED_VALUE"""),"yard")</f>
        <v>yard</v>
      </c>
      <c r="C11039" s="4" t="str">
        <f>IFERROR(__xludf.DUMMYFUNCTION("""COMPUTED_VALUE"""),"Solyard Finance")</f>
        <v>Solyard Finance</v>
      </c>
    </row>
    <row r="11040">
      <c r="A11040" s="4" t="str">
        <f>IFERROR(__xludf.DUMMYFUNCTION("""COMPUTED_VALUE"""),"solzilla")</f>
        <v>solzilla</v>
      </c>
      <c r="B11040" s="4" t="str">
        <f>IFERROR(__xludf.DUMMYFUNCTION("""COMPUTED_VALUE"""),"solzilla")</f>
        <v>solzilla</v>
      </c>
      <c r="C11040" s="4" t="str">
        <f>IFERROR(__xludf.DUMMYFUNCTION("""COMPUTED_VALUE"""),"Solzilla")</f>
        <v>Solzilla</v>
      </c>
    </row>
    <row r="11041">
      <c r="A11041" s="4" t="str">
        <f>IFERROR(__xludf.DUMMYFUNCTION("""COMPUTED_VALUE"""),"sombra-network")</f>
        <v>sombra-network</v>
      </c>
      <c r="B11041" s="4" t="str">
        <f>IFERROR(__xludf.DUMMYFUNCTION("""COMPUTED_VALUE"""),"smbr")</f>
        <v>smbr</v>
      </c>
      <c r="C11041" s="4" t="str">
        <f>IFERROR(__xludf.DUMMYFUNCTION("""COMPUTED_VALUE"""),"Sombra")</f>
        <v>Sombra</v>
      </c>
    </row>
    <row r="11042">
      <c r="A11042" s="4" t="str">
        <f>IFERROR(__xludf.DUMMYFUNCTION("""COMPUTED_VALUE"""),"somee-social")</f>
        <v>somee-social</v>
      </c>
      <c r="B11042" s="4" t="str">
        <f>IFERROR(__xludf.DUMMYFUNCTION("""COMPUTED_VALUE"""),"somee")</f>
        <v>somee</v>
      </c>
      <c r="C11042" s="4" t="str">
        <f>IFERROR(__xludf.DUMMYFUNCTION("""COMPUTED_VALUE"""),"SoMee.Social")</f>
        <v>SoMee.Social</v>
      </c>
    </row>
    <row r="11043">
      <c r="A11043" s="4" t="str">
        <f>IFERROR(__xludf.DUMMYFUNCTION("""COMPUTED_VALUE"""),"somesing")</f>
        <v>somesing</v>
      </c>
      <c r="B11043" s="4" t="str">
        <f>IFERROR(__xludf.DUMMYFUNCTION("""COMPUTED_VALUE"""),"ssx")</f>
        <v>ssx</v>
      </c>
      <c r="C11043" s="4" t="str">
        <f>IFERROR(__xludf.DUMMYFUNCTION("""COMPUTED_VALUE"""),"SOMESING Exchange")</f>
        <v>SOMESING Exchange</v>
      </c>
    </row>
    <row r="11044">
      <c r="A11044" s="4" t="str">
        <f>IFERROR(__xludf.DUMMYFUNCTION("""COMPUTED_VALUE"""),"sommelier")</f>
        <v>sommelier</v>
      </c>
      <c r="B11044" s="4" t="str">
        <f>IFERROR(__xludf.DUMMYFUNCTION("""COMPUTED_VALUE"""),"somm")</f>
        <v>somm</v>
      </c>
      <c r="C11044" s="4" t="str">
        <f>IFERROR(__xludf.DUMMYFUNCTION("""COMPUTED_VALUE"""),"Sommelier")</f>
        <v>Sommelier</v>
      </c>
    </row>
    <row r="11045">
      <c r="A11045" s="4" t="str">
        <f>IFERROR(__xludf.DUMMYFUNCTION("""COMPUTED_VALUE"""),"somnium-space-cubes")</f>
        <v>somnium-space-cubes</v>
      </c>
      <c r="B11045" s="4" t="str">
        <f>IFERROR(__xludf.DUMMYFUNCTION("""COMPUTED_VALUE"""),"cube")</f>
        <v>cube</v>
      </c>
      <c r="C11045" s="4" t="str">
        <f>IFERROR(__xludf.DUMMYFUNCTION("""COMPUTED_VALUE"""),"Somnium Space CUBEs")</f>
        <v>Somnium Space CUBEs</v>
      </c>
    </row>
    <row r="11046">
      <c r="A11046" s="4" t="str">
        <f>IFERROR(__xludf.DUMMYFUNCTION("""COMPUTED_VALUE"""),"sonarwatch")</f>
        <v>sonarwatch</v>
      </c>
      <c r="B11046" s="4" t="str">
        <f>IFERROR(__xludf.DUMMYFUNCTION("""COMPUTED_VALUE"""),"sonar")</f>
        <v>sonar</v>
      </c>
      <c r="C11046" s="4" t="str">
        <f>IFERROR(__xludf.DUMMYFUNCTION("""COMPUTED_VALUE"""),"SonarWatch")</f>
        <v>SonarWatch</v>
      </c>
    </row>
    <row r="11047">
      <c r="A11047" s="4" t="str">
        <f>IFERROR(__xludf.DUMMYFUNCTION("""COMPUTED_VALUE"""),"sonata-network")</f>
        <v>sonata-network</v>
      </c>
      <c r="B11047" s="4" t="str">
        <f>IFERROR(__xludf.DUMMYFUNCTION("""COMPUTED_VALUE"""),"sona")</f>
        <v>sona</v>
      </c>
      <c r="C11047" s="4" t="str">
        <f>IFERROR(__xludf.DUMMYFUNCTION("""COMPUTED_VALUE"""),"Sonata Network")</f>
        <v>Sonata Network</v>
      </c>
    </row>
    <row r="11048">
      <c r="A11048" s="4" t="str">
        <f>IFERROR(__xludf.DUMMYFUNCTION("""COMPUTED_VALUE"""),"songbird")</f>
        <v>songbird</v>
      </c>
      <c r="B11048" s="4" t="str">
        <f>IFERROR(__xludf.DUMMYFUNCTION("""COMPUTED_VALUE"""),"sgb")</f>
        <v>sgb</v>
      </c>
      <c r="C11048" s="4" t="str">
        <f>IFERROR(__xludf.DUMMYFUNCTION("""COMPUTED_VALUE"""),"Songbird")</f>
        <v>Songbird</v>
      </c>
    </row>
    <row r="11049">
      <c r="A11049" s="4" t="str">
        <f>IFERROR(__xludf.DUMMYFUNCTION("""COMPUTED_VALUE"""),"songbird-finance")</f>
        <v>songbird-finance</v>
      </c>
      <c r="B11049" s="4" t="str">
        <f>IFERROR(__xludf.DUMMYFUNCTION("""COMPUTED_VALUE"""),"sfin")</f>
        <v>sfin</v>
      </c>
      <c r="C11049" s="4" t="str">
        <f>IFERROR(__xludf.DUMMYFUNCTION("""COMPUTED_VALUE"""),"Songbird Finance")</f>
        <v>Songbird Finance</v>
      </c>
    </row>
    <row r="11050">
      <c r="A11050" s="4" t="str">
        <f>IFERROR(__xludf.DUMMYFUNCTION("""COMPUTED_VALUE"""),"sonic-2")</f>
        <v>sonic-2</v>
      </c>
      <c r="B11050" s="4" t="str">
        <f>IFERROR(__xludf.DUMMYFUNCTION("""COMPUTED_VALUE"""),"sonic")</f>
        <v>sonic</v>
      </c>
      <c r="C11050" s="4" t="str">
        <f>IFERROR(__xludf.DUMMYFUNCTION("""COMPUTED_VALUE"""),"Sonic")</f>
        <v>Sonic</v>
      </c>
    </row>
    <row r="11051">
      <c r="A11051" s="4" t="str">
        <f>IFERROR(__xludf.DUMMYFUNCTION("""COMPUTED_VALUE"""),"sonic-goat")</f>
        <v>sonic-goat</v>
      </c>
      <c r="B11051" s="4" t="str">
        <f>IFERROR(__xludf.DUMMYFUNCTION("""COMPUTED_VALUE"""),"sgoat")</f>
        <v>sgoat</v>
      </c>
      <c r="C11051" s="4" t="str">
        <f>IFERROR(__xludf.DUMMYFUNCTION("""COMPUTED_VALUE"""),"Sonic Goat")</f>
        <v>Sonic Goat</v>
      </c>
    </row>
    <row r="11052">
      <c r="A11052" s="4" t="str">
        <f>IFERROR(__xludf.DUMMYFUNCTION("""COMPUTED_VALUE"""),"sonic-hotdog")</f>
        <v>sonic-hotdog</v>
      </c>
      <c r="B11052" s="4" t="str">
        <f>IFERROR(__xludf.DUMMYFUNCTION("""COMPUTED_VALUE"""),"hotdog")</f>
        <v>hotdog</v>
      </c>
      <c r="C11052" s="4" t="str">
        <f>IFERROR(__xludf.DUMMYFUNCTION("""COMPUTED_VALUE"""),"Sonic")</f>
        <v>Sonic</v>
      </c>
    </row>
    <row r="11053">
      <c r="A11053" s="4" t="str">
        <f>IFERROR(__xludf.DUMMYFUNCTION("""COMPUTED_VALUE"""),"sonic-inu")</f>
        <v>sonic-inu</v>
      </c>
      <c r="B11053" s="4" t="str">
        <f>IFERROR(__xludf.DUMMYFUNCTION("""COMPUTED_VALUE"""),"sonic")</f>
        <v>sonic</v>
      </c>
      <c r="C11053" s="4" t="str">
        <f>IFERROR(__xludf.DUMMYFUNCTION("""COMPUTED_VALUE"""),"Sonic Inu")</f>
        <v>Sonic Inu</v>
      </c>
    </row>
    <row r="11054">
      <c r="A11054" s="4" t="str">
        <f>IFERROR(__xludf.DUMMYFUNCTION("""COMPUTED_VALUE"""),"sonicpad")</f>
        <v>sonicpad</v>
      </c>
      <c r="B11054" s="4" t="str">
        <f>IFERROR(__xludf.DUMMYFUNCTION("""COMPUTED_VALUE"""),"snc")</f>
        <v>snc</v>
      </c>
      <c r="C11054" s="4" t="str">
        <f>IFERROR(__xludf.DUMMYFUNCTION("""COMPUTED_VALUE"""),"Sonicpad")</f>
        <v>Sonicpad</v>
      </c>
    </row>
    <row r="11055">
      <c r="A11055" s="4" t="str">
        <f>IFERROR(__xludf.DUMMYFUNCTION("""COMPUTED_VALUE"""),"sonic-sniper-bot")</f>
        <v>sonic-sniper-bot</v>
      </c>
      <c r="B11055" s="4" t="str">
        <f>IFERROR(__xludf.DUMMYFUNCTION("""COMPUTED_VALUE"""),"sonic")</f>
        <v>sonic</v>
      </c>
      <c r="C11055" s="4" t="str">
        <f>IFERROR(__xludf.DUMMYFUNCTION("""COMPUTED_VALUE"""),"Sonic Sniper BOT")</f>
        <v>Sonic Sniper BOT</v>
      </c>
    </row>
    <row r="11056">
      <c r="A11056" s="4" t="str">
        <f>IFERROR(__xludf.DUMMYFUNCTION("""COMPUTED_VALUE"""),"sonic-suite")</f>
        <v>sonic-suite</v>
      </c>
      <c r="B11056" s="4" t="str">
        <f>IFERROR(__xludf.DUMMYFUNCTION("""COMPUTED_VALUE"""),"sonic")</f>
        <v>sonic</v>
      </c>
      <c r="C11056" s="4" t="str">
        <f>IFERROR(__xludf.DUMMYFUNCTION("""COMPUTED_VALUE"""),"Sonic Suite")</f>
        <v>Sonic Suite</v>
      </c>
    </row>
    <row r="11057">
      <c r="A11057" s="4" t="str">
        <f>IFERROR(__xludf.DUMMYFUNCTION("""COMPUTED_VALUE"""),"sonik")</f>
        <v>sonik</v>
      </c>
      <c r="B11057" s="4" t="str">
        <f>IFERROR(__xludf.DUMMYFUNCTION("""COMPUTED_VALUE"""),"sonik")</f>
        <v>sonik</v>
      </c>
      <c r="C11057" s="4" t="str">
        <f>IFERROR(__xludf.DUMMYFUNCTION("""COMPUTED_VALUE"""),"SONIK")</f>
        <v>SONIK</v>
      </c>
    </row>
    <row r="11058">
      <c r="A11058" s="4" t="str">
        <f>IFERROR(__xludf.DUMMYFUNCTION("""COMPUTED_VALUE"""),"sonm")</f>
        <v>sonm</v>
      </c>
      <c r="B11058" s="4" t="str">
        <f>IFERROR(__xludf.DUMMYFUNCTION("""COMPUTED_VALUE"""),"snm")</f>
        <v>snm</v>
      </c>
      <c r="C11058" s="4" t="str">
        <f>IFERROR(__xludf.DUMMYFUNCTION("""COMPUTED_VALUE"""),"SONM")</f>
        <v>SONM</v>
      </c>
    </row>
    <row r="11059">
      <c r="A11059" s="4" t="str">
        <f>IFERROR(__xludf.DUMMYFUNCTION("""COMPUTED_VALUE"""),"sonne-finance")</f>
        <v>sonne-finance</v>
      </c>
      <c r="B11059" s="4" t="str">
        <f>IFERROR(__xludf.DUMMYFUNCTION("""COMPUTED_VALUE"""),"sonne")</f>
        <v>sonne</v>
      </c>
      <c r="C11059" s="4" t="str">
        <f>IFERROR(__xludf.DUMMYFUNCTION("""COMPUTED_VALUE"""),"Sonne Finance")</f>
        <v>Sonne Finance</v>
      </c>
    </row>
    <row r="11060">
      <c r="A11060" s="4" t="str">
        <f>IFERROR(__xludf.DUMMYFUNCTION("""COMPUTED_VALUE"""),"sonocoin")</f>
        <v>sonocoin</v>
      </c>
      <c r="B11060" s="4" t="str">
        <f>IFERROR(__xludf.DUMMYFUNCTION("""COMPUTED_VALUE"""),"sono")</f>
        <v>sono</v>
      </c>
      <c r="C11060" s="4" t="str">
        <f>IFERROR(__xludf.DUMMYFUNCTION("""COMPUTED_VALUE"""),"SonoCoin")</f>
        <v>SonoCoin</v>
      </c>
    </row>
    <row r="11061">
      <c r="A11061" s="4" t="str">
        <f>IFERROR(__xludf.DUMMYFUNCTION("""COMPUTED_VALUE"""),"son-of-brett")</f>
        <v>son-of-brett</v>
      </c>
      <c r="B11061" s="4" t="str">
        <f>IFERROR(__xludf.DUMMYFUNCTION("""COMPUTED_VALUE"""),"bratt")</f>
        <v>bratt</v>
      </c>
      <c r="C11061" s="4" t="str">
        <f>IFERROR(__xludf.DUMMYFUNCTION("""COMPUTED_VALUE"""),"Son of Brett")</f>
        <v>Son of Brett</v>
      </c>
    </row>
    <row r="11062">
      <c r="A11062" s="4" t="str">
        <f>IFERROR(__xludf.DUMMYFUNCTION("""COMPUTED_VALUE"""),"son-of-pepe")</f>
        <v>son-of-pepe</v>
      </c>
      <c r="B11062" s="4" t="str">
        <f>IFERROR(__xludf.DUMMYFUNCTION("""COMPUTED_VALUE"""),"sop")</f>
        <v>sop</v>
      </c>
      <c r="C11062" s="4" t="str">
        <f>IFERROR(__xludf.DUMMYFUNCTION("""COMPUTED_VALUE"""),"Son Of Pepe")</f>
        <v>Son Of Pepe</v>
      </c>
    </row>
    <row r="11063">
      <c r="A11063" s="4" t="str">
        <f>IFERROR(__xludf.DUMMYFUNCTION("""COMPUTED_VALUE"""),"sonorus")</f>
        <v>sonorus</v>
      </c>
      <c r="B11063" s="4" t="str">
        <f>IFERROR(__xludf.DUMMYFUNCTION("""COMPUTED_VALUE"""),"sns")</f>
        <v>sns</v>
      </c>
      <c r="C11063" s="4" t="str">
        <f>IFERROR(__xludf.DUMMYFUNCTION("""COMPUTED_VALUE"""),"Sonorus")</f>
        <v>Sonorus</v>
      </c>
    </row>
    <row r="11064">
      <c r="A11064" s="4" t="str">
        <f>IFERROR(__xludf.DUMMYFUNCTION("""COMPUTED_VALUE"""),"soonswap")</f>
        <v>soonswap</v>
      </c>
      <c r="B11064" s="4" t="str">
        <f>IFERROR(__xludf.DUMMYFUNCTION("""COMPUTED_VALUE"""),"soon")</f>
        <v>soon</v>
      </c>
      <c r="C11064" s="4" t="str">
        <f>IFERROR(__xludf.DUMMYFUNCTION("""COMPUTED_VALUE"""),"SoonVerse")</f>
        <v>SoonVerse</v>
      </c>
    </row>
    <row r="11065">
      <c r="A11065" s="4" t="str">
        <f>IFERROR(__xludf.DUMMYFUNCTION("""COMPUTED_VALUE"""),"sopay")</f>
        <v>sopay</v>
      </c>
      <c r="B11065" s="4" t="str">
        <f>IFERROR(__xludf.DUMMYFUNCTION("""COMPUTED_VALUE"""),"sop")</f>
        <v>sop</v>
      </c>
      <c r="C11065" s="4" t="str">
        <f>IFERROR(__xludf.DUMMYFUNCTION("""COMPUTED_VALUE"""),"SoPay")</f>
        <v>SoPay</v>
      </c>
    </row>
    <row r="11066">
      <c r="A11066" s="4" t="str">
        <f>IFERROR(__xludf.DUMMYFUNCTION("""COMPUTED_VALUE"""),"sopermen")</f>
        <v>sopermen</v>
      </c>
      <c r="B11066" s="4" t="str">
        <f>IFERROR(__xludf.DUMMYFUNCTION("""COMPUTED_VALUE"""),"soopy")</f>
        <v>soopy</v>
      </c>
      <c r="C11066" s="4" t="str">
        <f>IFERROR(__xludf.DUMMYFUNCTION("""COMPUTED_VALUE"""),"Sopermen")</f>
        <v>Sopermen</v>
      </c>
    </row>
    <row r="11067">
      <c r="A11067" s="4" t="str">
        <f>IFERROR(__xludf.DUMMYFUNCTION("""COMPUTED_VALUE"""),"sophiaverse")</f>
        <v>sophiaverse</v>
      </c>
      <c r="B11067" s="4" t="str">
        <f>IFERROR(__xludf.DUMMYFUNCTION("""COMPUTED_VALUE"""),"soph")</f>
        <v>soph</v>
      </c>
      <c r="C11067" s="4" t="str">
        <f>IFERROR(__xludf.DUMMYFUNCTION("""COMPUTED_VALUE"""),"SophiaVerse")</f>
        <v>SophiaVerse</v>
      </c>
    </row>
    <row r="11068">
      <c r="A11068" s="4" t="str">
        <f>IFERROR(__xludf.DUMMYFUNCTION("""COMPUTED_VALUE"""),"sora")</f>
        <v>sora</v>
      </c>
      <c r="B11068" s="4" t="str">
        <f>IFERROR(__xludf.DUMMYFUNCTION("""COMPUTED_VALUE"""),"xor")</f>
        <v>xor</v>
      </c>
      <c r="C11068" s="4" t="str">
        <f>IFERROR(__xludf.DUMMYFUNCTION("""COMPUTED_VALUE"""),"Sora")</f>
        <v>Sora</v>
      </c>
    </row>
    <row r="11069">
      <c r="A11069" s="4" t="str">
        <f>IFERROR(__xludf.DUMMYFUNCTION("""COMPUTED_VALUE"""),"sora-ai")</f>
        <v>sora-ai</v>
      </c>
      <c r="B11069" s="4" t="str">
        <f>IFERROR(__xludf.DUMMYFUNCTION("""COMPUTED_VALUE"""),"sora")</f>
        <v>sora</v>
      </c>
      <c r="C11069" s="4" t="str">
        <f>IFERROR(__xludf.DUMMYFUNCTION("""COMPUTED_VALUE"""),"Sora AI")</f>
        <v>Sora AI</v>
      </c>
    </row>
    <row r="11070">
      <c r="A11070" s="4" t="str">
        <f>IFERROR(__xludf.DUMMYFUNCTION("""COMPUTED_VALUE"""),"sorabtc-ordinals")</f>
        <v>sorabtc-ordinals</v>
      </c>
      <c r="B11070" s="4" t="str">
        <f>IFERROR(__xludf.DUMMYFUNCTION("""COMPUTED_VALUE"""),"sorabtc")</f>
        <v>sorabtc</v>
      </c>
      <c r="C11070" s="4" t="str">
        <f>IFERROR(__xludf.DUMMYFUNCTION("""COMPUTED_VALUE"""),"SoraBTC (Ordinals)")</f>
        <v>SoraBTC (Ordinals)</v>
      </c>
    </row>
    <row r="11071">
      <c r="A11071" s="4" t="str">
        <f>IFERROR(__xludf.DUMMYFUNCTION("""COMPUTED_VALUE"""),"sora-ceo")</f>
        <v>sora-ceo</v>
      </c>
      <c r="B11071" s="4" t="str">
        <f>IFERROR(__xludf.DUMMYFUNCTION("""COMPUTED_VALUE"""),"soraceo")</f>
        <v>soraceo</v>
      </c>
      <c r="C11071" s="4" t="str">
        <f>IFERROR(__xludf.DUMMYFUNCTION("""COMPUTED_VALUE"""),"SORA CEO")</f>
        <v>SORA CEO</v>
      </c>
    </row>
    <row r="11072">
      <c r="A11072" s="4" t="str">
        <f>IFERROR(__xludf.DUMMYFUNCTION("""COMPUTED_VALUE"""),"sorachancoin")</f>
        <v>sorachancoin</v>
      </c>
      <c r="B11072" s="4" t="str">
        <f>IFERROR(__xludf.DUMMYFUNCTION("""COMPUTED_VALUE"""),"sora")</f>
        <v>sora</v>
      </c>
      <c r="C11072" s="4" t="str">
        <f>IFERROR(__xludf.DUMMYFUNCTION("""COMPUTED_VALUE"""),"SorachanCoin")</f>
        <v>SorachanCoin</v>
      </c>
    </row>
    <row r="11073">
      <c r="A11073" s="4" t="str">
        <f>IFERROR(__xludf.DUMMYFUNCTION("""COMPUTED_VALUE"""),"sora-doge")</f>
        <v>sora-doge</v>
      </c>
      <c r="B11073" s="4" t="str">
        <f>IFERROR(__xludf.DUMMYFUNCTION("""COMPUTED_VALUE"""),"soradoge")</f>
        <v>soradoge</v>
      </c>
      <c r="C11073" s="4" t="str">
        <f>IFERROR(__xludf.DUMMYFUNCTION("""COMPUTED_VALUE"""),"Sora Doge")</f>
        <v>Sora Doge</v>
      </c>
    </row>
    <row r="11074">
      <c r="A11074" s="4" t="str">
        <f>IFERROR(__xludf.DUMMYFUNCTION("""COMPUTED_VALUE"""),"sora-solana")</f>
        <v>sora-solana</v>
      </c>
      <c r="B11074" s="4" t="str">
        <f>IFERROR(__xludf.DUMMYFUNCTION("""COMPUTED_VALUE"""),"sora")</f>
        <v>sora</v>
      </c>
      <c r="C11074" s="4" t="str">
        <f>IFERROR(__xludf.DUMMYFUNCTION("""COMPUTED_VALUE"""),"Sora Solana")</f>
        <v>Sora Solana</v>
      </c>
    </row>
    <row r="11075">
      <c r="A11075" s="4" t="str">
        <f>IFERROR(__xludf.DUMMYFUNCTION("""COMPUTED_VALUE"""),"sora-synthetic-brl")</f>
        <v>sora-synthetic-brl</v>
      </c>
      <c r="B11075" s="4" t="str">
        <f>IFERROR(__xludf.DUMMYFUNCTION("""COMPUTED_VALUE"""),"xstbrl")</f>
        <v>xstbrl</v>
      </c>
      <c r="C11075" s="4" t="str">
        <f>IFERROR(__xludf.DUMMYFUNCTION("""COMPUTED_VALUE"""),"SORA Synthetic BRL")</f>
        <v>SORA Synthetic BRL</v>
      </c>
    </row>
    <row r="11076">
      <c r="A11076" s="4" t="str">
        <f>IFERROR(__xludf.DUMMYFUNCTION("""COMPUTED_VALUE"""),"sora-synthetic-btc")</f>
        <v>sora-synthetic-btc</v>
      </c>
      <c r="B11076" s="4" t="str">
        <f>IFERROR(__xludf.DUMMYFUNCTION("""COMPUTED_VALUE"""),"xstbtc")</f>
        <v>xstbtc</v>
      </c>
      <c r="C11076" s="4" t="str">
        <f>IFERROR(__xludf.DUMMYFUNCTION("""COMPUTED_VALUE"""),"SORA Synthetic BTC")</f>
        <v>SORA Synthetic BTC</v>
      </c>
    </row>
    <row r="11077">
      <c r="A11077" s="4" t="str">
        <f>IFERROR(__xludf.DUMMYFUNCTION("""COMPUTED_VALUE"""),"sora-synthetic-chf")</f>
        <v>sora-synthetic-chf</v>
      </c>
      <c r="B11077" s="4" t="str">
        <f>IFERROR(__xludf.DUMMYFUNCTION("""COMPUTED_VALUE"""),"xstchf")</f>
        <v>xstchf</v>
      </c>
      <c r="C11077" s="4" t="str">
        <f>IFERROR(__xludf.DUMMYFUNCTION("""COMPUTED_VALUE"""),"SORA Synthetic CHF")</f>
        <v>SORA Synthetic CHF</v>
      </c>
    </row>
    <row r="11078">
      <c r="A11078" s="4" t="str">
        <f>IFERROR(__xludf.DUMMYFUNCTION("""COMPUTED_VALUE"""),"sora-synthetic-cny")</f>
        <v>sora-synthetic-cny</v>
      </c>
      <c r="B11078" s="4" t="str">
        <f>IFERROR(__xludf.DUMMYFUNCTION("""COMPUTED_VALUE"""),"xstcny")</f>
        <v>xstcny</v>
      </c>
      <c r="C11078" s="4" t="str">
        <f>IFERROR(__xludf.DUMMYFUNCTION("""COMPUTED_VALUE"""),"SORA Synthetic CNY")</f>
        <v>SORA Synthetic CNY</v>
      </c>
    </row>
    <row r="11079">
      <c r="A11079" s="4" t="str">
        <f>IFERROR(__xludf.DUMMYFUNCTION("""COMPUTED_VALUE"""),"sora-synthetic-eur")</f>
        <v>sora-synthetic-eur</v>
      </c>
      <c r="B11079" s="4" t="str">
        <f>IFERROR(__xludf.DUMMYFUNCTION("""COMPUTED_VALUE"""),"xsteur")</f>
        <v>xsteur</v>
      </c>
      <c r="C11079" s="4" t="str">
        <f>IFERROR(__xludf.DUMMYFUNCTION("""COMPUTED_VALUE"""),"SORA Synthetic EUR")</f>
        <v>SORA Synthetic EUR</v>
      </c>
    </row>
    <row r="11080">
      <c r="A11080" s="4" t="str">
        <f>IFERROR(__xludf.DUMMYFUNCTION("""COMPUTED_VALUE"""),"sora-synthetic-gbp")</f>
        <v>sora-synthetic-gbp</v>
      </c>
      <c r="B11080" s="4" t="str">
        <f>IFERROR(__xludf.DUMMYFUNCTION("""COMPUTED_VALUE"""),"xstgbp")</f>
        <v>xstgbp</v>
      </c>
      <c r="C11080" s="4" t="str">
        <f>IFERROR(__xludf.DUMMYFUNCTION("""COMPUTED_VALUE"""),"SORA Synthetic GBP")</f>
        <v>SORA Synthetic GBP</v>
      </c>
    </row>
    <row r="11081">
      <c r="A11081" s="4" t="str">
        <f>IFERROR(__xludf.DUMMYFUNCTION("""COMPUTED_VALUE"""),"sora-synthetic-jpy")</f>
        <v>sora-synthetic-jpy</v>
      </c>
      <c r="B11081" s="4" t="str">
        <f>IFERROR(__xludf.DUMMYFUNCTION("""COMPUTED_VALUE"""),"xstjpy")</f>
        <v>xstjpy</v>
      </c>
      <c r="C11081" s="4" t="str">
        <f>IFERROR(__xludf.DUMMYFUNCTION("""COMPUTED_VALUE"""),"SORA Synthetic JPY")</f>
        <v>SORA Synthetic JPY</v>
      </c>
    </row>
    <row r="11082">
      <c r="A11082" s="4" t="str">
        <f>IFERROR(__xludf.DUMMYFUNCTION("""COMPUTED_VALUE"""),"sora-synthetic-ltc")</f>
        <v>sora-synthetic-ltc</v>
      </c>
      <c r="B11082" s="4" t="str">
        <f>IFERROR(__xludf.DUMMYFUNCTION("""COMPUTED_VALUE"""),"xstltc")</f>
        <v>xstltc</v>
      </c>
      <c r="C11082" s="4" t="str">
        <f>IFERROR(__xludf.DUMMYFUNCTION("""COMPUTED_VALUE"""),"SORA Synthetic LTC")</f>
        <v>SORA Synthetic LTC</v>
      </c>
    </row>
    <row r="11083">
      <c r="A11083" s="4" t="str">
        <f>IFERROR(__xludf.DUMMYFUNCTION("""COMPUTED_VALUE"""),"sora-synthetic-rub")</f>
        <v>sora-synthetic-rub</v>
      </c>
      <c r="B11083" s="4" t="str">
        <f>IFERROR(__xludf.DUMMYFUNCTION("""COMPUTED_VALUE"""),"xstrub")</f>
        <v>xstrub</v>
      </c>
      <c r="C11083" s="4" t="str">
        <f>IFERROR(__xludf.DUMMYFUNCTION("""COMPUTED_VALUE"""),"SORA Synthetic RUB")</f>
        <v>SORA Synthetic RUB</v>
      </c>
    </row>
    <row r="11084">
      <c r="A11084" s="4" t="str">
        <f>IFERROR(__xludf.DUMMYFUNCTION("""COMPUTED_VALUE"""),"sora-synthetics")</f>
        <v>sora-synthetics</v>
      </c>
      <c r="B11084" s="4" t="str">
        <f>IFERROR(__xludf.DUMMYFUNCTION("""COMPUTED_VALUE"""),"xst")</f>
        <v>xst</v>
      </c>
      <c r="C11084" s="4" t="str">
        <f>IFERROR(__xludf.DUMMYFUNCTION("""COMPUTED_VALUE"""),"SORA Synthetics")</f>
        <v>SORA Synthetics</v>
      </c>
    </row>
    <row r="11085">
      <c r="A11085" s="4" t="str">
        <f>IFERROR(__xludf.DUMMYFUNCTION("""COMPUTED_VALUE"""),"sora-synthetic-usd")</f>
        <v>sora-synthetic-usd</v>
      </c>
      <c r="B11085" s="4" t="str">
        <f>IFERROR(__xludf.DUMMYFUNCTION("""COMPUTED_VALUE"""),"xstusd")</f>
        <v>xstusd</v>
      </c>
      <c r="C11085" s="4" t="str">
        <f>IFERROR(__xludf.DUMMYFUNCTION("""COMPUTED_VALUE"""),"SORA Synthetic USD")</f>
        <v>SORA Synthetic USD</v>
      </c>
    </row>
    <row r="11086">
      <c r="A11086" s="4" t="str">
        <f>IFERROR(__xludf.DUMMYFUNCTION("""COMPUTED_VALUE"""),"sora-synthetic-xag")</f>
        <v>sora-synthetic-xag</v>
      </c>
      <c r="B11086" s="4" t="str">
        <f>IFERROR(__xludf.DUMMYFUNCTION("""COMPUTED_VALUE"""),"xstxag")</f>
        <v>xstxag</v>
      </c>
      <c r="C11086" s="4" t="str">
        <f>IFERROR(__xludf.DUMMYFUNCTION("""COMPUTED_VALUE"""),"SORA Synthetic XAG")</f>
        <v>SORA Synthetic XAG</v>
      </c>
    </row>
    <row r="11087">
      <c r="A11087" s="4" t="str">
        <f>IFERROR(__xludf.DUMMYFUNCTION("""COMPUTED_VALUE"""),"sora-validator-token")</f>
        <v>sora-validator-token</v>
      </c>
      <c r="B11087" s="4" t="str">
        <f>IFERROR(__xludf.DUMMYFUNCTION("""COMPUTED_VALUE"""),"val")</f>
        <v>val</v>
      </c>
      <c r="C11087" s="4" t="str">
        <f>IFERROR(__xludf.DUMMYFUNCTION("""COMPUTED_VALUE"""),"Sora Validator")</f>
        <v>Sora Validator</v>
      </c>
    </row>
    <row r="11088">
      <c r="A11088" s="4" t="str">
        <f>IFERROR(__xludf.DUMMYFUNCTION("""COMPUTED_VALUE"""),"sorcery-finance")</f>
        <v>sorcery-finance</v>
      </c>
      <c r="B11088" s="4" t="str">
        <f>IFERROR(__xludf.DUMMYFUNCTION("""COMPUTED_VALUE"""),"sor")</f>
        <v>sor</v>
      </c>
      <c r="C11088" s="4" t="str">
        <f>IFERROR(__xludf.DUMMYFUNCTION("""COMPUTED_VALUE"""),"Sorcery Finance")</f>
        <v>Sorcery Finance</v>
      </c>
    </row>
    <row r="11089">
      <c r="A11089" s="4" t="str">
        <f>IFERROR(__xludf.DUMMYFUNCTION("""COMPUTED_VALUE"""),"soroosh-smart-ecosystem")</f>
        <v>soroosh-smart-ecosystem</v>
      </c>
      <c r="B11089" s="4" t="str">
        <f>IFERROR(__xludf.DUMMYFUNCTION("""COMPUTED_VALUE"""),"sse")</f>
        <v>sse</v>
      </c>
      <c r="C11089" s="4" t="str">
        <f>IFERROR(__xludf.DUMMYFUNCTION("""COMPUTED_VALUE"""),"Soroosh Smart Ecosystem")</f>
        <v>Soroosh Smart Ecosystem</v>
      </c>
    </row>
    <row r="11090">
      <c r="A11090" s="4" t="str">
        <f>IFERROR(__xludf.DUMMYFUNCTION("""COMPUTED_VALUE"""),"soros")</f>
        <v>soros</v>
      </c>
      <c r="B11090" s="4" t="str">
        <f>IFERROR(__xludf.DUMMYFUNCTION("""COMPUTED_VALUE"""),"sor")</f>
        <v>sor</v>
      </c>
      <c r="C11090" s="4" t="str">
        <f>IFERROR(__xludf.DUMMYFUNCTION("""COMPUTED_VALUE"""),"Soros")</f>
        <v>Soros</v>
      </c>
    </row>
    <row r="11091">
      <c r="A11091" s="4" t="str">
        <f>IFERROR(__xludf.DUMMYFUNCTION("""COMPUTED_VALUE"""),"soulboundid")</f>
        <v>soulboundid</v>
      </c>
      <c r="B11091" s="4" t="str">
        <f>IFERROR(__xludf.DUMMYFUNCTION("""COMPUTED_VALUE"""),"soulb")</f>
        <v>soulb</v>
      </c>
      <c r="C11091" s="4" t="str">
        <f>IFERROR(__xludf.DUMMYFUNCTION("""COMPUTED_VALUE"""),"SoulboundID")</f>
        <v>SoulboundID</v>
      </c>
    </row>
    <row r="11092">
      <c r="A11092" s="4" t="str">
        <f>IFERROR(__xludf.DUMMYFUNCTION("""COMPUTED_VALUE"""),"soul-dog-city-bones")</f>
        <v>soul-dog-city-bones</v>
      </c>
      <c r="B11092" s="4" t="str">
        <f>IFERROR(__xludf.DUMMYFUNCTION("""COMPUTED_VALUE"""),"bones")</f>
        <v>bones</v>
      </c>
      <c r="C11092" s="4" t="str">
        <f>IFERROR(__xludf.DUMMYFUNCTION("""COMPUTED_VALUE"""),"Soul Dogs City Bones")</f>
        <v>Soul Dogs City Bones</v>
      </c>
    </row>
    <row r="11093">
      <c r="A11093" s="4" t="str">
        <f>IFERROR(__xludf.DUMMYFUNCTION("""COMPUTED_VALUE"""),"soulocoin")</f>
        <v>soulocoin</v>
      </c>
      <c r="B11093" s="4" t="str">
        <f>IFERROR(__xludf.DUMMYFUNCTION("""COMPUTED_VALUE"""),"soulo")</f>
        <v>soulo</v>
      </c>
      <c r="C11093" s="4" t="str">
        <f>IFERROR(__xludf.DUMMYFUNCTION("""COMPUTED_VALUE"""),"SouloCoin")</f>
        <v>SouloCoin</v>
      </c>
    </row>
    <row r="11094">
      <c r="A11094" s="4" t="str">
        <f>IFERROR(__xludf.DUMMYFUNCTION("""COMPUTED_VALUE"""),"soulsaver")</f>
        <v>soulsaver</v>
      </c>
      <c r="B11094" s="4" t="str">
        <f>IFERROR(__xludf.DUMMYFUNCTION("""COMPUTED_VALUE"""),"soul")</f>
        <v>soul</v>
      </c>
      <c r="C11094" s="4" t="str">
        <f>IFERROR(__xludf.DUMMYFUNCTION("""COMPUTED_VALUE"""),"Soulsaver")</f>
        <v>Soulsaver</v>
      </c>
    </row>
    <row r="11095">
      <c r="A11095" s="4" t="str">
        <f>IFERROR(__xludf.DUMMYFUNCTION("""COMPUTED_VALUE"""),"soul-scanner")</f>
        <v>soul-scanner</v>
      </c>
      <c r="B11095" s="4" t="str">
        <f>IFERROR(__xludf.DUMMYFUNCTION("""COMPUTED_VALUE"""),"soul")</f>
        <v>soul</v>
      </c>
      <c r="C11095" s="4" t="str">
        <f>IFERROR(__xludf.DUMMYFUNCTION("""COMPUTED_VALUE"""),"Soul Scanner")</f>
        <v>Soul Scanner</v>
      </c>
    </row>
    <row r="11096">
      <c r="A11096" s="4" t="str">
        <f>IFERROR(__xludf.DUMMYFUNCTION("""COMPUTED_VALUE"""),"soul-society")</f>
        <v>soul-society</v>
      </c>
      <c r="B11096" s="4" t="str">
        <f>IFERROR(__xludf.DUMMYFUNCTION("""COMPUTED_VALUE"""),"hon")</f>
        <v>hon</v>
      </c>
      <c r="C11096" s="4" t="str">
        <f>IFERROR(__xludf.DUMMYFUNCTION("""COMPUTED_VALUE"""),"Soul Society")</f>
        <v>Soul Society</v>
      </c>
    </row>
    <row r="11097">
      <c r="A11097" s="4" t="str">
        <f>IFERROR(__xludf.DUMMYFUNCTION("""COMPUTED_VALUE"""),"soul-swap")</f>
        <v>soul-swap</v>
      </c>
      <c r="B11097" s="4" t="str">
        <f>IFERROR(__xludf.DUMMYFUNCTION("""COMPUTED_VALUE"""),"soul")</f>
        <v>soul</v>
      </c>
      <c r="C11097" s="4" t="str">
        <f>IFERROR(__xludf.DUMMYFUNCTION("""COMPUTED_VALUE"""),"Soul Swap")</f>
        <v>Soul Swap</v>
      </c>
    </row>
    <row r="11098">
      <c r="A11098" s="4" t="str">
        <f>IFERROR(__xludf.DUMMYFUNCTION("""COMPUTED_VALUE"""),"souni-token")</f>
        <v>souni-token</v>
      </c>
      <c r="B11098" s="4" t="str">
        <f>IFERROR(__xludf.DUMMYFUNCTION("""COMPUTED_VALUE"""),"son")</f>
        <v>son</v>
      </c>
      <c r="C11098" s="4" t="str">
        <f>IFERROR(__xludf.DUMMYFUNCTION("""COMPUTED_VALUE"""),"Souni")</f>
        <v>Souni</v>
      </c>
    </row>
    <row r="11099">
      <c r="A11099" s="4" t="str">
        <f>IFERROR(__xludf.DUMMYFUNCTION("""COMPUTED_VALUE"""),"soup-finance")</f>
        <v>soup-finance</v>
      </c>
      <c r="B11099" s="4" t="str">
        <f>IFERROR(__xludf.DUMMYFUNCTION("""COMPUTED_VALUE"""),"soup")</f>
        <v>soup</v>
      </c>
      <c r="C11099" s="4" t="str">
        <f>IFERROR(__xludf.DUMMYFUNCTION("""COMPUTED_VALUE"""),"Soup Finance")</f>
        <v>Soup Finance</v>
      </c>
    </row>
    <row r="11100">
      <c r="A11100" s="4" t="str">
        <f>IFERROR(__xludf.DUMMYFUNCTION("""COMPUTED_VALUE"""),"source")</f>
        <v>source</v>
      </c>
      <c r="B11100" s="4" t="str">
        <f>IFERROR(__xludf.DUMMYFUNCTION("""COMPUTED_VALUE"""),"source")</f>
        <v>source</v>
      </c>
      <c r="C11100" s="4" t="str">
        <f>IFERROR(__xludf.DUMMYFUNCTION("""COMPUTED_VALUE"""),"Source")</f>
        <v>Source</v>
      </c>
    </row>
    <row r="11101">
      <c r="A11101" s="4" t="str">
        <f>IFERROR(__xludf.DUMMYFUNCTION("""COMPUTED_VALUE"""),"sourceless")</f>
        <v>sourceless</v>
      </c>
      <c r="B11101" s="4" t="str">
        <f>IFERROR(__xludf.DUMMYFUNCTION("""COMPUTED_VALUE"""),"str")</f>
        <v>str</v>
      </c>
      <c r="C11101" s="4" t="str">
        <f>IFERROR(__xludf.DUMMYFUNCTION("""COMPUTED_VALUE"""),"Sourceless")</f>
        <v>Sourceless</v>
      </c>
    </row>
    <row r="11102">
      <c r="A11102" s="4" t="str">
        <f>IFERROR(__xludf.DUMMYFUNCTION("""COMPUTED_VALUE"""),"source-protocol")</f>
        <v>source-protocol</v>
      </c>
      <c r="B11102" s="4" t="str">
        <f>IFERROR(__xludf.DUMMYFUNCTION("""COMPUTED_VALUE"""),"srcx")</f>
        <v>srcx</v>
      </c>
      <c r="C11102" s="4" t="str">
        <f>IFERROR(__xludf.DUMMYFUNCTION("""COMPUTED_VALUE"""),"Source Protocol")</f>
        <v>Source Protocol</v>
      </c>
    </row>
    <row r="11103">
      <c r="A11103" s="4" t="str">
        <f>IFERROR(__xludf.DUMMYFUNCTION("""COMPUTED_VALUE"""),"sovi-token")</f>
        <v>sovi-token</v>
      </c>
      <c r="B11103" s="4" t="str">
        <f>IFERROR(__xludf.DUMMYFUNCTION("""COMPUTED_VALUE"""),"sovi")</f>
        <v>sovi</v>
      </c>
      <c r="C11103" s="4" t="str">
        <f>IFERROR(__xludf.DUMMYFUNCTION("""COMPUTED_VALUE"""),"Sovi")</f>
        <v>Sovi</v>
      </c>
    </row>
    <row r="11104">
      <c r="A11104" s="4" t="str">
        <f>IFERROR(__xludf.DUMMYFUNCTION("""COMPUTED_VALUE"""),"sovryn")</f>
        <v>sovryn</v>
      </c>
      <c r="B11104" s="4" t="str">
        <f>IFERROR(__xludf.DUMMYFUNCTION("""COMPUTED_VALUE"""),"sov")</f>
        <v>sov</v>
      </c>
      <c r="C11104" s="4" t="str">
        <f>IFERROR(__xludf.DUMMYFUNCTION("""COMPUTED_VALUE"""),"Sovryn")</f>
        <v>Sovryn</v>
      </c>
    </row>
    <row r="11105">
      <c r="A11105" s="4" t="str">
        <f>IFERROR(__xludf.DUMMYFUNCTION("""COMPUTED_VALUE"""),"sovryn-dollar")</f>
        <v>sovryn-dollar</v>
      </c>
      <c r="B11105" s="4" t="str">
        <f>IFERROR(__xludf.DUMMYFUNCTION("""COMPUTED_VALUE"""),"dllr")</f>
        <v>dllr</v>
      </c>
      <c r="C11105" s="4" t="str">
        <f>IFERROR(__xludf.DUMMYFUNCTION("""COMPUTED_VALUE"""),"Sovryn Dollar")</f>
        <v>Sovryn Dollar</v>
      </c>
    </row>
    <row r="11106">
      <c r="A11106" s="4" t="str">
        <f>IFERROR(__xludf.DUMMYFUNCTION("""COMPUTED_VALUE"""),"sowa-ai")</f>
        <v>sowa-ai</v>
      </c>
      <c r="B11106" s="4" t="str">
        <f>IFERROR(__xludf.DUMMYFUNCTION("""COMPUTED_VALUE"""),"sowa")</f>
        <v>sowa</v>
      </c>
      <c r="C11106" s="4" t="str">
        <f>IFERROR(__xludf.DUMMYFUNCTION("""COMPUTED_VALUE"""),"Sowa AI")</f>
        <v>Sowa AI</v>
      </c>
    </row>
    <row r="11107">
      <c r="A11107" s="4" t="str">
        <f>IFERROR(__xludf.DUMMYFUNCTION("""COMPUTED_VALUE"""),"soyjak")</f>
        <v>soyjak</v>
      </c>
      <c r="B11107" s="4" t="str">
        <f>IFERROR(__xludf.DUMMYFUNCTION("""COMPUTED_VALUE"""),"soy")</f>
        <v>soy</v>
      </c>
      <c r="C11107" s="4" t="str">
        <f>IFERROR(__xludf.DUMMYFUNCTION("""COMPUTED_VALUE"""),"Soyjak")</f>
        <v>Soyjak</v>
      </c>
    </row>
    <row r="11108">
      <c r="A11108" s="4" t="str">
        <f>IFERROR(__xludf.DUMMYFUNCTION("""COMPUTED_VALUE"""),"soylanamanletcaptainz")</f>
        <v>soylanamanletcaptainz</v>
      </c>
      <c r="B11108" s="4" t="str">
        <f>IFERROR(__xludf.DUMMYFUNCTION("""COMPUTED_VALUE"""),"ansem")</f>
        <v>ansem</v>
      </c>
      <c r="C11108" s="4" t="str">
        <f>IFERROR(__xludf.DUMMYFUNCTION("""COMPUTED_VALUE"""),"SoylanaManletCaptainZ")</f>
        <v>SoylanaManletCaptainZ</v>
      </c>
    </row>
    <row r="11109">
      <c r="A11109" s="4" t="str">
        <f>IFERROR(__xludf.DUMMYFUNCTION("""COMPUTED_VALUE"""),"spaceai-finance")</f>
        <v>spaceai-finance</v>
      </c>
      <c r="B11109" s="4" t="str">
        <f>IFERROR(__xludf.DUMMYFUNCTION("""COMPUTED_VALUE"""),"spai")</f>
        <v>spai</v>
      </c>
      <c r="C11109" s="4" t="str">
        <f>IFERROR(__xludf.DUMMYFUNCTION("""COMPUTED_VALUE"""),"SpaceAI Finance")</f>
        <v>SpaceAI Finance</v>
      </c>
    </row>
    <row r="11110">
      <c r="A11110" s="4" t="str">
        <f>IFERROR(__xludf.DUMMYFUNCTION("""COMPUTED_VALUE"""),"spaceape")</f>
        <v>spaceape</v>
      </c>
      <c r="B11110" s="4" t="str">
        <f>IFERROR(__xludf.DUMMYFUNCTION("""COMPUTED_VALUE"""),"spaceape")</f>
        <v>spaceape</v>
      </c>
      <c r="C11110" s="4" t="str">
        <f>IFERROR(__xludf.DUMMYFUNCTION("""COMPUTED_VALUE"""),"SpaceApe")</f>
        <v>SpaceApe</v>
      </c>
    </row>
    <row r="11111">
      <c r="A11111" s="4" t="str">
        <f>IFERROR(__xludf.DUMMYFUNCTION("""COMPUTED_VALUE"""),"spacebar")</f>
        <v>spacebar</v>
      </c>
      <c r="B11111" s="4" t="str">
        <f>IFERROR(__xludf.DUMMYFUNCTION("""COMPUTED_VALUE"""),"air")</f>
        <v>air</v>
      </c>
      <c r="C11111" s="4" t="str">
        <f>IFERROR(__xludf.DUMMYFUNCTION("""COMPUTED_VALUE"""),"Spacebar")</f>
        <v>Spacebar</v>
      </c>
    </row>
    <row r="11112">
      <c r="A11112" s="4" t="str">
        <f>IFERROR(__xludf.DUMMYFUNCTION("""COMPUTED_VALUE"""),"spacecatch")</f>
        <v>spacecatch</v>
      </c>
      <c r="B11112" s="4" t="str">
        <f>IFERROR(__xludf.DUMMYFUNCTION("""COMPUTED_VALUE"""),"catch")</f>
        <v>catch</v>
      </c>
      <c r="C11112" s="4" t="str">
        <f>IFERROR(__xludf.DUMMYFUNCTION("""COMPUTED_VALUE"""),"SpaceCatch")</f>
        <v>SpaceCatch</v>
      </c>
    </row>
    <row r="11113">
      <c r="A11113" s="4" t="str">
        <f>IFERROR(__xludf.DUMMYFUNCTION("""COMPUTED_VALUE"""),"space-catch")</f>
        <v>space-catch</v>
      </c>
      <c r="B11113" s="4" t="str">
        <f>IFERROR(__xludf.DUMMYFUNCTION("""COMPUTED_VALUE"""),"catch")</f>
        <v>catch</v>
      </c>
      <c r="C11113" s="4" t="str">
        <f>IFERROR(__xludf.DUMMYFUNCTION("""COMPUTED_VALUE"""),"Space Catch")</f>
        <v>Space Catch</v>
      </c>
    </row>
    <row r="11114">
      <c r="A11114" s="4" t="str">
        <f>IFERROR(__xludf.DUMMYFUNCTION("""COMPUTED_VALUE"""),"spacechain-erc-20")</f>
        <v>spacechain-erc-20</v>
      </c>
      <c r="B11114" s="4" t="str">
        <f>IFERROR(__xludf.DUMMYFUNCTION("""COMPUTED_VALUE"""),"spc")</f>
        <v>spc</v>
      </c>
      <c r="C11114" s="4" t="str">
        <f>IFERROR(__xludf.DUMMYFUNCTION("""COMPUTED_VALUE"""),"SpaceChain (ERC-20)")</f>
        <v>SpaceChain (ERC-20)</v>
      </c>
    </row>
    <row r="11115">
      <c r="A11115" s="4" t="str">
        <f>IFERROR(__xludf.DUMMYFUNCTION("""COMPUTED_VALUE"""),"spacedawgs")</f>
        <v>spacedawgs</v>
      </c>
      <c r="B11115" s="4" t="str">
        <f>IFERROR(__xludf.DUMMYFUNCTION("""COMPUTED_VALUE"""),"dawgs")</f>
        <v>dawgs</v>
      </c>
      <c r="C11115" s="4" t="str">
        <f>IFERROR(__xludf.DUMMYFUNCTION("""COMPUTED_VALUE"""),"SpaceDawgs")</f>
        <v>SpaceDawgs</v>
      </c>
    </row>
    <row r="11116">
      <c r="A11116" s="4" t="str">
        <f>IFERROR(__xludf.DUMMYFUNCTION("""COMPUTED_VALUE"""),"spacedoge")</f>
        <v>spacedoge</v>
      </c>
      <c r="B11116" s="4" t="str">
        <f>IFERROR(__xludf.DUMMYFUNCTION("""COMPUTED_VALUE"""),"sdoge")</f>
        <v>sdoge</v>
      </c>
      <c r="C11116" s="4" t="str">
        <f>IFERROR(__xludf.DUMMYFUNCTION("""COMPUTED_VALUE"""),"SpaceDoge")</f>
        <v>SpaceDoge</v>
      </c>
    </row>
    <row r="11117">
      <c r="A11117" s="4" t="str">
        <f>IFERROR(__xludf.DUMMYFUNCTION("""COMPUTED_VALUE"""),"spacefalcon")</f>
        <v>spacefalcon</v>
      </c>
      <c r="B11117" s="4" t="str">
        <f>IFERROR(__xludf.DUMMYFUNCTION("""COMPUTED_VALUE"""),"fcon")</f>
        <v>fcon</v>
      </c>
      <c r="C11117" s="4" t="str">
        <f>IFERROR(__xludf.DUMMYFUNCTION("""COMPUTED_VALUE"""),"SpaceFalcon")</f>
        <v>SpaceFalcon</v>
      </c>
    </row>
    <row r="11118">
      <c r="A11118" s="4" t="str">
        <f>IFERROR(__xludf.DUMMYFUNCTION("""COMPUTED_VALUE"""),"spacefi")</f>
        <v>spacefi</v>
      </c>
      <c r="B11118" s="4" t="str">
        <f>IFERROR(__xludf.DUMMYFUNCTION("""COMPUTED_VALUE"""),"space")</f>
        <v>space</v>
      </c>
      <c r="C11118" s="4" t="str">
        <f>IFERROR(__xludf.DUMMYFUNCTION("""COMPUTED_VALUE"""),"SpaceFi (Evmos)")</f>
        <v>SpaceFi (Evmos)</v>
      </c>
    </row>
    <row r="11119">
      <c r="A11119" s="4" t="str">
        <f>IFERROR(__xludf.DUMMYFUNCTION("""COMPUTED_VALUE"""),"spacefi-zksync")</f>
        <v>spacefi-zksync</v>
      </c>
      <c r="B11119" s="4" t="str">
        <f>IFERROR(__xludf.DUMMYFUNCTION("""COMPUTED_VALUE"""),"space")</f>
        <v>space</v>
      </c>
      <c r="C11119" s="4" t="str">
        <f>IFERROR(__xludf.DUMMYFUNCTION("""COMPUTED_VALUE"""),"SpaceFi")</f>
        <v>SpaceFi</v>
      </c>
    </row>
    <row r="11120">
      <c r="A11120" s="4" t="str">
        <f>IFERROR(__xludf.DUMMYFUNCTION("""COMPUTED_VALUE"""),"spacegoat-token")</f>
        <v>spacegoat-token</v>
      </c>
      <c r="B11120" s="4" t="str">
        <f>IFERROR(__xludf.DUMMYFUNCTION("""COMPUTED_VALUE"""),"sgt")</f>
        <v>sgt</v>
      </c>
      <c r="C11120" s="4" t="str">
        <f>IFERROR(__xludf.DUMMYFUNCTION("""COMPUTED_VALUE"""),"SpaceGoat")</f>
        <v>SpaceGoat</v>
      </c>
    </row>
    <row r="11121">
      <c r="A11121" s="4" t="str">
        <f>IFERROR(__xludf.DUMMYFUNCTION("""COMPUTED_VALUE"""),"spacegrime")</f>
        <v>spacegrime</v>
      </c>
      <c r="B11121" s="4" t="str">
        <f>IFERROR(__xludf.DUMMYFUNCTION("""COMPUTED_VALUE"""),"grimex")</f>
        <v>grimex</v>
      </c>
      <c r="C11121" s="4" t="str">
        <f>IFERROR(__xludf.DUMMYFUNCTION("""COMPUTED_VALUE"""),"SpaceGrime")</f>
        <v>SpaceGrime</v>
      </c>
    </row>
    <row r="11122">
      <c r="A11122" s="4" t="str">
        <f>IFERROR(__xludf.DUMMYFUNCTION("""COMPUTED_VALUE"""),"space-guild-diamond-token")</f>
        <v>space-guild-diamond-token</v>
      </c>
      <c r="B11122" s="4" t="str">
        <f>IFERROR(__xludf.DUMMYFUNCTION("""COMPUTED_VALUE"""),"dnt")</f>
        <v>dnt</v>
      </c>
      <c r="C11122" s="4" t="str">
        <f>IFERROR(__xludf.DUMMYFUNCTION("""COMPUTED_VALUE"""),"Space Guild Diamond Token")</f>
        <v>Space Guild Diamond Token</v>
      </c>
    </row>
    <row r="11123">
      <c r="A11123" s="4" t="str">
        <f>IFERROR(__xludf.DUMMYFUNCTION("""COMPUTED_VALUE"""),"space-id")</f>
        <v>space-id</v>
      </c>
      <c r="B11123" s="4" t="str">
        <f>IFERROR(__xludf.DUMMYFUNCTION("""COMPUTED_VALUE"""),"id")</f>
        <v>id</v>
      </c>
      <c r="C11123" s="4" t="str">
        <f>IFERROR(__xludf.DUMMYFUNCTION("""COMPUTED_VALUE"""),"SPACE ID")</f>
        <v>SPACE ID</v>
      </c>
    </row>
    <row r="11124">
      <c r="A11124" s="4" t="str">
        <f>IFERROR(__xludf.DUMMYFUNCTION("""COMPUTED_VALUE"""),"space-iz")</f>
        <v>space-iz</v>
      </c>
      <c r="B11124" s="4" t="str">
        <f>IFERROR(__xludf.DUMMYFUNCTION("""COMPUTED_VALUE"""),"spiz")</f>
        <v>spiz</v>
      </c>
      <c r="C11124" s="4" t="str">
        <f>IFERROR(__xludf.DUMMYFUNCTION("""COMPUTED_VALUE"""),"SPACE-iZ")</f>
        <v>SPACE-iZ</v>
      </c>
    </row>
    <row r="11125">
      <c r="A11125" s="4" t="str">
        <f>IFERROR(__xludf.DUMMYFUNCTION("""COMPUTED_VALUE"""),"spacelens")</f>
        <v>spacelens</v>
      </c>
      <c r="B11125" s="4" t="str">
        <f>IFERROR(__xludf.DUMMYFUNCTION("""COMPUTED_VALUE"""),"space")</f>
        <v>space</v>
      </c>
      <c r="C11125" s="4" t="str">
        <f>IFERROR(__xludf.DUMMYFUNCTION("""COMPUTED_VALUE"""),"Spacelens")</f>
        <v>Spacelens</v>
      </c>
    </row>
    <row r="11126">
      <c r="A11126" s="4" t="str">
        <f>IFERROR(__xludf.DUMMYFUNCTION("""COMPUTED_VALUE"""),"spacemesh")</f>
        <v>spacemesh</v>
      </c>
      <c r="B11126" s="4" t="str">
        <f>IFERROR(__xludf.DUMMYFUNCTION("""COMPUTED_VALUE"""),"$smh")</f>
        <v>$smh</v>
      </c>
      <c r="C11126" s="4" t="str">
        <f>IFERROR(__xludf.DUMMYFUNCTION("""COMPUTED_VALUE"""),"Spacemesh")</f>
        <v>Spacemesh</v>
      </c>
    </row>
    <row r="11127">
      <c r="A11127" s="4" t="str">
        <f>IFERROR(__xludf.DUMMYFUNCTION("""COMPUTED_VALUE"""),"spacemine")</f>
        <v>spacemine</v>
      </c>
      <c r="B11127" s="4" t="str">
        <f>IFERROR(__xludf.DUMMYFUNCTION("""COMPUTED_VALUE"""),"mine")</f>
        <v>mine</v>
      </c>
      <c r="C11127" s="4" t="str">
        <f>IFERROR(__xludf.DUMMYFUNCTION("""COMPUTED_VALUE"""),"SpaceMine")</f>
        <v>SpaceMine</v>
      </c>
    </row>
    <row r="11128">
      <c r="A11128" s="4" t="str">
        <f>IFERROR(__xludf.DUMMYFUNCTION("""COMPUTED_VALUE"""),"space-misfits")</f>
        <v>space-misfits</v>
      </c>
      <c r="B11128" s="4" t="str">
        <f>IFERROR(__xludf.DUMMYFUNCTION("""COMPUTED_VALUE"""),"smcw")</f>
        <v>smcw</v>
      </c>
      <c r="C11128" s="4" t="str">
        <f>IFERROR(__xludf.DUMMYFUNCTION("""COMPUTED_VALUE"""),"Space Misfits")</f>
        <v>Space Misfits</v>
      </c>
    </row>
    <row r="11129">
      <c r="A11129" s="4" t="str">
        <f>IFERROR(__xludf.DUMMYFUNCTION("""COMPUTED_VALUE"""),"spacen")</f>
        <v>spacen</v>
      </c>
      <c r="B11129" s="4" t="str">
        <f>IFERROR(__xludf.DUMMYFUNCTION("""COMPUTED_VALUE"""),"sn")</f>
        <v>sn</v>
      </c>
      <c r="C11129" s="4" t="str">
        <f>IFERROR(__xludf.DUMMYFUNCTION("""COMPUTED_VALUE"""),"SpaceN")</f>
        <v>SpaceN</v>
      </c>
    </row>
    <row r="11130">
      <c r="A11130" s="4" t="str">
        <f>IFERROR(__xludf.DUMMYFUNCTION("""COMPUTED_VALUE"""),"spacepi-token")</f>
        <v>spacepi-token</v>
      </c>
      <c r="B11130" s="4" t="str">
        <f>IFERROR(__xludf.DUMMYFUNCTION("""COMPUTED_VALUE"""),"spacepi")</f>
        <v>spacepi</v>
      </c>
      <c r="C11130" s="4" t="str">
        <f>IFERROR(__xludf.DUMMYFUNCTION("""COMPUTED_VALUE"""),"SpacePi Token")</f>
        <v>SpacePi Token</v>
      </c>
    </row>
    <row r="11131">
      <c r="A11131" s="4" t="str">
        <f>IFERROR(__xludf.DUMMYFUNCTION("""COMPUTED_VALUE"""),"space-rebase-xusd")</f>
        <v>space-rebase-xusd</v>
      </c>
      <c r="B11131" s="4" t="str">
        <f>IFERROR(__xludf.DUMMYFUNCTION("""COMPUTED_VALUE"""),"xusd")</f>
        <v>xusd</v>
      </c>
      <c r="C11131" s="4" t="str">
        <f>IFERROR(__xludf.DUMMYFUNCTION("""COMPUTED_VALUE"""),"Space Rebase XUSD")</f>
        <v>Space Rebase XUSD</v>
      </c>
    </row>
    <row r="11132">
      <c r="A11132" s="4" t="str">
        <f>IFERROR(__xludf.DUMMYFUNCTION("""COMPUTED_VALUE"""),"spaceshipx-ssx")</f>
        <v>spaceshipx-ssx</v>
      </c>
      <c r="B11132" s="4" t="str">
        <f>IFERROR(__xludf.DUMMYFUNCTION("""COMPUTED_VALUE"""),"ssx")</f>
        <v>ssx</v>
      </c>
      <c r="C11132" s="4" t="str">
        <f>IFERROR(__xludf.DUMMYFUNCTION("""COMPUTED_VALUE"""),"SpaceShipX SSX")</f>
        <v>SpaceShipX SSX</v>
      </c>
    </row>
    <row r="11133">
      <c r="A11133" s="4" t="str">
        <f>IFERROR(__xludf.DUMMYFUNCTION("""COMPUTED_VALUE"""),"space-soldier")</f>
        <v>space-soldier</v>
      </c>
      <c r="B11133" s="4" t="str">
        <f>IFERROR(__xludf.DUMMYFUNCTION("""COMPUTED_VALUE"""),"soldier")</f>
        <v>soldier</v>
      </c>
      <c r="C11133" s="4" t="str">
        <f>IFERROR(__xludf.DUMMYFUNCTION("""COMPUTED_VALUE"""),"Space Soldier")</f>
        <v>Space Soldier</v>
      </c>
    </row>
    <row r="11134">
      <c r="A11134" s="4" t="str">
        <f>IFERROR(__xludf.DUMMYFUNCTION("""COMPUTED_VALUE"""),"spaceswap-milk2")</f>
        <v>spaceswap-milk2</v>
      </c>
      <c r="B11134" s="4" t="str">
        <f>IFERROR(__xludf.DUMMYFUNCTION("""COMPUTED_VALUE"""),"milk2")</f>
        <v>milk2</v>
      </c>
      <c r="C11134" s="4" t="str">
        <f>IFERROR(__xludf.DUMMYFUNCTION("""COMPUTED_VALUE"""),"Spaceswap MILK2")</f>
        <v>Spaceswap MILK2</v>
      </c>
    </row>
    <row r="11135">
      <c r="A11135" s="4" t="str">
        <f>IFERROR(__xludf.DUMMYFUNCTION("""COMPUTED_VALUE"""),"spaceswap-shake")</f>
        <v>spaceswap-shake</v>
      </c>
      <c r="B11135" s="4" t="str">
        <f>IFERROR(__xludf.DUMMYFUNCTION("""COMPUTED_VALUE"""),"shake")</f>
        <v>shake</v>
      </c>
      <c r="C11135" s="4" t="str">
        <f>IFERROR(__xludf.DUMMYFUNCTION("""COMPUTED_VALUE"""),"Spaceswap SHAKE")</f>
        <v>Spaceswap SHAKE</v>
      </c>
    </row>
    <row r="11136">
      <c r="A11136" s="4" t="str">
        <f>IFERROR(__xludf.DUMMYFUNCTION("""COMPUTED_VALUE"""),"space-token-bsc")</f>
        <v>space-token-bsc</v>
      </c>
      <c r="B11136" s="4" t="str">
        <f>IFERROR(__xludf.DUMMYFUNCTION("""COMPUTED_VALUE"""),"space")</f>
        <v>space</v>
      </c>
      <c r="C11136" s="4" t="str">
        <f>IFERROR(__xludf.DUMMYFUNCTION("""COMPUTED_VALUE"""),"Space Token")</f>
        <v>Space Token</v>
      </c>
    </row>
    <row r="11137">
      <c r="A11137" s="4" t="str">
        <f>IFERROR(__xludf.DUMMYFUNCTION("""COMPUTED_VALUE"""),"spacevikings")</f>
        <v>spacevikings</v>
      </c>
      <c r="B11137" s="4" t="str">
        <f>IFERROR(__xludf.DUMMYFUNCTION("""COMPUTED_VALUE"""),"svt")</f>
        <v>svt</v>
      </c>
      <c r="C11137" s="4" t="str">
        <f>IFERROR(__xludf.DUMMYFUNCTION("""COMPUTED_VALUE"""),"SpaceVikings")</f>
        <v>SpaceVikings</v>
      </c>
    </row>
    <row r="11138">
      <c r="A11138" s="4" t="str">
        <f>IFERROR(__xludf.DUMMYFUNCTION("""COMPUTED_VALUE"""),"space-xmitter")</f>
        <v>space-xmitter</v>
      </c>
      <c r="B11138" s="4" t="str">
        <f>IFERROR(__xludf.DUMMYFUNCTION("""COMPUTED_VALUE"""),"sx")</f>
        <v>sx</v>
      </c>
      <c r="C11138" s="4" t="str">
        <f>IFERROR(__xludf.DUMMYFUNCTION("""COMPUTED_VALUE"""),"Space Xmitter")</f>
        <v>Space Xmitter</v>
      </c>
    </row>
    <row r="11139">
      <c r="A11139" s="4" t="str">
        <f>IFERROR(__xludf.DUMMYFUNCTION("""COMPUTED_VALUE"""),"spacexpanse")</f>
        <v>spacexpanse</v>
      </c>
      <c r="B11139" s="4" t="str">
        <f>IFERROR(__xludf.DUMMYFUNCTION("""COMPUTED_VALUE"""),"rod")</f>
        <v>rod</v>
      </c>
      <c r="C11139" s="4" t="str">
        <f>IFERROR(__xludf.DUMMYFUNCTION("""COMPUTED_VALUE"""),"SpaceXpanse")</f>
        <v>SpaceXpanse</v>
      </c>
    </row>
    <row r="11140">
      <c r="A11140" s="4" t="str">
        <f>IFERROR(__xludf.DUMMYFUNCTION("""COMPUTED_VALUE"""),"spacey-2025")</f>
        <v>spacey-2025</v>
      </c>
      <c r="B11140" s="4" t="str">
        <f>IFERROR(__xludf.DUMMYFUNCTION("""COMPUTED_VALUE"""),"spay")</f>
        <v>spay</v>
      </c>
      <c r="C11140" s="4" t="str">
        <f>IFERROR(__xludf.DUMMYFUNCTION("""COMPUTED_VALUE"""),"SpaceY 2025")</f>
        <v>SpaceY 2025</v>
      </c>
    </row>
    <row r="11141">
      <c r="A11141" s="4" t="str">
        <f>IFERROR(__xludf.DUMMYFUNCTION("""COMPUTED_VALUE"""),"spain-national-fan-token")</f>
        <v>spain-national-fan-token</v>
      </c>
      <c r="B11141" s="4" t="str">
        <f>IFERROR(__xludf.DUMMYFUNCTION("""COMPUTED_VALUE"""),"snft")</f>
        <v>snft</v>
      </c>
      <c r="C11141" s="4" t="str">
        <f>IFERROR(__xludf.DUMMYFUNCTION("""COMPUTED_VALUE"""),"Spain National Football Team Fan Token")</f>
        <v>Spain National Football Team Fan Token</v>
      </c>
    </row>
    <row r="11142">
      <c r="A11142" s="4" t="str">
        <f>IFERROR(__xludf.DUMMYFUNCTION("""COMPUTED_VALUE"""),"sparko")</f>
        <v>sparko</v>
      </c>
      <c r="B11142" s="4" t="str">
        <f>IFERROR(__xludf.DUMMYFUNCTION("""COMPUTED_VALUE"""),"sparko")</f>
        <v>sparko</v>
      </c>
      <c r="C11142" s="4" t="str">
        <f>IFERROR(__xludf.DUMMYFUNCTION("""COMPUTED_VALUE"""),"Sparko")</f>
        <v>Sparko</v>
      </c>
    </row>
    <row r="11143">
      <c r="A11143" s="4" t="str">
        <f>IFERROR(__xludf.DUMMYFUNCTION("""COMPUTED_VALUE"""),"sparkpoint")</f>
        <v>sparkpoint</v>
      </c>
      <c r="B11143" s="4" t="str">
        <f>IFERROR(__xludf.DUMMYFUNCTION("""COMPUTED_VALUE"""),"srk")</f>
        <v>srk</v>
      </c>
      <c r="C11143" s="4" t="str">
        <f>IFERROR(__xludf.DUMMYFUNCTION("""COMPUTED_VALUE"""),"SparkPoint")</f>
        <v>SparkPoint</v>
      </c>
    </row>
    <row r="11144">
      <c r="A11144" s="4" t="str">
        <f>IFERROR(__xludf.DUMMYFUNCTION("""COMPUTED_VALUE"""),"sparkpoint-fuel")</f>
        <v>sparkpoint-fuel</v>
      </c>
      <c r="B11144" s="4" t="str">
        <f>IFERROR(__xludf.DUMMYFUNCTION("""COMPUTED_VALUE"""),"sfuel")</f>
        <v>sfuel</v>
      </c>
      <c r="C11144" s="4" t="str">
        <f>IFERROR(__xludf.DUMMYFUNCTION("""COMPUTED_VALUE"""),"SparkPoint Fuel")</f>
        <v>SparkPoint Fuel</v>
      </c>
    </row>
    <row r="11145">
      <c r="A11145" s="4" t="str">
        <f>IFERROR(__xludf.DUMMYFUNCTION("""COMPUTED_VALUE"""),"sparks")</f>
        <v>sparks</v>
      </c>
      <c r="B11145" s="4" t="str">
        <f>IFERROR(__xludf.DUMMYFUNCTION("""COMPUTED_VALUE"""),"spk")</f>
        <v>spk</v>
      </c>
      <c r="C11145" s="4" t="str">
        <f>IFERROR(__xludf.DUMMYFUNCTION("""COMPUTED_VALUE"""),"SparksPay")</f>
        <v>SparksPay</v>
      </c>
    </row>
    <row r="11146">
      <c r="A11146" s="4" t="str">
        <f>IFERROR(__xludf.DUMMYFUNCTION("""COMPUTED_VALUE"""),"sparkswap")</f>
        <v>sparkswap</v>
      </c>
      <c r="B11146" s="4" t="str">
        <f>IFERROR(__xludf.DUMMYFUNCTION("""COMPUTED_VALUE"""),"spark")</f>
        <v>spark</v>
      </c>
      <c r="C11146" s="4" t="str">
        <f>IFERROR(__xludf.DUMMYFUNCTION("""COMPUTED_VALUE"""),"Sparkswap")</f>
        <v>Sparkswap</v>
      </c>
    </row>
    <row r="11147">
      <c r="A11147" s="4" t="str">
        <f>IFERROR(__xludf.DUMMYFUNCTION("""COMPUTED_VALUE"""),"spartacus")</f>
        <v>spartacus</v>
      </c>
      <c r="B11147" s="4" t="str">
        <f>IFERROR(__xludf.DUMMYFUNCTION("""COMPUTED_VALUE"""),"spa")</f>
        <v>spa</v>
      </c>
      <c r="C11147" s="4" t="str">
        <f>IFERROR(__xludf.DUMMYFUNCTION("""COMPUTED_VALUE"""),"Spartacus")</f>
        <v>Spartacus</v>
      </c>
    </row>
    <row r="11148">
      <c r="A11148" s="4" t="str">
        <f>IFERROR(__xludf.DUMMYFUNCTION("""COMPUTED_VALUE"""),"spartadex")</f>
        <v>spartadex</v>
      </c>
      <c r="B11148" s="4" t="str">
        <f>IFERROR(__xludf.DUMMYFUNCTION("""COMPUTED_VALUE"""),"sparta")</f>
        <v>sparta</v>
      </c>
      <c r="C11148" s="4" t="str">
        <f>IFERROR(__xludf.DUMMYFUNCTION("""COMPUTED_VALUE"""),"SpartaDEX")</f>
        <v>SpartaDEX</v>
      </c>
    </row>
    <row r="11149">
      <c r="A11149" s="4" t="str">
        <f>IFERROR(__xludf.DUMMYFUNCTION("""COMPUTED_VALUE"""),"spartan-protocol-token")</f>
        <v>spartan-protocol-token</v>
      </c>
      <c r="B11149" s="4" t="str">
        <f>IFERROR(__xludf.DUMMYFUNCTION("""COMPUTED_VALUE"""),"sparta")</f>
        <v>sparta</v>
      </c>
      <c r="C11149" s="4" t="str">
        <f>IFERROR(__xludf.DUMMYFUNCTION("""COMPUTED_VALUE"""),"Spartan Protocol")</f>
        <v>Spartan Protocol</v>
      </c>
    </row>
    <row r="11150">
      <c r="A11150" s="4" t="str">
        <f>IFERROR(__xludf.DUMMYFUNCTION("""COMPUTED_VALUE"""),"spatial-computing")</f>
        <v>spatial-computing</v>
      </c>
      <c r="B11150" s="4" t="str">
        <f>IFERROR(__xludf.DUMMYFUNCTION("""COMPUTED_VALUE"""),"cmpt")</f>
        <v>cmpt</v>
      </c>
      <c r="C11150" s="4" t="str">
        <f>IFERROR(__xludf.DUMMYFUNCTION("""COMPUTED_VALUE"""),"Spatial Computing")</f>
        <v>Spatial Computing</v>
      </c>
    </row>
    <row r="11151">
      <c r="A11151" s="4" t="str">
        <f>IFERROR(__xludf.DUMMYFUNCTION("""COMPUTED_VALUE"""),"spdr-s-p-500-etf-trust-defichain")</f>
        <v>spdr-s-p-500-etf-trust-defichain</v>
      </c>
      <c r="B11151" s="4" t="str">
        <f>IFERROR(__xludf.DUMMYFUNCTION("""COMPUTED_VALUE"""),"dspy")</f>
        <v>dspy</v>
      </c>
      <c r="C11151" s="4" t="str">
        <f>IFERROR(__xludf.DUMMYFUNCTION("""COMPUTED_VALUE"""),"SPDR S&amp;P 500 ETF Trust Defichain")</f>
        <v>SPDR S&amp;P 500 ETF Trust Defichain</v>
      </c>
    </row>
    <row r="11152">
      <c r="A11152" s="4" t="str">
        <f>IFERROR(__xludf.DUMMYFUNCTION("""COMPUTED_VALUE"""),"speciex")</f>
        <v>speciex</v>
      </c>
      <c r="B11152" s="4" t="str">
        <f>IFERROR(__xludf.DUMMYFUNCTION("""COMPUTED_VALUE"""),"spex")</f>
        <v>spex</v>
      </c>
      <c r="C11152" s="4" t="str">
        <f>IFERROR(__xludf.DUMMYFUNCTION("""COMPUTED_VALUE"""),"Speciex")</f>
        <v>Speciex</v>
      </c>
    </row>
    <row r="11153">
      <c r="A11153" s="4" t="str">
        <f>IFERROR(__xludf.DUMMYFUNCTION("""COMPUTED_VALUE"""),"spectra-cash")</f>
        <v>spectra-cash</v>
      </c>
      <c r="B11153" s="4" t="str">
        <f>IFERROR(__xludf.DUMMYFUNCTION("""COMPUTED_VALUE"""),"scl")</f>
        <v>scl</v>
      </c>
      <c r="C11153" s="4" t="str">
        <f>IFERROR(__xludf.DUMMYFUNCTION("""COMPUTED_VALUE"""),"Spectra Cash")</f>
        <v>Spectra Cash</v>
      </c>
    </row>
    <row r="11154">
      <c r="A11154" s="4" t="str">
        <f>IFERROR(__xludf.DUMMYFUNCTION("""COMPUTED_VALUE"""),"spectra-chain")</f>
        <v>spectra-chain</v>
      </c>
      <c r="B11154" s="4" t="str">
        <f>IFERROR(__xludf.DUMMYFUNCTION("""COMPUTED_VALUE"""),"spct")</f>
        <v>spct</v>
      </c>
      <c r="C11154" s="4" t="str">
        <f>IFERROR(__xludf.DUMMYFUNCTION("""COMPUTED_VALUE"""),"Spectra Chain")</f>
        <v>Spectra Chain</v>
      </c>
    </row>
    <row r="11155">
      <c r="A11155" s="4" t="str">
        <f>IFERROR(__xludf.DUMMYFUNCTION("""COMPUTED_VALUE"""),"spectral")</f>
        <v>spectral</v>
      </c>
      <c r="B11155" s="4" t="str">
        <f>IFERROR(__xludf.DUMMYFUNCTION("""COMPUTED_VALUE"""),"spec")</f>
        <v>spec</v>
      </c>
      <c r="C11155" s="4" t="str">
        <f>IFERROR(__xludf.DUMMYFUNCTION("""COMPUTED_VALUE"""),"Spectral")</f>
        <v>Spectral</v>
      </c>
    </row>
    <row r="11156">
      <c r="A11156" s="4" t="str">
        <f>IFERROR(__xludf.DUMMYFUNCTION("""COMPUTED_VALUE"""),"spectre-ai")</f>
        <v>spectre-ai</v>
      </c>
      <c r="B11156" s="4" t="str">
        <f>IFERROR(__xludf.DUMMYFUNCTION("""COMPUTED_VALUE"""),"spectre")</f>
        <v>spectre</v>
      </c>
      <c r="C11156" s="4" t="str">
        <f>IFERROR(__xludf.DUMMYFUNCTION("""COMPUTED_VALUE"""),"Spectre AI")</f>
        <v>Spectre AI</v>
      </c>
    </row>
    <row r="11157">
      <c r="A11157" s="4" t="str">
        <f>IFERROR(__xludf.DUMMYFUNCTION("""COMPUTED_VALUE"""),"spectrecoin")</f>
        <v>spectrecoin</v>
      </c>
      <c r="B11157" s="4" t="str">
        <f>IFERROR(__xludf.DUMMYFUNCTION("""COMPUTED_VALUE"""),"alias")</f>
        <v>alias</v>
      </c>
      <c r="C11157" s="4" t="str">
        <f>IFERROR(__xludf.DUMMYFUNCTION("""COMPUTED_VALUE"""),"Alias")</f>
        <v>Alias</v>
      </c>
    </row>
    <row r="11158">
      <c r="A11158" s="4" t="str">
        <f>IFERROR(__xludf.DUMMYFUNCTION("""COMPUTED_VALUE"""),"spectresecuritycoin")</f>
        <v>spectresecuritycoin</v>
      </c>
      <c r="B11158" s="4" t="str">
        <f>IFERROR(__xludf.DUMMYFUNCTION("""COMPUTED_VALUE"""),"xspc")</f>
        <v>xspc</v>
      </c>
      <c r="C11158" s="4" t="str">
        <f>IFERROR(__xludf.DUMMYFUNCTION("""COMPUTED_VALUE"""),"SpectreSecurityCoin")</f>
        <v>SpectreSecurityCoin</v>
      </c>
    </row>
    <row r="11159">
      <c r="A11159" s="4" t="str">
        <f>IFERROR(__xludf.DUMMYFUNCTION("""COMPUTED_VALUE"""),"spectrum-finance")</f>
        <v>spectrum-finance</v>
      </c>
      <c r="B11159" s="4" t="str">
        <f>IFERROR(__xludf.DUMMYFUNCTION("""COMPUTED_VALUE"""),"spf")</f>
        <v>spf</v>
      </c>
      <c r="C11159" s="4" t="str">
        <f>IFERROR(__xludf.DUMMYFUNCTION("""COMPUTED_VALUE"""),"Spectrum Finance")</f>
        <v>Spectrum Finance</v>
      </c>
    </row>
    <row r="11160">
      <c r="A11160" s="4" t="str">
        <f>IFERROR(__xludf.DUMMYFUNCTION("""COMPUTED_VALUE"""),"spectrum-marketplace")</f>
        <v>spectrum-marketplace</v>
      </c>
      <c r="B11160" s="4" t="str">
        <f>IFERROR(__xludf.DUMMYFUNCTION("""COMPUTED_VALUE"""),"spec")</f>
        <v>spec</v>
      </c>
      <c r="C11160" s="4" t="str">
        <f>IFERROR(__xludf.DUMMYFUNCTION("""COMPUTED_VALUE"""),"Spectrum Marketplace")</f>
        <v>Spectrum Marketplace</v>
      </c>
    </row>
    <row r="11161">
      <c r="A11161" s="4" t="str">
        <f>IFERROR(__xludf.DUMMYFUNCTION("""COMPUTED_VALUE"""),"speculate-dao")</f>
        <v>speculate-dao</v>
      </c>
      <c r="B11161" s="4" t="str">
        <f>IFERROR(__xludf.DUMMYFUNCTION("""COMPUTED_VALUE"""),"spec")</f>
        <v>spec</v>
      </c>
      <c r="C11161" s="4" t="str">
        <f>IFERROR(__xludf.DUMMYFUNCTION("""COMPUTED_VALUE"""),"Speculate DAO")</f>
        <v>Speculate DAO</v>
      </c>
    </row>
    <row r="11162">
      <c r="A11162" s="4" t="str">
        <f>IFERROR(__xludf.DUMMYFUNCTION("""COMPUTED_VALUE"""),"speed-mining-service")</f>
        <v>speed-mining-service</v>
      </c>
      <c r="B11162" s="4" t="str">
        <f>IFERROR(__xludf.DUMMYFUNCTION("""COMPUTED_VALUE"""),"sms")</f>
        <v>sms</v>
      </c>
      <c r="C11162" s="4" t="str">
        <f>IFERROR(__xludf.DUMMYFUNCTION("""COMPUTED_VALUE"""),"Speed Mining Service")</f>
        <v>Speed Mining Service</v>
      </c>
    </row>
    <row r="11163">
      <c r="A11163" s="4" t="str">
        <f>IFERROR(__xludf.DUMMYFUNCTION("""COMPUTED_VALUE"""),"speed-star-joc")</f>
        <v>speed-star-joc</v>
      </c>
      <c r="B11163" s="4" t="str">
        <f>IFERROR(__xludf.DUMMYFUNCTION("""COMPUTED_VALUE"""),"joc")</f>
        <v>joc</v>
      </c>
      <c r="C11163" s="4" t="str">
        <f>IFERROR(__xludf.DUMMYFUNCTION("""COMPUTED_VALUE"""),"Speed Star JOC")</f>
        <v>Speed Star JOC</v>
      </c>
    </row>
    <row r="11164">
      <c r="A11164" s="4" t="str">
        <f>IFERROR(__xludf.DUMMYFUNCTION("""COMPUTED_VALUE"""),"speed-star-speed")</f>
        <v>speed-star-speed</v>
      </c>
      <c r="B11164" s="4" t="str">
        <f>IFERROR(__xludf.DUMMYFUNCTION("""COMPUTED_VALUE"""),"speed")</f>
        <v>speed</v>
      </c>
      <c r="C11164" s="4" t="str">
        <f>IFERROR(__xludf.DUMMYFUNCTION("""COMPUTED_VALUE"""),"Speed Star SPEED")</f>
        <v>Speed Star SPEED</v>
      </c>
    </row>
    <row r="11165">
      <c r="A11165" s="4" t="str">
        <f>IFERROR(__xludf.DUMMYFUNCTION("""COMPUTED_VALUE"""),"speed-star-star")</f>
        <v>speed-star-star</v>
      </c>
      <c r="B11165" s="4" t="str">
        <f>IFERROR(__xludf.DUMMYFUNCTION("""COMPUTED_VALUE"""),"star")</f>
        <v>star</v>
      </c>
      <c r="C11165" s="4" t="str">
        <f>IFERROR(__xludf.DUMMYFUNCTION("""COMPUTED_VALUE"""),"Speed Star STAR")</f>
        <v>Speed Star STAR</v>
      </c>
    </row>
    <row r="11166">
      <c r="A11166" s="4" t="str">
        <f>IFERROR(__xludf.DUMMYFUNCTION("""COMPUTED_VALUE"""),"speero")</f>
        <v>speero</v>
      </c>
      <c r="B11166" s="4" t="str">
        <f>IFERROR(__xludf.DUMMYFUNCTION("""COMPUTED_VALUE"""),"speero")</f>
        <v>speero</v>
      </c>
      <c r="C11166" s="4" t="str">
        <f>IFERROR(__xludf.DUMMYFUNCTION("""COMPUTED_VALUE"""),"Speero")</f>
        <v>Speero</v>
      </c>
    </row>
    <row r="11167">
      <c r="A11167" s="4" t="str">
        <f>IFERROR(__xludf.DUMMYFUNCTION("""COMPUTED_VALUE"""),"spellfire")</f>
        <v>spellfire</v>
      </c>
      <c r="B11167" s="4" t="str">
        <f>IFERROR(__xludf.DUMMYFUNCTION("""COMPUTED_VALUE"""),"spellfire")</f>
        <v>spellfire</v>
      </c>
      <c r="C11167" s="4" t="str">
        <f>IFERROR(__xludf.DUMMYFUNCTION("""COMPUTED_VALUE"""),"Spellfire")</f>
        <v>Spellfire</v>
      </c>
    </row>
    <row r="11168">
      <c r="A11168" s="4" t="str">
        <f>IFERROR(__xludf.DUMMYFUNCTION("""COMPUTED_VALUE"""),"spell-token")</f>
        <v>spell-token</v>
      </c>
      <c r="B11168" s="4" t="str">
        <f>IFERROR(__xludf.DUMMYFUNCTION("""COMPUTED_VALUE"""),"spell")</f>
        <v>spell</v>
      </c>
      <c r="C11168" s="4" t="str">
        <f>IFERROR(__xludf.DUMMYFUNCTION("""COMPUTED_VALUE"""),"Spell")</f>
        <v>Spell</v>
      </c>
    </row>
    <row r="11169">
      <c r="A11169" s="4" t="str">
        <f>IFERROR(__xludf.DUMMYFUNCTION("""COMPUTED_VALUE"""),"sperax")</f>
        <v>sperax</v>
      </c>
      <c r="B11169" s="4" t="str">
        <f>IFERROR(__xludf.DUMMYFUNCTION("""COMPUTED_VALUE"""),"spa")</f>
        <v>spa</v>
      </c>
      <c r="C11169" s="4" t="str">
        <f>IFERROR(__xludf.DUMMYFUNCTION("""COMPUTED_VALUE"""),"Sperax")</f>
        <v>Sperax</v>
      </c>
    </row>
    <row r="11170">
      <c r="A11170" s="4" t="str">
        <f>IFERROR(__xludf.DUMMYFUNCTION("""COMPUTED_VALUE"""),"sperax-usd")</f>
        <v>sperax-usd</v>
      </c>
      <c r="B11170" s="4" t="str">
        <f>IFERROR(__xludf.DUMMYFUNCTION("""COMPUTED_VALUE"""),"usds")</f>
        <v>usds</v>
      </c>
      <c r="C11170" s="4" t="str">
        <f>IFERROR(__xludf.DUMMYFUNCTION("""COMPUTED_VALUE"""),"Sperax USD")</f>
        <v>Sperax USD</v>
      </c>
    </row>
    <row r="11171">
      <c r="A11171" s="4" t="str">
        <f>IFERROR(__xludf.DUMMYFUNCTION("""COMPUTED_VALUE"""),"sphere-finance")</f>
        <v>sphere-finance</v>
      </c>
      <c r="B11171" s="4" t="str">
        <f>IFERROR(__xludf.DUMMYFUNCTION("""COMPUTED_VALUE"""),"sphere")</f>
        <v>sphere</v>
      </c>
      <c r="C11171" s="4" t="str">
        <f>IFERROR(__xludf.DUMMYFUNCTION("""COMPUTED_VALUE"""),"Sphere Finance")</f>
        <v>Sphere Finance</v>
      </c>
    </row>
    <row r="11172">
      <c r="A11172" s="4" t="str">
        <f>IFERROR(__xludf.DUMMYFUNCTION("""COMPUTED_VALUE"""),"spheresxs")</f>
        <v>spheresxs</v>
      </c>
      <c r="B11172" s="4" t="str">
        <f>IFERROR(__xludf.DUMMYFUNCTION("""COMPUTED_VALUE"""),"sxs")</f>
        <v>sxs</v>
      </c>
      <c r="C11172" s="4" t="str">
        <f>IFERROR(__xludf.DUMMYFUNCTION("""COMPUTED_VALUE"""),"SphereSXS")</f>
        <v>SphereSXS</v>
      </c>
    </row>
    <row r="11173">
      <c r="A11173" s="4" t="str">
        <f>IFERROR(__xludf.DUMMYFUNCTION("""COMPUTED_VALUE"""),"spherium")</f>
        <v>spherium</v>
      </c>
      <c r="B11173" s="4" t="str">
        <f>IFERROR(__xludf.DUMMYFUNCTION("""COMPUTED_VALUE"""),"sphri")</f>
        <v>sphri</v>
      </c>
      <c r="C11173" s="4" t="str">
        <f>IFERROR(__xludf.DUMMYFUNCTION("""COMPUTED_VALUE"""),"Spherium")</f>
        <v>Spherium</v>
      </c>
    </row>
    <row r="11174">
      <c r="A11174" s="4" t="str">
        <f>IFERROR(__xludf.DUMMYFUNCTION("""COMPUTED_VALUE"""),"spheroid-universe")</f>
        <v>spheroid-universe</v>
      </c>
      <c r="B11174" s="4" t="str">
        <f>IFERROR(__xludf.DUMMYFUNCTION("""COMPUTED_VALUE"""),"sph")</f>
        <v>sph</v>
      </c>
      <c r="C11174" s="4" t="str">
        <f>IFERROR(__xludf.DUMMYFUNCTION("""COMPUTED_VALUE"""),"Spheroid Universe")</f>
        <v>Spheroid Universe</v>
      </c>
    </row>
    <row r="11175">
      <c r="A11175" s="4" t="str">
        <f>IFERROR(__xludf.DUMMYFUNCTION("""COMPUTED_VALUE"""),"sphynx-labs-bae5b42e-5e37-4607-8691-b56d3a5f344c")</f>
        <v>sphynx-labs-bae5b42e-5e37-4607-8691-b56d3a5f344c</v>
      </c>
      <c r="B11175" s="4" t="str">
        <f>IFERROR(__xludf.DUMMYFUNCTION("""COMPUTED_VALUE"""),"sphynx")</f>
        <v>sphynx</v>
      </c>
      <c r="C11175" s="4" t="str">
        <f>IFERROR(__xludf.DUMMYFUNCTION("""COMPUTED_VALUE"""),"Sphynx Labs")</f>
        <v>Sphynx Labs</v>
      </c>
    </row>
    <row r="11176">
      <c r="A11176" s="4" t="str">
        <f>IFERROR(__xludf.DUMMYFUNCTION("""COMPUTED_VALUE"""),"spice-trade")</f>
        <v>spice-trade</v>
      </c>
      <c r="B11176" s="4" t="str">
        <f>IFERROR(__xludf.DUMMYFUNCTION("""COMPUTED_VALUE"""),"spice")</f>
        <v>spice</v>
      </c>
      <c r="C11176" s="4" t="str">
        <f>IFERROR(__xludf.DUMMYFUNCTION("""COMPUTED_VALUE"""),"Spice Trade")</f>
        <v>Spice Trade</v>
      </c>
    </row>
    <row r="11177">
      <c r="A11177" s="4" t="str">
        <f>IFERROR(__xludf.DUMMYFUNCTION("""COMPUTED_VALUE"""),"spiceusd")</f>
        <v>spiceusd</v>
      </c>
      <c r="B11177" s="4" t="str">
        <f>IFERROR(__xludf.DUMMYFUNCTION("""COMPUTED_VALUE"""),"usds")</f>
        <v>usds</v>
      </c>
      <c r="C11177" s="4" t="str">
        <f>IFERROR(__xludf.DUMMYFUNCTION("""COMPUTED_VALUE"""),"SpiceUSD")</f>
        <v>SpiceUSD</v>
      </c>
    </row>
    <row r="11178">
      <c r="A11178" s="4" t="str">
        <f>IFERROR(__xludf.DUMMYFUNCTION("""COMPUTED_VALUE"""),"spider")</f>
        <v>spider</v>
      </c>
      <c r="B11178" s="4" t="str">
        <f>IFERROR(__xludf.DUMMYFUNCTION("""COMPUTED_VALUE"""),"spider")</f>
        <v>spider</v>
      </c>
      <c r="C11178" s="4" t="str">
        <f>IFERROR(__xludf.DUMMYFUNCTION("""COMPUTED_VALUE"""),"Spider")</f>
        <v>Spider</v>
      </c>
    </row>
    <row r="11179">
      <c r="A11179" s="4" t="str">
        <f>IFERROR(__xludf.DUMMYFUNCTION("""COMPUTED_VALUE"""),"spiderdao")</f>
        <v>spiderdao</v>
      </c>
      <c r="B11179" s="4" t="str">
        <f>IFERROR(__xludf.DUMMYFUNCTION("""COMPUTED_VALUE"""),"spdr")</f>
        <v>spdr</v>
      </c>
      <c r="C11179" s="4" t="str">
        <f>IFERROR(__xludf.DUMMYFUNCTION("""COMPUTED_VALUE"""),"SpiderDAO")</f>
        <v>SpiderDAO</v>
      </c>
    </row>
    <row r="11180">
      <c r="A11180" s="4" t="str">
        <f>IFERROR(__xludf.DUMMYFUNCTION("""COMPUTED_VALUE"""),"spider-spirit")</f>
        <v>spider-spirit</v>
      </c>
      <c r="B11180" s="4" t="str">
        <f>IFERROR(__xludf.DUMMYFUNCTION("""COMPUTED_VALUE"""),"spider")</f>
        <v>spider</v>
      </c>
      <c r="C11180" s="4" t="str">
        <f>IFERROR(__xludf.DUMMYFUNCTION("""COMPUTED_VALUE"""),"Spider Spirit")</f>
        <v>Spider Spirit</v>
      </c>
    </row>
    <row r="11181">
      <c r="A11181" s="4" t="str">
        <f>IFERROR(__xludf.DUMMYFUNCTION("""COMPUTED_VALUE"""),"spiderswap")</f>
        <v>spiderswap</v>
      </c>
      <c r="B11181" s="4" t="str">
        <f>IFERROR(__xludf.DUMMYFUNCTION("""COMPUTED_VALUE"""),"spdr")</f>
        <v>spdr</v>
      </c>
      <c r="C11181" s="4" t="str">
        <f>IFERROR(__xludf.DUMMYFUNCTION("""COMPUTED_VALUE"""),"SpiderSwap")</f>
        <v>SpiderSwap</v>
      </c>
    </row>
    <row r="11182">
      <c r="A11182" s="4" t="str">
        <f>IFERROR(__xludf.DUMMYFUNCTION("""COMPUTED_VALUE"""),"spillways")</f>
        <v>spillways</v>
      </c>
      <c r="B11182" s="4" t="str">
        <f>IFERROR(__xludf.DUMMYFUNCTION("""COMPUTED_VALUE"""),"spillways")</f>
        <v>spillways</v>
      </c>
      <c r="C11182" s="4" t="str">
        <f>IFERROR(__xludf.DUMMYFUNCTION("""COMPUTED_VALUE"""),"Spillways")</f>
        <v>Spillways</v>
      </c>
    </row>
    <row r="11183">
      <c r="A11183" s="4" t="str">
        <f>IFERROR(__xludf.DUMMYFUNCTION("""COMPUTED_VALUE"""),"spinada-cash")</f>
        <v>spinada-cash</v>
      </c>
      <c r="B11183" s="4" t="str">
        <f>IFERROR(__xludf.DUMMYFUNCTION("""COMPUTED_VALUE"""),"spin")</f>
        <v>spin</v>
      </c>
      <c r="C11183" s="4" t="str">
        <f>IFERROR(__xludf.DUMMYFUNCTION("""COMPUTED_VALUE"""),"Spinada Cash")</f>
        <v>Spinada Cash</v>
      </c>
    </row>
    <row r="11184">
      <c r="A11184" s="4" t="str">
        <f>IFERROR(__xludf.DUMMYFUNCTION("""COMPUTED_VALUE"""),"spinaq")</f>
        <v>spinaq</v>
      </c>
      <c r="B11184" s="4" t="str">
        <f>IFERROR(__xludf.DUMMYFUNCTION("""COMPUTED_VALUE"""),"spinaq")</f>
        <v>spinaq</v>
      </c>
      <c r="C11184" s="4" t="str">
        <f>IFERROR(__xludf.DUMMYFUNCTION("""COMPUTED_VALUE"""),"Spinaq")</f>
        <v>Spinaq</v>
      </c>
    </row>
    <row r="11185">
      <c r="A11185" s="4" t="str">
        <f>IFERROR(__xludf.DUMMYFUNCTION("""COMPUTED_VALUE"""),"spin-fi")</f>
        <v>spin-fi</v>
      </c>
      <c r="B11185" s="4" t="str">
        <f>IFERROR(__xludf.DUMMYFUNCTION("""COMPUTED_VALUE"""),"$spin")</f>
        <v>$spin</v>
      </c>
      <c r="C11185" s="4" t="str">
        <f>IFERROR(__xludf.DUMMYFUNCTION("""COMPUTED_VALUE"""),"Spin Fi")</f>
        <v>Spin Fi</v>
      </c>
    </row>
    <row r="11186">
      <c r="A11186" s="4" t="str">
        <f>IFERROR(__xludf.DUMMYFUNCTION("""COMPUTED_VALUE"""),"spintop")</f>
        <v>spintop</v>
      </c>
      <c r="B11186" s="4" t="str">
        <f>IFERROR(__xludf.DUMMYFUNCTION("""COMPUTED_VALUE"""),"spin")</f>
        <v>spin</v>
      </c>
      <c r="C11186" s="4" t="str">
        <f>IFERROR(__xludf.DUMMYFUNCTION("""COMPUTED_VALUE"""),"Spintop")</f>
        <v>Spintop</v>
      </c>
    </row>
    <row r="11187">
      <c r="A11187" s="4" t="str">
        <f>IFERROR(__xludf.DUMMYFUNCTION("""COMPUTED_VALUE"""),"spiraldao-coil")</f>
        <v>spiraldao-coil</v>
      </c>
      <c r="B11187" s="4" t="str">
        <f>IFERROR(__xludf.DUMMYFUNCTION("""COMPUTED_VALUE"""),"coil")</f>
        <v>coil</v>
      </c>
      <c r="C11187" s="4" t="str">
        <f>IFERROR(__xludf.DUMMYFUNCTION("""COMPUTED_VALUE"""),"SpiralDAO Coil")</f>
        <v>SpiralDAO Coil</v>
      </c>
    </row>
    <row r="11188">
      <c r="A11188" s="4" t="str">
        <f>IFERROR(__xludf.DUMMYFUNCTION("""COMPUTED_VALUE"""),"spiral-dao-staked-coil")</f>
        <v>spiral-dao-staked-coil</v>
      </c>
      <c r="B11188" s="4" t="str">
        <f>IFERROR(__xludf.DUMMYFUNCTION("""COMPUTED_VALUE"""),"spr")</f>
        <v>spr</v>
      </c>
      <c r="C11188" s="4" t="str">
        <f>IFERROR(__xludf.DUMMYFUNCTION("""COMPUTED_VALUE"""),"Spiral")</f>
        <v>Spiral</v>
      </c>
    </row>
    <row r="11189">
      <c r="A11189" s="4" t="str">
        <f>IFERROR(__xludf.DUMMYFUNCTION("""COMPUTED_VALUE"""),"spiritswap")</f>
        <v>spiritswap</v>
      </c>
      <c r="B11189" s="4" t="str">
        <f>IFERROR(__xludf.DUMMYFUNCTION("""COMPUTED_VALUE"""),"spirit")</f>
        <v>spirit</v>
      </c>
      <c r="C11189" s="4" t="str">
        <f>IFERROR(__xludf.DUMMYFUNCTION("""COMPUTED_VALUE"""),"SpiritSwap")</f>
        <v>SpiritSwap</v>
      </c>
    </row>
    <row r="11190">
      <c r="A11190" s="4" t="str">
        <f>IFERROR(__xludf.DUMMYFUNCTION("""COMPUTED_VALUE"""),"splinterlands")</f>
        <v>splinterlands</v>
      </c>
      <c r="B11190" s="4" t="str">
        <f>IFERROR(__xludf.DUMMYFUNCTION("""COMPUTED_VALUE"""),"sps")</f>
        <v>sps</v>
      </c>
      <c r="C11190" s="4" t="str">
        <f>IFERROR(__xludf.DUMMYFUNCTION("""COMPUTED_VALUE"""),"Splintershards")</f>
        <v>Splintershards</v>
      </c>
    </row>
    <row r="11191">
      <c r="A11191" s="4" t="str">
        <f>IFERROR(__xludf.DUMMYFUNCTION("""COMPUTED_VALUE"""),"splyt")</f>
        <v>splyt</v>
      </c>
      <c r="B11191" s="4" t="str">
        <f>IFERROR(__xludf.DUMMYFUNCTION("""COMPUTED_VALUE"""),"shopx")</f>
        <v>shopx</v>
      </c>
      <c r="C11191" s="4" t="str">
        <f>IFERROR(__xludf.DUMMYFUNCTION("""COMPUTED_VALUE"""),"SHOPX")</f>
        <v>SHOPX</v>
      </c>
    </row>
    <row r="11192">
      <c r="A11192" s="4" t="str">
        <f>IFERROR(__xludf.DUMMYFUNCTION("""COMPUTED_VALUE"""),"spodermen")</f>
        <v>spodermen</v>
      </c>
      <c r="B11192" s="4" t="str">
        <f>IFERROR(__xludf.DUMMYFUNCTION("""COMPUTED_VALUE"""),"spoody")</f>
        <v>spoody</v>
      </c>
      <c r="C11192" s="4" t="str">
        <f>IFERROR(__xludf.DUMMYFUNCTION("""COMPUTED_VALUE"""),"Spodermen")</f>
        <v>Spodermen</v>
      </c>
    </row>
    <row r="11193">
      <c r="A11193" s="4" t="str">
        <f>IFERROR(__xludf.DUMMYFUNCTION("""COMPUTED_VALUE"""),"sponge-2")</f>
        <v>sponge-2</v>
      </c>
      <c r="B11193" s="4" t="str">
        <f>IFERROR(__xludf.DUMMYFUNCTION("""COMPUTED_VALUE"""),"$sponge")</f>
        <v>$sponge</v>
      </c>
      <c r="C11193" s="4" t="str">
        <f>IFERROR(__xludf.DUMMYFUNCTION("""COMPUTED_VALUE"""),"Sponge")</f>
        <v>Sponge</v>
      </c>
    </row>
    <row r="11194">
      <c r="A11194" s="4" t="str">
        <f>IFERROR(__xludf.DUMMYFUNCTION("""COMPUTED_VALUE"""),"sponge-f08b2fe4-9d9c-47c3-b5a0-84c2ac3bbbff")</f>
        <v>sponge-f08b2fe4-9d9c-47c3-b5a0-84c2ac3bbbff</v>
      </c>
      <c r="B11194" s="4" t="str">
        <f>IFERROR(__xludf.DUMMYFUNCTION("""COMPUTED_VALUE"""),"$sponge")</f>
        <v>$sponge</v>
      </c>
      <c r="C11194" s="4" t="str">
        <f>IFERROR(__xludf.DUMMYFUNCTION("""COMPUTED_VALUE"""),"Sponge (OLD)")</f>
        <v>Sponge (OLD)</v>
      </c>
    </row>
    <row r="11195">
      <c r="A11195" s="4" t="str">
        <f>IFERROR(__xludf.DUMMYFUNCTION("""COMPUTED_VALUE"""),"spoofify")</f>
        <v>spoofify</v>
      </c>
      <c r="B11195" s="4" t="str">
        <f>IFERROR(__xludf.DUMMYFUNCTION("""COMPUTED_VALUE"""),"spoof")</f>
        <v>spoof</v>
      </c>
      <c r="C11195" s="4" t="str">
        <f>IFERROR(__xludf.DUMMYFUNCTION("""COMPUTED_VALUE"""),"Spoofify")</f>
        <v>Spoofify</v>
      </c>
    </row>
    <row r="11196">
      <c r="A11196" s="4" t="str">
        <f>IFERROR(__xludf.DUMMYFUNCTION("""COMPUTED_VALUE"""),"spookyshiba-2")</f>
        <v>spookyshiba-2</v>
      </c>
      <c r="B11196" s="4" t="str">
        <f>IFERROR(__xludf.DUMMYFUNCTION("""COMPUTED_VALUE"""),"spky")</f>
        <v>spky</v>
      </c>
      <c r="C11196" s="4" t="str">
        <f>IFERROR(__xludf.DUMMYFUNCTION("""COMPUTED_VALUE"""),"SpookyShiba")</f>
        <v>SpookyShiba</v>
      </c>
    </row>
    <row r="11197">
      <c r="A11197" s="4" t="str">
        <f>IFERROR(__xludf.DUMMYFUNCTION("""COMPUTED_VALUE"""),"spookyswap")</f>
        <v>spookyswap</v>
      </c>
      <c r="B11197" s="4" t="str">
        <f>IFERROR(__xludf.DUMMYFUNCTION("""COMPUTED_VALUE"""),"boo")</f>
        <v>boo</v>
      </c>
      <c r="C11197" s="4" t="str">
        <f>IFERROR(__xludf.DUMMYFUNCTION("""COMPUTED_VALUE"""),"Spookyswap")</f>
        <v>Spookyswap</v>
      </c>
    </row>
    <row r="11198">
      <c r="A11198" s="4" t="str">
        <f>IFERROR(__xludf.DUMMYFUNCTION("""COMPUTED_VALUE"""),"spooky-the-phantom")</f>
        <v>spooky-the-phantom</v>
      </c>
      <c r="B11198" s="4" t="str">
        <f>IFERROR(__xludf.DUMMYFUNCTION("""COMPUTED_VALUE"""),"spooky")</f>
        <v>spooky</v>
      </c>
      <c r="C11198" s="4" t="str">
        <f>IFERROR(__xludf.DUMMYFUNCTION("""COMPUTED_VALUE"""),"Spooky The Phantom")</f>
        <v>Spooky The Phantom</v>
      </c>
    </row>
    <row r="11199">
      <c r="A11199" s="4" t="str">
        <f>IFERROR(__xludf.DUMMYFUNCTION("""COMPUTED_VALUE"""),"spookyz")</f>
        <v>spookyz</v>
      </c>
      <c r="B11199" s="4" t="str">
        <f>IFERROR(__xludf.DUMMYFUNCTION("""COMPUTED_VALUE"""),"spz")</f>
        <v>spz</v>
      </c>
      <c r="C11199" s="4" t="str">
        <f>IFERROR(__xludf.DUMMYFUNCTION("""COMPUTED_VALUE"""),"SpookyZ")</f>
        <v>SpookyZ</v>
      </c>
    </row>
    <row r="11200">
      <c r="A11200" s="4" t="str">
        <f>IFERROR(__xludf.DUMMYFUNCTION("""COMPUTED_VALUE"""),"spool-dao-token")</f>
        <v>spool-dao-token</v>
      </c>
      <c r="B11200" s="4" t="str">
        <f>IFERROR(__xludf.DUMMYFUNCTION("""COMPUTED_VALUE"""),"spool")</f>
        <v>spool</v>
      </c>
      <c r="C11200" s="4" t="str">
        <f>IFERROR(__xludf.DUMMYFUNCTION("""COMPUTED_VALUE"""),"Spool")</f>
        <v>Spool</v>
      </c>
    </row>
    <row r="11201">
      <c r="A11201" s="4" t="str">
        <f>IFERROR(__xludf.DUMMYFUNCTION("""COMPUTED_VALUE"""),"spoony")</f>
        <v>spoony</v>
      </c>
      <c r="B11201" s="4" t="str">
        <f>IFERROR(__xludf.DUMMYFUNCTION("""COMPUTED_VALUE"""),"spoon")</f>
        <v>spoon</v>
      </c>
      <c r="C11201" s="4" t="str">
        <f>IFERROR(__xludf.DUMMYFUNCTION("""COMPUTED_VALUE"""),"Spoony")</f>
        <v>Spoony</v>
      </c>
    </row>
    <row r="11202">
      <c r="A11202" s="4" t="str">
        <f>IFERROR(__xludf.DUMMYFUNCTION("""COMPUTED_VALUE"""),"spore")</f>
        <v>spore</v>
      </c>
      <c r="B11202" s="4" t="str">
        <f>IFERROR(__xludf.DUMMYFUNCTION("""COMPUTED_VALUE"""),"spore")</f>
        <v>spore</v>
      </c>
      <c r="C11202" s="4" t="str">
        <f>IFERROR(__xludf.DUMMYFUNCTION("""COMPUTED_VALUE"""),"Spore")</f>
        <v>Spore</v>
      </c>
    </row>
    <row r="11203">
      <c r="A11203" s="4" t="str">
        <f>IFERROR(__xludf.DUMMYFUNCTION("""COMPUTED_VALUE"""),"spores-network")</f>
        <v>spores-network</v>
      </c>
      <c r="B11203" s="4" t="str">
        <f>IFERROR(__xludf.DUMMYFUNCTION("""COMPUTED_VALUE"""),"spo")</f>
        <v>spo</v>
      </c>
      <c r="C11203" s="4" t="str">
        <f>IFERROR(__xludf.DUMMYFUNCTION("""COMPUTED_VALUE"""),"Spores Network")</f>
        <v>Spores Network</v>
      </c>
    </row>
    <row r="11204">
      <c r="A11204" s="4" t="str">
        <f>IFERROR(__xludf.DUMMYFUNCTION("""COMPUTED_VALUE"""),"sporkdao")</f>
        <v>sporkdao</v>
      </c>
      <c r="B11204" s="4" t="str">
        <f>IFERROR(__xludf.DUMMYFUNCTION("""COMPUTED_VALUE"""),"spork")</f>
        <v>spork</v>
      </c>
      <c r="C11204" s="4" t="str">
        <f>IFERROR(__xludf.DUMMYFUNCTION("""COMPUTED_VALUE"""),"SporkDAO")</f>
        <v>SporkDAO</v>
      </c>
    </row>
    <row r="11205">
      <c r="A11205" s="4" t="str">
        <f>IFERROR(__xludf.DUMMYFUNCTION("""COMPUTED_VALUE"""),"sport")</f>
        <v>sport</v>
      </c>
      <c r="B11205" s="4" t="str">
        <f>IFERROR(__xludf.DUMMYFUNCTION("""COMPUTED_VALUE"""),"sport")</f>
        <v>sport</v>
      </c>
      <c r="C11205" s="4" t="str">
        <f>IFERROR(__xludf.DUMMYFUNCTION("""COMPUTED_VALUE"""),"SPORT")</f>
        <v>SPORT</v>
      </c>
    </row>
    <row r="11206">
      <c r="A11206" s="4" t="str">
        <f>IFERROR(__xludf.DUMMYFUNCTION("""COMPUTED_VALUE"""),"sportium")</f>
        <v>sportium</v>
      </c>
      <c r="B11206" s="4" t="str">
        <f>IFERROR(__xludf.DUMMYFUNCTION("""COMPUTED_VALUE"""),"sprt")</f>
        <v>sprt</v>
      </c>
      <c r="C11206" s="4" t="str">
        <f>IFERROR(__xludf.DUMMYFUNCTION("""COMPUTED_VALUE"""),"Sportium")</f>
        <v>Sportium</v>
      </c>
    </row>
    <row r="11207">
      <c r="A11207" s="4" t="str">
        <f>IFERROR(__xludf.DUMMYFUNCTION("""COMPUTED_VALUE"""),"sports-artificial")</f>
        <v>sports-artificial</v>
      </c>
      <c r="B11207" s="4" t="str">
        <f>IFERROR(__xludf.DUMMYFUNCTION("""COMPUTED_VALUE"""),"sports-ai")</f>
        <v>sports-ai</v>
      </c>
      <c r="C11207" s="4" t="str">
        <f>IFERROR(__xludf.DUMMYFUNCTION("""COMPUTED_VALUE"""),"Sports Artificial")</f>
        <v>Sports Artificial</v>
      </c>
    </row>
    <row r="11208">
      <c r="A11208" s="4" t="str">
        <f>IFERROR(__xludf.DUMMYFUNCTION("""COMPUTED_VALUE"""),"sports-bet")</f>
        <v>sports-bet</v>
      </c>
      <c r="B11208" s="4" t="str">
        <f>IFERROR(__xludf.DUMMYFUNCTION("""COMPUTED_VALUE"""),"sbet")</f>
        <v>sbet</v>
      </c>
      <c r="C11208" s="4" t="str">
        <f>IFERROR(__xludf.DUMMYFUNCTION("""COMPUTED_VALUE"""),"Sports Bet")</f>
        <v>Sports Bet</v>
      </c>
    </row>
    <row r="11209">
      <c r="A11209" s="4" t="str">
        <f>IFERROR(__xludf.DUMMYFUNCTION("""COMPUTED_VALUE"""),"sportsicon")</f>
        <v>sportsicon</v>
      </c>
      <c r="B11209" s="4" t="str">
        <f>IFERROR(__xludf.DUMMYFUNCTION("""COMPUTED_VALUE"""),"$icons")</f>
        <v>$icons</v>
      </c>
      <c r="C11209" s="4" t="str">
        <f>IFERROR(__xludf.DUMMYFUNCTION("""COMPUTED_VALUE"""),"SportsIcon")</f>
        <v>SportsIcon</v>
      </c>
    </row>
    <row r="11210">
      <c r="A11210" s="4" t="str">
        <f>IFERROR(__xludf.DUMMYFUNCTION("""COMPUTED_VALUE"""),"sportzchain")</f>
        <v>sportzchain</v>
      </c>
      <c r="B11210" s="4" t="str">
        <f>IFERROR(__xludf.DUMMYFUNCTION("""COMPUTED_VALUE"""),"spn")</f>
        <v>spn</v>
      </c>
      <c r="C11210" s="4" t="str">
        <f>IFERROR(__xludf.DUMMYFUNCTION("""COMPUTED_VALUE"""),"Sportzchain")</f>
        <v>Sportzchain</v>
      </c>
    </row>
    <row r="11211">
      <c r="A11211" s="4" t="str">
        <f>IFERROR(__xludf.DUMMYFUNCTION("""COMPUTED_VALUE"""),"spot")</f>
        <v>spot</v>
      </c>
      <c r="B11211" s="4" t="str">
        <f>IFERROR(__xludf.DUMMYFUNCTION("""COMPUTED_VALUE"""),"spot")</f>
        <v>spot</v>
      </c>
      <c r="C11211" s="4" t="str">
        <f>IFERROR(__xludf.DUMMYFUNCTION("""COMPUTED_VALUE"""),"Spot")</f>
        <v>Spot</v>
      </c>
    </row>
    <row r="11212">
      <c r="A11212" s="4" t="str">
        <f>IFERROR(__xludf.DUMMYFUNCTION("""COMPUTED_VALUE"""),"spotted-turtle")</f>
        <v>spotted-turtle</v>
      </c>
      <c r="B11212" s="4" t="str">
        <f>IFERROR(__xludf.DUMMYFUNCTION("""COMPUTED_VALUE"""),"st")</f>
        <v>st</v>
      </c>
      <c r="C11212" s="4" t="str">
        <f>IFERROR(__xludf.DUMMYFUNCTION("""COMPUTED_VALUE"""),"Spotted Turtle")</f>
        <v>Spotted Turtle</v>
      </c>
    </row>
    <row r="11213">
      <c r="A11213" s="4" t="str">
        <f>IFERROR(__xludf.DUMMYFUNCTION("""COMPUTED_VALUE"""),"spowars")</f>
        <v>spowars</v>
      </c>
      <c r="B11213" s="4" t="str">
        <f>IFERROR(__xludf.DUMMYFUNCTION("""COMPUTED_VALUE"""),"sow")</f>
        <v>sow</v>
      </c>
      <c r="C11213" s="4" t="str">
        <f>IFERROR(__xludf.DUMMYFUNCTION("""COMPUTED_VALUE"""),"SPOWARS")</f>
        <v>SPOWARS</v>
      </c>
    </row>
    <row r="11214">
      <c r="A11214" s="4" t="str">
        <f>IFERROR(__xludf.DUMMYFUNCTION("""COMPUTED_VALUE"""),"spread-wisdom")</f>
        <v>spread-wisdom</v>
      </c>
      <c r="B11214" s="4" t="str">
        <f>IFERROR(__xludf.DUMMYFUNCTION("""COMPUTED_VALUE"""),"swim")</f>
        <v>swim</v>
      </c>
      <c r="C11214" s="4" t="str">
        <f>IFERROR(__xludf.DUMMYFUNCTION("""COMPUTED_VALUE"""),"Spread Wisdom")</f>
        <v>Spread Wisdom</v>
      </c>
    </row>
    <row r="11215">
      <c r="A11215" s="4" t="str">
        <f>IFERROR(__xludf.DUMMYFUNCTION("""COMPUTED_VALUE"""),"spring")</f>
        <v>spring</v>
      </c>
      <c r="B11215" s="4" t="str">
        <f>IFERROR(__xludf.DUMMYFUNCTION("""COMPUTED_VALUE"""),"spring")</f>
        <v>spring</v>
      </c>
      <c r="C11215" s="4" t="str">
        <f>IFERROR(__xludf.DUMMYFUNCTION("""COMPUTED_VALUE"""),"Spring Token")</f>
        <v>Spring Token</v>
      </c>
    </row>
    <row r="11216">
      <c r="A11216" s="4" t="str">
        <f>IFERROR(__xludf.DUMMYFUNCTION("""COMPUTED_VALUE"""),"sprink")</f>
        <v>sprink</v>
      </c>
      <c r="B11216" s="4" t="str">
        <f>IFERROR(__xludf.DUMMYFUNCTION("""COMPUTED_VALUE"""),"sprink")</f>
        <v>sprink</v>
      </c>
      <c r="C11216" s="4" t="str">
        <f>IFERROR(__xludf.DUMMYFUNCTION("""COMPUTED_VALUE"""),"Sprink")</f>
        <v>Sprink</v>
      </c>
    </row>
    <row r="11217">
      <c r="A11217" s="4" t="str">
        <f>IFERROR(__xludf.DUMMYFUNCTION("""COMPUTED_VALUE"""),"sprint-2")</f>
        <v>sprint-2</v>
      </c>
      <c r="B11217" s="4" t="str">
        <f>IFERROR(__xludf.DUMMYFUNCTION("""COMPUTED_VALUE"""),"swp")</f>
        <v>swp</v>
      </c>
      <c r="C11217" s="4" t="str">
        <f>IFERROR(__xludf.DUMMYFUNCTION("""COMPUTED_VALUE"""),"Sprint")</f>
        <v>Sprint</v>
      </c>
    </row>
    <row r="11218">
      <c r="A11218" s="4" t="str">
        <f>IFERROR(__xludf.DUMMYFUNCTION("""COMPUTED_VALUE"""),"sprint-coin")</f>
        <v>sprint-coin</v>
      </c>
      <c r="B11218" s="4" t="str">
        <f>IFERROR(__xludf.DUMMYFUNCTION("""COMPUTED_VALUE"""),"sprx")</f>
        <v>sprx</v>
      </c>
      <c r="C11218" s="4" t="str">
        <f>IFERROR(__xludf.DUMMYFUNCTION("""COMPUTED_VALUE"""),"Sprint Coin")</f>
        <v>Sprint Coin</v>
      </c>
    </row>
    <row r="11219">
      <c r="A11219" s="4" t="str">
        <f>IFERROR(__xludf.DUMMYFUNCTION("""COMPUTED_VALUE"""),"spritzmoon-crypto")</f>
        <v>spritzmoon-crypto</v>
      </c>
      <c r="B11219" s="4" t="str">
        <f>IFERROR(__xludf.DUMMYFUNCTION("""COMPUTED_VALUE"""),"spritzmoon")</f>
        <v>spritzmoon</v>
      </c>
      <c r="C11219" s="4" t="str">
        <f>IFERROR(__xludf.DUMMYFUNCTION("""COMPUTED_VALUE"""),"SpritzMoon Crypto Token")</f>
        <v>SpritzMoon Crypto Token</v>
      </c>
    </row>
    <row r="11220">
      <c r="A11220" s="4" t="str">
        <f>IFERROR(__xludf.DUMMYFUNCTION("""COMPUTED_VALUE"""),"spume")</f>
        <v>spume</v>
      </c>
      <c r="B11220" s="4" t="str">
        <f>IFERROR(__xludf.DUMMYFUNCTION("""COMPUTED_VALUE"""),"spume")</f>
        <v>spume</v>
      </c>
      <c r="C11220" s="4" t="str">
        <f>IFERROR(__xludf.DUMMYFUNCTION("""COMPUTED_VALUE"""),"Spume")</f>
        <v>Spume</v>
      </c>
    </row>
    <row r="11221">
      <c r="A11221" s="4" t="str">
        <f>IFERROR(__xludf.DUMMYFUNCTION("""COMPUTED_VALUE"""),"spurdex")</f>
        <v>spurdex</v>
      </c>
      <c r="B11221" s="4" t="str">
        <f>IFERROR(__xludf.DUMMYFUNCTION("""COMPUTED_VALUE"""),"spdx")</f>
        <v>spdx</v>
      </c>
      <c r="C11221" s="4" t="str">
        <f>IFERROR(__xludf.DUMMYFUNCTION("""COMPUTED_VALUE"""),"SpurDex")</f>
        <v>SpurDex</v>
      </c>
    </row>
    <row r="11222">
      <c r="A11222" s="4" t="str">
        <f>IFERROR(__xludf.DUMMYFUNCTION("""COMPUTED_VALUE"""),"spurdo")</f>
        <v>spurdo</v>
      </c>
      <c r="B11222" s="4" t="str">
        <f>IFERROR(__xludf.DUMMYFUNCTION("""COMPUTED_VALUE"""),"spurdo")</f>
        <v>spurdo</v>
      </c>
      <c r="C11222" s="4" t="str">
        <f>IFERROR(__xludf.DUMMYFUNCTION("""COMPUTED_VALUE"""),"Spurdo")</f>
        <v>Spurdo</v>
      </c>
    </row>
    <row r="11223">
      <c r="A11223" s="4" t="str">
        <f>IFERROR(__xludf.DUMMYFUNCTION("""COMPUTED_VALUE"""),"spurdo-sparde")</f>
        <v>spurdo-sparde</v>
      </c>
      <c r="B11223" s="4" t="str">
        <f>IFERROR(__xludf.DUMMYFUNCTION("""COMPUTED_VALUE"""),"spurdo")</f>
        <v>spurdo</v>
      </c>
      <c r="C11223" s="4" t="str">
        <f>IFERROR(__xludf.DUMMYFUNCTION("""COMPUTED_VALUE"""),"Spurdo Spärde")</f>
        <v>Spurdo Spärde</v>
      </c>
    </row>
    <row r="11224">
      <c r="A11224" s="4" t="str">
        <f>IFERROR(__xludf.DUMMYFUNCTION("""COMPUTED_VALUE"""),"spx6900")</f>
        <v>spx6900</v>
      </c>
      <c r="B11224" s="4" t="str">
        <f>IFERROR(__xludf.DUMMYFUNCTION("""COMPUTED_VALUE"""),"spx")</f>
        <v>spx</v>
      </c>
      <c r="C11224" s="4" t="str">
        <f>IFERROR(__xludf.DUMMYFUNCTION("""COMPUTED_VALUE"""),"SPX6900")</f>
        <v>SPX6900</v>
      </c>
    </row>
    <row r="11225">
      <c r="A11225" s="4" t="str">
        <f>IFERROR(__xludf.DUMMYFUNCTION("""COMPUTED_VALUE"""),"spyro")</f>
        <v>spyro</v>
      </c>
      <c r="B11225" s="4" t="str">
        <f>IFERROR(__xludf.DUMMYFUNCTION("""COMPUTED_VALUE"""),"spyro")</f>
        <v>spyro</v>
      </c>
      <c r="C11225" s="4" t="str">
        <f>IFERROR(__xludf.DUMMYFUNCTION("""COMPUTED_VALUE"""),"SPYRO")</f>
        <v>SPYRO</v>
      </c>
    </row>
    <row r="11226">
      <c r="A11226" s="4" t="str">
        <f>IFERROR(__xludf.DUMMYFUNCTION("""COMPUTED_VALUE"""),"spyrolana")</f>
        <v>spyrolana</v>
      </c>
      <c r="B11226" s="4" t="str">
        <f>IFERROR(__xludf.DUMMYFUNCTION("""COMPUTED_VALUE"""),"spyro")</f>
        <v>spyro</v>
      </c>
      <c r="C11226" s="4" t="str">
        <f>IFERROR(__xludf.DUMMYFUNCTION("""COMPUTED_VALUE"""),"Spyrolana")</f>
        <v>Spyrolana</v>
      </c>
    </row>
    <row r="11227">
      <c r="A11227" s="4" t="str">
        <f>IFERROR(__xludf.DUMMYFUNCTION("""COMPUTED_VALUE"""),"sqgl-vault-nftx")</f>
        <v>sqgl-vault-nftx</v>
      </c>
      <c r="B11227" s="4" t="str">
        <f>IFERROR(__xludf.DUMMYFUNCTION("""COMPUTED_VALUE"""),"sqgl")</f>
        <v>sqgl</v>
      </c>
      <c r="C11227" s="4" t="str">
        <f>IFERROR(__xludf.DUMMYFUNCTION("""COMPUTED_VALUE"""),"SQGL Vault (NFTX)")</f>
        <v>SQGL Vault (NFTX)</v>
      </c>
    </row>
    <row r="11228">
      <c r="A11228" s="4" t="str">
        <f>IFERROR(__xludf.DUMMYFUNCTION("""COMPUTED_VALUE"""),"sqrcat")</f>
        <v>sqrcat</v>
      </c>
      <c r="B11228" s="4" t="str">
        <f>IFERROR(__xludf.DUMMYFUNCTION("""COMPUTED_VALUE"""),"sqrcat")</f>
        <v>sqrcat</v>
      </c>
      <c r="C11228" s="4" t="str">
        <f>IFERROR(__xludf.DUMMYFUNCTION("""COMPUTED_VALUE"""),"SQRCAT")</f>
        <v>SQRCAT</v>
      </c>
    </row>
    <row r="11229">
      <c r="A11229" s="4" t="str">
        <f>IFERROR(__xludf.DUMMYFUNCTION("""COMPUTED_VALUE"""),"sqts-ordinals")</f>
        <v>sqts-ordinals</v>
      </c>
      <c r="B11229" s="4" t="str">
        <f>IFERROR(__xludf.DUMMYFUNCTION("""COMPUTED_VALUE"""),"sqts")</f>
        <v>sqts</v>
      </c>
      <c r="C11229" s="4" t="str">
        <f>IFERROR(__xludf.DUMMYFUNCTION("""COMPUTED_VALUE"""),"SQTS (Ordinals)")</f>
        <v>SQTS (Ordinals)</v>
      </c>
    </row>
    <row r="11230">
      <c r="A11230" s="4" t="str">
        <f>IFERROR(__xludf.DUMMYFUNCTION("""COMPUTED_VALUE"""),"squad")</f>
        <v>squad</v>
      </c>
      <c r="B11230" s="4" t="str">
        <f>IFERROR(__xludf.DUMMYFUNCTION("""COMPUTED_VALUE"""),"squad")</f>
        <v>squad</v>
      </c>
      <c r="C11230" s="4" t="str">
        <f>IFERROR(__xludf.DUMMYFUNCTION("""COMPUTED_VALUE"""),"Superpower Squad")</f>
        <v>Superpower Squad</v>
      </c>
    </row>
    <row r="11231">
      <c r="A11231" s="4" t="str">
        <f>IFERROR(__xludf.DUMMYFUNCTION("""COMPUTED_VALUE"""),"squadfund")</f>
        <v>squadfund</v>
      </c>
      <c r="B11231" s="4" t="str">
        <f>IFERROR(__xludf.DUMMYFUNCTION("""COMPUTED_VALUE"""),"sqf")</f>
        <v>sqf</v>
      </c>
      <c r="C11231" s="4" t="str">
        <f>IFERROR(__xludf.DUMMYFUNCTION("""COMPUTED_VALUE"""),"SquadFund")</f>
        <v>SquadFund</v>
      </c>
    </row>
    <row r="11232">
      <c r="A11232" s="4" t="str">
        <f>IFERROR(__xludf.DUMMYFUNCTION("""COMPUTED_VALUE"""),"squadswap")</f>
        <v>squadswap</v>
      </c>
      <c r="B11232" s="4" t="str">
        <f>IFERROR(__xludf.DUMMYFUNCTION("""COMPUTED_VALUE"""),"squad")</f>
        <v>squad</v>
      </c>
      <c r="C11232" s="4" t="str">
        <f>IFERROR(__xludf.DUMMYFUNCTION("""COMPUTED_VALUE"""),"SquadSwap")</f>
        <v>SquadSwap</v>
      </c>
    </row>
    <row r="11233">
      <c r="A11233" s="4" t="str">
        <f>IFERROR(__xludf.DUMMYFUNCTION("""COMPUTED_VALUE"""),"squid-game")</f>
        <v>squid-game</v>
      </c>
      <c r="B11233" s="4" t="str">
        <f>IFERROR(__xludf.DUMMYFUNCTION("""COMPUTED_VALUE"""),"squid")</f>
        <v>squid</v>
      </c>
      <c r="C11233" s="4" t="str">
        <f>IFERROR(__xludf.DUMMYFUNCTION("""COMPUTED_VALUE"""),"Squid Game")</f>
        <v>Squid Game</v>
      </c>
    </row>
    <row r="11234">
      <c r="A11234" s="4" t="str">
        <f>IFERROR(__xludf.DUMMYFUNCTION("""COMPUTED_VALUE"""),"squid-game-2")</f>
        <v>squid-game-2</v>
      </c>
      <c r="B11234" s="4" t="str">
        <f>IFERROR(__xludf.DUMMYFUNCTION("""COMPUTED_VALUE"""),"squid")</f>
        <v>squid</v>
      </c>
      <c r="C11234" s="4" t="str">
        <f>IFERROR(__xludf.DUMMYFUNCTION("""COMPUTED_VALUE"""),"Squid Game")</f>
        <v>Squid Game</v>
      </c>
    </row>
    <row r="11235">
      <c r="A11235" s="4" t="str">
        <f>IFERROR(__xludf.DUMMYFUNCTION("""COMPUTED_VALUE"""),"squid-game-2-0")</f>
        <v>squid-game-2-0</v>
      </c>
      <c r="B11235" s="4" t="str">
        <f>IFERROR(__xludf.DUMMYFUNCTION("""COMPUTED_VALUE"""),"squid2")</f>
        <v>squid2</v>
      </c>
      <c r="C11235" s="4" t="str">
        <f>IFERROR(__xludf.DUMMYFUNCTION("""COMPUTED_VALUE"""),"Squid Game 2.0")</f>
        <v>Squid Game 2.0</v>
      </c>
    </row>
    <row r="11236">
      <c r="A11236" s="4" t="str">
        <f>IFERROR(__xludf.DUMMYFUNCTION("""COMPUTED_VALUE"""),"squidgrow")</f>
        <v>squidgrow</v>
      </c>
      <c r="B11236" s="4" t="str">
        <f>IFERROR(__xludf.DUMMYFUNCTION("""COMPUTED_VALUE"""),"squidgrow")</f>
        <v>squidgrow</v>
      </c>
      <c r="C11236" s="4" t="str">
        <f>IFERROR(__xludf.DUMMYFUNCTION("""COMPUTED_VALUE"""),"SquidGrow")</f>
        <v>SquidGrow</v>
      </c>
    </row>
    <row r="11237">
      <c r="A11237" s="4" t="str">
        <f>IFERROR(__xludf.DUMMYFUNCTION("""COMPUTED_VALUE"""),"srune")</f>
        <v>srune</v>
      </c>
      <c r="B11237" s="4" t="str">
        <f>IFERROR(__xludf.DUMMYFUNCTION("""COMPUTED_VALUE"""),"srune")</f>
        <v>srune</v>
      </c>
      <c r="C11237" s="4" t="str">
        <f>IFERROR(__xludf.DUMMYFUNCTION("""COMPUTED_VALUE"""),"sRUNE")</f>
        <v>sRUNE</v>
      </c>
    </row>
    <row r="11238">
      <c r="A11238" s="4" t="str">
        <f>IFERROR(__xludf.DUMMYFUNCTION("""COMPUTED_VALUE"""),"ssv-network")</f>
        <v>ssv-network</v>
      </c>
      <c r="B11238" s="4" t="str">
        <f>IFERROR(__xludf.DUMMYFUNCTION("""COMPUTED_VALUE"""),"ssv")</f>
        <v>ssv</v>
      </c>
      <c r="C11238" s="4" t="str">
        <f>IFERROR(__xludf.DUMMYFUNCTION("""COMPUTED_VALUE"""),"SSV Network")</f>
        <v>SSV Network</v>
      </c>
    </row>
    <row r="11239">
      <c r="A11239" s="4" t="str">
        <f>IFERROR(__xludf.DUMMYFUNCTION("""COMPUTED_VALUE"""),"stabilize")</f>
        <v>stabilize</v>
      </c>
      <c r="B11239" s="4" t="str">
        <f>IFERROR(__xludf.DUMMYFUNCTION("""COMPUTED_VALUE"""),"stbz")</f>
        <v>stbz</v>
      </c>
      <c r="C11239" s="4" t="str">
        <f>IFERROR(__xludf.DUMMYFUNCTION("""COMPUTED_VALUE"""),"Stabilize")</f>
        <v>Stabilize</v>
      </c>
    </row>
    <row r="11240">
      <c r="A11240" s="4" t="str">
        <f>IFERROR(__xludf.DUMMYFUNCTION("""COMPUTED_VALUE"""),"stable-asset")</f>
        <v>stable-asset</v>
      </c>
      <c r="B11240" s="4" t="str">
        <f>IFERROR(__xludf.DUMMYFUNCTION("""COMPUTED_VALUE"""),"sta")</f>
        <v>sta</v>
      </c>
      <c r="C11240" s="4" t="str">
        <f>IFERROR(__xludf.DUMMYFUNCTION("""COMPUTED_VALUE"""),"STABLE ASSET")</f>
        <v>STABLE ASSET</v>
      </c>
    </row>
    <row r="11241">
      <c r="A11241" s="4" t="str">
        <f>IFERROR(__xludf.DUMMYFUNCTION("""COMPUTED_VALUE"""),"stablecoin")</f>
        <v>stablecoin</v>
      </c>
      <c r="B11241" s="4" t="str">
        <f>IFERROR(__xludf.DUMMYFUNCTION("""COMPUTED_VALUE"""),"stable")</f>
        <v>stable</v>
      </c>
      <c r="C11241" s="4" t="str">
        <f>IFERROR(__xludf.DUMMYFUNCTION("""COMPUTED_VALUE"""),"Stablecoin")</f>
        <v>Stablecoin</v>
      </c>
    </row>
    <row r="11242">
      <c r="A11242" s="4" t="str">
        <f>IFERROR(__xludf.DUMMYFUNCTION("""COMPUTED_VALUE"""),"stablecomp")</f>
        <v>stablecomp</v>
      </c>
      <c r="B11242" s="4" t="str">
        <f>IFERROR(__xludf.DUMMYFUNCTION("""COMPUTED_VALUE"""),"scomp")</f>
        <v>scomp</v>
      </c>
      <c r="C11242" s="4" t="str">
        <f>IFERROR(__xludf.DUMMYFUNCTION("""COMPUTED_VALUE"""),"Stablecomp")</f>
        <v>Stablecomp</v>
      </c>
    </row>
    <row r="11243">
      <c r="A11243" s="4" t="str">
        <f>IFERROR(__xludf.DUMMYFUNCTION("""COMPUTED_VALUE"""),"stabledoc-token")</f>
        <v>stabledoc-token</v>
      </c>
      <c r="B11243" s="4" t="str">
        <f>IFERROR(__xludf.DUMMYFUNCTION("""COMPUTED_VALUE"""),"sdt")</f>
        <v>sdt</v>
      </c>
      <c r="C11243" s="4" t="str">
        <f>IFERROR(__xludf.DUMMYFUNCTION("""COMPUTED_VALUE"""),"Stabledoc")</f>
        <v>Stabledoc</v>
      </c>
    </row>
    <row r="11244">
      <c r="A11244" s="4" t="str">
        <f>IFERROR(__xludf.DUMMYFUNCTION("""COMPUTED_VALUE"""),"stableusd")</f>
        <v>stableusd</v>
      </c>
      <c r="B11244" s="4" t="str">
        <f>IFERROR(__xludf.DUMMYFUNCTION("""COMPUTED_VALUE"""),"usds")</f>
        <v>usds</v>
      </c>
      <c r="C11244" s="4" t="str">
        <f>IFERROR(__xludf.DUMMYFUNCTION("""COMPUTED_VALUE"""),"USDS Classic")</f>
        <v>USDS Classic</v>
      </c>
    </row>
    <row r="11245">
      <c r="A11245" s="4" t="str">
        <f>IFERROR(__xludf.DUMMYFUNCTION("""COMPUTED_VALUE"""),"stable-usdlr")</f>
        <v>stable-usdlr</v>
      </c>
      <c r="B11245" s="4" t="str">
        <f>IFERROR(__xludf.DUMMYFUNCTION("""COMPUTED_VALUE"""),"usdlr")</f>
        <v>usdlr</v>
      </c>
      <c r="C11245" s="4" t="str">
        <f>IFERROR(__xludf.DUMMYFUNCTION("""COMPUTED_VALUE"""),"Stable USDLR")</f>
        <v>Stable USDLR</v>
      </c>
    </row>
    <row r="11246">
      <c r="A11246" s="4" t="str">
        <f>IFERROR(__xludf.DUMMYFUNCTION("""COMPUTED_VALUE"""),"stabl-fi")</f>
        <v>stabl-fi</v>
      </c>
      <c r="B11246" s="4" t="str">
        <f>IFERROR(__xludf.DUMMYFUNCTION("""COMPUTED_VALUE"""),"cash")</f>
        <v>cash</v>
      </c>
      <c r="C11246" s="4" t="str">
        <f>IFERROR(__xludf.DUMMYFUNCTION("""COMPUTED_VALUE"""),"Stabl.fi CASH")</f>
        <v>Stabl.fi CASH</v>
      </c>
    </row>
    <row r="11247">
      <c r="A11247" s="4" t="str">
        <f>IFERROR(__xludf.DUMMYFUNCTION("""COMPUTED_VALUE"""),"stably-cusd")</f>
        <v>stably-cusd</v>
      </c>
      <c r="B11247" s="4" t="str">
        <f>IFERROR(__xludf.DUMMYFUNCTION("""COMPUTED_VALUE"""),"cusd")</f>
        <v>cusd</v>
      </c>
      <c r="C11247" s="4" t="str">
        <f>IFERROR(__xludf.DUMMYFUNCTION("""COMPUTED_VALUE"""),"CUSD")</f>
        <v>CUSD</v>
      </c>
    </row>
    <row r="11248">
      <c r="A11248" s="4" t="str">
        <f>IFERROR(__xludf.DUMMYFUNCTION("""COMPUTED_VALUE"""),"stack")</f>
        <v>stack</v>
      </c>
      <c r="B11248" s="4" t="str">
        <f>IFERROR(__xludf.DUMMYFUNCTION("""COMPUTED_VALUE"""),"stack")</f>
        <v>stack</v>
      </c>
      <c r="C11248" s="4" t="str">
        <f>IFERROR(__xludf.DUMMYFUNCTION("""COMPUTED_VALUE"""),"Stack")</f>
        <v>Stack</v>
      </c>
    </row>
    <row r="11249">
      <c r="A11249" s="4" t="str">
        <f>IFERROR(__xludf.DUMMYFUNCTION("""COMPUTED_VALUE"""),"stacker-ai")</f>
        <v>stacker-ai</v>
      </c>
      <c r="B11249" s="4" t="str">
        <f>IFERROR(__xludf.DUMMYFUNCTION("""COMPUTED_VALUE"""),"$stack")</f>
        <v>$stack</v>
      </c>
      <c r="C11249" s="4" t="str">
        <f>IFERROR(__xludf.DUMMYFUNCTION("""COMPUTED_VALUE"""),"STACKER AI")</f>
        <v>STACKER AI</v>
      </c>
    </row>
    <row r="11250">
      <c r="A11250" s="4" t="str">
        <f>IFERROR(__xludf.DUMMYFUNCTION("""COMPUTED_VALUE"""),"stackos")</f>
        <v>stackos</v>
      </c>
      <c r="B11250" s="4" t="str">
        <f>IFERROR(__xludf.DUMMYFUNCTION("""COMPUTED_VALUE"""),"sfx")</f>
        <v>sfx</v>
      </c>
      <c r="C11250" s="4" t="str">
        <f>IFERROR(__xludf.DUMMYFUNCTION("""COMPUTED_VALUE"""),"StackOS")</f>
        <v>StackOS</v>
      </c>
    </row>
    <row r="11251">
      <c r="A11251" s="4" t="str">
        <f>IFERROR(__xludf.DUMMYFUNCTION("""COMPUTED_VALUE"""),"stacks")</f>
        <v>stacks</v>
      </c>
      <c r="B11251" s="4" t="str">
        <f>IFERROR(__xludf.DUMMYFUNCTION("""COMPUTED_VALUE"""),"stacks")</f>
        <v>stacks</v>
      </c>
      <c r="C11251" s="4" t="str">
        <f>IFERROR(__xludf.DUMMYFUNCTION("""COMPUTED_VALUE"""),"STACKS")</f>
        <v>STACKS</v>
      </c>
    </row>
    <row r="11252">
      <c r="A11252" s="4" t="str">
        <f>IFERROR(__xludf.DUMMYFUNCTION("""COMPUTED_VALUE"""),"stackswap")</f>
        <v>stackswap</v>
      </c>
      <c r="B11252" s="4" t="str">
        <f>IFERROR(__xludf.DUMMYFUNCTION("""COMPUTED_VALUE"""),"stsw")</f>
        <v>stsw</v>
      </c>
      <c r="C11252" s="4" t="str">
        <f>IFERROR(__xludf.DUMMYFUNCTION("""COMPUTED_VALUE"""),"Stackswap")</f>
        <v>Stackswap</v>
      </c>
    </row>
    <row r="11253">
      <c r="A11253" s="4" t="str">
        <f>IFERROR(__xludf.DUMMYFUNCTION("""COMPUTED_VALUE"""),"stacktical")</f>
        <v>stacktical</v>
      </c>
      <c r="B11253" s="4" t="str">
        <f>IFERROR(__xludf.DUMMYFUNCTION("""COMPUTED_VALUE"""),"dsla")</f>
        <v>dsla</v>
      </c>
      <c r="C11253" s="4" t="str">
        <f>IFERROR(__xludf.DUMMYFUNCTION("""COMPUTED_VALUE"""),"DSLA Protocol")</f>
        <v>DSLA Protocol</v>
      </c>
    </row>
    <row r="11254">
      <c r="A11254" s="4" t="str">
        <f>IFERROR(__xludf.DUMMYFUNCTION("""COMPUTED_VALUE"""),"stade-francais-paris-fan-token")</f>
        <v>stade-francais-paris-fan-token</v>
      </c>
      <c r="B11254" s="4" t="str">
        <f>IFERROR(__xludf.DUMMYFUNCTION("""COMPUTED_VALUE"""),"sfp")</f>
        <v>sfp</v>
      </c>
      <c r="C11254" s="4" t="str">
        <f>IFERROR(__xludf.DUMMYFUNCTION("""COMPUTED_VALUE"""),"Stade Français Paris Fan Token")</f>
        <v>Stade Français Paris Fan Token</v>
      </c>
    </row>
    <row r="11255">
      <c r="A11255" s="4" t="str">
        <f>IFERROR(__xludf.DUMMYFUNCTION("""COMPUTED_VALUE"""),"stader")</f>
        <v>stader</v>
      </c>
      <c r="B11255" s="4" t="str">
        <f>IFERROR(__xludf.DUMMYFUNCTION("""COMPUTED_VALUE"""),"sd")</f>
        <v>sd</v>
      </c>
      <c r="C11255" s="4" t="str">
        <f>IFERROR(__xludf.DUMMYFUNCTION("""COMPUTED_VALUE"""),"Stader")</f>
        <v>Stader</v>
      </c>
    </row>
    <row r="11256">
      <c r="A11256" s="4" t="str">
        <f>IFERROR(__xludf.DUMMYFUNCTION("""COMPUTED_VALUE"""),"stader-bnbx")</f>
        <v>stader-bnbx</v>
      </c>
      <c r="B11256" s="4" t="str">
        <f>IFERROR(__xludf.DUMMYFUNCTION("""COMPUTED_VALUE"""),"bnbx")</f>
        <v>bnbx</v>
      </c>
      <c r="C11256" s="4" t="str">
        <f>IFERROR(__xludf.DUMMYFUNCTION("""COMPUTED_VALUE"""),"Stader BNBx")</f>
        <v>Stader BNBx</v>
      </c>
    </row>
    <row r="11257">
      <c r="A11257" s="4" t="str">
        <f>IFERROR(__xludf.DUMMYFUNCTION("""COMPUTED_VALUE"""),"stader-ethx")</f>
        <v>stader-ethx</v>
      </c>
      <c r="B11257" s="4" t="str">
        <f>IFERROR(__xludf.DUMMYFUNCTION("""COMPUTED_VALUE"""),"ethx")</f>
        <v>ethx</v>
      </c>
      <c r="C11257" s="4" t="str">
        <f>IFERROR(__xludf.DUMMYFUNCTION("""COMPUTED_VALUE"""),"Stader ETHx")</f>
        <v>Stader ETHx</v>
      </c>
    </row>
    <row r="11258">
      <c r="A11258" s="4" t="str">
        <f>IFERROR(__xludf.DUMMYFUNCTION("""COMPUTED_VALUE"""),"stader-maticx")</f>
        <v>stader-maticx</v>
      </c>
      <c r="B11258" s="4" t="str">
        <f>IFERROR(__xludf.DUMMYFUNCTION("""COMPUTED_VALUE"""),"maticx")</f>
        <v>maticx</v>
      </c>
      <c r="C11258" s="4" t="str">
        <f>IFERROR(__xludf.DUMMYFUNCTION("""COMPUTED_VALUE"""),"Stader MaticX")</f>
        <v>Stader MaticX</v>
      </c>
    </row>
    <row r="11259">
      <c r="A11259" s="4" t="str">
        <f>IFERROR(__xludf.DUMMYFUNCTION("""COMPUTED_VALUE"""),"stader-nearx")</f>
        <v>stader-nearx</v>
      </c>
      <c r="B11259" s="4" t="str">
        <f>IFERROR(__xludf.DUMMYFUNCTION("""COMPUTED_VALUE"""),"nearx")</f>
        <v>nearx</v>
      </c>
      <c r="C11259" s="4" t="str">
        <f>IFERROR(__xludf.DUMMYFUNCTION("""COMPUTED_VALUE"""),"Stader NearX")</f>
        <v>Stader NearX</v>
      </c>
    </row>
    <row r="11260">
      <c r="A11260" s="4" t="str">
        <f>IFERROR(__xludf.DUMMYFUNCTION("""COMPUTED_VALUE"""),"stader-sftmx")</f>
        <v>stader-sftmx</v>
      </c>
      <c r="B11260" s="4" t="str">
        <f>IFERROR(__xludf.DUMMYFUNCTION("""COMPUTED_VALUE"""),"sftmx")</f>
        <v>sftmx</v>
      </c>
      <c r="C11260" s="4" t="str">
        <f>IFERROR(__xludf.DUMMYFUNCTION("""COMPUTED_VALUE"""),"BeethovenX sFTMX")</f>
        <v>BeethovenX sFTMX</v>
      </c>
    </row>
    <row r="11261">
      <c r="A11261" s="4" t="str">
        <f>IFERROR(__xludf.DUMMYFUNCTION("""COMPUTED_VALUE"""),"stafi")</f>
        <v>stafi</v>
      </c>
      <c r="B11261" s="4" t="str">
        <f>IFERROR(__xludf.DUMMYFUNCTION("""COMPUTED_VALUE"""),"fis")</f>
        <v>fis</v>
      </c>
      <c r="C11261" s="4" t="str">
        <f>IFERROR(__xludf.DUMMYFUNCTION("""COMPUTED_VALUE"""),"Stafi")</f>
        <v>Stafi</v>
      </c>
    </row>
    <row r="11262">
      <c r="A11262" s="4" t="str">
        <f>IFERROR(__xludf.DUMMYFUNCTION("""COMPUTED_VALUE"""),"stafi-staked-atom")</f>
        <v>stafi-staked-atom</v>
      </c>
      <c r="B11262" s="4" t="str">
        <f>IFERROR(__xludf.DUMMYFUNCTION("""COMPUTED_VALUE"""),"ratom")</f>
        <v>ratom</v>
      </c>
      <c r="C11262" s="4" t="str">
        <f>IFERROR(__xludf.DUMMYFUNCTION("""COMPUTED_VALUE"""),"StaFi Staked ATOM")</f>
        <v>StaFi Staked ATOM</v>
      </c>
    </row>
    <row r="11263">
      <c r="A11263" s="4" t="str">
        <f>IFERROR(__xludf.DUMMYFUNCTION("""COMPUTED_VALUE"""),"stafi-staked-bnb")</f>
        <v>stafi-staked-bnb</v>
      </c>
      <c r="B11263" s="4" t="str">
        <f>IFERROR(__xludf.DUMMYFUNCTION("""COMPUTED_VALUE"""),"rbnb")</f>
        <v>rbnb</v>
      </c>
      <c r="C11263" s="4" t="str">
        <f>IFERROR(__xludf.DUMMYFUNCTION("""COMPUTED_VALUE"""),"StaFi Staked BNB")</f>
        <v>StaFi Staked BNB</v>
      </c>
    </row>
    <row r="11264">
      <c r="A11264" s="4" t="str">
        <f>IFERROR(__xludf.DUMMYFUNCTION("""COMPUTED_VALUE"""),"stafi-staked-matic")</f>
        <v>stafi-staked-matic</v>
      </c>
      <c r="B11264" s="4" t="str">
        <f>IFERROR(__xludf.DUMMYFUNCTION("""COMPUTED_VALUE"""),"rmatic")</f>
        <v>rmatic</v>
      </c>
      <c r="C11264" s="4" t="str">
        <f>IFERROR(__xludf.DUMMYFUNCTION("""COMPUTED_VALUE"""),"StaFi Staked MATIC")</f>
        <v>StaFi Staked MATIC</v>
      </c>
    </row>
    <row r="11265">
      <c r="A11265" s="4" t="str">
        <f>IFERROR(__xludf.DUMMYFUNCTION("""COMPUTED_VALUE"""),"stafi-staked-sol")</f>
        <v>stafi-staked-sol</v>
      </c>
      <c r="B11265" s="4" t="str">
        <f>IFERROR(__xludf.DUMMYFUNCTION("""COMPUTED_VALUE"""),"rsol")</f>
        <v>rsol</v>
      </c>
      <c r="C11265" s="4" t="str">
        <f>IFERROR(__xludf.DUMMYFUNCTION("""COMPUTED_VALUE"""),"StaFi Staked SOL")</f>
        <v>StaFi Staked SOL</v>
      </c>
    </row>
    <row r="11266">
      <c r="A11266" s="4" t="str">
        <f>IFERROR(__xludf.DUMMYFUNCTION("""COMPUTED_VALUE"""),"stafi-staked-swth")</f>
        <v>stafi-staked-swth</v>
      </c>
      <c r="B11266" s="4" t="str">
        <f>IFERROR(__xludf.DUMMYFUNCTION("""COMPUTED_VALUE"""),"rswth")</f>
        <v>rswth</v>
      </c>
      <c r="C11266" s="4" t="str">
        <f>IFERROR(__xludf.DUMMYFUNCTION("""COMPUTED_VALUE"""),"StaFi Staked SWTH")</f>
        <v>StaFi Staked SWTH</v>
      </c>
    </row>
    <row r="11267">
      <c r="A11267" s="4" t="str">
        <f>IFERROR(__xludf.DUMMYFUNCTION("""COMPUTED_VALUE"""),"staika")</f>
        <v>staika</v>
      </c>
      <c r="B11267" s="4" t="str">
        <f>IFERROR(__xludf.DUMMYFUNCTION("""COMPUTED_VALUE"""),"stik")</f>
        <v>stik</v>
      </c>
      <c r="C11267" s="4" t="str">
        <f>IFERROR(__xludf.DUMMYFUNCTION("""COMPUTED_VALUE"""),"Staika")</f>
        <v>Staika</v>
      </c>
    </row>
    <row r="11268">
      <c r="A11268" s="4" t="str">
        <f>IFERROR(__xludf.DUMMYFUNCTION("""COMPUTED_VALUE"""),"stakebooster-token")</f>
        <v>stakebooster-token</v>
      </c>
      <c r="B11268" s="4" t="str">
        <f>IFERROR(__xludf.DUMMYFUNCTION("""COMPUTED_VALUE"""),"sbt")</f>
        <v>sbt</v>
      </c>
      <c r="C11268" s="4" t="str">
        <f>IFERROR(__xludf.DUMMYFUNCTION("""COMPUTED_VALUE"""),"StakeBooster Token")</f>
        <v>StakeBooster Token</v>
      </c>
    </row>
    <row r="11269">
      <c r="A11269" s="4" t="str">
        <f>IFERROR(__xludf.DUMMYFUNCTION("""COMPUTED_VALUE"""),"stakeborg-dao")</f>
        <v>stakeborg-dao</v>
      </c>
      <c r="B11269" s="4" t="str">
        <f>IFERROR(__xludf.DUMMYFUNCTION("""COMPUTED_VALUE"""),"standard")</f>
        <v>standard</v>
      </c>
      <c r="C11269" s="4" t="str">
        <f>IFERROR(__xludf.DUMMYFUNCTION("""COMPUTED_VALUE"""),"Construct")</f>
        <v>Construct</v>
      </c>
    </row>
    <row r="11270">
      <c r="A11270" s="4" t="str">
        <f>IFERROR(__xludf.DUMMYFUNCTION("""COMPUTED_VALUE"""),"stakecube")</f>
        <v>stakecube</v>
      </c>
      <c r="B11270" s="4" t="str">
        <f>IFERROR(__xludf.DUMMYFUNCTION("""COMPUTED_VALUE"""),"scc")</f>
        <v>scc</v>
      </c>
      <c r="C11270" s="4" t="str">
        <f>IFERROR(__xludf.DUMMYFUNCTION("""COMPUTED_VALUE"""),"Stakecube")</f>
        <v>Stakecube</v>
      </c>
    </row>
    <row r="11271">
      <c r="A11271" s="4" t="str">
        <f>IFERROR(__xludf.DUMMYFUNCTION("""COMPUTED_VALUE"""),"staked-aave-balancer-pool-token")</f>
        <v>staked-aave-balancer-pool-token</v>
      </c>
      <c r="B11271" s="4" t="str">
        <f>IFERROR(__xludf.DUMMYFUNCTION("""COMPUTED_VALUE"""),"stkabpt")</f>
        <v>stkabpt</v>
      </c>
      <c r="C11271" s="4" t="str">
        <f>IFERROR(__xludf.DUMMYFUNCTION("""COMPUTED_VALUE"""),"Staked Aave Balancer Pool Token")</f>
        <v>Staked Aave Balancer Pool Token</v>
      </c>
    </row>
    <row r="11272">
      <c r="A11272" s="4" t="str">
        <f>IFERROR(__xludf.DUMMYFUNCTION("""COMPUTED_VALUE"""),"staked-ageur")</f>
        <v>staked-ageur</v>
      </c>
      <c r="B11272" s="4" t="str">
        <f>IFERROR(__xludf.DUMMYFUNCTION("""COMPUTED_VALUE"""),"steur")</f>
        <v>steur</v>
      </c>
      <c r="C11272" s="4" t="str">
        <f>IFERROR(__xludf.DUMMYFUNCTION("""COMPUTED_VALUE"""),"Angle Staked EURA")</f>
        <v>Angle Staked EURA</v>
      </c>
    </row>
    <row r="11273">
      <c r="A11273" s="4" t="str">
        <f>IFERROR(__xludf.DUMMYFUNCTION("""COMPUTED_VALUE"""),"stake-dao")</f>
        <v>stake-dao</v>
      </c>
      <c r="B11273" s="4" t="str">
        <f>IFERROR(__xludf.DUMMYFUNCTION("""COMPUTED_VALUE"""),"sdt")</f>
        <v>sdt</v>
      </c>
      <c r="C11273" s="4" t="str">
        <f>IFERROR(__xludf.DUMMYFUNCTION("""COMPUTED_VALUE"""),"Stake DAO")</f>
        <v>Stake DAO</v>
      </c>
    </row>
    <row r="11274">
      <c r="A11274" s="4" t="str">
        <f>IFERROR(__xludf.DUMMYFUNCTION("""COMPUTED_VALUE"""),"stake-dao-crv")</f>
        <v>stake-dao-crv</v>
      </c>
      <c r="B11274" s="4" t="str">
        <f>IFERROR(__xludf.DUMMYFUNCTION("""COMPUTED_VALUE"""),"sdcrv")</f>
        <v>sdcrv</v>
      </c>
      <c r="C11274" s="4" t="str">
        <f>IFERROR(__xludf.DUMMYFUNCTION("""COMPUTED_VALUE"""),"Stake DAO CRV")</f>
        <v>Stake DAO CRV</v>
      </c>
    </row>
    <row r="11275">
      <c r="A11275" s="4" t="str">
        <f>IFERROR(__xludf.DUMMYFUNCTION("""COMPUTED_VALUE"""),"staked-aurora")</f>
        <v>staked-aurora</v>
      </c>
      <c r="B11275" s="4" t="str">
        <f>IFERROR(__xludf.DUMMYFUNCTION("""COMPUTED_VALUE"""),"staur")</f>
        <v>staur</v>
      </c>
      <c r="C11275" s="4" t="str">
        <f>IFERROR(__xludf.DUMMYFUNCTION("""COMPUTED_VALUE"""),"Staked Aurora")</f>
        <v>Staked Aurora</v>
      </c>
    </row>
    <row r="11276">
      <c r="A11276" s="4" t="str">
        <f>IFERROR(__xludf.DUMMYFUNCTION("""COMPUTED_VALUE"""),"staked-bifi")</f>
        <v>staked-bifi</v>
      </c>
      <c r="B11276" s="4" t="str">
        <f>IFERROR(__xludf.DUMMYFUNCTION("""COMPUTED_VALUE"""),"moobifi")</f>
        <v>moobifi</v>
      </c>
      <c r="C11276" s="4" t="str">
        <f>IFERROR(__xludf.DUMMYFUNCTION("""COMPUTED_VALUE"""),"Staked BIFI")</f>
        <v>Staked BIFI</v>
      </c>
    </row>
    <row r="11277">
      <c r="A11277" s="4" t="str">
        <f>IFERROR(__xludf.DUMMYFUNCTION("""COMPUTED_VALUE"""),"staked-core")</f>
        <v>staked-core</v>
      </c>
      <c r="B11277" s="4" t="str">
        <f>IFERROR(__xludf.DUMMYFUNCTION("""COMPUTED_VALUE"""),"score")</f>
        <v>score</v>
      </c>
      <c r="C11277" s="4" t="str">
        <f>IFERROR(__xludf.DUMMYFUNCTION("""COMPUTED_VALUE"""),"Staked CORE")</f>
        <v>Staked CORE</v>
      </c>
    </row>
    <row r="11278">
      <c r="A11278" s="4" t="str">
        <f>IFERROR(__xludf.DUMMYFUNCTION("""COMPUTED_VALUE"""),"staked-ether")</f>
        <v>staked-ether</v>
      </c>
      <c r="B11278" s="4" t="str">
        <f>IFERROR(__xludf.DUMMYFUNCTION("""COMPUTED_VALUE"""),"steth")</f>
        <v>steth</v>
      </c>
      <c r="C11278" s="4" t="str">
        <f>IFERROR(__xludf.DUMMYFUNCTION("""COMPUTED_VALUE"""),"Lido Staked Ether")</f>
        <v>Lido Staked Ether</v>
      </c>
    </row>
    <row r="11279">
      <c r="A11279" s="4" t="str">
        <f>IFERROR(__xludf.DUMMYFUNCTION("""COMPUTED_VALUE"""),"staked-ethos-reserve-note")</f>
        <v>staked-ethos-reserve-note</v>
      </c>
      <c r="B11279" s="4" t="str">
        <f>IFERROR(__xludf.DUMMYFUNCTION("""COMPUTED_VALUE"""),"stern")</f>
        <v>stern</v>
      </c>
      <c r="C11279" s="4" t="str">
        <f>IFERROR(__xludf.DUMMYFUNCTION("""COMPUTED_VALUE"""),"Staked Ethos Reserve Note")</f>
        <v>Staked Ethos Reserve Note</v>
      </c>
    </row>
    <row r="11280">
      <c r="A11280" s="4" t="str">
        <f>IFERROR(__xludf.DUMMYFUNCTION("""COMPUTED_VALUE"""),"staked-frax")</f>
        <v>staked-frax</v>
      </c>
      <c r="B11280" s="4" t="str">
        <f>IFERROR(__xludf.DUMMYFUNCTION("""COMPUTED_VALUE"""),"sfrax")</f>
        <v>sfrax</v>
      </c>
      <c r="C11280" s="4" t="str">
        <f>IFERROR(__xludf.DUMMYFUNCTION("""COMPUTED_VALUE"""),"Staked FRAX")</f>
        <v>Staked FRAX</v>
      </c>
    </row>
    <row r="11281">
      <c r="A11281" s="4" t="str">
        <f>IFERROR(__xludf.DUMMYFUNCTION("""COMPUTED_VALUE"""),"staked-frax-ether")</f>
        <v>staked-frax-ether</v>
      </c>
      <c r="B11281" s="4" t="str">
        <f>IFERROR(__xludf.DUMMYFUNCTION("""COMPUTED_VALUE"""),"sfrxeth")</f>
        <v>sfrxeth</v>
      </c>
      <c r="C11281" s="4" t="str">
        <f>IFERROR(__xludf.DUMMYFUNCTION("""COMPUTED_VALUE"""),"Staked Frax Ether")</f>
        <v>Staked Frax Ether</v>
      </c>
    </row>
    <row r="11282">
      <c r="A11282" s="4" t="str">
        <f>IFERROR(__xludf.DUMMYFUNCTION("""COMPUTED_VALUE"""),"staked-fx")</f>
        <v>staked-fx</v>
      </c>
      <c r="B11282" s="4" t="str">
        <f>IFERROR(__xludf.DUMMYFUNCTION("""COMPUTED_VALUE"""),"stfx")</f>
        <v>stfx</v>
      </c>
      <c r="C11282" s="4" t="str">
        <f>IFERROR(__xludf.DUMMYFUNCTION("""COMPUTED_VALUE"""),"Staked FX")</f>
        <v>Staked FX</v>
      </c>
    </row>
    <row r="11283">
      <c r="A11283" s="4" t="str">
        <f>IFERROR(__xludf.DUMMYFUNCTION("""COMPUTED_VALUE"""),"staked-hope")</f>
        <v>staked-hope</v>
      </c>
      <c r="B11283" s="4" t="str">
        <f>IFERROR(__xludf.DUMMYFUNCTION("""COMPUTED_VALUE"""),"sthope")</f>
        <v>sthope</v>
      </c>
      <c r="C11283" s="4" t="str">
        <f>IFERROR(__xludf.DUMMYFUNCTION("""COMPUTED_VALUE"""),"Staked HOPE")</f>
        <v>Staked HOPE</v>
      </c>
    </row>
    <row r="11284">
      <c r="A11284" s="4" t="str">
        <f>IFERROR(__xludf.DUMMYFUNCTION("""COMPUTED_VALUE"""),"staked-kcs")</f>
        <v>staked-kcs</v>
      </c>
      <c r="B11284" s="4" t="str">
        <f>IFERROR(__xludf.DUMMYFUNCTION("""COMPUTED_VALUE"""),"skcs")</f>
        <v>skcs</v>
      </c>
      <c r="C11284" s="4" t="str">
        <f>IFERROR(__xludf.DUMMYFUNCTION("""COMPUTED_VALUE"""),"Staked KCS")</f>
        <v>Staked KCS</v>
      </c>
    </row>
    <row r="11285">
      <c r="A11285" s="4" t="str">
        <f>IFERROR(__xludf.DUMMYFUNCTION("""COMPUTED_VALUE"""),"staked-metis-token")</f>
        <v>staked-metis-token</v>
      </c>
      <c r="B11285" s="4" t="str">
        <f>IFERROR(__xludf.DUMMYFUNCTION("""COMPUTED_VALUE"""),"artmetis")</f>
        <v>artmetis</v>
      </c>
      <c r="C11285" s="4" t="str">
        <f>IFERROR(__xludf.DUMMYFUNCTION("""COMPUTED_VALUE"""),"Staked Metis Token")</f>
        <v>Staked Metis Token</v>
      </c>
    </row>
    <row r="11286">
      <c r="A11286" s="4" t="str">
        <f>IFERROR(__xludf.DUMMYFUNCTION("""COMPUTED_VALUE"""),"staked-near")</f>
        <v>staked-near</v>
      </c>
      <c r="B11286" s="4" t="str">
        <f>IFERROR(__xludf.DUMMYFUNCTION("""COMPUTED_VALUE"""),"stnear")</f>
        <v>stnear</v>
      </c>
      <c r="C11286" s="4" t="str">
        <f>IFERROR(__xludf.DUMMYFUNCTION("""COMPUTED_VALUE"""),"Staked NEAR")</f>
        <v>Staked NEAR</v>
      </c>
    </row>
    <row r="11287">
      <c r="A11287" s="4" t="str">
        <f>IFERROR(__xludf.DUMMYFUNCTION("""COMPUTED_VALUE"""),"staked-strk")</f>
        <v>staked-strk</v>
      </c>
      <c r="B11287" s="4" t="str">
        <f>IFERROR(__xludf.DUMMYFUNCTION("""COMPUTED_VALUE"""),"nststrk")</f>
        <v>nststrk</v>
      </c>
      <c r="C11287" s="4" t="str">
        <f>IFERROR(__xludf.DUMMYFUNCTION("""COMPUTED_VALUE"""),"Nostra Staked STRK")</f>
        <v>Nostra Staked STRK</v>
      </c>
    </row>
    <row r="11288">
      <c r="A11288" s="4" t="str">
        <f>IFERROR(__xludf.DUMMYFUNCTION("""COMPUTED_VALUE"""),"staked-tarot")</f>
        <v>staked-tarot</v>
      </c>
      <c r="B11288" s="4" t="str">
        <f>IFERROR(__xludf.DUMMYFUNCTION("""COMPUTED_VALUE"""),"xtarot")</f>
        <v>xtarot</v>
      </c>
      <c r="C11288" s="4" t="str">
        <f>IFERROR(__xludf.DUMMYFUNCTION("""COMPUTED_VALUE"""),"Staked TAROT")</f>
        <v>Staked TAROT</v>
      </c>
    </row>
    <row r="11289">
      <c r="A11289" s="4" t="str">
        <f>IFERROR(__xludf.DUMMYFUNCTION("""COMPUTED_VALUE"""),"staked-thala-apt")</f>
        <v>staked-thala-apt</v>
      </c>
      <c r="B11289" s="4" t="str">
        <f>IFERROR(__xludf.DUMMYFUNCTION("""COMPUTED_VALUE"""),"sthapt")</f>
        <v>sthapt</v>
      </c>
      <c r="C11289" s="4" t="str">
        <f>IFERROR(__xludf.DUMMYFUNCTION("""COMPUTED_VALUE"""),"Staked Thala APT")</f>
        <v>Staked Thala APT</v>
      </c>
    </row>
    <row r="11290">
      <c r="A11290" s="4" t="str">
        <f>IFERROR(__xludf.DUMMYFUNCTION("""COMPUTED_VALUE"""),"staked-tlos")</f>
        <v>staked-tlos</v>
      </c>
      <c r="B11290" s="4" t="str">
        <f>IFERROR(__xludf.DUMMYFUNCTION("""COMPUTED_VALUE"""),"stlos")</f>
        <v>stlos</v>
      </c>
      <c r="C11290" s="4" t="str">
        <f>IFERROR(__xludf.DUMMYFUNCTION("""COMPUTED_VALUE"""),"Staked TLOS")</f>
        <v>Staked TLOS</v>
      </c>
    </row>
    <row r="11291">
      <c r="A11291" s="4" t="str">
        <f>IFERROR(__xludf.DUMMYFUNCTION("""COMPUTED_VALUE"""),"staked-trx")</f>
        <v>staked-trx</v>
      </c>
      <c r="B11291" s="4" t="str">
        <f>IFERROR(__xludf.DUMMYFUNCTION("""COMPUTED_VALUE"""),"strx")</f>
        <v>strx</v>
      </c>
      <c r="C11291" s="4" t="str">
        <f>IFERROR(__xludf.DUMMYFUNCTION("""COMPUTED_VALUE"""),"Staked TRX")</f>
        <v>Staked TRX</v>
      </c>
    </row>
    <row r="11292">
      <c r="A11292" s="4" t="str">
        <f>IFERROR(__xludf.DUMMYFUNCTION("""COMPUTED_VALUE"""),"staked-usdt")</f>
        <v>staked-usdt</v>
      </c>
      <c r="B11292" s="4" t="str">
        <f>IFERROR(__xludf.DUMMYFUNCTION("""COMPUTED_VALUE"""),"stusdt")</f>
        <v>stusdt</v>
      </c>
      <c r="C11292" s="4" t="str">
        <f>IFERROR(__xludf.DUMMYFUNCTION("""COMPUTED_VALUE"""),"Staked USDT")</f>
        <v>Staked USDT</v>
      </c>
    </row>
    <row r="11293">
      <c r="A11293" s="4" t="str">
        <f>IFERROR(__xludf.DUMMYFUNCTION("""COMPUTED_VALUE"""),"staked-vector")</f>
        <v>staked-vector</v>
      </c>
      <c r="B11293" s="4" t="str">
        <f>IFERROR(__xludf.DUMMYFUNCTION("""COMPUTED_VALUE"""),"svec")</f>
        <v>svec</v>
      </c>
      <c r="C11293" s="4" t="str">
        <f>IFERROR(__xludf.DUMMYFUNCTION("""COMPUTED_VALUE"""),"Staked Vector")</f>
        <v>Staked Vector</v>
      </c>
    </row>
    <row r="11294">
      <c r="A11294" s="4" t="str">
        <f>IFERROR(__xludf.DUMMYFUNCTION("""COMPUTED_VALUE"""),"staked-veth")</f>
        <v>staked-veth</v>
      </c>
      <c r="B11294" s="4" t="str">
        <f>IFERROR(__xludf.DUMMYFUNCTION("""COMPUTED_VALUE"""),"sveth")</f>
        <v>sveth</v>
      </c>
      <c r="C11294" s="4" t="str">
        <f>IFERROR(__xludf.DUMMYFUNCTION("""COMPUTED_VALUE"""),"Vector Reserve Staked vETH")</f>
        <v>Vector Reserve Staked vETH</v>
      </c>
    </row>
    <row r="11295">
      <c r="A11295" s="4" t="str">
        <f>IFERROR(__xludf.DUMMYFUNCTION("""COMPUTED_VALUE"""),"staked-vlx")</f>
        <v>staked-vlx</v>
      </c>
      <c r="B11295" s="4" t="str">
        <f>IFERROR(__xludf.DUMMYFUNCTION("""COMPUTED_VALUE"""),"stvlx")</f>
        <v>stvlx</v>
      </c>
      <c r="C11295" s="4" t="str">
        <f>IFERROR(__xludf.DUMMYFUNCTION("""COMPUTED_VALUE"""),"Staked VLX")</f>
        <v>Staked VLX</v>
      </c>
    </row>
    <row r="11296">
      <c r="A11296" s="4" t="str">
        <f>IFERROR(__xludf.DUMMYFUNCTION("""COMPUTED_VALUE"""),"staked-yearn-crv-vault")</f>
        <v>staked-yearn-crv-vault</v>
      </c>
      <c r="B11296" s="4" t="str">
        <f>IFERROR(__xludf.DUMMYFUNCTION("""COMPUTED_VALUE"""),"st-ycrv")</f>
        <v>st-ycrv</v>
      </c>
      <c r="C11296" s="4" t="str">
        <f>IFERROR(__xludf.DUMMYFUNCTION("""COMPUTED_VALUE"""),"Staked Yearn CRV Vault")</f>
        <v>Staked Yearn CRV Vault</v>
      </c>
    </row>
    <row r="11297">
      <c r="A11297" s="4" t="str">
        <f>IFERROR(__xludf.DUMMYFUNCTION("""COMPUTED_VALUE"""),"staked-yearn-ether")</f>
        <v>staked-yearn-ether</v>
      </c>
      <c r="B11297" s="4" t="str">
        <f>IFERROR(__xludf.DUMMYFUNCTION("""COMPUTED_VALUE"""),"st-yeth")</f>
        <v>st-yeth</v>
      </c>
      <c r="C11297" s="4" t="str">
        <f>IFERROR(__xludf.DUMMYFUNCTION("""COMPUTED_VALUE"""),"Staked Yearn Ether")</f>
        <v>Staked Yearn Ether</v>
      </c>
    </row>
    <row r="11298">
      <c r="A11298" s="4" t="str">
        <f>IFERROR(__xludf.DUMMYFUNCTION("""COMPUTED_VALUE"""),"stakehouse-deth")</f>
        <v>stakehouse-deth</v>
      </c>
      <c r="B11298" s="4" t="str">
        <f>IFERROR(__xludf.DUMMYFUNCTION("""COMPUTED_VALUE"""),"deth")</f>
        <v>deth</v>
      </c>
      <c r="C11298" s="4" t="str">
        <f>IFERROR(__xludf.DUMMYFUNCTION("""COMPUTED_VALUE"""),"Stakehouse dETH")</f>
        <v>Stakehouse dETH</v>
      </c>
    </row>
    <row r="11299">
      <c r="A11299" s="4" t="str">
        <f>IFERROR(__xludf.DUMMYFUNCTION("""COMPUTED_VALUE"""),"stakehouse-keth")</f>
        <v>stakehouse-keth</v>
      </c>
      <c r="B11299" s="4" t="str">
        <f>IFERROR(__xludf.DUMMYFUNCTION("""COMPUTED_VALUE"""),"keth")</f>
        <v>keth</v>
      </c>
      <c r="C11299" s="4" t="str">
        <f>IFERROR(__xludf.DUMMYFUNCTION("""COMPUTED_VALUE"""),"Stakehouse kETH")</f>
        <v>Stakehouse kETH</v>
      </c>
    </row>
    <row r="11300">
      <c r="A11300" s="4" t="str">
        <f>IFERROR(__xludf.DUMMYFUNCTION("""COMPUTED_VALUE"""),"stake-link")</f>
        <v>stake-link</v>
      </c>
      <c r="B11300" s="4" t="str">
        <f>IFERROR(__xludf.DUMMYFUNCTION("""COMPUTED_VALUE"""),"sdl")</f>
        <v>sdl</v>
      </c>
      <c r="C11300" s="4" t="str">
        <f>IFERROR(__xludf.DUMMYFUNCTION("""COMPUTED_VALUE"""),"stake.link")</f>
        <v>stake.link</v>
      </c>
    </row>
    <row r="11301">
      <c r="A11301" s="4" t="str">
        <f>IFERROR(__xludf.DUMMYFUNCTION("""COMPUTED_VALUE"""),"stake-link-staked-link")</f>
        <v>stake-link-staked-link</v>
      </c>
      <c r="B11301" s="4" t="str">
        <f>IFERROR(__xludf.DUMMYFUNCTION("""COMPUTED_VALUE"""),"stlink")</f>
        <v>stlink</v>
      </c>
      <c r="C11301" s="4" t="str">
        <f>IFERROR(__xludf.DUMMYFUNCTION("""COMPUTED_VALUE"""),"Staked LINK")</f>
        <v>Staked LINK</v>
      </c>
    </row>
    <row r="11302">
      <c r="A11302" s="4" t="str">
        <f>IFERROR(__xludf.DUMMYFUNCTION("""COMPUTED_VALUE"""),"stakestone-ether")</f>
        <v>stakestone-ether</v>
      </c>
      <c r="B11302" s="4" t="str">
        <f>IFERROR(__xludf.DUMMYFUNCTION("""COMPUTED_VALUE"""),"stone")</f>
        <v>stone</v>
      </c>
      <c r="C11302" s="4" t="str">
        <f>IFERROR(__xludf.DUMMYFUNCTION("""COMPUTED_VALUE"""),"StakeStone ETH")</f>
        <v>StakeStone ETH</v>
      </c>
    </row>
    <row r="11303">
      <c r="A11303" s="4" t="str">
        <f>IFERROR(__xludf.DUMMYFUNCTION("""COMPUTED_VALUE"""),"stake-together")</f>
        <v>stake-together</v>
      </c>
      <c r="B11303" s="4" t="str">
        <f>IFERROR(__xludf.DUMMYFUNCTION("""COMPUTED_VALUE"""),"stpeth")</f>
        <v>stpeth</v>
      </c>
      <c r="C11303" s="4" t="str">
        <f>IFERROR(__xludf.DUMMYFUNCTION("""COMPUTED_VALUE"""),"Stake Together")</f>
        <v>Stake Together</v>
      </c>
    </row>
    <row r="11304">
      <c r="A11304" s="4" t="str">
        <f>IFERROR(__xludf.DUMMYFUNCTION("""COMPUTED_VALUE"""),"stakewise")</f>
        <v>stakewise</v>
      </c>
      <c r="B11304" s="4" t="str">
        <f>IFERROR(__xludf.DUMMYFUNCTION("""COMPUTED_VALUE"""),"swise")</f>
        <v>swise</v>
      </c>
      <c r="C11304" s="4" t="str">
        <f>IFERROR(__xludf.DUMMYFUNCTION("""COMPUTED_VALUE"""),"StakeWise")</f>
        <v>StakeWise</v>
      </c>
    </row>
    <row r="11305">
      <c r="A11305" s="4" t="str">
        <f>IFERROR(__xludf.DUMMYFUNCTION("""COMPUTED_VALUE"""),"stakewise-v3-oseth")</f>
        <v>stakewise-v3-oseth</v>
      </c>
      <c r="B11305" s="4" t="str">
        <f>IFERROR(__xludf.DUMMYFUNCTION("""COMPUTED_VALUE"""),"oseth")</f>
        <v>oseth</v>
      </c>
      <c r="C11305" s="4" t="str">
        <f>IFERROR(__xludf.DUMMYFUNCTION("""COMPUTED_VALUE"""),"StakeWise Staked ETH")</f>
        <v>StakeWise Staked ETH</v>
      </c>
    </row>
    <row r="11306">
      <c r="A11306" s="4" t="str">
        <f>IFERROR(__xludf.DUMMYFUNCTION("""COMPUTED_VALUE"""),"stakify-finance")</f>
        <v>stakify-finance</v>
      </c>
      <c r="B11306" s="4" t="str">
        <f>IFERROR(__xludf.DUMMYFUNCTION("""COMPUTED_VALUE"""),"sify")</f>
        <v>sify</v>
      </c>
      <c r="C11306" s="4" t="str">
        <f>IFERROR(__xludf.DUMMYFUNCTION("""COMPUTED_VALUE"""),"Stakify Finance")</f>
        <v>Stakify Finance</v>
      </c>
    </row>
    <row r="11307">
      <c r="A11307" s="4" t="str">
        <f>IFERROR(__xludf.DUMMYFUNCTION("""COMPUTED_VALUE"""),"stamp-2")</f>
        <v>stamp-2</v>
      </c>
      <c r="B11307" s="4" t="str">
        <f>IFERROR(__xludf.DUMMYFUNCTION("""COMPUTED_VALUE"""),"stamp")</f>
        <v>stamp</v>
      </c>
      <c r="C11307" s="4" t="str">
        <f>IFERROR(__xludf.DUMMYFUNCTION("""COMPUTED_VALUE"""),"STAMP")</f>
        <v>STAMP</v>
      </c>
    </row>
    <row r="11308">
      <c r="A11308" s="4" t="str">
        <f>IFERROR(__xludf.DUMMYFUNCTION("""COMPUTED_VALUE"""),"stampmap")</f>
        <v>stampmap</v>
      </c>
      <c r="B11308" s="4" t="str">
        <f>IFERROR(__xludf.DUMMYFUNCTION("""COMPUTED_VALUE"""),"stmap")</f>
        <v>stmap</v>
      </c>
      <c r="C11308" s="4" t="str">
        <f>IFERROR(__xludf.DUMMYFUNCTION("""COMPUTED_VALUE"""),"StampMap")</f>
        <v>StampMap</v>
      </c>
    </row>
    <row r="11309">
      <c r="A11309" s="4" t="str">
        <f>IFERROR(__xludf.DUMMYFUNCTION("""COMPUTED_VALUE"""),"standard-protocol")</f>
        <v>standard-protocol</v>
      </c>
      <c r="B11309" s="4" t="str">
        <f>IFERROR(__xludf.DUMMYFUNCTION("""COMPUTED_VALUE"""),"stnd")</f>
        <v>stnd</v>
      </c>
      <c r="C11309" s="4" t="str">
        <f>IFERROR(__xludf.DUMMYFUNCTION("""COMPUTED_VALUE"""),"Standard Protocol")</f>
        <v>Standard Protocol</v>
      </c>
    </row>
    <row r="11310">
      <c r="A11310" s="4" t="str">
        <f>IFERROR(__xludf.DUMMYFUNCTION("""COMPUTED_VALUE"""),"standard-token")</f>
        <v>standard-token</v>
      </c>
      <c r="B11310" s="4" t="str">
        <f>IFERROR(__xludf.DUMMYFUNCTION("""COMPUTED_VALUE"""),"tst")</f>
        <v>tst</v>
      </c>
      <c r="C11310" s="4" t="str">
        <f>IFERROR(__xludf.DUMMYFUNCTION("""COMPUTED_VALUE"""),"The Standard Token")</f>
        <v>The Standard Token</v>
      </c>
    </row>
    <row r="11311">
      <c r="A11311" s="4" t="str">
        <f>IFERROR(__xludf.DUMMYFUNCTION("""COMPUTED_VALUE"""),"stan-token")</f>
        <v>stan-token</v>
      </c>
      <c r="B11311" s="4" t="str">
        <f>IFERROR(__xludf.DUMMYFUNCTION("""COMPUTED_VALUE"""),"stan")</f>
        <v>stan</v>
      </c>
      <c r="C11311" s="4" t="str">
        <f>IFERROR(__xludf.DUMMYFUNCTION("""COMPUTED_VALUE"""),"STAN Token")</f>
        <v>STAN Token</v>
      </c>
    </row>
    <row r="11312">
      <c r="A11312" s="4" t="str">
        <f>IFERROR(__xludf.DUMMYFUNCTION("""COMPUTED_VALUE"""),"star-atlas")</f>
        <v>star-atlas</v>
      </c>
      <c r="B11312" s="4" t="str">
        <f>IFERROR(__xludf.DUMMYFUNCTION("""COMPUTED_VALUE"""),"atlas")</f>
        <v>atlas</v>
      </c>
      <c r="C11312" s="4" t="str">
        <f>IFERROR(__xludf.DUMMYFUNCTION("""COMPUTED_VALUE"""),"Star Atlas")</f>
        <v>Star Atlas</v>
      </c>
    </row>
    <row r="11313">
      <c r="A11313" s="4" t="str">
        <f>IFERROR(__xludf.DUMMYFUNCTION("""COMPUTED_VALUE"""),"star-atlas-dao")</f>
        <v>star-atlas-dao</v>
      </c>
      <c r="B11313" s="4" t="str">
        <f>IFERROR(__xludf.DUMMYFUNCTION("""COMPUTED_VALUE"""),"polis")</f>
        <v>polis</v>
      </c>
      <c r="C11313" s="4" t="str">
        <f>IFERROR(__xludf.DUMMYFUNCTION("""COMPUTED_VALUE"""),"Star Atlas DAO")</f>
        <v>Star Atlas DAO</v>
      </c>
    </row>
    <row r="11314">
      <c r="A11314" s="4" t="str">
        <f>IFERROR(__xludf.DUMMYFUNCTION("""COMPUTED_VALUE"""),"starbot")</f>
        <v>starbot</v>
      </c>
      <c r="B11314" s="4" t="str">
        <f>IFERROR(__xludf.DUMMYFUNCTION("""COMPUTED_VALUE"""),"star")</f>
        <v>star</v>
      </c>
      <c r="C11314" s="4" t="str">
        <f>IFERROR(__xludf.DUMMYFUNCTION("""COMPUTED_VALUE"""),"Starbot")</f>
        <v>Starbot</v>
      </c>
    </row>
    <row r="11315">
      <c r="A11315" s="4" t="str">
        <f>IFERROR(__xludf.DUMMYFUNCTION("""COMPUTED_VALUE"""),"starbots")</f>
        <v>starbots</v>
      </c>
      <c r="B11315" s="4" t="str">
        <f>IFERROR(__xludf.DUMMYFUNCTION("""COMPUTED_VALUE"""),"bot")</f>
        <v>bot</v>
      </c>
      <c r="C11315" s="4" t="str">
        <f>IFERROR(__xludf.DUMMYFUNCTION("""COMPUTED_VALUE"""),"Starbots")</f>
        <v>Starbots</v>
      </c>
    </row>
    <row r="11316">
      <c r="A11316" s="4" t="str">
        <f>IFERROR(__xludf.DUMMYFUNCTION("""COMPUTED_VALUE"""),"starchain")</f>
        <v>starchain</v>
      </c>
      <c r="B11316" s="4" t="str">
        <f>IFERROR(__xludf.DUMMYFUNCTION("""COMPUTED_VALUE"""),"stc")</f>
        <v>stc</v>
      </c>
      <c r="C11316" s="4" t="str">
        <f>IFERROR(__xludf.DUMMYFUNCTION("""COMPUTED_VALUE"""),"StarChain")</f>
        <v>StarChain</v>
      </c>
    </row>
    <row r="11317">
      <c r="A11317" s="4" t="str">
        <f>IFERROR(__xludf.DUMMYFUNCTION("""COMPUTED_VALUE"""),"starcoin")</f>
        <v>starcoin</v>
      </c>
      <c r="B11317" s="4" t="str">
        <f>IFERROR(__xludf.DUMMYFUNCTION("""COMPUTED_VALUE"""),"stc")</f>
        <v>stc</v>
      </c>
      <c r="C11317" s="4" t="str">
        <f>IFERROR(__xludf.DUMMYFUNCTION("""COMPUTED_VALUE"""),"Starcoin")</f>
        <v>Starcoin</v>
      </c>
    </row>
    <row r="11318">
      <c r="A11318" s="4" t="str">
        <f>IFERROR(__xludf.DUMMYFUNCTION("""COMPUTED_VALUE"""),"starfish-finance")</f>
        <v>starfish-finance</v>
      </c>
      <c r="B11318" s="4" t="str">
        <f>IFERROR(__xludf.DUMMYFUNCTION("""COMPUTED_VALUE"""),"sean")</f>
        <v>sean</v>
      </c>
      <c r="C11318" s="4" t="str">
        <f>IFERROR(__xludf.DUMMYFUNCTION("""COMPUTED_VALUE"""),"Starfish Finance")</f>
        <v>Starfish Finance</v>
      </c>
    </row>
    <row r="11319">
      <c r="A11319" s="4" t="str">
        <f>IFERROR(__xludf.DUMMYFUNCTION("""COMPUTED_VALUE"""),"stargate-bridged-astr-astar-zkevm")</f>
        <v>stargate-bridged-astr-astar-zkevm</v>
      </c>
      <c r="B11319" s="4" t="str">
        <f>IFERROR(__xludf.DUMMYFUNCTION("""COMPUTED_VALUE"""),"astr")</f>
        <v>astr</v>
      </c>
      <c r="C11319" s="4" t="str">
        <f>IFERROR(__xludf.DUMMYFUNCTION("""COMPUTED_VALUE"""),"Stargate Bridged ASTR (Astar zkEVM)")</f>
        <v>Stargate Bridged ASTR (Astar zkEVM)</v>
      </c>
    </row>
    <row r="11320">
      <c r="A11320" s="4" t="str">
        <f>IFERROR(__xludf.DUMMYFUNCTION("""COMPUTED_VALUE"""),"stargate-finance")</f>
        <v>stargate-finance</v>
      </c>
      <c r="B11320" s="4" t="str">
        <f>IFERROR(__xludf.DUMMYFUNCTION("""COMPUTED_VALUE"""),"stg")</f>
        <v>stg</v>
      </c>
      <c r="C11320" s="4" t="str">
        <f>IFERROR(__xludf.DUMMYFUNCTION("""COMPUTED_VALUE"""),"Stargate Finance")</f>
        <v>Stargate Finance</v>
      </c>
    </row>
    <row r="11321">
      <c r="A11321" s="4" t="str">
        <f>IFERROR(__xludf.DUMMYFUNCTION("""COMPUTED_VALUE"""),"stargaze")</f>
        <v>stargaze</v>
      </c>
      <c r="B11321" s="4" t="str">
        <f>IFERROR(__xludf.DUMMYFUNCTION("""COMPUTED_VALUE"""),"stars")</f>
        <v>stars</v>
      </c>
      <c r="C11321" s="4" t="str">
        <f>IFERROR(__xludf.DUMMYFUNCTION("""COMPUTED_VALUE"""),"Stargaze")</f>
        <v>Stargaze</v>
      </c>
    </row>
    <row r="11322">
      <c r="A11322" s="4" t="str">
        <f>IFERROR(__xludf.DUMMYFUNCTION("""COMPUTED_VALUE"""),"starheroes")</f>
        <v>starheroes</v>
      </c>
      <c r="B11322" s="4" t="str">
        <f>IFERROR(__xludf.DUMMYFUNCTION("""COMPUTED_VALUE"""),"star")</f>
        <v>star</v>
      </c>
      <c r="C11322" s="4" t="str">
        <f>IFERROR(__xludf.DUMMYFUNCTION("""COMPUTED_VALUE"""),"StarHeroes")</f>
        <v>StarHeroes</v>
      </c>
    </row>
    <row r="11323">
      <c r="A11323" s="4" t="str">
        <f>IFERROR(__xludf.DUMMYFUNCTION("""COMPUTED_VALUE"""),"stark-inu")</f>
        <v>stark-inu</v>
      </c>
      <c r="B11323" s="4" t="str">
        <f>IFERROR(__xludf.DUMMYFUNCTION("""COMPUTED_VALUE"""),"starkinu")</f>
        <v>starkinu</v>
      </c>
      <c r="C11323" s="4" t="str">
        <f>IFERROR(__xludf.DUMMYFUNCTION("""COMPUTED_VALUE"""),"Stark Inu")</f>
        <v>Stark Inu</v>
      </c>
    </row>
    <row r="11324">
      <c r="A11324" s="4" t="str">
        <f>IFERROR(__xludf.DUMMYFUNCTION("""COMPUTED_VALUE"""),"starkmeta")</f>
        <v>starkmeta</v>
      </c>
      <c r="B11324" s="4" t="str">
        <f>IFERROR(__xludf.DUMMYFUNCTION("""COMPUTED_VALUE"""),"smeta")</f>
        <v>smeta</v>
      </c>
      <c r="C11324" s="4" t="str">
        <f>IFERROR(__xludf.DUMMYFUNCTION("""COMPUTED_VALUE"""),"StarkMeta")</f>
        <v>StarkMeta</v>
      </c>
    </row>
    <row r="11325">
      <c r="A11325" s="4" t="str">
        <f>IFERROR(__xludf.DUMMYFUNCTION("""COMPUTED_VALUE"""),"starknet")</f>
        <v>starknet</v>
      </c>
      <c r="B11325" s="4" t="str">
        <f>IFERROR(__xludf.DUMMYFUNCTION("""COMPUTED_VALUE"""),"strk")</f>
        <v>strk</v>
      </c>
      <c r="C11325" s="4" t="str">
        <f>IFERROR(__xludf.DUMMYFUNCTION("""COMPUTED_VALUE"""),"Starknet")</f>
        <v>Starknet</v>
      </c>
    </row>
    <row r="11326">
      <c r="A11326" s="4" t="str">
        <f>IFERROR(__xludf.DUMMYFUNCTION("""COMPUTED_VALUE"""),"stark-owl")</f>
        <v>stark-owl</v>
      </c>
      <c r="B11326" s="4" t="str">
        <f>IFERROR(__xludf.DUMMYFUNCTION("""COMPUTED_VALUE"""),"owl")</f>
        <v>owl</v>
      </c>
      <c r="C11326" s="4" t="str">
        <f>IFERROR(__xludf.DUMMYFUNCTION("""COMPUTED_VALUE"""),"Stark Owl")</f>
        <v>Stark Owl</v>
      </c>
    </row>
    <row r="11327">
      <c r="A11327" s="4" t="str">
        <f>IFERROR(__xludf.DUMMYFUNCTION("""COMPUTED_VALUE"""),"starkpepe")</f>
        <v>starkpepe</v>
      </c>
      <c r="B11327" s="4" t="str">
        <f>IFERROR(__xludf.DUMMYFUNCTION("""COMPUTED_VALUE"""),"spepe")</f>
        <v>spepe</v>
      </c>
      <c r="C11327" s="4" t="str">
        <f>IFERROR(__xludf.DUMMYFUNCTION("""COMPUTED_VALUE"""),"StarkPepe")</f>
        <v>StarkPepe</v>
      </c>
    </row>
    <row r="11328">
      <c r="A11328" s="4" t="str">
        <f>IFERROR(__xludf.DUMMYFUNCTION("""COMPUTED_VALUE"""),"starkpunks")</f>
        <v>starkpunks</v>
      </c>
      <c r="B11328" s="4" t="str">
        <f>IFERROR(__xludf.DUMMYFUNCTION("""COMPUTED_VALUE"""),"punk")</f>
        <v>punk</v>
      </c>
      <c r="C11328" s="4" t="str">
        <f>IFERROR(__xludf.DUMMYFUNCTION("""COMPUTED_VALUE"""),"Starkpunks")</f>
        <v>Starkpunks</v>
      </c>
    </row>
    <row r="11329">
      <c r="A11329" s="4" t="str">
        <f>IFERROR(__xludf.DUMMYFUNCTION("""COMPUTED_VALUE"""),"starlaunch")</f>
        <v>starlaunch</v>
      </c>
      <c r="B11329" s="4" t="str">
        <f>IFERROR(__xludf.DUMMYFUNCTION("""COMPUTED_VALUE"""),"stars")</f>
        <v>stars</v>
      </c>
      <c r="C11329" s="4" t="str">
        <f>IFERROR(__xludf.DUMMYFUNCTION("""COMPUTED_VALUE"""),"StarLaunch")</f>
        <v>StarLaunch</v>
      </c>
    </row>
    <row r="11330">
      <c r="A11330" s="4" t="str">
        <f>IFERROR(__xludf.DUMMYFUNCTION("""COMPUTED_VALUE"""),"starlay-finance")</f>
        <v>starlay-finance</v>
      </c>
      <c r="B11330" s="4" t="str">
        <f>IFERROR(__xludf.DUMMYFUNCTION("""COMPUTED_VALUE"""),"lay")</f>
        <v>lay</v>
      </c>
      <c r="C11330" s="4" t="str">
        <f>IFERROR(__xludf.DUMMYFUNCTION("""COMPUTED_VALUE"""),"Starlay Finance")</f>
        <v>Starlay Finance</v>
      </c>
    </row>
    <row r="11331">
      <c r="A11331" s="4" t="str">
        <f>IFERROR(__xludf.DUMMYFUNCTION("""COMPUTED_VALUE"""),"starlink")</f>
        <v>starlink</v>
      </c>
      <c r="B11331" s="4" t="str">
        <f>IFERROR(__xludf.DUMMYFUNCTION("""COMPUTED_VALUE"""),"starl")</f>
        <v>starl</v>
      </c>
      <c r="C11331" s="4" t="str">
        <f>IFERROR(__xludf.DUMMYFUNCTION("""COMPUTED_VALUE"""),"StarLink")</f>
        <v>StarLink</v>
      </c>
    </row>
    <row r="11332">
      <c r="A11332" s="4" t="str">
        <f>IFERROR(__xludf.DUMMYFUNCTION("""COMPUTED_VALUE"""),"starlink-program")</f>
        <v>starlink-program</v>
      </c>
      <c r="B11332" s="4" t="str">
        <f>IFERROR(__xludf.DUMMYFUNCTION("""COMPUTED_VALUE"""),"slk")</f>
        <v>slk</v>
      </c>
      <c r="C11332" s="4" t="str">
        <f>IFERROR(__xludf.DUMMYFUNCTION("""COMPUTED_VALUE"""),"Starlink Program")</f>
        <v>Starlink Program</v>
      </c>
    </row>
    <row r="11333">
      <c r="A11333" s="4" t="str">
        <f>IFERROR(__xludf.DUMMYFUNCTION("""COMPUTED_VALUE"""),"starly")</f>
        <v>starly</v>
      </c>
      <c r="B11333" s="4" t="str">
        <f>IFERROR(__xludf.DUMMYFUNCTION("""COMPUTED_VALUE"""),"starly")</f>
        <v>starly</v>
      </c>
      <c r="C11333" s="4" t="str">
        <f>IFERROR(__xludf.DUMMYFUNCTION("""COMPUTED_VALUE"""),"Starly")</f>
        <v>Starly</v>
      </c>
    </row>
    <row r="11334">
      <c r="A11334" s="4" t="str">
        <f>IFERROR(__xludf.DUMMYFUNCTION("""COMPUTED_VALUE"""),"starmon-token")</f>
        <v>starmon-token</v>
      </c>
      <c r="B11334" s="4" t="str">
        <f>IFERROR(__xludf.DUMMYFUNCTION("""COMPUTED_VALUE"""),"smon")</f>
        <v>smon</v>
      </c>
      <c r="C11334" s="4" t="str">
        <f>IFERROR(__xludf.DUMMYFUNCTION("""COMPUTED_VALUE"""),"StarMon")</f>
        <v>StarMon</v>
      </c>
    </row>
    <row r="11335">
      <c r="A11335" s="4" t="str">
        <f>IFERROR(__xludf.DUMMYFUNCTION("""COMPUTED_VALUE"""),"starname")</f>
        <v>starname</v>
      </c>
      <c r="B11335" s="4" t="str">
        <f>IFERROR(__xludf.DUMMYFUNCTION("""COMPUTED_VALUE"""),"iov")</f>
        <v>iov</v>
      </c>
      <c r="C11335" s="4" t="str">
        <f>IFERROR(__xludf.DUMMYFUNCTION("""COMPUTED_VALUE"""),"Starname")</f>
        <v>Starname</v>
      </c>
    </row>
    <row r="11336">
      <c r="A11336" s="4" t="str">
        <f>IFERROR(__xludf.DUMMYFUNCTION("""COMPUTED_VALUE"""),"starpad")</f>
        <v>starpad</v>
      </c>
      <c r="B11336" s="4" t="str">
        <f>IFERROR(__xludf.DUMMYFUNCTION("""COMPUTED_VALUE"""),"srp")</f>
        <v>srp</v>
      </c>
      <c r="C11336" s="4" t="str">
        <f>IFERROR(__xludf.DUMMYFUNCTION("""COMPUTED_VALUE"""),"Starpad")</f>
        <v>Starpad</v>
      </c>
    </row>
    <row r="11337">
      <c r="A11337" s="4" t="str">
        <f>IFERROR(__xludf.DUMMYFUNCTION("""COMPUTED_VALUE"""),"star-quacks")</f>
        <v>star-quacks</v>
      </c>
      <c r="B11337" s="4" t="str">
        <f>IFERROR(__xludf.DUMMYFUNCTION("""COMPUTED_VALUE"""),"quacks")</f>
        <v>quacks</v>
      </c>
      <c r="C11337" s="4" t="str">
        <f>IFERROR(__xludf.DUMMYFUNCTION("""COMPUTED_VALUE"""),"STAR QUACKS")</f>
        <v>STAR QUACKS</v>
      </c>
    </row>
    <row r="11338">
      <c r="A11338" s="4" t="str">
        <f>IFERROR(__xludf.DUMMYFUNCTION("""COMPUTED_VALUE"""),"starry")</f>
        <v>starry</v>
      </c>
      <c r="B11338" s="4" t="str">
        <f>IFERROR(__xludf.DUMMYFUNCTION("""COMPUTED_VALUE"""),"starry")</f>
        <v>starry</v>
      </c>
      <c r="C11338" s="4" t="str">
        <f>IFERROR(__xludf.DUMMYFUNCTION("""COMPUTED_VALUE"""),"Starry")</f>
        <v>Starry</v>
      </c>
    </row>
    <row r="11339">
      <c r="A11339" s="4" t="str">
        <f>IFERROR(__xludf.DUMMYFUNCTION("""COMPUTED_VALUE"""),"stars")</f>
        <v>stars</v>
      </c>
      <c r="B11339" s="4" t="str">
        <f>IFERROR(__xludf.DUMMYFUNCTION("""COMPUTED_VALUE"""),"srx")</f>
        <v>srx</v>
      </c>
      <c r="C11339" s="4" t="str">
        <f>IFERROR(__xludf.DUMMYFUNCTION("""COMPUTED_VALUE"""),"Stars")</f>
        <v>Stars</v>
      </c>
    </row>
    <row r="11340">
      <c r="A11340" s="4" t="str">
        <f>IFERROR(__xludf.DUMMYFUNCTION("""COMPUTED_VALUE"""),"starsharks")</f>
        <v>starsharks</v>
      </c>
      <c r="B11340" s="4" t="str">
        <f>IFERROR(__xludf.DUMMYFUNCTION("""COMPUTED_VALUE"""),"sss")</f>
        <v>sss</v>
      </c>
      <c r="C11340" s="4" t="str">
        <f>IFERROR(__xludf.DUMMYFUNCTION("""COMPUTED_VALUE"""),"StarSharks")</f>
        <v>StarSharks</v>
      </c>
    </row>
    <row r="11341">
      <c r="A11341" s="4" t="str">
        <f>IFERROR(__xludf.DUMMYFUNCTION("""COMPUTED_VALUE"""),"starship")</f>
        <v>starship</v>
      </c>
      <c r="B11341" s="4" t="str">
        <f>IFERROR(__xludf.DUMMYFUNCTION("""COMPUTED_VALUE"""),"starship")</f>
        <v>starship</v>
      </c>
      <c r="C11341" s="4" t="str">
        <f>IFERROR(__xludf.DUMMYFUNCTION("""COMPUTED_VALUE"""),"StarShip")</f>
        <v>StarShip</v>
      </c>
    </row>
    <row r="11342">
      <c r="A11342" s="4" t="str">
        <f>IFERROR(__xludf.DUMMYFUNCTION("""COMPUTED_VALUE"""),"starship-2")</f>
        <v>starship-2</v>
      </c>
      <c r="B11342" s="4" t="str">
        <f>IFERROR(__xludf.DUMMYFUNCTION("""COMPUTED_VALUE"""),"starship")</f>
        <v>starship</v>
      </c>
      <c r="C11342" s="4" t="str">
        <f>IFERROR(__xludf.DUMMYFUNCTION("""COMPUTED_VALUE"""),"Starship")</f>
        <v>Starship</v>
      </c>
    </row>
    <row r="11343">
      <c r="A11343" s="4" t="str">
        <f>IFERROR(__xludf.DUMMYFUNCTION("""COMPUTED_VALUE"""),"starship-3")</f>
        <v>starship-3</v>
      </c>
      <c r="B11343" s="4" t="str">
        <f>IFERROR(__xludf.DUMMYFUNCTION("""COMPUTED_VALUE"""),"ssp")</f>
        <v>ssp</v>
      </c>
      <c r="C11343" s="4" t="str">
        <f>IFERROR(__xludf.DUMMYFUNCTION("""COMPUTED_VALUE"""),"Starship")</f>
        <v>Starship</v>
      </c>
    </row>
    <row r="11344">
      <c r="A11344" s="4" t="str">
        <f>IFERROR(__xludf.DUMMYFUNCTION("""COMPUTED_VALUE"""),"starship-4")</f>
        <v>starship-4</v>
      </c>
      <c r="B11344" s="4" t="str">
        <f>IFERROR(__xludf.DUMMYFUNCTION("""COMPUTED_VALUE"""),"stship")</f>
        <v>stship</v>
      </c>
      <c r="C11344" s="4" t="str">
        <f>IFERROR(__xludf.DUMMYFUNCTION("""COMPUTED_VALUE"""),"StarShip🚀")</f>
        <v>StarShip🚀</v>
      </c>
    </row>
    <row r="11345">
      <c r="A11345" s="4" t="str">
        <f>IFERROR(__xludf.DUMMYFUNCTION("""COMPUTED_VALUE"""),"starship-erc20")</f>
        <v>starship-erc20</v>
      </c>
      <c r="B11345" s="4" t="str">
        <f>IFERROR(__xludf.DUMMYFUNCTION("""COMPUTED_VALUE"""),"sship")</f>
        <v>sship</v>
      </c>
      <c r="C11345" s="4" t="str">
        <f>IFERROR(__xludf.DUMMYFUNCTION("""COMPUTED_VALUE"""),"StarShip ERC20")</f>
        <v>StarShip ERC20</v>
      </c>
    </row>
    <row r="11346">
      <c r="A11346" s="4" t="str">
        <f>IFERROR(__xludf.DUMMYFUNCTION("""COMPUTED_VALUE"""),"starslax")</f>
        <v>starslax</v>
      </c>
      <c r="B11346" s="4" t="str">
        <f>IFERROR(__xludf.DUMMYFUNCTION("""COMPUTED_VALUE"""),"sslx")</f>
        <v>sslx</v>
      </c>
      <c r="C11346" s="4" t="str">
        <f>IFERROR(__xludf.DUMMYFUNCTION("""COMPUTED_VALUE"""),"StarSlax")</f>
        <v>StarSlax</v>
      </c>
    </row>
    <row r="11347">
      <c r="A11347" s="4" t="str">
        <f>IFERROR(__xludf.DUMMYFUNCTION("""COMPUTED_VALUE"""),"startuperscoin")</f>
        <v>startuperscoin</v>
      </c>
      <c r="B11347" s="4" t="str">
        <f>IFERROR(__xludf.DUMMYFUNCTION("""COMPUTED_VALUE"""),"star")</f>
        <v>star</v>
      </c>
      <c r="C11347" s="4" t="str">
        <f>IFERROR(__xludf.DUMMYFUNCTION("""COMPUTED_VALUE"""),"Startupers")</f>
        <v>Startupers</v>
      </c>
    </row>
    <row r="11348">
      <c r="A11348" s="4" t="str">
        <f>IFERROR(__xludf.DUMMYFUNCTION("""COMPUTED_VALUE"""),"starwallets-token")</f>
        <v>starwallets-token</v>
      </c>
      <c r="B11348" s="4" t="str">
        <f>IFERROR(__xludf.DUMMYFUNCTION("""COMPUTED_VALUE"""),"swt")</f>
        <v>swt</v>
      </c>
      <c r="C11348" s="4" t="str">
        <f>IFERROR(__xludf.DUMMYFUNCTION("""COMPUTED_VALUE"""),"StarWallets Token")</f>
        <v>StarWallets Token</v>
      </c>
    </row>
    <row r="11349">
      <c r="A11349" s="4" t="str">
        <f>IFERROR(__xludf.DUMMYFUNCTION("""COMPUTED_VALUE"""),"star-wars-cat")</f>
        <v>star-wars-cat</v>
      </c>
      <c r="B11349" s="4" t="str">
        <f>IFERROR(__xludf.DUMMYFUNCTION("""COMPUTED_VALUE"""),"swcat")</f>
        <v>swcat</v>
      </c>
      <c r="C11349" s="4" t="str">
        <f>IFERROR(__xludf.DUMMYFUNCTION("""COMPUTED_VALUE"""),"Star Wars Cat")</f>
        <v>Star Wars Cat</v>
      </c>
    </row>
    <row r="11350">
      <c r="A11350" s="4" t="str">
        <f>IFERROR(__xludf.DUMMYFUNCTION("""COMPUTED_VALUE"""),"starworks-global-ecosystem")</f>
        <v>starworks-global-ecosystem</v>
      </c>
      <c r="B11350" s="4" t="str">
        <f>IFERROR(__xludf.DUMMYFUNCTION("""COMPUTED_VALUE"""),"starx")</f>
        <v>starx</v>
      </c>
      <c r="C11350" s="4" t="str">
        <f>IFERROR(__xludf.DUMMYFUNCTION("""COMPUTED_VALUE"""),"STARX")</f>
        <v>STARX</v>
      </c>
    </row>
    <row r="11351">
      <c r="A11351" s="4" t="str">
        <f>IFERROR(__xludf.DUMMYFUNCTION("""COMPUTED_VALUE"""),"stash-inu")</f>
        <v>stash-inu</v>
      </c>
      <c r="B11351" s="4" t="str">
        <f>IFERROR(__xludf.DUMMYFUNCTION("""COMPUTED_VALUE"""),"stash")</f>
        <v>stash</v>
      </c>
      <c r="C11351" s="4" t="str">
        <f>IFERROR(__xludf.DUMMYFUNCTION("""COMPUTED_VALUE"""),"Stash Inu")</f>
        <v>Stash Inu</v>
      </c>
    </row>
    <row r="11352">
      <c r="A11352" s="4" t="str">
        <f>IFERROR(__xludf.DUMMYFUNCTION("""COMPUTED_VALUE"""),"stasis-eurs")</f>
        <v>stasis-eurs</v>
      </c>
      <c r="B11352" s="4" t="str">
        <f>IFERROR(__xludf.DUMMYFUNCTION("""COMPUTED_VALUE"""),"eurs")</f>
        <v>eurs</v>
      </c>
      <c r="C11352" s="4" t="str">
        <f>IFERROR(__xludf.DUMMYFUNCTION("""COMPUTED_VALUE"""),"STASIS EURO")</f>
        <v>STASIS EURO</v>
      </c>
    </row>
    <row r="11353">
      <c r="A11353" s="4" t="str">
        <f>IFERROR(__xludf.DUMMYFUNCTION("""COMPUTED_VALUE"""),"stasis-network")</f>
        <v>stasis-network</v>
      </c>
      <c r="B11353" s="4" t="str">
        <f>IFERROR(__xludf.DUMMYFUNCTION("""COMPUTED_VALUE"""),"sts")</f>
        <v>sts</v>
      </c>
      <c r="C11353" s="4" t="str">
        <f>IFERROR(__xludf.DUMMYFUNCTION("""COMPUTED_VALUE"""),"Stasis Network")</f>
        <v>Stasis Network</v>
      </c>
    </row>
    <row r="11354">
      <c r="A11354" s="4" t="str">
        <f>IFERROR(__xludf.DUMMYFUNCTION("""COMPUTED_VALUE"""),"stat")</f>
        <v>stat</v>
      </c>
      <c r="B11354" s="4" t="str">
        <f>IFERROR(__xludf.DUMMYFUNCTION("""COMPUTED_VALUE"""),"stat")</f>
        <v>stat</v>
      </c>
      <c r="C11354" s="4" t="str">
        <f>IFERROR(__xludf.DUMMYFUNCTION("""COMPUTED_VALUE"""),"STAT")</f>
        <v>STAT</v>
      </c>
    </row>
    <row r="11355">
      <c r="A11355" s="4" t="str">
        <f>IFERROR(__xludf.DUMMYFUNCTION("""COMPUTED_VALUE"""),"statera")</f>
        <v>statera</v>
      </c>
      <c r="B11355" s="4" t="str">
        <f>IFERROR(__xludf.DUMMYFUNCTION("""COMPUTED_VALUE"""),"sta")</f>
        <v>sta</v>
      </c>
      <c r="C11355" s="4" t="str">
        <f>IFERROR(__xludf.DUMMYFUNCTION("""COMPUTED_VALUE"""),"Statera")</f>
        <v>Statera</v>
      </c>
    </row>
    <row r="11356">
      <c r="A11356" s="4" t="str">
        <f>IFERROR(__xludf.DUMMYFUNCTION("""COMPUTED_VALUE"""),"sta-token")</f>
        <v>sta-token</v>
      </c>
      <c r="B11356" s="4" t="str">
        <f>IFERROR(__xludf.DUMMYFUNCTION("""COMPUTED_VALUE"""),"sta")</f>
        <v>sta</v>
      </c>
      <c r="C11356" s="4" t="str">
        <f>IFERROR(__xludf.DUMMYFUNCTION("""COMPUTED_VALUE"""),"STA")</f>
        <v>STA</v>
      </c>
    </row>
    <row r="11357">
      <c r="A11357" s="4" t="str">
        <f>IFERROR(__xludf.DUMMYFUNCTION("""COMPUTED_VALUE"""),"stats")</f>
        <v>stats</v>
      </c>
      <c r="B11357" s="4" t="str">
        <f>IFERROR(__xludf.DUMMYFUNCTION("""COMPUTED_VALUE"""),"stats")</f>
        <v>stats</v>
      </c>
      <c r="C11357" s="4" t="str">
        <f>IFERROR(__xludf.DUMMYFUNCTION("""COMPUTED_VALUE"""),"STATS")</f>
        <v>STATS</v>
      </c>
    </row>
    <row r="11358">
      <c r="A11358" s="4" t="str">
        <f>IFERROR(__xludf.DUMMYFUNCTION("""COMPUTED_VALUE"""),"status")</f>
        <v>status</v>
      </c>
      <c r="B11358" s="4" t="str">
        <f>IFERROR(__xludf.DUMMYFUNCTION("""COMPUTED_VALUE"""),"snt")</f>
        <v>snt</v>
      </c>
      <c r="C11358" s="4" t="str">
        <f>IFERROR(__xludf.DUMMYFUNCTION("""COMPUTED_VALUE"""),"Status")</f>
        <v>Status</v>
      </c>
    </row>
    <row r="11359">
      <c r="A11359" s="4" t="str">
        <f>IFERROR(__xludf.DUMMYFUNCTION("""COMPUTED_VALUE"""),"stay")</f>
        <v>stay</v>
      </c>
      <c r="B11359" s="4" t="str">
        <f>IFERROR(__xludf.DUMMYFUNCTION("""COMPUTED_VALUE"""),"stay")</f>
        <v>stay</v>
      </c>
      <c r="C11359" s="4" t="str">
        <f>IFERROR(__xludf.DUMMYFUNCTION("""COMPUTED_VALUE"""),"STAY")</f>
        <v>STAY</v>
      </c>
    </row>
    <row r="11360">
      <c r="A11360" s="4" t="str">
        <f>IFERROR(__xludf.DUMMYFUNCTION("""COMPUTED_VALUE"""),"staysafu")</f>
        <v>staysafu</v>
      </c>
      <c r="B11360" s="4" t="str">
        <f>IFERROR(__xludf.DUMMYFUNCTION("""COMPUTED_VALUE"""),"safu")</f>
        <v>safu</v>
      </c>
      <c r="C11360" s="4" t="str">
        <f>IFERROR(__xludf.DUMMYFUNCTION("""COMPUTED_VALUE"""),"StaySAFU")</f>
        <v>StaySAFU</v>
      </c>
    </row>
    <row r="11361">
      <c r="A11361" s="4" t="str">
        <f>IFERROR(__xludf.DUMMYFUNCTION("""COMPUTED_VALUE"""),"steak")</f>
        <v>steak</v>
      </c>
      <c r="B11361" s="4" t="str">
        <f>IFERROR(__xludf.DUMMYFUNCTION("""COMPUTED_VALUE"""),"steak")</f>
        <v>steak</v>
      </c>
      <c r="C11361" s="4" t="str">
        <f>IFERROR(__xludf.DUMMYFUNCTION("""COMPUTED_VALUE"""),"Steak")</f>
        <v>Steak</v>
      </c>
    </row>
    <row r="11362">
      <c r="A11362" s="4" t="str">
        <f>IFERROR(__xludf.DUMMYFUNCTION("""COMPUTED_VALUE"""),"steakd")</f>
        <v>steakd</v>
      </c>
      <c r="B11362" s="4" t="str">
        <f>IFERROR(__xludf.DUMMYFUNCTION("""COMPUTED_VALUE"""),"sdx")</f>
        <v>sdx</v>
      </c>
      <c r="C11362" s="4" t="str">
        <f>IFERROR(__xludf.DUMMYFUNCTION("""COMPUTED_VALUE"""),"Steakd")</f>
        <v>Steakd</v>
      </c>
    </row>
    <row r="11363">
      <c r="A11363" s="4" t="str">
        <f>IFERROR(__xludf.DUMMYFUNCTION("""COMPUTED_VALUE"""),"steakhut-finance")</f>
        <v>steakhut-finance</v>
      </c>
      <c r="B11363" s="4" t="str">
        <f>IFERROR(__xludf.DUMMYFUNCTION("""COMPUTED_VALUE"""),"steak")</f>
        <v>steak</v>
      </c>
      <c r="C11363" s="4" t="str">
        <f>IFERROR(__xludf.DUMMYFUNCTION("""COMPUTED_VALUE"""),"SteakHut Finance")</f>
        <v>SteakHut Finance</v>
      </c>
    </row>
    <row r="11364">
      <c r="A11364" s="4" t="str">
        <f>IFERROR(__xludf.DUMMYFUNCTION("""COMPUTED_VALUE"""),"stealthcoin")</f>
        <v>stealthcoin</v>
      </c>
      <c r="B11364" s="4" t="str">
        <f>IFERROR(__xludf.DUMMYFUNCTION("""COMPUTED_VALUE"""),"xst")</f>
        <v>xst</v>
      </c>
      <c r="C11364" s="4" t="str">
        <f>IFERROR(__xludf.DUMMYFUNCTION("""COMPUTED_VALUE"""),"Stealth")</f>
        <v>Stealth</v>
      </c>
    </row>
    <row r="11365">
      <c r="A11365" s="4" t="str">
        <f>IFERROR(__xludf.DUMMYFUNCTION("""COMPUTED_VALUE"""),"stealth-deals")</f>
        <v>stealth-deals</v>
      </c>
      <c r="B11365" s="4" t="str">
        <f>IFERROR(__xludf.DUMMYFUNCTION("""COMPUTED_VALUE"""),"deal")</f>
        <v>deal</v>
      </c>
      <c r="C11365" s="4" t="str">
        <f>IFERROR(__xludf.DUMMYFUNCTION("""COMPUTED_VALUE"""),"Stealth Deals")</f>
        <v>Stealth Deals</v>
      </c>
    </row>
    <row r="11366">
      <c r="A11366" s="4" t="str">
        <f>IFERROR(__xludf.DUMMYFUNCTION("""COMPUTED_VALUE"""),"steamboat-willie")</f>
        <v>steamboat-willie</v>
      </c>
      <c r="B11366" s="4" t="str">
        <f>IFERROR(__xludf.DUMMYFUNCTION("""COMPUTED_VALUE"""),"mickey")</f>
        <v>mickey</v>
      </c>
      <c r="C11366" s="4" t="str">
        <f>IFERROR(__xludf.DUMMYFUNCTION("""COMPUTED_VALUE"""),"Steamboat Willie")</f>
        <v>Steamboat Willie</v>
      </c>
    </row>
    <row r="11367">
      <c r="A11367" s="4" t="str">
        <f>IFERROR(__xludf.DUMMYFUNCTION("""COMPUTED_VALUE"""),"steam-exchange")</f>
        <v>steam-exchange</v>
      </c>
      <c r="B11367" s="4" t="str">
        <f>IFERROR(__xludf.DUMMYFUNCTION("""COMPUTED_VALUE"""),"steamx")</f>
        <v>steamx</v>
      </c>
      <c r="C11367" s="4" t="str">
        <f>IFERROR(__xludf.DUMMYFUNCTION("""COMPUTED_VALUE"""),"Steam Exchange")</f>
        <v>Steam Exchange</v>
      </c>
    </row>
    <row r="11368">
      <c r="A11368" s="4" t="str">
        <f>IFERROR(__xludf.DUMMYFUNCTION("""COMPUTED_VALUE"""),"steem")</f>
        <v>steem</v>
      </c>
      <c r="B11368" s="4" t="str">
        <f>IFERROR(__xludf.DUMMYFUNCTION("""COMPUTED_VALUE"""),"steem")</f>
        <v>steem</v>
      </c>
      <c r="C11368" s="4" t="str">
        <f>IFERROR(__xludf.DUMMYFUNCTION("""COMPUTED_VALUE"""),"Steem")</f>
        <v>Steem</v>
      </c>
    </row>
    <row r="11369">
      <c r="A11369" s="4" t="str">
        <f>IFERROR(__xludf.DUMMYFUNCTION("""COMPUTED_VALUE"""),"steem-dollars")</f>
        <v>steem-dollars</v>
      </c>
      <c r="B11369" s="4" t="str">
        <f>IFERROR(__xludf.DUMMYFUNCTION("""COMPUTED_VALUE"""),"sbd")</f>
        <v>sbd</v>
      </c>
      <c r="C11369" s="4" t="str">
        <f>IFERROR(__xludf.DUMMYFUNCTION("""COMPUTED_VALUE"""),"Steem Dollars")</f>
        <v>Steem Dollars</v>
      </c>
    </row>
    <row r="11370">
      <c r="A11370" s="4" t="str">
        <f>IFERROR(__xludf.DUMMYFUNCTION("""COMPUTED_VALUE"""),"stella-2")</f>
        <v>stella-2</v>
      </c>
      <c r="B11370" s="4" t="str">
        <f>IFERROR(__xludf.DUMMYFUNCTION("""COMPUTED_VALUE"""),"stl")</f>
        <v>stl</v>
      </c>
      <c r="C11370" s="4" t="str">
        <f>IFERROR(__xludf.DUMMYFUNCTION("""COMPUTED_VALUE"""),"Stella")</f>
        <v>Stella</v>
      </c>
    </row>
    <row r="11371">
      <c r="A11371" s="4" t="str">
        <f>IFERROR(__xludf.DUMMYFUNCTION("""COMPUTED_VALUE"""),"stella-fantasy-token")</f>
        <v>stella-fantasy-token</v>
      </c>
      <c r="B11371" s="4" t="str">
        <f>IFERROR(__xludf.DUMMYFUNCTION("""COMPUTED_VALUE"""),"sfty")</f>
        <v>sfty</v>
      </c>
      <c r="C11371" s="4" t="str">
        <f>IFERROR(__xludf.DUMMYFUNCTION("""COMPUTED_VALUE"""),"Stella Fantasy Token")</f>
        <v>Stella Fantasy Token</v>
      </c>
    </row>
    <row r="11372">
      <c r="A11372" s="4" t="str">
        <f>IFERROR(__xludf.DUMMYFUNCTION("""COMPUTED_VALUE"""),"stellar")</f>
        <v>stellar</v>
      </c>
      <c r="B11372" s="4" t="str">
        <f>IFERROR(__xludf.DUMMYFUNCTION("""COMPUTED_VALUE"""),"xlm")</f>
        <v>xlm</v>
      </c>
      <c r="C11372" s="4" t="str">
        <f>IFERROR(__xludf.DUMMYFUNCTION("""COMPUTED_VALUE"""),"Stellar")</f>
        <v>Stellar</v>
      </c>
    </row>
    <row r="11373">
      <c r="A11373" s="4" t="str">
        <f>IFERROR(__xludf.DUMMYFUNCTION("""COMPUTED_VALUE"""),"stellaryai")</f>
        <v>stellaryai</v>
      </c>
      <c r="B11373" s="4" t="str">
        <f>IFERROR(__xludf.DUMMYFUNCTION("""COMPUTED_VALUE"""),"stelai")</f>
        <v>stelai</v>
      </c>
      <c r="C11373" s="4" t="str">
        <f>IFERROR(__xludf.DUMMYFUNCTION("""COMPUTED_VALUE"""),"StellaryAI")</f>
        <v>StellaryAI</v>
      </c>
    </row>
    <row r="11374">
      <c r="A11374" s="4" t="str">
        <f>IFERROR(__xludf.DUMMYFUNCTION("""COMPUTED_VALUE"""),"stellaswap")</f>
        <v>stellaswap</v>
      </c>
      <c r="B11374" s="4" t="str">
        <f>IFERROR(__xludf.DUMMYFUNCTION("""COMPUTED_VALUE"""),"stella")</f>
        <v>stella</v>
      </c>
      <c r="C11374" s="4" t="str">
        <f>IFERROR(__xludf.DUMMYFUNCTION("""COMPUTED_VALUE"""),"StellaSwap")</f>
        <v>StellaSwap</v>
      </c>
    </row>
    <row r="11375">
      <c r="A11375" s="4" t="str">
        <f>IFERROR(__xludf.DUMMYFUNCTION("""COMPUTED_VALUE"""),"stellaswap-staked-dot")</f>
        <v>stellaswap-staked-dot</v>
      </c>
      <c r="B11375" s="4" t="str">
        <f>IFERROR(__xludf.DUMMYFUNCTION("""COMPUTED_VALUE"""),"stdot")</f>
        <v>stdot</v>
      </c>
      <c r="C11375" s="4" t="str">
        <f>IFERROR(__xludf.DUMMYFUNCTION("""COMPUTED_VALUE"""),"StellaSwap Staked DOT")</f>
        <v>StellaSwap Staked DOT</v>
      </c>
    </row>
    <row r="11376">
      <c r="A11376" s="4" t="str">
        <f>IFERROR(__xludf.DUMMYFUNCTION("""COMPUTED_VALUE"""),"stellite")</f>
        <v>stellite</v>
      </c>
      <c r="B11376" s="4" t="str">
        <f>IFERROR(__xludf.DUMMYFUNCTION("""COMPUTED_VALUE"""),"xla")</f>
        <v>xla</v>
      </c>
      <c r="C11376" s="4" t="str">
        <f>IFERROR(__xludf.DUMMYFUNCTION("""COMPUTED_VALUE"""),"Scala")</f>
        <v>Scala</v>
      </c>
    </row>
    <row r="11377">
      <c r="A11377" s="4" t="str">
        <f>IFERROR(__xludf.DUMMYFUNCTION("""COMPUTED_VALUE"""),"stelsi")</f>
        <v>stelsi</v>
      </c>
      <c r="B11377" s="4" t="str">
        <f>IFERROR(__xludf.DUMMYFUNCTION("""COMPUTED_VALUE"""),"stls")</f>
        <v>stls</v>
      </c>
      <c r="C11377" s="4" t="str">
        <f>IFERROR(__xludf.DUMMYFUNCTION("""COMPUTED_VALUE"""),"STELSI")</f>
        <v>STELSI</v>
      </c>
    </row>
    <row r="11378">
      <c r="A11378" s="4" t="str">
        <f>IFERROR(__xludf.DUMMYFUNCTION("""COMPUTED_VALUE"""),"stem-ai")</f>
        <v>stem-ai</v>
      </c>
      <c r="B11378" s="4" t="str">
        <f>IFERROR(__xludf.DUMMYFUNCTION("""COMPUTED_VALUE"""),"stem")</f>
        <v>stem</v>
      </c>
      <c r="C11378" s="4" t="str">
        <f>IFERROR(__xludf.DUMMYFUNCTION("""COMPUTED_VALUE"""),"Stem AI")</f>
        <v>Stem AI</v>
      </c>
    </row>
    <row r="11379">
      <c r="A11379" s="4" t="str">
        <f>IFERROR(__xludf.DUMMYFUNCTION("""COMPUTED_VALUE"""),"stemx")</f>
        <v>stemx</v>
      </c>
      <c r="B11379" s="4" t="str">
        <f>IFERROR(__xludf.DUMMYFUNCTION("""COMPUTED_VALUE"""),"stemx")</f>
        <v>stemx</v>
      </c>
      <c r="C11379" s="4" t="str">
        <f>IFERROR(__xludf.DUMMYFUNCTION("""COMPUTED_VALUE"""),"STEMX")</f>
        <v>STEMX</v>
      </c>
    </row>
    <row r="11380">
      <c r="A11380" s="4" t="str">
        <f>IFERROR(__xludf.DUMMYFUNCTION("""COMPUTED_VALUE"""),"step")</f>
        <v>step</v>
      </c>
      <c r="B11380" s="4" t="str">
        <f>IFERROR(__xludf.DUMMYFUNCTION("""COMPUTED_VALUE"""),"step")</f>
        <v>step</v>
      </c>
      <c r="C11380" s="4" t="str">
        <f>IFERROR(__xludf.DUMMYFUNCTION("""COMPUTED_VALUE"""),"Step")</f>
        <v>Step</v>
      </c>
    </row>
    <row r="11381">
      <c r="A11381" s="4" t="str">
        <f>IFERROR(__xludf.DUMMYFUNCTION("""COMPUTED_VALUE"""),"step-app-fitfi")</f>
        <v>step-app-fitfi</v>
      </c>
      <c r="B11381" s="4" t="str">
        <f>IFERROR(__xludf.DUMMYFUNCTION("""COMPUTED_VALUE"""),"fitfi")</f>
        <v>fitfi</v>
      </c>
      <c r="C11381" s="4" t="str">
        <f>IFERROR(__xludf.DUMMYFUNCTION("""COMPUTED_VALUE"""),"Step App")</f>
        <v>Step App</v>
      </c>
    </row>
    <row r="11382">
      <c r="A11382" s="4" t="str">
        <f>IFERROR(__xludf.DUMMYFUNCTION("""COMPUTED_VALUE"""),"stepex")</f>
        <v>stepex</v>
      </c>
      <c r="B11382" s="4" t="str">
        <f>IFERROR(__xludf.DUMMYFUNCTION("""COMPUTED_VALUE"""),"spex")</f>
        <v>spex</v>
      </c>
      <c r="C11382" s="4" t="str">
        <f>IFERROR(__xludf.DUMMYFUNCTION("""COMPUTED_VALUE"""),"StepEx")</f>
        <v>StepEx</v>
      </c>
    </row>
    <row r="11383">
      <c r="A11383" s="4" t="str">
        <f>IFERROR(__xludf.DUMMYFUNCTION("""COMPUTED_VALUE"""),"step-finance")</f>
        <v>step-finance</v>
      </c>
      <c r="B11383" s="4" t="str">
        <f>IFERROR(__xludf.DUMMYFUNCTION("""COMPUTED_VALUE"""),"step")</f>
        <v>step</v>
      </c>
      <c r="C11383" s="4" t="str">
        <f>IFERROR(__xludf.DUMMYFUNCTION("""COMPUTED_VALUE"""),"Step Finance")</f>
        <v>Step Finance</v>
      </c>
    </row>
    <row r="11384">
      <c r="A11384" s="4" t="str">
        <f>IFERROR(__xludf.DUMMYFUNCTION("""COMPUTED_VALUE"""),"step-hero")</f>
        <v>step-hero</v>
      </c>
      <c r="B11384" s="4" t="str">
        <f>IFERROR(__xludf.DUMMYFUNCTION("""COMPUTED_VALUE"""),"hero")</f>
        <v>hero</v>
      </c>
      <c r="C11384" s="4" t="str">
        <f>IFERROR(__xludf.DUMMYFUNCTION("""COMPUTED_VALUE"""),"Step Hero")</f>
        <v>Step Hero</v>
      </c>
    </row>
    <row r="11385">
      <c r="A11385" s="4" t="str">
        <f>IFERROR(__xludf.DUMMYFUNCTION("""COMPUTED_VALUE"""),"stepn")</f>
        <v>stepn</v>
      </c>
      <c r="B11385" s="4" t="str">
        <f>IFERROR(__xludf.DUMMYFUNCTION("""COMPUTED_VALUE"""),"gmt")</f>
        <v>gmt</v>
      </c>
      <c r="C11385" s="4" t="str">
        <f>IFERROR(__xludf.DUMMYFUNCTION("""COMPUTED_VALUE"""),"GMT")</f>
        <v>GMT</v>
      </c>
    </row>
    <row r="11386">
      <c r="A11386" s="4" t="str">
        <f>IFERROR(__xludf.DUMMYFUNCTION("""COMPUTED_VALUE"""),"stereoai")</f>
        <v>stereoai</v>
      </c>
      <c r="B11386" s="4" t="str">
        <f>IFERROR(__xludf.DUMMYFUNCTION("""COMPUTED_VALUE"""),"stai")</f>
        <v>stai</v>
      </c>
      <c r="C11386" s="4" t="str">
        <f>IFERROR(__xludf.DUMMYFUNCTION("""COMPUTED_VALUE"""),"StereoAI")</f>
        <v>StereoAI</v>
      </c>
    </row>
    <row r="11387">
      <c r="A11387" s="4" t="str">
        <f>IFERROR(__xludf.DUMMYFUNCTION("""COMPUTED_VALUE"""),"sterling-finance")</f>
        <v>sterling-finance</v>
      </c>
      <c r="B11387" s="4" t="str">
        <f>IFERROR(__xludf.DUMMYFUNCTION("""COMPUTED_VALUE"""),"str")</f>
        <v>str</v>
      </c>
      <c r="C11387" s="4" t="str">
        <f>IFERROR(__xludf.DUMMYFUNCTION("""COMPUTED_VALUE"""),"Sterling Finance")</f>
        <v>Sterling Finance</v>
      </c>
    </row>
    <row r="11388">
      <c r="A11388" s="4" t="str">
        <f>IFERROR(__xludf.DUMMYFUNCTION("""COMPUTED_VALUE"""),"stfx")</f>
        <v>stfx</v>
      </c>
      <c r="B11388" s="4" t="str">
        <f>IFERROR(__xludf.DUMMYFUNCTION("""COMPUTED_VALUE"""),"stfx")</f>
        <v>stfx</v>
      </c>
      <c r="C11388" s="4" t="str">
        <f>IFERROR(__xludf.DUMMYFUNCTION("""COMPUTED_VALUE"""),"STFX")</f>
        <v>STFX</v>
      </c>
    </row>
    <row r="11389">
      <c r="A11389" s="4" t="str">
        <f>IFERROR(__xludf.DUMMYFUNCTION("""COMPUTED_VALUE"""),"stickbug")</f>
        <v>stickbug</v>
      </c>
      <c r="B11389" s="4" t="str">
        <f>IFERROR(__xludf.DUMMYFUNCTION("""COMPUTED_VALUE"""),"stickbug")</f>
        <v>stickbug</v>
      </c>
      <c r="C11389" s="4" t="str">
        <f>IFERROR(__xludf.DUMMYFUNCTION("""COMPUTED_VALUE"""),"stickbug")</f>
        <v>stickbug</v>
      </c>
    </row>
    <row r="11390">
      <c r="A11390" s="4" t="str">
        <f>IFERROR(__xludf.DUMMYFUNCTION("""COMPUTED_VALUE"""),"stilton")</f>
        <v>stilton</v>
      </c>
      <c r="B11390" s="4" t="str">
        <f>IFERROR(__xludf.DUMMYFUNCTION("""COMPUTED_VALUE"""),"stilt")</f>
        <v>stilt</v>
      </c>
      <c r="C11390" s="4" t="str">
        <f>IFERROR(__xludf.DUMMYFUNCTION("""COMPUTED_VALUE"""),"Stilton")</f>
        <v>Stilton</v>
      </c>
    </row>
    <row r="11391">
      <c r="A11391" s="4" t="str">
        <f>IFERROR(__xludf.DUMMYFUNCTION("""COMPUTED_VALUE"""),"stima")</f>
        <v>stima</v>
      </c>
      <c r="B11391" s="4" t="str">
        <f>IFERROR(__xludf.DUMMYFUNCTION("""COMPUTED_VALUE"""),"stima")</f>
        <v>stima</v>
      </c>
      <c r="C11391" s="4" t="str">
        <f>IFERROR(__xludf.DUMMYFUNCTION("""COMPUTED_VALUE"""),"STIMA")</f>
        <v>STIMA</v>
      </c>
    </row>
    <row r="11392">
      <c r="A11392" s="4" t="str">
        <f>IFERROR(__xludf.DUMMYFUNCTION("""COMPUTED_VALUE"""),"stkatom")</f>
        <v>stkatom</v>
      </c>
      <c r="B11392" s="4" t="str">
        <f>IFERROR(__xludf.DUMMYFUNCTION("""COMPUTED_VALUE"""),"stkatom")</f>
        <v>stkatom</v>
      </c>
      <c r="C11392" s="4" t="str">
        <f>IFERROR(__xludf.DUMMYFUNCTION("""COMPUTED_VALUE"""),"pSTAKE Staked ATOM")</f>
        <v>pSTAKE Staked ATOM</v>
      </c>
    </row>
    <row r="11393">
      <c r="A11393" s="4" t="str">
        <f>IFERROR(__xludf.DUMMYFUNCTION("""COMPUTED_VALUE"""),"stkd-scrt")</f>
        <v>stkd-scrt</v>
      </c>
      <c r="B11393" s="4" t="str">
        <f>IFERROR(__xludf.DUMMYFUNCTION("""COMPUTED_VALUE"""),"stkd")</f>
        <v>stkd</v>
      </c>
      <c r="C11393" s="4" t="str">
        <f>IFERROR(__xludf.DUMMYFUNCTION("""COMPUTED_VALUE"""),"Stkd SCRT")</f>
        <v>Stkd SCRT</v>
      </c>
    </row>
    <row r="11394">
      <c r="A11394" s="4" t="str">
        <f>IFERROR(__xludf.DUMMYFUNCTION("""COMPUTED_VALUE"""),"stobox-token")</f>
        <v>stobox-token</v>
      </c>
      <c r="B11394" s="4" t="str">
        <f>IFERROR(__xludf.DUMMYFUNCTION("""COMPUTED_VALUE"""),"stbu")</f>
        <v>stbu</v>
      </c>
      <c r="C11394" s="4" t="str">
        <f>IFERROR(__xludf.DUMMYFUNCTION("""COMPUTED_VALUE"""),"Stobox")</f>
        <v>Stobox</v>
      </c>
    </row>
    <row r="11395">
      <c r="A11395" s="4" t="str">
        <f>IFERROR(__xludf.DUMMYFUNCTION("""COMPUTED_VALUE"""),"stohn-coin")</f>
        <v>stohn-coin</v>
      </c>
      <c r="B11395" s="4" t="str">
        <f>IFERROR(__xludf.DUMMYFUNCTION("""COMPUTED_VALUE"""),"soh")</f>
        <v>soh</v>
      </c>
      <c r="C11395" s="4" t="str">
        <f>IFERROR(__xludf.DUMMYFUNCTION("""COMPUTED_VALUE"""),"Stohn Coin")</f>
        <v>Stohn Coin</v>
      </c>
    </row>
    <row r="11396">
      <c r="A11396" s="4" t="str">
        <f>IFERROR(__xludf.DUMMYFUNCTION("""COMPUTED_VALUE"""),"stoicdao")</f>
        <v>stoicdao</v>
      </c>
      <c r="B11396" s="4" t="str">
        <f>IFERROR(__xludf.DUMMYFUNCTION("""COMPUTED_VALUE"""),"zeta")</f>
        <v>zeta</v>
      </c>
      <c r="C11396" s="4" t="str">
        <f>IFERROR(__xludf.DUMMYFUNCTION("""COMPUTED_VALUE"""),"stoicDAO")</f>
        <v>stoicDAO</v>
      </c>
    </row>
    <row r="11397">
      <c r="A11397" s="4" t="str">
        <f>IFERROR(__xludf.DUMMYFUNCTION("""COMPUTED_VALUE"""),"ston")</f>
        <v>ston</v>
      </c>
      <c r="B11397" s="4" t="str">
        <f>IFERROR(__xludf.DUMMYFUNCTION("""COMPUTED_VALUE"""),"ston")</f>
        <v>ston</v>
      </c>
      <c r="C11397" s="4" t="str">
        <f>IFERROR(__xludf.DUMMYFUNCTION("""COMPUTED_VALUE"""),"Ston")</f>
        <v>Ston</v>
      </c>
    </row>
    <row r="11398">
      <c r="A11398" s="4" t="str">
        <f>IFERROR(__xludf.DUMMYFUNCTION("""COMPUTED_VALUE"""),"ston-2")</f>
        <v>ston-2</v>
      </c>
      <c r="B11398" s="4" t="str">
        <f>IFERROR(__xludf.DUMMYFUNCTION("""COMPUTED_VALUE"""),"ston")</f>
        <v>ston</v>
      </c>
      <c r="C11398" s="4" t="str">
        <f>IFERROR(__xludf.DUMMYFUNCTION("""COMPUTED_VALUE"""),"STON")</f>
        <v>STON</v>
      </c>
    </row>
    <row r="11399">
      <c r="A11399" s="4" t="str">
        <f>IFERROR(__xludf.DUMMYFUNCTION("""COMPUTED_VALUE"""),"stoned")</f>
        <v>stoned</v>
      </c>
      <c r="B11399" s="4" t="str">
        <f>IFERROR(__xludf.DUMMYFUNCTION("""COMPUTED_VALUE"""),"stoned")</f>
        <v>stoned</v>
      </c>
      <c r="C11399" s="4" t="str">
        <f>IFERROR(__xludf.DUMMYFUNCTION("""COMPUTED_VALUE"""),"STONED")</f>
        <v>STONED</v>
      </c>
    </row>
    <row r="11400">
      <c r="A11400" s="4" t="str">
        <f>IFERROR(__xludf.DUMMYFUNCTION("""COMPUTED_VALUE"""),"stonkmememan")</f>
        <v>stonkmememan</v>
      </c>
      <c r="B11400" s="4" t="str">
        <f>IFERROR(__xludf.DUMMYFUNCTION("""COMPUTED_VALUE"""),"stonks")</f>
        <v>stonks</v>
      </c>
      <c r="C11400" s="4" t="str">
        <f>IFERROR(__xludf.DUMMYFUNCTION("""COMPUTED_VALUE"""),"StonkMemeMan")</f>
        <v>StonkMemeMan</v>
      </c>
    </row>
    <row r="11401">
      <c r="A11401" s="4" t="str">
        <f>IFERROR(__xludf.DUMMYFUNCTION("""COMPUTED_VALUE"""),"stonks-2")</f>
        <v>stonks-2</v>
      </c>
      <c r="B11401" s="4" t="str">
        <f>IFERROR(__xludf.DUMMYFUNCTION("""COMPUTED_VALUE"""),"stonks")</f>
        <v>stonks</v>
      </c>
      <c r="C11401" s="4" t="str">
        <f>IFERROR(__xludf.DUMMYFUNCTION("""COMPUTED_VALUE"""),"STONKS")</f>
        <v>STONKS</v>
      </c>
    </row>
    <row r="11402">
      <c r="A11402" s="4" t="str">
        <f>IFERROR(__xludf.DUMMYFUNCTION("""COMPUTED_VALUE"""),"stonks-3")</f>
        <v>stonks-3</v>
      </c>
      <c r="B11402" s="4" t="str">
        <f>IFERROR(__xludf.DUMMYFUNCTION("""COMPUTED_VALUE"""),"stonks")</f>
        <v>stonks</v>
      </c>
      <c r="C11402" s="4" t="str">
        <f>IFERROR(__xludf.DUMMYFUNCTION("""COMPUTED_VALUE"""),"sTONks")</f>
        <v>sTONks</v>
      </c>
    </row>
    <row r="11403">
      <c r="A11403" s="4" t="str">
        <f>IFERROR(__xludf.DUMMYFUNCTION("""COMPUTED_VALUE"""),"stonksdao")</f>
        <v>stonksdao</v>
      </c>
      <c r="B11403" s="4" t="str">
        <f>IFERROR(__xludf.DUMMYFUNCTION("""COMPUTED_VALUE"""),"stonks")</f>
        <v>stonks</v>
      </c>
      <c r="C11403" s="4" t="str">
        <f>IFERROR(__xludf.DUMMYFUNCTION("""COMPUTED_VALUE"""),"STONKSDAO")</f>
        <v>STONKSDAO</v>
      </c>
    </row>
    <row r="11404">
      <c r="A11404" s="4" t="str">
        <f>IFERROR(__xludf.DUMMYFUNCTION("""COMPUTED_VALUE"""),"stopelon")</f>
        <v>stopelon</v>
      </c>
      <c r="B11404" s="4" t="str">
        <f>IFERROR(__xludf.DUMMYFUNCTION("""COMPUTED_VALUE"""),"stopelon")</f>
        <v>stopelon</v>
      </c>
      <c r="C11404" s="4" t="str">
        <f>IFERROR(__xludf.DUMMYFUNCTION("""COMPUTED_VALUE"""),"StopElon")</f>
        <v>StopElon</v>
      </c>
    </row>
    <row r="11405">
      <c r="A11405" s="4" t="str">
        <f>IFERROR(__xludf.DUMMYFUNCTION("""COMPUTED_VALUE"""),"storagechain")</f>
        <v>storagechain</v>
      </c>
      <c r="B11405" s="4" t="str">
        <f>IFERROR(__xludf.DUMMYFUNCTION("""COMPUTED_VALUE"""),"wstor")</f>
        <v>wstor</v>
      </c>
      <c r="C11405" s="4" t="str">
        <f>IFERROR(__xludf.DUMMYFUNCTION("""COMPUTED_VALUE"""),"StorageChain")</f>
        <v>StorageChain</v>
      </c>
    </row>
    <row r="11406">
      <c r="A11406" s="4" t="str">
        <f>IFERROR(__xludf.DUMMYFUNCTION("""COMPUTED_VALUE"""),"storepay")</f>
        <v>storepay</v>
      </c>
      <c r="B11406" s="4" t="str">
        <f>IFERROR(__xludf.DUMMYFUNCTION("""COMPUTED_VALUE"""),"spc")</f>
        <v>spc</v>
      </c>
      <c r="C11406" s="4" t="str">
        <f>IFERROR(__xludf.DUMMYFUNCTION("""COMPUTED_VALUE"""),"Storepay")</f>
        <v>Storepay</v>
      </c>
    </row>
    <row r="11407">
      <c r="A11407" s="4" t="str">
        <f>IFERROR(__xludf.DUMMYFUNCTION("""COMPUTED_VALUE"""),"storex")</f>
        <v>storex</v>
      </c>
      <c r="B11407" s="4" t="str">
        <f>IFERROR(__xludf.DUMMYFUNCTION("""COMPUTED_VALUE"""),"strx")</f>
        <v>strx</v>
      </c>
      <c r="C11407" s="4" t="str">
        <f>IFERROR(__xludf.DUMMYFUNCTION("""COMPUTED_VALUE"""),"Storex")</f>
        <v>Storex</v>
      </c>
    </row>
    <row r="11408">
      <c r="A11408" s="4" t="str">
        <f>IFERROR(__xludf.DUMMYFUNCTION("""COMPUTED_VALUE"""),"storj")</f>
        <v>storj</v>
      </c>
      <c r="B11408" s="4" t="str">
        <f>IFERROR(__xludf.DUMMYFUNCTION("""COMPUTED_VALUE"""),"storj")</f>
        <v>storj</v>
      </c>
      <c r="C11408" s="4" t="str">
        <f>IFERROR(__xludf.DUMMYFUNCTION("""COMPUTED_VALUE"""),"Storj")</f>
        <v>Storj</v>
      </c>
    </row>
    <row r="11409">
      <c r="A11409" s="4" t="str">
        <f>IFERROR(__xludf.DUMMYFUNCTION("""COMPUTED_VALUE"""),"storm")</f>
        <v>storm</v>
      </c>
      <c r="B11409" s="4" t="str">
        <f>IFERROR(__xludf.DUMMYFUNCTION("""COMPUTED_VALUE"""),"stmx")</f>
        <v>stmx</v>
      </c>
      <c r="C11409" s="4" t="str">
        <f>IFERROR(__xludf.DUMMYFUNCTION("""COMPUTED_VALUE"""),"StormX")</f>
        <v>StormX</v>
      </c>
    </row>
    <row r="11410">
      <c r="A11410" s="4" t="str">
        <f>IFERROR(__xludf.DUMMYFUNCTION("""COMPUTED_VALUE"""),"storm-token")</f>
        <v>storm-token</v>
      </c>
      <c r="B11410" s="4" t="str">
        <f>IFERROR(__xludf.DUMMYFUNCTION("""COMPUTED_VALUE"""),"storm")</f>
        <v>storm</v>
      </c>
      <c r="C11410" s="4" t="str">
        <f>IFERROR(__xludf.DUMMYFUNCTION("""COMPUTED_VALUE"""),"Storm")</f>
        <v>Storm</v>
      </c>
    </row>
    <row r="11411">
      <c r="A11411" s="4" t="str">
        <f>IFERROR(__xludf.DUMMYFUNCTION("""COMPUTED_VALUE"""),"storm-warfare")</f>
        <v>storm-warfare</v>
      </c>
      <c r="B11411" s="4" t="str">
        <f>IFERROR(__xludf.DUMMYFUNCTION("""COMPUTED_VALUE"""),"jan")</f>
        <v>jan</v>
      </c>
      <c r="C11411" s="4" t="str">
        <f>IFERROR(__xludf.DUMMYFUNCTION("""COMPUTED_VALUE"""),"Storm Warfare")</f>
        <v>Storm Warfare</v>
      </c>
    </row>
    <row r="11412">
      <c r="A11412" s="4" t="str">
        <f>IFERROR(__xludf.DUMMYFUNCTION("""COMPUTED_VALUE"""),"storx")</f>
        <v>storx</v>
      </c>
      <c r="B11412" s="4" t="str">
        <f>IFERROR(__xludf.DUMMYFUNCTION("""COMPUTED_VALUE"""),"srx")</f>
        <v>srx</v>
      </c>
      <c r="C11412" s="4" t="str">
        <f>IFERROR(__xludf.DUMMYFUNCTION("""COMPUTED_VALUE"""),"StorX")</f>
        <v>StorX</v>
      </c>
    </row>
    <row r="11413">
      <c r="A11413" s="4" t="str">
        <f>IFERROR(__xludf.DUMMYFUNCTION("""COMPUTED_VALUE"""),"story")</f>
        <v>story</v>
      </c>
      <c r="B11413" s="4" t="str">
        <f>IFERROR(__xludf.DUMMYFUNCTION("""COMPUTED_VALUE"""),"story")</f>
        <v>story</v>
      </c>
      <c r="C11413" s="4" t="str">
        <f>IFERROR(__xludf.DUMMYFUNCTION("""COMPUTED_VALUE"""),"Story")</f>
        <v>Story</v>
      </c>
    </row>
    <row r="11414">
      <c r="A11414" s="4" t="str">
        <f>IFERROR(__xludf.DUMMYFUNCTION("""COMPUTED_VALUE"""),"stox")</f>
        <v>stox</v>
      </c>
      <c r="B11414" s="4" t="str">
        <f>IFERROR(__xludf.DUMMYFUNCTION("""COMPUTED_VALUE"""),"stx")</f>
        <v>stx</v>
      </c>
      <c r="C11414" s="4" t="str">
        <f>IFERROR(__xludf.DUMMYFUNCTION("""COMPUTED_VALUE"""),"Stox")</f>
        <v>Stox</v>
      </c>
    </row>
    <row r="11415">
      <c r="A11415" s="4" t="str">
        <f>IFERROR(__xludf.DUMMYFUNCTION("""COMPUTED_VALUE"""),"stp-network")</f>
        <v>stp-network</v>
      </c>
      <c r="B11415" s="4" t="str">
        <f>IFERROR(__xludf.DUMMYFUNCTION("""COMPUTED_VALUE"""),"stpt")</f>
        <v>stpt</v>
      </c>
      <c r="C11415" s="4" t="str">
        <f>IFERROR(__xludf.DUMMYFUNCTION("""COMPUTED_VALUE"""),"STP")</f>
        <v>STP</v>
      </c>
    </row>
    <row r="11416">
      <c r="A11416" s="4" t="str">
        <f>IFERROR(__xludf.DUMMYFUNCTION("""COMPUTED_VALUE"""),"straitsx-indonesia-rupiah")</f>
        <v>straitsx-indonesia-rupiah</v>
      </c>
      <c r="B11416" s="4" t="str">
        <f>IFERROR(__xludf.DUMMYFUNCTION("""COMPUTED_VALUE"""),"xidr")</f>
        <v>xidr</v>
      </c>
      <c r="C11416" s="4" t="str">
        <f>IFERROR(__xludf.DUMMYFUNCTION("""COMPUTED_VALUE"""),"XIDR")</f>
        <v>XIDR</v>
      </c>
    </row>
    <row r="11417">
      <c r="A11417" s="4" t="str">
        <f>IFERROR(__xludf.DUMMYFUNCTION("""COMPUTED_VALUE"""),"stratis")</f>
        <v>stratis</v>
      </c>
      <c r="B11417" s="4" t="str">
        <f>IFERROR(__xludf.DUMMYFUNCTION("""COMPUTED_VALUE"""),"strax")</f>
        <v>strax</v>
      </c>
      <c r="C11417" s="4" t="str">
        <f>IFERROR(__xludf.DUMMYFUNCTION("""COMPUTED_VALUE"""),"Stratis")</f>
        <v>Stratis</v>
      </c>
    </row>
    <row r="11418">
      <c r="A11418" s="4" t="str">
        <f>IFERROR(__xludf.DUMMYFUNCTION("""COMPUTED_VALUE"""),"stratos")</f>
        <v>stratos</v>
      </c>
      <c r="B11418" s="4" t="str">
        <f>IFERROR(__xludf.DUMMYFUNCTION("""COMPUTED_VALUE"""),"stos")</f>
        <v>stos</v>
      </c>
      <c r="C11418" s="4" t="str">
        <f>IFERROR(__xludf.DUMMYFUNCTION("""COMPUTED_VALUE"""),"Stratos")</f>
        <v>Stratos</v>
      </c>
    </row>
    <row r="11419">
      <c r="A11419" s="4" t="str">
        <f>IFERROR(__xludf.DUMMYFUNCTION("""COMPUTED_VALUE"""),"stratum-exchange")</f>
        <v>stratum-exchange</v>
      </c>
      <c r="B11419" s="4" t="str">
        <f>IFERROR(__xludf.DUMMYFUNCTION("""COMPUTED_VALUE"""),"strat")</f>
        <v>strat</v>
      </c>
      <c r="C11419" s="4" t="str">
        <f>IFERROR(__xludf.DUMMYFUNCTION("""COMPUTED_VALUE"""),"Stratum Exchange")</f>
        <v>Stratum Exchange</v>
      </c>
    </row>
    <row r="11420">
      <c r="A11420" s="4" t="str">
        <f>IFERROR(__xludf.DUMMYFUNCTION("""COMPUTED_VALUE"""),"strawberry-elephant")</f>
        <v>strawberry-elephant</v>
      </c>
      <c r="B11420" s="4" t="str">
        <f>IFERROR(__xludf.DUMMYFUNCTION("""COMPUTED_VALUE"""),"صباح الفر")</f>
        <v>صباح الفر</v>
      </c>
      <c r="C11420" s="4" t="str">
        <f>IFERROR(__xludf.DUMMYFUNCTION("""COMPUTED_VALUE"""),"Strawberry Elephant")</f>
        <v>Strawberry Elephant</v>
      </c>
    </row>
    <row r="11421">
      <c r="A11421" s="4" t="str">
        <f>IFERROR(__xludf.DUMMYFUNCTION("""COMPUTED_VALUE"""),"strch-token")</f>
        <v>strch-token</v>
      </c>
      <c r="B11421" s="4" t="str">
        <f>IFERROR(__xludf.DUMMYFUNCTION("""COMPUTED_VALUE"""),"strch")</f>
        <v>strch</v>
      </c>
      <c r="C11421" s="4" t="str">
        <f>IFERROR(__xludf.DUMMYFUNCTION("""COMPUTED_VALUE"""),"STRCH Token")</f>
        <v>STRCH Token</v>
      </c>
    </row>
    <row r="11422">
      <c r="A11422" s="4" t="str">
        <f>IFERROR(__xludf.DUMMYFUNCTION("""COMPUTED_VALUE"""),"streakk-chain")</f>
        <v>streakk-chain</v>
      </c>
      <c r="B11422" s="4" t="str">
        <f>IFERROR(__xludf.DUMMYFUNCTION("""COMPUTED_VALUE"""),"stkc")</f>
        <v>stkc</v>
      </c>
      <c r="C11422" s="4" t="str">
        <f>IFERROR(__xludf.DUMMYFUNCTION("""COMPUTED_VALUE"""),"Streakk Chain")</f>
        <v>Streakk Chain</v>
      </c>
    </row>
    <row r="11423">
      <c r="A11423" s="4" t="str">
        <f>IFERROR(__xludf.DUMMYFUNCTION("""COMPUTED_VALUE"""),"streamcoin")</f>
        <v>streamcoin</v>
      </c>
      <c r="B11423" s="4" t="str">
        <f>IFERROR(__xludf.DUMMYFUNCTION("""COMPUTED_VALUE"""),"strm")</f>
        <v>strm</v>
      </c>
      <c r="C11423" s="4" t="str">
        <f>IFERROR(__xludf.DUMMYFUNCTION("""COMPUTED_VALUE"""),"StreamCoin")</f>
        <v>StreamCoin</v>
      </c>
    </row>
    <row r="11424">
      <c r="A11424" s="4" t="str">
        <f>IFERROR(__xludf.DUMMYFUNCTION("""COMPUTED_VALUE"""),"streamr")</f>
        <v>streamr</v>
      </c>
      <c r="B11424" s="4" t="str">
        <f>IFERROR(__xludf.DUMMYFUNCTION("""COMPUTED_VALUE"""),"data")</f>
        <v>data</v>
      </c>
      <c r="C11424" s="4" t="str">
        <f>IFERROR(__xludf.DUMMYFUNCTION("""COMPUTED_VALUE"""),"Streamr")</f>
        <v>Streamr</v>
      </c>
    </row>
    <row r="11425">
      <c r="A11425" s="4" t="str">
        <f>IFERROR(__xludf.DUMMYFUNCTION("""COMPUTED_VALUE"""),"streamr-xdata")</f>
        <v>streamr-xdata</v>
      </c>
      <c r="B11425" s="4" t="str">
        <f>IFERROR(__xludf.DUMMYFUNCTION("""COMPUTED_VALUE"""),"xdata")</f>
        <v>xdata</v>
      </c>
      <c r="C11425" s="4" t="str">
        <f>IFERROR(__xludf.DUMMYFUNCTION("""COMPUTED_VALUE"""),"Streamr XDATA")</f>
        <v>Streamr XDATA</v>
      </c>
    </row>
    <row r="11426">
      <c r="A11426" s="4" t="str">
        <f>IFERROR(__xludf.DUMMYFUNCTION("""COMPUTED_VALUE"""),"street-dogs")</f>
        <v>street-dogs</v>
      </c>
      <c r="B11426" s="4" t="str">
        <f>IFERROR(__xludf.DUMMYFUNCTION("""COMPUTED_VALUE"""),"streetdogs")</f>
        <v>streetdogs</v>
      </c>
      <c r="C11426" s="4" t="str">
        <f>IFERROR(__xludf.DUMMYFUNCTION("""COMPUTED_VALUE"""),"Street Dogs")</f>
        <v>Street Dogs</v>
      </c>
    </row>
    <row r="11427">
      <c r="A11427" s="4" t="str">
        <f>IFERROR(__xludf.DUMMYFUNCTION("""COMPUTED_VALUE"""),"streeth")</f>
        <v>streeth</v>
      </c>
      <c r="B11427" s="4" t="str">
        <f>IFERROR(__xludf.DUMMYFUNCTION("""COMPUTED_VALUE"""),"streeth")</f>
        <v>streeth</v>
      </c>
      <c r="C11427" s="4" t="str">
        <f>IFERROR(__xludf.DUMMYFUNCTION("""COMPUTED_VALUE"""),"STREETH")</f>
        <v>STREETH</v>
      </c>
    </row>
    <row r="11428">
      <c r="A11428" s="4" t="str">
        <f>IFERROR(__xludf.DUMMYFUNCTION("""COMPUTED_VALUE"""),"street-runner")</f>
        <v>street-runner</v>
      </c>
      <c r="B11428" s="4" t="str">
        <f>IFERROR(__xludf.DUMMYFUNCTION("""COMPUTED_VALUE"""),"srg")</f>
        <v>srg</v>
      </c>
      <c r="C11428" s="4" t="str">
        <f>IFERROR(__xludf.DUMMYFUNCTION("""COMPUTED_VALUE"""),"Street Runner")</f>
        <v>Street Runner</v>
      </c>
    </row>
    <row r="11429">
      <c r="A11429" s="4" t="str">
        <f>IFERROR(__xludf.DUMMYFUNCTION("""COMPUTED_VALUE"""),"strelka-ai")</f>
        <v>strelka-ai</v>
      </c>
      <c r="B11429" s="4" t="str">
        <f>IFERROR(__xludf.DUMMYFUNCTION("""COMPUTED_VALUE"""),"strelka ai")</f>
        <v>strelka ai</v>
      </c>
      <c r="C11429" s="4" t="str">
        <f>IFERROR(__xludf.DUMMYFUNCTION("""COMPUTED_VALUE"""),"Strelka AI")</f>
        <v>Strelka AI</v>
      </c>
    </row>
    <row r="11430">
      <c r="A11430" s="4" t="str">
        <f>IFERROR(__xludf.DUMMYFUNCTION("""COMPUTED_VALUE"""),"stride")</f>
        <v>stride</v>
      </c>
      <c r="B11430" s="4" t="str">
        <f>IFERROR(__xludf.DUMMYFUNCTION("""COMPUTED_VALUE"""),"strd")</f>
        <v>strd</v>
      </c>
      <c r="C11430" s="4" t="str">
        <f>IFERROR(__xludf.DUMMYFUNCTION("""COMPUTED_VALUE"""),"Stride")</f>
        <v>Stride</v>
      </c>
    </row>
    <row r="11431">
      <c r="A11431" s="4" t="str">
        <f>IFERROR(__xludf.DUMMYFUNCTION("""COMPUTED_VALUE"""),"stride-staked-atom")</f>
        <v>stride-staked-atom</v>
      </c>
      <c r="B11431" s="4" t="str">
        <f>IFERROR(__xludf.DUMMYFUNCTION("""COMPUTED_VALUE"""),"statom")</f>
        <v>statom</v>
      </c>
      <c r="C11431" s="4" t="str">
        <f>IFERROR(__xludf.DUMMYFUNCTION("""COMPUTED_VALUE"""),"Stride Staked Atom")</f>
        <v>Stride Staked Atom</v>
      </c>
    </row>
    <row r="11432">
      <c r="A11432" s="4" t="str">
        <f>IFERROR(__xludf.DUMMYFUNCTION("""COMPUTED_VALUE"""),"stride-staked-comdex")</f>
        <v>stride-staked-comdex</v>
      </c>
      <c r="B11432" s="4" t="str">
        <f>IFERROR(__xludf.DUMMYFUNCTION("""COMPUTED_VALUE"""),"stcmdx")</f>
        <v>stcmdx</v>
      </c>
      <c r="C11432" s="4" t="str">
        <f>IFERROR(__xludf.DUMMYFUNCTION("""COMPUTED_VALUE"""),"Stride Staked Comdex")</f>
        <v>Stride Staked Comdex</v>
      </c>
    </row>
    <row r="11433">
      <c r="A11433" s="4" t="str">
        <f>IFERROR(__xludf.DUMMYFUNCTION("""COMPUTED_VALUE"""),"stride-staked-dydx")</f>
        <v>stride-staked-dydx</v>
      </c>
      <c r="B11433" s="4" t="str">
        <f>IFERROR(__xludf.DUMMYFUNCTION("""COMPUTED_VALUE"""),"stdydx")</f>
        <v>stdydx</v>
      </c>
      <c r="C11433" s="4" t="str">
        <f>IFERROR(__xludf.DUMMYFUNCTION("""COMPUTED_VALUE"""),"Stride Staked DYDX")</f>
        <v>Stride Staked DYDX</v>
      </c>
    </row>
    <row r="11434">
      <c r="A11434" s="4" t="str">
        <f>IFERROR(__xludf.DUMMYFUNCTION("""COMPUTED_VALUE"""),"stride-staked-dym")</f>
        <v>stride-staked-dym</v>
      </c>
      <c r="B11434" s="4" t="str">
        <f>IFERROR(__xludf.DUMMYFUNCTION("""COMPUTED_VALUE"""),"stdym")</f>
        <v>stdym</v>
      </c>
      <c r="C11434" s="4" t="str">
        <f>IFERROR(__xludf.DUMMYFUNCTION("""COMPUTED_VALUE"""),"Stride Staked DYM")</f>
        <v>Stride Staked DYM</v>
      </c>
    </row>
    <row r="11435">
      <c r="A11435" s="4" t="str">
        <f>IFERROR(__xludf.DUMMYFUNCTION("""COMPUTED_VALUE"""),"stride-staked-evmos")</f>
        <v>stride-staked-evmos</v>
      </c>
      <c r="B11435" s="4" t="str">
        <f>IFERROR(__xludf.DUMMYFUNCTION("""COMPUTED_VALUE"""),"stevmos")</f>
        <v>stevmos</v>
      </c>
      <c r="C11435" s="4" t="str">
        <f>IFERROR(__xludf.DUMMYFUNCTION("""COMPUTED_VALUE"""),"Stride Staked Evmos")</f>
        <v>Stride Staked Evmos</v>
      </c>
    </row>
    <row r="11436">
      <c r="A11436" s="4" t="str">
        <f>IFERROR(__xludf.DUMMYFUNCTION("""COMPUTED_VALUE"""),"stride-staked-injective")</f>
        <v>stride-staked-injective</v>
      </c>
      <c r="B11436" s="4" t="str">
        <f>IFERROR(__xludf.DUMMYFUNCTION("""COMPUTED_VALUE"""),"stinj")</f>
        <v>stinj</v>
      </c>
      <c r="C11436" s="4" t="str">
        <f>IFERROR(__xludf.DUMMYFUNCTION("""COMPUTED_VALUE"""),"Stride Staked Injective")</f>
        <v>Stride Staked Injective</v>
      </c>
    </row>
    <row r="11437">
      <c r="A11437" s="4" t="str">
        <f>IFERROR(__xludf.DUMMYFUNCTION("""COMPUTED_VALUE"""),"stride-staked-juno")</f>
        <v>stride-staked-juno</v>
      </c>
      <c r="B11437" s="4" t="str">
        <f>IFERROR(__xludf.DUMMYFUNCTION("""COMPUTED_VALUE"""),"stjuno")</f>
        <v>stjuno</v>
      </c>
      <c r="C11437" s="4" t="str">
        <f>IFERROR(__xludf.DUMMYFUNCTION("""COMPUTED_VALUE"""),"Stride Staked Juno")</f>
        <v>Stride Staked Juno</v>
      </c>
    </row>
    <row r="11438">
      <c r="A11438" s="4" t="str">
        <f>IFERROR(__xludf.DUMMYFUNCTION("""COMPUTED_VALUE"""),"stride-staked-luna")</f>
        <v>stride-staked-luna</v>
      </c>
      <c r="B11438" s="4" t="str">
        <f>IFERROR(__xludf.DUMMYFUNCTION("""COMPUTED_VALUE"""),"$stluna")</f>
        <v>$stluna</v>
      </c>
      <c r="C11438" s="4" t="str">
        <f>IFERROR(__xludf.DUMMYFUNCTION("""COMPUTED_VALUE"""),"Stride Staked Luna")</f>
        <v>Stride Staked Luna</v>
      </c>
    </row>
    <row r="11439">
      <c r="A11439" s="4" t="str">
        <f>IFERROR(__xludf.DUMMYFUNCTION("""COMPUTED_VALUE"""),"stride-staked-osmo")</f>
        <v>stride-staked-osmo</v>
      </c>
      <c r="B11439" s="4" t="str">
        <f>IFERROR(__xludf.DUMMYFUNCTION("""COMPUTED_VALUE"""),"stosmo")</f>
        <v>stosmo</v>
      </c>
      <c r="C11439" s="4" t="str">
        <f>IFERROR(__xludf.DUMMYFUNCTION("""COMPUTED_VALUE"""),"Stride Staked Osmo")</f>
        <v>Stride Staked Osmo</v>
      </c>
    </row>
    <row r="11440">
      <c r="A11440" s="4" t="str">
        <f>IFERROR(__xludf.DUMMYFUNCTION("""COMPUTED_VALUE"""),"stride-staked-sommelier")</f>
        <v>stride-staked-sommelier</v>
      </c>
      <c r="B11440" s="4" t="str">
        <f>IFERROR(__xludf.DUMMYFUNCTION("""COMPUTED_VALUE"""),"stsomm")</f>
        <v>stsomm</v>
      </c>
      <c r="C11440" s="4" t="str">
        <f>IFERROR(__xludf.DUMMYFUNCTION("""COMPUTED_VALUE"""),"Stride Staked Sommelier")</f>
        <v>Stride Staked Sommelier</v>
      </c>
    </row>
    <row r="11441">
      <c r="A11441" s="4" t="str">
        <f>IFERROR(__xludf.DUMMYFUNCTION("""COMPUTED_VALUE"""),"stride-staked-stars")</f>
        <v>stride-staked-stars</v>
      </c>
      <c r="B11441" s="4" t="str">
        <f>IFERROR(__xludf.DUMMYFUNCTION("""COMPUTED_VALUE"""),"ststars")</f>
        <v>ststars</v>
      </c>
      <c r="C11441" s="4" t="str">
        <f>IFERROR(__xludf.DUMMYFUNCTION("""COMPUTED_VALUE"""),"Stride Staked Stars")</f>
        <v>Stride Staked Stars</v>
      </c>
    </row>
    <row r="11442">
      <c r="A11442" s="4" t="str">
        <f>IFERROR(__xludf.DUMMYFUNCTION("""COMPUTED_VALUE"""),"stride-staked-tia")</f>
        <v>stride-staked-tia</v>
      </c>
      <c r="B11442" s="4" t="str">
        <f>IFERROR(__xludf.DUMMYFUNCTION("""COMPUTED_VALUE"""),"sttia")</f>
        <v>sttia</v>
      </c>
      <c r="C11442" s="4" t="str">
        <f>IFERROR(__xludf.DUMMYFUNCTION("""COMPUTED_VALUE"""),"Stride Staked TIA")</f>
        <v>Stride Staked TIA</v>
      </c>
    </row>
    <row r="11443">
      <c r="A11443" s="4" t="str">
        <f>IFERROR(__xludf.DUMMYFUNCTION("""COMPUTED_VALUE"""),"stride-staked-umee")</f>
        <v>stride-staked-umee</v>
      </c>
      <c r="B11443" s="4" t="str">
        <f>IFERROR(__xludf.DUMMYFUNCTION("""COMPUTED_VALUE"""),"stumee")</f>
        <v>stumee</v>
      </c>
      <c r="C11443" s="4" t="str">
        <f>IFERROR(__xludf.DUMMYFUNCTION("""COMPUTED_VALUE"""),"Stride Staked Umee")</f>
        <v>Stride Staked Umee</v>
      </c>
    </row>
    <row r="11444">
      <c r="A11444" s="4" t="str">
        <f>IFERROR(__xludf.DUMMYFUNCTION("""COMPUTED_VALUE"""),"strike")</f>
        <v>strike</v>
      </c>
      <c r="B11444" s="4" t="str">
        <f>IFERROR(__xludf.DUMMYFUNCTION("""COMPUTED_VALUE"""),"strk")</f>
        <v>strk</v>
      </c>
      <c r="C11444" s="4" t="str">
        <f>IFERROR(__xludf.DUMMYFUNCTION("""COMPUTED_VALUE"""),"Strike")</f>
        <v>Strike</v>
      </c>
    </row>
    <row r="11445">
      <c r="A11445" s="4" t="str">
        <f>IFERROR(__xludf.DUMMYFUNCTION("""COMPUTED_VALUE"""),"strikecoin")</f>
        <v>strikecoin</v>
      </c>
      <c r="B11445" s="4" t="str">
        <f>IFERROR(__xludf.DUMMYFUNCTION("""COMPUTED_VALUE"""),"strx")</f>
        <v>strx</v>
      </c>
      <c r="C11445" s="4" t="str">
        <f>IFERROR(__xludf.DUMMYFUNCTION("""COMPUTED_VALUE"""),"StrikeX")</f>
        <v>StrikeX</v>
      </c>
    </row>
    <row r="11446">
      <c r="A11446" s="4" t="str">
        <f>IFERROR(__xludf.DUMMYFUNCTION("""COMPUTED_VALUE"""),"strip-finance")</f>
        <v>strip-finance</v>
      </c>
      <c r="B11446" s="4" t="str">
        <f>IFERROR(__xludf.DUMMYFUNCTION("""COMPUTED_VALUE"""),"strip")</f>
        <v>strip</v>
      </c>
      <c r="C11446" s="4" t="str">
        <f>IFERROR(__xludf.DUMMYFUNCTION("""COMPUTED_VALUE"""),"Strip Finance")</f>
        <v>Strip Finance</v>
      </c>
    </row>
    <row r="11447">
      <c r="A11447" s="4" t="str">
        <f>IFERROR(__xludf.DUMMYFUNCTION("""COMPUTED_VALUE"""),"strips-finance")</f>
        <v>strips-finance</v>
      </c>
      <c r="B11447" s="4" t="str">
        <f>IFERROR(__xludf.DUMMYFUNCTION("""COMPUTED_VALUE"""),"strp")</f>
        <v>strp</v>
      </c>
      <c r="C11447" s="4" t="str">
        <f>IFERROR(__xludf.DUMMYFUNCTION("""COMPUTED_VALUE"""),"Strips Finance")</f>
        <v>Strips Finance</v>
      </c>
    </row>
    <row r="11448">
      <c r="A11448" s="4" t="str">
        <f>IFERROR(__xludf.DUMMYFUNCTION("""COMPUTED_VALUE"""),"stripto")</f>
        <v>stripto</v>
      </c>
      <c r="B11448" s="4" t="str">
        <f>IFERROR(__xludf.DUMMYFUNCTION("""COMPUTED_VALUE"""),"strip")</f>
        <v>strip</v>
      </c>
      <c r="C11448" s="4" t="str">
        <f>IFERROR(__xludf.DUMMYFUNCTION("""COMPUTED_VALUE"""),"Stripto")</f>
        <v>Stripto</v>
      </c>
    </row>
    <row r="11449">
      <c r="A11449" s="4" t="str">
        <f>IFERROR(__xludf.DUMMYFUNCTION("""COMPUTED_VALUE"""),"strix")</f>
        <v>strix</v>
      </c>
      <c r="B11449" s="4" t="str">
        <f>IFERROR(__xludf.DUMMYFUNCTION("""COMPUTED_VALUE"""),"strix")</f>
        <v>strix</v>
      </c>
      <c r="C11449" s="4" t="str">
        <f>IFERROR(__xludf.DUMMYFUNCTION("""COMPUTED_VALUE"""),"Strix")</f>
        <v>Strix</v>
      </c>
    </row>
    <row r="11450">
      <c r="A11450" s="4" t="str">
        <f>IFERROR(__xludf.DUMMYFUNCTION("""COMPUTED_VALUE"""),"stroke-prevention-genomicdao")</f>
        <v>stroke-prevention-genomicdao</v>
      </c>
      <c r="B11450" s="4" t="str">
        <f>IFERROR(__xludf.DUMMYFUNCTION("""COMPUTED_VALUE"""),"pcsp")</f>
        <v>pcsp</v>
      </c>
      <c r="C11450" s="4" t="str">
        <f>IFERROR(__xludf.DUMMYFUNCTION("""COMPUTED_VALUE"""),"Stroke-Prevention GenomicDAO")</f>
        <v>Stroke-Prevention GenomicDAO</v>
      </c>
    </row>
    <row r="11451">
      <c r="A11451" s="4" t="str">
        <f>IFERROR(__xludf.DUMMYFUNCTION("""COMPUTED_VALUE"""),"strong")</f>
        <v>strong</v>
      </c>
      <c r="B11451" s="4" t="str">
        <f>IFERROR(__xludf.DUMMYFUNCTION("""COMPUTED_VALUE"""),"strong")</f>
        <v>strong</v>
      </c>
      <c r="C11451" s="4" t="str">
        <f>IFERROR(__xludf.DUMMYFUNCTION("""COMPUTED_VALUE"""),"Strong")</f>
        <v>Strong</v>
      </c>
    </row>
    <row r="11452">
      <c r="A11452" s="4" t="str">
        <f>IFERROR(__xludf.DUMMYFUNCTION("""COMPUTED_VALUE"""),"stronger")</f>
        <v>stronger</v>
      </c>
      <c r="B11452" s="4" t="str">
        <f>IFERROR(__xludf.DUMMYFUNCTION("""COMPUTED_VALUE"""),"strngr")</f>
        <v>strngr</v>
      </c>
      <c r="C11452" s="4" t="str">
        <f>IFERROR(__xludf.DUMMYFUNCTION("""COMPUTED_VALUE"""),"Stronger")</f>
        <v>Stronger</v>
      </c>
    </row>
    <row r="11453">
      <c r="A11453" s="4" t="str">
        <f>IFERROR(__xludf.DUMMYFUNCTION("""COMPUTED_VALUE"""),"stronghands-finance")</f>
        <v>stronghands-finance</v>
      </c>
      <c r="B11453" s="4" t="str">
        <f>IFERROR(__xludf.DUMMYFUNCTION("""COMPUTED_VALUE"""),"ishnd")</f>
        <v>ishnd</v>
      </c>
      <c r="C11453" s="4" t="str">
        <f>IFERROR(__xludf.DUMMYFUNCTION("""COMPUTED_VALUE"""),"StrongHands Finance")</f>
        <v>StrongHands Finance</v>
      </c>
    </row>
    <row r="11454">
      <c r="A11454" s="4" t="str">
        <f>IFERROR(__xludf.DUMMYFUNCTION("""COMPUTED_VALUE"""),"stronghold-token")</f>
        <v>stronghold-token</v>
      </c>
      <c r="B11454" s="4" t="str">
        <f>IFERROR(__xludf.DUMMYFUNCTION("""COMPUTED_VALUE"""),"shx")</f>
        <v>shx</v>
      </c>
      <c r="C11454" s="4" t="str">
        <f>IFERROR(__xludf.DUMMYFUNCTION("""COMPUTED_VALUE"""),"Stronghold")</f>
        <v>Stronghold</v>
      </c>
    </row>
    <row r="11455">
      <c r="A11455" s="4" t="str">
        <f>IFERROR(__xludf.DUMMYFUNCTION("""COMPUTED_VALUE"""),"strongnode")</f>
        <v>strongnode</v>
      </c>
      <c r="B11455" s="4" t="str">
        <f>IFERROR(__xludf.DUMMYFUNCTION("""COMPUTED_VALUE"""),"sne")</f>
        <v>sne</v>
      </c>
      <c r="C11455" s="4" t="str">
        <f>IFERROR(__xludf.DUMMYFUNCTION("""COMPUTED_VALUE"""),"StrongNode")</f>
        <v>StrongNode</v>
      </c>
    </row>
    <row r="11456">
      <c r="A11456" s="4" t="str">
        <f>IFERROR(__xludf.DUMMYFUNCTION("""COMPUTED_VALUE"""),"structure-finance")</f>
        <v>structure-finance</v>
      </c>
      <c r="B11456" s="4" t="str">
        <f>IFERROR(__xludf.DUMMYFUNCTION("""COMPUTED_VALUE"""),"stf")</f>
        <v>stf</v>
      </c>
      <c r="C11456" s="4" t="str">
        <f>IFERROR(__xludf.DUMMYFUNCTION("""COMPUTED_VALUE"""),"Structure Finance")</f>
        <v>Structure Finance</v>
      </c>
    </row>
    <row r="11457">
      <c r="A11457" s="4" t="str">
        <f>IFERROR(__xludf.DUMMYFUNCTION("""COMPUTED_VALUE"""),"stryke")</f>
        <v>stryke</v>
      </c>
      <c r="B11457" s="4" t="str">
        <f>IFERROR(__xludf.DUMMYFUNCTION("""COMPUTED_VALUE"""),"syk")</f>
        <v>syk</v>
      </c>
      <c r="C11457" s="4" t="str">
        <f>IFERROR(__xludf.DUMMYFUNCTION("""COMPUTED_VALUE"""),"Stryke")</f>
        <v>Stryke</v>
      </c>
    </row>
    <row r="11458">
      <c r="A11458" s="4" t="str">
        <f>IFERROR(__xludf.DUMMYFUNCTION("""COMPUTED_VALUE"""),"student-coin")</f>
        <v>student-coin</v>
      </c>
      <c r="B11458" s="4" t="str">
        <f>IFERROR(__xludf.DUMMYFUNCTION("""COMPUTED_VALUE"""),"stc")</f>
        <v>stc</v>
      </c>
      <c r="C11458" s="4" t="str">
        <f>IFERROR(__xludf.DUMMYFUNCTION("""COMPUTED_VALUE"""),"Student Coin")</f>
        <v>Student Coin</v>
      </c>
    </row>
    <row r="11459">
      <c r="A11459" s="4" t="str">
        <f>IFERROR(__xludf.DUMMYFUNCTION("""COMPUTED_VALUE"""),"studioai")</f>
        <v>studioai</v>
      </c>
      <c r="B11459" s="4" t="str">
        <f>IFERROR(__xludf.DUMMYFUNCTION("""COMPUTED_VALUE"""),"sai")</f>
        <v>sai</v>
      </c>
      <c r="C11459" s="4" t="str">
        <f>IFERROR(__xludf.DUMMYFUNCTION("""COMPUTED_VALUE"""),"StudioAi")</f>
        <v>StudioAi</v>
      </c>
    </row>
    <row r="11460">
      <c r="A11460" s="4" t="str">
        <f>IFERROR(__xludf.DUMMYFUNCTION("""COMPUTED_VALUE"""),"study")</f>
        <v>study</v>
      </c>
      <c r="B11460" s="4" t="str">
        <f>IFERROR(__xludf.DUMMYFUNCTION("""COMPUTED_VALUE"""),"study")</f>
        <v>study</v>
      </c>
      <c r="C11460" s="4" t="str">
        <f>IFERROR(__xludf.DUMMYFUNCTION("""COMPUTED_VALUE"""),"Study")</f>
        <v>Study</v>
      </c>
    </row>
    <row r="11461">
      <c r="A11461" s="4" t="str">
        <f>IFERROR(__xludf.DUMMYFUNCTION("""COMPUTED_VALUE"""),"sturdy")</f>
        <v>sturdy</v>
      </c>
      <c r="B11461" s="4" t="str">
        <f>IFERROR(__xludf.DUMMYFUNCTION("""COMPUTED_VALUE"""),"strdy")</f>
        <v>strdy</v>
      </c>
      <c r="C11461" s="4" t="str">
        <f>IFERROR(__xludf.DUMMYFUNCTION("""COMPUTED_VALUE"""),"Sturdy")</f>
        <v>Sturdy</v>
      </c>
    </row>
    <row r="11462">
      <c r="A11462" s="4" t="str">
        <f>IFERROR(__xludf.DUMMYFUNCTION("""COMPUTED_VALUE"""),"style")</f>
        <v>style</v>
      </c>
      <c r="B11462" s="4" t="str">
        <f>IFERROR(__xludf.DUMMYFUNCTION("""COMPUTED_VALUE"""),"style")</f>
        <v>style</v>
      </c>
      <c r="C11462" s="4" t="str">
        <f>IFERROR(__xludf.DUMMYFUNCTION("""COMPUTED_VALUE"""),"Style")</f>
        <v>Style</v>
      </c>
    </row>
    <row r="11463">
      <c r="A11463" s="4" t="str">
        <f>IFERROR(__xludf.DUMMYFUNCTION("""COMPUTED_VALUE"""),"stzil")</f>
        <v>stzil</v>
      </c>
      <c r="B11463" s="4" t="str">
        <f>IFERROR(__xludf.DUMMYFUNCTION("""COMPUTED_VALUE"""),"stzil")</f>
        <v>stzil</v>
      </c>
      <c r="C11463" s="4" t="str">
        <f>IFERROR(__xludf.DUMMYFUNCTION("""COMPUTED_VALUE"""),"stZIL")</f>
        <v>stZIL</v>
      </c>
    </row>
    <row r="11464">
      <c r="A11464" s="4" t="str">
        <f>IFERROR(__xludf.DUMMYFUNCTION("""COMPUTED_VALUE"""),"suave")</f>
        <v>suave</v>
      </c>
      <c r="B11464" s="4" t="str">
        <f>IFERROR(__xludf.DUMMYFUNCTION("""COMPUTED_VALUE"""),"cce")</f>
        <v>cce</v>
      </c>
      <c r="C11464" s="4" t="str">
        <f>IFERROR(__xludf.DUMMYFUNCTION("""COMPUTED_VALUE"""),"Suave")</f>
        <v>Suave</v>
      </c>
    </row>
    <row r="11465">
      <c r="A11465" s="4" t="str">
        <f>IFERROR(__xludf.DUMMYFUNCTION("""COMPUTED_VALUE"""),"subava-token")</f>
        <v>subava-token</v>
      </c>
      <c r="B11465" s="4" t="str">
        <f>IFERROR(__xludf.DUMMYFUNCTION("""COMPUTED_VALUE"""),"subava")</f>
        <v>subava</v>
      </c>
      <c r="C11465" s="4" t="str">
        <f>IFERROR(__xludf.DUMMYFUNCTION("""COMPUTED_VALUE"""),"Subava Token")</f>
        <v>Subava Token</v>
      </c>
    </row>
    <row r="11466">
      <c r="A11466" s="4" t="str">
        <f>IFERROR(__xludf.DUMMYFUNCTION("""COMPUTED_VALUE"""),"subdao")</f>
        <v>subdao</v>
      </c>
      <c r="B11466" s="4" t="str">
        <f>IFERROR(__xludf.DUMMYFUNCTION("""COMPUTED_VALUE"""),"gov")</f>
        <v>gov</v>
      </c>
      <c r="C11466" s="4" t="str">
        <f>IFERROR(__xludf.DUMMYFUNCTION("""COMPUTED_VALUE"""),"SubDAO")</f>
        <v>SubDAO</v>
      </c>
    </row>
    <row r="11467">
      <c r="A11467" s="4" t="str">
        <f>IFERROR(__xludf.DUMMYFUNCTION("""COMPUTED_VALUE"""),"subi-network")</f>
        <v>subi-network</v>
      </c>
      <c r="B11467" s="4" t="str">
        <f>IFERROR(__xludf.DUMMYFUNCTION("""COMPUTED_VALUE"""),"subi")</f>
        <v>subi</v>
      </c>
      <c r="C11467" s="4" t="str">
        <f>IFERROR(__xludf.DUMMYFUNCTION("""COMPUTED_VALUE"""),"Subi Network")</f>
        <v>Subi Network</v>
      </c>
    </row>
    <row r="11468">
      <c r="A11468" s="4" t="str">
        <f>IFERROR(__xludf.DUMMYFUNCTION("""COMPUTED_VALUE"""),"subquery-network")</f>
        <v>subquery-network</v>
      </c>
      <c r="B11468" s="4" t="str">
        <f>IFERROR(__xludf.DUMMYFUNCTION("""COMPUTED_VALUE"""),"sqt")</f>
        <v>sqt</v>
      </c>
      <c r="C11468" s="4" t="str">
        <f>IFERROR(__xludf.DUMMYFUNCTION("""COMPUTED_VALUE"""),"SubQuery Network")</f>
        <v>SubQuery Network</v>
      </c>
    </row>
    <row r="11469">
      <c r="A11469" s="4" t="str">
        <f>IFERROR(__xludf.DUMMYFUNCTION("""COMPUTED_VALUE"""),"subsocial")</f>
        <v>subsocial</v>
      </c>
      <c r="B11469" s="4" t="str">
        <f>IFERROR(__xludf.DUMMYFUNCTION("""COMPUTED_VALUE"""),"sub")</f>
        <v>sub</v>
      </c>
      <c r="C11469" s="4" t="str">
        <f>IFERROR(__xludf.DUMMYFUNCTION("""COMPUTED_VALUE"""),"Subsocial")</f>
        <v>Subsocial</v>
      </c>
    </row>
    <row r="11470">
      <c r="A11470" s="4" t="str">
        <f>IFERROR(__xludf.DUMMYFUNCTION("""COMPUTED_VALUE"""),"substratum")</f>
        <v>substratum</v>
      </c>
      <c r="B11470" s="4" t="str">
        <f>IFERROR(__xludf.DUMMYFUNCTION("""COMPUTED_VALUE"""),"sub")</f>
        <v>sub</v>
      </c>
      <c r="C11470" s="4" t="str">
        <f>IFERROR(__xludf.DUMMYFUNCTION("""COMPUTED_VALUE"""),"Substratum")</f>
        <v>Substratum</v>
      </c>
    </row>
    <row r="11471">
      <c r="A11471" s="4" t="str">
        <f>IFERROR(__xludf.DUMMYFUNCTION("""COMPUTED_VALUE"""),"succession")</f>
        <v>succession</v>
      </c>
      <c r="B11471" s="4" t="str">
        <f>IFERROR(__xludf.DUMMYFUNCTION("""COMPUTED_VALUE"""),"sccn")</f>
        <v>sccn</v>
      </c>
      <c r="C11471" s="4" t="str">
        <f>IFERROR(__xludf.DUMMYFUNCTION("""COMPUTED_VALUE"""),"Succession")</f>
        <v>Succession</v>
      </c>
    </row>
    <row r="11472">
      <c r="A11472" s="4" t="str">
        <f>IFERROR(__xludf.DUMMYFUNCTION("""COMPUTED_VALUE"""),"success-kid")</f>
        <v>success-kid</v>
      </c>
      <c r="B11472" s="4" t="str">
        <f>IFERROR(__xludf.DUMMYFUNCTION("""COMPUTED_VALUE"""),"skid")</f>
        <v>skid</v>
      </c>
      <c r="C11472" s="4" t="str">
        <f>IFERROR(__xludf.DUMMYFUNCTION("""COMPUTED_VALUE"""),"Success Kid")</f>
        <v>Success Kid</v>
      </c>
    </row>
    <row r="11473">
      <c r="A11473" s="4" t="str">
        <f>IFERROR(__xludf.DUMMYFUNCTION("""COMPUTED_VALUE"""),"sudoswap")</f>
        <v>sudoswap</v>
      </c>
      <c r="B11473" s="4" t="str">
        <f>IFERROR(__xludf.DUMMYFUNCTION("""COMPUTED_VALUE"""),"sudo")</f>
        <v>sudo</v>
      </c>
      <c r="C11473" s="4" t="str">
        <f>IFERROR(__xludf.DUMMYFUNCTION("""COMPUTED_VALUE"""),"sudoswap")</f>
        <v>sudoswap</v>
      </c>
    </row>
    <row r="11474">
      <c r="A11474" s="4" t="str">
        <f>IFERROR(__xludf.DUMMYFUNCTION("""COMPUTED_VALUE"""),"sugarbaby")</f>
        <v>sugarbaby</v>
      </c>
      <c r="B11474" s="4" t="str">
        <f>IFERROR(__xludf.DUMMYFUNCTION("""COMPUTED_VALUE"""),"sugar")</f>
        <v>sugar</v>
      </c>
      <c r="C11474" s="4" t="str">
        <f>IFERROR(__xludf.DUMMYFUNCTION("""COMPUTED_VALUE"""),"Sugarbaby")</f>
        <v>Sugarbaby</v>
      </c>
    </row>
    <row r="11475">
      <c r="A11475" s="4" t="str">
        <f>IFERROR(__xludf.DUMMYFUNCTION("""COMPUTED_VALUE"""),"sugarbounce")</f>
        <v>sugarbounce</v>
      </c>
      <c r="B11475" s="4" t="str">
        <f>IFERROR(__xludf.DUMMYFUNCTION("""COMPUTED_VALUE"""),"tip")</f>
        <v>tip</v>
      </c>
      <c r="C11475" s="4" t="str">
        <f>IFERROR(__xludf.DUMMYFUNCTION("""COMPUTED_VALUE"""),"SugarBounce")</f>
        <v>SugarBounce</v>
      </c>
    </row>
    <row r="11476">
      <c r="A11476" s="4" t="str">
        <f>IFERROR(__xludf.DUMMYFUNCTION("""COMPUTED_VALUE"""),"sugarchain")</f>
        <v>sugarchain</v>
      </c>
      <c r="B11476" s="4" t="str">
        <f>IFERROR(__xludf.DUMMYFUNCTION("""COMPUTED_VALUE"""),"sugar")</f>
        <v>sugar</v>
      </c>
      <c r="C11476" s="4" t="str">
        <f>IFERROR(__xludf.DUMMYFUNCTION("""COMPUTED_VALUE"""),"Sugarchain")</f>
        <v>Sugarchain</v>
      </c>
    </row>
    <row r="11477">
      <c r="A11477" s="4" t="str">
        <f>IFERROR(__xludf.DUMMYFUNCTION("""COMPUTED_VALUE"""),"sugar-kingdom-odyssey")</f>
        <v>sugar-kingdom-odyssey</v>
      </c>
      <c r="B11477" s="4" t="str">
        <f>IFERROR(__xludf.DUMMYFUNCTION("""COMPUTED_VALUE"""),"sko")</f>
        <v>sko</v>
      </c>
      <c r="C11477" s="4" t="str">
        <f>IFERROR(__xludf.DUMMYFUNCTION("""COMPUTED_VALUE"""),"Sugar Kingdom Odyssey")</f>
        <v>Sugar Kingdom Odyssey</v>
      </c>
    </row>
    <row r="11478">
      <c r="A11478" s="4" t="str">
        <f>IFERROR(__xludf.DUMMYFUNCTION("""COMPUTED_VALUE"""),"sugaryield")</f>
        <v>sugaryield</v>
      </c>
      <c r="B11478" s="4" t="str">
        <f>IFERROR(__xludf.DUMMYFUNCTION("""COMPUTED_VALUE"""),"sugar")</f>
        <v>sugar</v>
      </c>
      <c r="C11478" s="4" t="str">
        <f>IFERROR(__xludf.DUMMYFUNCTION("""COMPUTED_VALUE"""),"SugarYield")</f>
        <v>SugarYield</v>
      </c>
    </row>
    <row r="11479">
      <c r="A11479" s="4" t="str">
        <f>IFERROR(__xludf.DUMMYFUNCTION("""COMPUTED_VALUE"""),"sui")</f>
        <v>sui</v>
      </c>
      <c r="B11479" s="4" t="str">
        <f>IFERROR(__xludf.DUMMYFUNCTION("""COMPUTED_VALUE"""),"sui")</f>
        <v>sui</v>
      </c>
      <c r="C11479" s="4" t="str">
        <f>IFERROR(__xludf.DUMMYFUNCTION("""COMPUTED_VALUE"""),"Sui")</f>
        <v>Sui</v>
      </c>
    </row>
    <row r="11480">
      <c r="A11480" s="4" t="str">
        <f>IFERROR(__xludf.DUMMYFUNCTION("""COMPUTED_VALUE"""),"suia")</f>
        <v>suia</v>
      </c>
      <c r="B11480" s="4" t="str">
        <f>IFERROR(__xludf.DUMMYFUNCTION("""COMPUTED_VALUE"""),"suia")</f>
        <v>suia</v>
      </c>
      <c r="C11480" s="4" t="str">
        <f>IFERROR(__xludf.DUMMYFUNCTION("""COMPUTED_VALUE"""),"SUIA")</f>
        <v>SUIA</v>
      </c>
    </row>
    <row r="11481">
      <c r="A11481" s="4" t="str">
        <f>IFERROR(__xludf.DUMMYFUNCTION("""COMPUTED_VALUE"""),"suiboxer")</f>
        <v>suiboxer</v>
      </c>
      <c r="B11481" s="4" t="str">
        <f>IFERROR(__xludf.DUMMYFUNCTION("""COMPUTED_VALUE"""),"sbox")</f>
        <v>sbox</v>
      </c>
      <c r="C11481" s="4" t="str">
        <f>IFERROR(__xludf.DUMMYFUNCTION("""COMPUTED_VALUE"""),"SUIBoxer")</f>
        <v>SUIBoxer</v>
      </c>
    </row>
    <row r="11482">
      <c r="A11482" s="4" t="str">
        <f>IFERROR(__xludf.DUMMYFUNCTION("""COMPUTED_VALUE"""),"suicune-on-sui")</f>
        <v>suicune-on-sui</v>
      </c>
      <c r="B11482" s="4" t="str">
        <f>IFERROR(__xludf.DUMMYFUNCTION("""COMPUTED_VALUE"""),"hsui")</f>
        <v>hsui</v>
      </c>
      <c r="C11482" s="4" t="str">
        <f>IFERROR(__xludf.DUMMYFUNCTION("""COMPUTED_VALUE"""),"Suicune on SUI")</f>
        <v>Suicune on SUI</v>
      </c>
    </row>
    <row r="11483">
      <c r="A11483" s="4" t="str">
        <f>IFERROR(__xludf.DUMMYFUNCTION("""COMPUTED_VALUE"""),"suijin")</f>
        <v>suijin</v>
      </c>
      <c r="B11483" s="4" t="str">
        <f>IFERROR(__xludf.DUMMYFUNCTION("""COMPUTED_VALUE"""),"sin")</f>
        <v>sin</v>
      </c>
      <c r="C11483" s="4" t="str">
        <f>IFERROR(__xludf.DUMMYFUNCTION("""COMPUTED_VALUE"""),"Suijin")</f>
        <v>Suijin</v>
      </c>
    </row>
    <row r="11484">
      <c r="A11484" s="4" t="str">
        <f>IFERROR(__xludf.DUMMYFUNCTION("""COMPUTED_VALUE"""),"sui-launch-token")</f>
        <v>sui-launch-token</v>
      </c>
      <c r="B11484" s="4" t="str">
        <f>IFERROR(__xludf.DUMMYFUNCTION("""COMPUTED_VALUE"""),"slt")</f>
        <v>slt</v>
      </c>
      <c r="C11484" s="4" t="str">
        <f>IFERROR(__xludf.DUMMYFUNCTION("""COMPUTED_VALUE"""),"Sui Launch Token")</f>
        <v>Sui Launch Token</v>
      </c>
    </row>
    <row r="11485">
      <c r="A11485" s="4" t="str">
        <f>IFERROR(__xludf.DUMMYFUNCTION("""COMPUTED_VALUE"""),"suipad")</f>
        <v>suipad</v>
      </c>
      <c r="B11485" s="4" t="str">
        <f>IFERROR(__xludf.DUMMYFUNCTION("""COMPUTED_VALUE"""),"suip")</f>
        <v>suip</v>
      </c>
      <c r="C11485" s="4" t="str">
        <f>IFERROR(__xludf.DUMMYFUNCTION("""COMPUTED_VALUE"""),"SuiPad")</f>
        <v>SuiPad</v>
      </c>
    </row>
    <row r="11486">
      <c r="A11486" s="4" t="str">
        <f>IFERROR(__xludf.DUMMYFUNCTION("""COMPUTED_VALUE"""),"suipepe")</f>
        <v>suipepe</v>
      </c>
      <c r="B11486" s="4" t="str">
        <f>IFERROR(__xludf.DUMMYFUNCTION("""COMPUTED_VALUE"""),"spepe")</f>
        <v>spepe</v>
      </c>
      <c r="C11486" s="4" t="str">
        <f>IFERROR(__xludf.DUMMYFUNCTION("""COMPUTED_VALUE"""),"SuiPepe")</f>
        <v>SuiPepe</v>
      </c>
    </row>
    <row r="11487">
      <c r="A11487" s="4" t="str">
        <f>IFERROR(__xludf.DUMMYFUNCTION("""COMPUTED_VALUE"""),"sui-pepe")</f>
        <v>sui-pepe</v>
      </c>
      <c r="B11487" s="4" t="str">
        <f>IFERROR(__xludf.DUMMYFUNCTION("""COMPUTED_VALUE"""),"spepe")</f>
        <v>spepe</v>
      </c>
      <c r="C11487" s="4" t="str">
        <f>IFERROR(__xludf.DUMMYFUNCTION("""COMPUTED_VALUE"""),"Sui Pepe")</f>
        <v>Sui Pepe</v>
      </c>
    </row>
    <row r="11488">
      <c r="A11488" s="4" t="str">
        <f>IFERROR(__xludf.DUMMYFUNCTION("""COMPUTED_VALUE"""),"suishiba")</f>
        <v>suishiba</v>
      </c>
      <c r="B11488" s="4" t="str">
        <f>IFERROR(__xludf.DUMMYFUNCTION("""COMPUTED_VALUE"""),"suishib")</f>
        <v>suishib</v>
      </c>
      <c r="C11488" s="4" t="str">
        <f>IFERROR(__xludf.DUMMYFUNCTION("""COMPUTED_VALUE"""),"SuiShiba")</f>
        <v>SuiShiba</v>
      </c>
    </row>
    <row r="11489">
      <c r="A11489" s="4" t="str">
        <f>IFERROR(__xludf.DUMMYFUNCTION("""COMPUTED_VALUE"""),"suiswap")</f>
        <v>suiswap</v>
      </c>
      <c r="B11489" s="4" t="str">
        <f>IFERROR(__xludf.DUMMYFUNCTION("""COMPUTED_VALUE"""),"sswp")</f>
        <v>sswp</v>
      </c>
      <c r="C11489" s="4" t="str">
        <f>IFERROR(__xludf.DUMMYFUNCTION("""COMPUTED_VALUE"""),"Suiswap")</f>
        <v>Suiswap</v>
      </c>
    </row>
    <row r="11490">
      <c r="A11490" s="4" t="str">
        <f>IFERROR(__xludf.DUMMYFUNCTION("""COMPUTED_VALUE"""),"suitable")</f>
        <v>suitable</v>
      </c>
      <c r="B11490" s="4" t="str">
        <f>IFERROR(__xludf.DUMMYFUNCTION("""COMPUTED_VALUE"""),"table")</f>
        <v>table</v>
      </c>
      <c r="C11490" s="4" t="str">
        <f>IFERROR(__xludf.DUMMYFUNCTION("""COMPUTED_VALUE"""),"Suitable")</f>
        <v>Suitable</v>
      </c>
    </row>
    <row r="11491">
      <c r="A11491" s="4" t="str">
        <f>IFERROR(__xludf.DUMMYFUNCTION("""COMPUTED_VALUE"""),"suite")</f>
        <v>suite</v>
      </c>
      <c r="B11491" s="4" t="str">
        <f>IFERROR(__xludf.DUMMYFUNCTION("""COMPUTED_VALUE"""),"suite")</f>
        <v>suite</v>
      </c>
      <c r="C11491" s="4" t="str">
        <f>IFERROR(__xludf.DUMMYFUNCTION("""COMPUTED_VALUE"""),"Suite")</f>
        <v>Suite</v>
      </c>
    </row>
    <row r="11492">
      <c r="A11492" s="4" t="str">
        <f>IFERROR(__xludf.DUMMYFUNCTION("""COMPUTED_VALUE"""),"suitizen")</f>
        <v>suitizen</v>
      </c>
      <c r="B11492" s="4" t="str">
        <f>IFERROR(__xludf.DUMMYFUNCTION("""COMPUTED_VALUE"""),"stz")</f>
        <v>stz</v>
      </c>
      <c r="C11492" s="4" t="str">
        <f>IFERROR(__xludf.DUMMYFUNCTION("""COMPUTED_VALUE"""),"Suitizen")</f>
        <v>Suitizen</v>
      </c>
    </row>
    <row r="11493">
      <c r="A11493" s="4" t="str">
        <f>IFERROR(__xludf.DUMMYFUNCTION("""COMPUTED_VALUE"""),"suizuki")</f>
        <v>suizuki</v>
      </c>
      <c r="B11493" s="4" t="str">
        <f>IFERROR(__xludf.DUMMYFUNCTION("""COMPUTED_VALUE"""),"zuki")</f>
        <v>zuki</v>
      </c>
      <c r="C11493" s="4" t="str">
        <f>IFERROR(__xludf.DUMMYFUNCTION("""COMPUTED_VALUE"""),"Suizuki")</f>
        <v>Suizuki</v>
      </c>
    </row>
    <row r="11494">
      <c r="A11494" s="4" t="str">
        <f>IFERROR(__xludf.DUMMYFUNCTION("""COMPUTED_VALUE"""),"sukhavati-network")</f>
        <v>sukhavati-network</v>
      </c>
      <c r="B11494" s="4" t="str">
        <f>IFERROR(__xludf.DUMMYFUNCTION("""COMPUTED_VALUE"""),"skt")</f>
        <v>skt</v>
      </c>
      <c r="C11494" s="4" t="str">
        <f>IFERROR(__xludf.DUMMYFUNCTION("""COMPUTED_VALUE"""),"Sukhavati Network")</f>
        <v>Sukhavati Network</v>
      </c>
    </row>
    <row r="11495">
      <c r="A11495" s="4" t="str">
        <f>IFERROR(__xludf.DUMMYFUNCTION("""COMPUTED_VALUE"""),"suku")</f>
        <v>suku</v>
      </c>
      <c r="B11495" s="4" t="str">
        <f>IFERROR(__xludf.DUMMYFUNCTION("""COMPUTED_VALUE"""),"suku")</f>
        <v>suku</v>
      </c>
      <c r="C11495" s="4" t="str">
        <f>IFERROR(__xludf.DUMMYFUNCTION("""COMPUTED_VALUE"""),"SUKU")</f>
        <v>SUKU</v>
      </c>
    </row>
    <row r="11496">
      <c r="A11496" s="4" t="str">
        <f>IFERROR(__xludf.DUMMYFUNCTION("""COMPUTED_VALUE"""),"sumcoin")</f>
        <v>sumcoin</v>
      </c>
      <c r="B11496" s="4" t="str">
        <f>IFERROR(__xludf.DUMMYFUNCTION("""COMPUTED_VALUE"""),"sum")</f>
        <v>sum</v>
      </c>
      <c r="C11496" s="4" t="str">
        <f>IFERROR(__xludf.DUMMYFUNCTION("""COMPUTED_VALUE"""),"Sumcoin")</f>
        <v>Sumcoin</v>
      </c>
    </row>
    <row r="11497">
      <c r="A11497" s="4" t="str">
        <f>IFERROR(__xludf.DUMMYFUNCTION("""COMPUTED_VALUE"""),"sumer-money-subtc")</f>
        <v>sumer-money-subtc</v>
      </c>
      <c r="B11497" s="4" t="str">
        <f>IFERROR(__xludf.DUMMYFUNCTION("""COMPUTED_VALUE"""),"subtc")</f>
        <v>subtc</v>
      </c>
      <c r="C11497" s="4" t="str">
        <f>IFERROR(__xludf.DUMMYFUNCTION("""COMPUTED_VALUE"""),"Sumer.Money suBTC")</f>
        <v>Sumer.Money suBTC</v>
      </c>
    </row>
    <row r="11498">
      <c r="A11498" s="4" t="str">
        <f>IFERROR(__xludf.DUMMYFUNCTION("""COMPUTED_VALUE"""),"sumer-money-sueth")</f>
        <v>sumer-money-sueth</v>
      </c>
      <c r="B11498" s="4" t="str">
        <f>IFERROR(__xludf.DUMMYFUNCTION("""COMPUTED_VALUE"""),"sueth")</f>
        <v>sueth</v>
      </c>
      <c r="C11498" s="4" t="str">
        <f>IFERROR(__xludf.DUMMYFUNCTION("""COMPUTED_VALUE"""),"Sumer.Money suETH")</f>
        <v>Sumer.Money suETH</v>
      </c>
    </row>
    <row r="11499">
      <c r="A11499" s="4" t="str">
        <f>IFERROR(__xludf.DUMMYFUNCTION("""COMPUTED_VALUE"""),"sumer-money-suusd")</f>
        <v>sumer-money-suusd</v>
      </c>
      <c r="B11499" s="4" t="str">
        <f>IFERROR(__xludf.DUMMYFUNCTION("""COMPUTED_VALUE"""),"suusd")</f>
        <v>suusd</v>
      </c>
      <c r="C11499" s="4" t="str">
        <f>IFERROR(__xludf.DUMMYFUNCTION("""COMPUTED_VALUE"""),"Sumer.Money suUSD")</f>
        <v>Sumer.Money suUSD</v>
      </c>
    </row>
    <row r="11500">
      <c r="A11500" s="4" t="str">
        <f>IFERROR(__xludf.DUMMYFUNCTION("""COMPUTED_VALUE"""),"summer")</f>
        <v>summer</v>
      </c>
      <c r="B11500" s="4" t="str">
        <f>IFERROR(__xludf.DUMMYFUNCTION("""COMPUTED_VALUE"""),"summer")</f>
        <v>summer</v>
      </c>
      <c r="C11500" s="4" t="str">
        <f>IFERROR(__xludf.DUMMYFUNCTION("""COMPUTED_VALUE"""),"Summer")</f>
        <v>Summer</v>
      </c>
    </row>
    <row r="11501">
      <c r="A11501" s="4" t="str">
        <f>IFERROR(__xludf.DUMMYFUNCTION("""COMPUTED_VALUE"""),"summoners-league")</f>
        <v>summoners-league</v>
      </c>
      <c r="B11501" s="4" t="str">
        <f>IFERROR(__xludf.DUMMYFUNCTION("""COMPUTED_VALUE"""),"summon")</f>
        <v>summon</v>
      </c>
      <c r="C11501" s="4" t="str">
        <f>IFERROR(__xludf.DUMMYFUNCTION("""COMPUTED_VALUE"""),"Summoners League")</f>
        <v>Summoners League</v>
      </c>
    </row>
    <row r="11502">
      <c r="A11502" s="4" t="str">
        <f>IFERROR(__xludf.DUMMYFUNCTION("""COMPUTED_VALUE"""),"sumokoin")</f>
        <v>sumokoin</v>
      </c>
      <c r="B11502" s="4" t="str">
        <f>IFERROR(__xludf.DUMMYFUNCTION("""COMPUTED_VALUE"""),"sumo")</f>
        <v>sumo</v>
      </c>
      <c r="C11502" s="4" t="str">
        <f>IFERROR(__xludf.DUMMYFUNCTION("""COMPUTED_VALUE"""),"Sumokoin")</f>
        <v>Sumokoin</v>
      </c>
    </row>
    <row r="11503">
      <c r="A11503" s="4" t="str">
        <f>IFERROR(__xludf.DUMMYFUNCTION("""COMPUTED_VALUE"""),"sunala")</f>
        <v>sunala</v>
      </c>
      <c r="B11503" s="4" t="str">
        <f>IFERROR(__xludf.DUMMYFUNCTION("""COMPUTED_VALUE"""),"sun")</f>
        <v>sun</v>
      </c>
      <c r="C11503" s="4" t="str">
        <f>IFERROR(__xludf.DUMMYFUNCTION("""COMPUTED_VALUE"""),"Sunala")</f>
        <v>Sunala</v>
      </c>
    </row>
    <row r="11504">
      <c r="A11504" s="4" t="str">
        <f>IFERROR(__xludf.DUMMYFUNCTION("""COMPUTED_VALUE"""),"suncontract")</f>
        <v>suncontract</v>
      </c>
      <c r="B11504" s="4" t="str">
        <f>IFERROR(__xludf.DUMMYFUNCTION("""COMPUTED_VALUE"""),"snc")</f>
        <v>snc</v>
      </c>
      <c r="C11504" s="4" t="str">
        <f>IFERROR(__xludf.DUMMYFUNCTION("""COMPUTED_VALUE"""),"SunContract")</f>
        <v>SunContract</v>
      </c>
    </row>
    <row r="11505">
      <c r="A11505" s="4" t="str">
        <f>IFERROR(__xludf.DUMMYFUNCTION("""COMPUTED_VALUE"""),"sundaeswap")</f>
        <v>sundaeswap</v>
      </c>
      <c r="B11505" s="4" t="str">
        <f>IFERROR(__xludf.DUMMYFUNCTION("""COMPUTED_VALUE"""),"sundae")</f>
        <v>sundae</v>
      </c>
      <c r="C11505" s="4" t="str">
        <f>IFERROR(__xludf.DUMMYFUNCTION("""COMPUTED_VALUE"""),"SundaeSwap")</f>
        <v>SundaeSwap</v>
      </c>
    </row>
    <row r="11506">
      <c r="A11506" s="4" t="str">
        <f>IFERROR(__xludf.DUMMYFUNCTION("""COMPUTED_VALUE"""),"sundae-the-dog")</f>
        <v>sundae-the-dog</v>
      </c>
      <c r="B11506" s="4" t="str">
        <f>IFERROR(__xludf.DUMMYFUNCTION("""COMPUTED_VALUE"""),"sundae")</f>
        <v>sundae</v>
      </c>
      <c r="C11506" s="4" t="str">
        <f>IFERROR(__xludf.DUMMYFUNCTION("""COMPUTED_VALUE"""),"Sundae the Dog")</f>
        <v>Sundae the Dog</v>
      </c>
    </row>
    <row r="11507">
      <c r="A11507" s="4" t="str">
        <f>IFERROR(__xludf.DUMMYFUNCTION("""COMPUTED_VALUE"""),"sunflower-land")</f>
        <v>sunflower-land</v>
      </c>
      <c r="B11507" s="4" t="str">
        <f>IFERROR(__xludf.DUMMYFUNCTION("""COMPUTED_VALUE"""),"sfl")</f>
        <v>sfl</v>
      </c>
      <c r="C11507" s="4" t="str">
        <f>IFERROR(__xludf.DUMMYFUNCTION("""COMPUTED_VALUE"""),"Sunflower Land")</f>
        <v>Sunflower Land</v>
      </c>
    </row>
    <row r="11508">
      <c r="A11508" s="4" t="str">
        <f>IFERROR(__xludf.DUMMYFUNCTION("""COMPUTED_VALUE"""),"sunny-aggregator")</f>
        <v>sunny-aggregator</v>
      </c>
      <c r="B11508" s="4" t="str">
        <f>IFERROR(__xludf.DUMMYFUNCTION("""COMPUTED_VALUE"""),"sunny")</f>
        <v>sunny</v>
      </c>
      <c r="C11508" s="4" t="str">
        <f>IFERROR(__xludf.DUMMYFUNCTION("""COMPUTED_VALUE"""),"Sunny Aggregator")</f>
        <v>Sunny Aggregator</v>
      </c>
    </row>
    <row r="11509">
      <c r="A11509" s="4" t="str">
        <f>IFERROR(__xludf.DUMMYFUNCTION("""COMPUTED_VALUE"""),"sunnysideup")</f>
        <v>sunnysideup</v>
      </c>
      <c r="B11509" s="4" t="str">
        <f>IFERROR(__xludf.DUMMYFUNCTION("""COMPUTED_VALUE"""),"ssu")</f>
        <v>ssu</v>
      </c>
      <c r="C11509" s="4" t="str">
        <f>IFERROR(__xludf.DUMMYFUNCTION("""COMPUTED_VALUE"""),"SunnySideUp")</f>
        <v>SunnySideUp</v>
      </c>
    </row>
    <row r="11510">
      <c r="A11510" s="4" t="str">
        <f>IFERROR(__xludf.DUMMYFUNCTION("""COMPUTED_VALUE"""),"sunrise")</f>
        <v>sunrise</v>
      </c>
      <c r="B11510" s="4" t="str">
        <f>IFERROR(__xludf.DUMMYFUNCTION("""COMPUTED_VALUE"""),"sunc")</f>
        <v>sunc</v>
      </c>
      <c r="C11510" s="4" t="str">
        <f>IFERROR(__xludf.DUMMYFUNCTION("""COMPUTED_VALUE"""),"Sunrise")</f>
        <v>Sunrise</v>
      </c>
    </row>
    <row r="11511">
      <c r="A11511" s="4" t="str">
        <f>IFERROR(__xludf.DUMMYFUNCTION("""COMPUTED_VALUE"""),"sun-token")</f>
        <v>sun-token</v>
      </c>
      <c r="B11511" s="4" t="str">
        <f>IFERROR(__xludf.DUMMYFUNCTION("""COMPUTED_VALUE"""),"sun")</f>
        <v>sun</v>
      </c>
      <c r="C11511" s="4" t="str">
        <f>IFERROR(__xludf.DUMMYFUNCTION("""COMPUTED_VALUE"""),"Sun Token")</f>
        <v>Sun Token</v>
      </c>
    </row>
    <row r="11512">
      <c r="A11512" s="4" t="str">
        <f>IFERROR(__xludf.DUMMYFUNCTION("""COMPUTED_VALUE"""),"sun-tzu")</f>
        <v>sun-tzu</v>
      </c>
      <c r="B11512" s="4" t="str">
        <f>IFERROR(__xludf.DUMMYFUNCTION("""COMPUTED_VALUE"""),"tzu")</f>
        <v>tzu</v>
      </c>
      <c r="C11512" s="4" t="str">
        <f>IFERROR(__xludf.DUMMYFUNCTION("""COMPUTED_VALUE"""),"Sun Tzu")</f>
        <v>Sun Tzu</v>
      </c>
    </row>
    <row r="11513">
      <c r="A11513" s="4" t="str">
        <f>IFERROR(__xludf.DUMMYFUNCTION("""COMPUTED_VALUE"""),"supe-infinity")</f>
        <v>supe-infinity</v>
      </c>
      <c r="B11513" s="4" t="str">
        <f>IFERROR(__xludf.DUMMYFUNCTION("""COMPUTED_VALUE"""),"supe")</f>
        <v>supe</v>
      </c>
      <c r="C11513" s="4" t="str">
        <f>IFERROR(__xludf.DUMMYFUNCTION("""COMPUTED_VALUE"""),"Supe Infinity")</f>
        <v>Supe Infinity</v>
      </c>
    </row>
    <row r="11514">
      <c r="A11514" s="4" t="str">
        <f>IFERROR(__xludf.DUMMYFUNCTION("""COMPUTED_VALUE"""),"superalgorithmicmoney")</f>
        <v>superalgorithmicmoney</v>
      </c>
      <c r="B11514" s="4" t="str">
        <f>IFERROR(__xludf.DUMMYFUNCTION("""COMPUTED_VALUE"""),"sam")</f>
        <v>sam</v>
      </c>
      <c r="C11514" s="4" t="str">
        <f>IFERROR(__xludf.DUMMYFUNCTION("""COMPUTED_VALUE"""),"SuperAlgorithmicMoney")</f>
        <v>SuperAlgorithmicMoney</v>
      </c>
    </row>
    <row r="11515">
      <c r="A11515" s="4" t="str">
        <f>IFERROR(__xludf.DUMMYFUNCTION("""COMPUTED_VALUE"""),"super-athletes-token")</f>
        <v>super-athletes-token</v>
      </c>
      <c r="B11515" s="4" t="str">
        <f>IFERROR(__xludf.DUMMYFUNCTION("""COMPUTED_VALUE"""),"sat")</f>
        <v>sat</v>
      </c>
      <c r="C11515" s="4" t="str">
        <f>IFERROR(__xludf.DUMMYFUNCTION("""COMPUTED_VALUE"""),"Super Athletes Token")</f>
        <v>Super Athletes Token</v>
      </c>
    </row>
    <row r="11516">
      <c r="A11516" s="4" t="str">
        <f>IFERROR(__xludf.DUMMYFUNCTION("""COMPUTED_VALUE"""),"super-best-friends")</f>
        <v>super-best-friends</v>
      </c>
      <c r="B11516" s="4" t="str">
        <f>IFERROR(__xludf.DUMMYFUNCTION("""COMPUTED_VALUE"""),"subf")</f>
        <v>subf</v>
      </c>
      <c r="C11516" s="4" t="str">
        <f>IFERROR(__xludf.DUMMYFUNCTION("""COMPUTED_VALUE"""),"Super Best Friends")</f>
        <v>Super Best Friends</v>
      </c>
    </row>
    <row r="11517">
      <c r="A11517" s="4" t="str">
        <f>IFERROR(__xludf.DUMMYFUNCTION("""COMPUTED_VALUE"""),"superbid")</f>
        <v>superbid</v>
      </c>
      <c r="B11517" s="4" t="str">
        <f>IFERROR(__xludf.DUMMYFUNCTION("""COMPUTED_VALUE"""),"superbid")</f>
        <v>superbid</v>
      </c>
      <c r="C11517" s="4" t="str">
        <f>IFERROR(__xludf.DUMMYFUNCTION("""COMPUTED_VALUE"""),"SuperBid")</f>
        <v>SuperBid</v>
      </c>
    </row>
    <row r="11518">
      <c r="A11518" s="4" t="str">
        <f>IFERROR(__xludf.DUMMYFUNCTION("""COMPUTED_VALUE"""),"supercells")</f>
        <v>supercells</v>
      </c>
      <c r="B11518" s="4" t="str">
        <f>IFERROR(__xludf.DUMMYFUNCTION("""COMPUTED_VALUE"""),"sct")</f>
        <v>sct</v>
      </c>
      <c r="C11518" s="4" t="str">
        <f>IFERROR(__xludf.DUMMYFUNCTION("""COMPUTED_VALUE"""),"SuperCells")</f>
        <v>SuperCells</v>
      </c>
    </row>
    <row r="11519">
      <c r="A11519" s="4" t="str">
        <f>IFERROR(__xludf.DUMMYFUNCTION("""COMPUTED_VALUE"""),"superciety")</f>
        <v>superciety</v>
      </c>
      <c r="B11519" s="4" t="str">
        <f>IFERROR(__xludf.DUMMYFUNCTION("""COMPUTED_VALUE"""),"super")</f>
        <v>super</v>
      </c>
      <c r="C11519" s="4" t="str">
        <f>IFERROR(__xludf.DUMMYFUNCTION("""COMPUTED_VALUE"""),"PeerMe SUPER")</f>
        <v>PeerMe SUPER</v>
      </c>
    </row>
    <row r="11520">
      <c r="A11520" s="4" t="str">
        <f>IFERROR(__xludf.DUMMYFUNCTION("""COMPUTED_VALUE"""),"super-closed-source")</f>
        <v>super-closed-source</v>
      </c>
      <c r="B11520" s="4" t="str">
        <f>IFERROR(__xludf.DUMMYFUNCTION("""COMPUTED_VALUE"""),"closedai")</f>
        <v>closedai</v>
      </c>
      <c r="C11520" s="4" t="str">
        <f>IFERROR(__xludf.DUMMYFUNCTION("""COMPUTED_VALUE"""),"Super Closed Source")</f>
        <v>Super Closed Source</v>
      </c>
    </row>
    <row r="11521">
      <c r="A11521" s="4" t="str">
        <f>IFERROR(__xludf.DUMMYFUNCTION("""COMPUTED_VALUE"""),"super-cycle")</f>
        <v>super-cycle</v>
      </c>
      <c r="B11521" s="4" t="str">
        <f>IFERROR(__xludf.DUMMYFUNCTION("""COMPUTED_VALUE"""),"rich")</f>
        <v>rich</v>
      </c>
      <c r="C11521" s="4" t="str">
        <f>IFERROR(__xludf.DUMMYFUNCTION("""COMPUTED_VALUE"""),"Super Cycle")</f>
        <v>Super Cycle</v>
      </c>
    </row>
    <row r="11522">
      <c r="A11522" s="4" t="str">
        <f>IFERROR(__xludf.DUMMYFUNCTION("""COMPUTED_VALUE"""),"superdapp")</f>
        <v>superdapp</v>
      </c>
      <c r="B11522" s="4" t="str">
        <f>IFERROR(__xludf.DUMMYFUNCTION("""COMPUTED_VALUE"""),"supr")</f>
        <v>supr</v>
      </c>
      <c r="C11522" s="4" t="str">
        <f>IFERROR(__xludf.DUMMYFUNCTION("""COMPUTED_VALUE"""),"SuperDapp")</f>
        <v>SuperDapp</v>
      </c>
    </row>
    <row r="11523">
      <c r="A11523" s="4" t="str">
        <f>IFERROR(__xludf.DUMMYFUNCTION("""COMPUTED_VALUE"""),"superfans-tech")</f>
        <v>superfans-tech</v>
      </c>
      <c r="B11523" s="4" t="str">
        <f>IFERROR(__xludf.DUMMYFUNCTION("""COMPUTED_VALUE"""),"fan")</f>
        <v>fan</v>
      </c>
      <c r="C11523" s="4" t="str">
        <f>IFERROR(__xludf.DUMMYFUNCTION("""COMPUTED_VALUE"""),"SuperFans.Tech")</f>
        <v>SuperFans.Tech</v>
      </c>
    </row>
    <row r="11524">
      <c r="A11524" s="4" t="str">
        <f>IFERROR(__xludf.DUMMYFUNCTION("""COMPUTED_VALUE"""),"superfarm")</f>
        <v>superfarm</v>
      </c>
      <c r="B11524" s="4" t="str">
        <f>IFERROR(__xludf.DUMMYFUNCTION("""COMPUTED_VALUE"""),"super")</f>
        <v>super</v>
      </c>
      <c r="C11524" s="4" t="str">
        <f>IFERROR(__xludf.DUMMYFUNCTION("""COMPUTED_VALUE"""),"SuperVerse")</f>
        <v>SuperVerse</v>
      </c>
    </row>
    <row r="11525">
      <c r="A11525" s="4" t="str">
        <f>IFERROR(__xludf.DUMMYFUNCTION("""COMPUTED_VALUE"""),"superfrank")</f>
        <v>superfrank</v>
      </c>
      <c r="B11525" s="4" t="str">
        <f>IFERROR(__xludf.DUMMYFUNCTION("""COMPUTED_VALUE"""),"chfp")</f>
        <v>chfp</v>
      </c>
      <c r="C11525" s="4" t="str">
        <f>IFERROR(__xludf.DUMMYFUNCTION("""COMPUTED_VALUE"""),"SuperFrank")</f>
        <v>SuperFrank</v>
      </c>
    </row>
    <row r="11526">
      <c r="A11526" s="4" t="str">
        <f>IFERROR(__xludf.DUMMYFUNCTION("""COMPUTED_VALUE"""),"superlauncher-dao")</f>
        <v>superlauncher-dao</v>
      </c>
      <c r="B11526" s="4" t="str">
        <f>IFERROR(__xludf.DUMMYFUNCTION("""COMPUTED_VALUE"""),"launch")</f>
        <v>launch</v>
      </c>
      <c r="C11526" s="4" t="str">
        <f>IFERROR(__xludf.DUMMYFUNCTION("""COMPUTED_VALUE"""),"Superlauncher")</f>
        <v>Superlauncher</v>
      </c>
    </row>
    <row r="11527">
      <c r="A11527" s="4" t="str">
        <f>IFERROR(__xludf.DUMMYFUNCTION("""COMPUTED_VALUE"""),"supermarioporsche911inu")</f>
        <v>supermarioporsche911inu</v>
      </c>
      <c r="B11527" s="4" t="str">
        <f>IFERROR(__xludf.DUMMYFUNCTION("""COMPUTED_VALUE"""),"silkroad")</f>
        <v>silkroad</v>
      </c>
      <c r="C11527" s="4" t="str">
        <f>IFERROR(__xludf.DUMMYFUNCTION("""COMPUTED_VALUE"""),"SuperMarioPorsche911Inu")</f>
        <v>SuperMarioPorsche911Inu</v>
      </c>
    </row>
    <row r="11528">
      <c r="A11528" s="4" t="str">
        <f>IFERROR(__xludf.DUMMYFUNCTION("""COMPUTED_VALUE"""),"supermarket")</f>
        <v>supermarket</v>
      </c>
      <c r="B11528" s="4" t="str">
        <f>IFERROR(__xludf.DUMMYFUNCTION("""COMPUTED_VALUE"""),"super")</f>
        <v>super</v>
      </c>
      <c r="C11528" s="4" t="str">
        <f>IFERROR(__xludf.DUMMYFUNCTION("""COMPUTED_VALUE"""),"SuperMarket")</f>
        <v>SuperMarket</v>
      </c>
    </row>
    <row r="11529">
      <c r="A11529" s="4" t="str">
        <f>IFERROR(__xludf.DUMMYFUNCTION("""COMPUTED_VALUE"""),"superrare")</f>
        <v>superrare</v>
      </c>
      <c r="B11529" s="4" t="str">
        <f>IFERROR(__xludf.DUMMYFUNCTION("""COMPUTED_VALUE"""),"rare")</f>
        <v>rare</v>
      </c>
      <c r="C11529" s="4" t="str">
        <f>IFERROR(__xludf.DUMMYFUNCTION("""COMPUTED_VALUE"""),"SuperRare")</f>
        <v>SuperRare</v>
      </c>
    </row>
    <row r="11530">
      <c r="A11530" s="4" t="str">
        <f>IFERROR(__xludf.DUMMYFUNCTION("""COMPUTED_VALUE"""),"super-rare-ball-shares")</f>
        <v>super-rare-ball-shares</v>
      </c>
      <c r="B11530" s="4" t="str">
        <f>IFERROR(__xludf.DUMMYFUNCTION("""COMPUTED_VALUE"""),"srbp")</f>
        <v>srbp</v>
      </c>
      <c r="C11530" s="4" t="str">
        <f>IFERROR(__xludf.DUMMYFUNCTION("""COMPUTED_VALUE"""),"Super Rare Ball Potion")</f>
        <v>Super Rare Ball Potion</v>
      </c>
    </row>
    <row r="11531">
      <c r="A11531" s="4" t="str">
        <f>IFERROR(__xludf.DUMMYFUNCTION("""COMPUTED_VALUE"""),"superrarebears-hype")</f>
        <v>superrarebears-hype</v>
      </c>
      <c r="B11531" s="4" t="str">
        <f>IFERROR(__xludf.DUMMYFUNCTION("""COMPUTED_VALUE"""),"hype")</f>
        <v>hype</v>
      </c>
      <c r="C11531" s="4" t="str">
        <f>IFERROR(__xludf.DUMMYFUNCTION("""COMPUTED_VALUE"""),"SuperRareBears HYPE")</f>
        <v>SuperRareBears HYPE</v>
      </c>
    </row>
    <row r="11532">
      <c r="A11532" s="4" t="str">
        <f>IFERROR(__xludf.DUMMYFUNCTION("""COMPUTED_VALUE"""),"superrarebears-rare")</f>
        <v>superrarebears-rare</v>
      </c>
      <c r="B11532" s="4" t="str">
        <f>IFERROR(__xludf.DUMMYFUNCTION("""COMPUTED_VALUE"""),"rare")</f>
        <v>rare</v>
      </c>
      <c r="C11532" s="4" t="str">
        <f>IFERROR(__xludf.DUMMYFUNCTION("""COMPUTED_VALUE"""),"SuperRareBears RARE")</f>
        <v>SuperRareBears RARE</v>
      </c>
    </row>
    <row r="11533">
      <c r="A11533" s="4" t="str">
        <f>IFERROR(__xludf.DUMMYFUNCTION("""COMPUTED_VALUE"""),"super-seiyan")</f>
        <v>super-seiyan</v>
      </c>
      <c r="B11533" s="4" t="str">
        <f>IFERROR(__xludf.DUMMYFUNCTION("""COMPUTED_VALUE"""),"superseiyan")</f>
        <v>superseiyan</v>
      </c>
      <c r="C11533" s="4" t="str">
        <f>IFERROR(__xludf.DUMMYFUNCTION("""COMPUTED_VALUE"""),"Super Seiyan")</f>
        <v>Super Seiyan</v>
      </c>
    </row>
    <row r="11534">
      <c r="A11534" s="4" t="str">
        <f>IFERROR(__xludf.DUMMYFUNCTION("""COMPUTED_VALUE"""),"superstake")</f>
        <v>superstake</v>
      </c>
      <c r="B11534" s="4" t="str">
        <f>IFERROR(__xludf.DUMMYFUNCTION("""COMPUTED_VALUE"""),"superstake")</f>
        <v>superstake</v>
      </c>
      <c r="C11534" s="4" t="str">
        <f>IFERROR(__xludf.DUMMYFUNCTION("""COMPUTED_VALUE"""),"Superstake")</f>
        <v>Superstake</v>
      </c>
    </row>
    <row r="11535">
      <c r="A11535" s="4" t="str">
        <f>IFERROR(__xludf.DUMMYFUNCTION("""COMPUTED_VALUE"""),"superstate-short-duration-us-government-securities-fund-ustb")</f>
        <v>superstate-short-duration-us-government-securities-fund-ustb</v>
      </c>
      <c r="B11535" s="4" t="str">
        <f>IFERROR(__xludf.DUMMYFUNCTION("""COMPUTED_VALUE"""),"ustb")</f>
        <v>ustb</v>
      </c>
      <c r="C11535" s="4" t="str">
        <f>IFERROR(__xludf.DUMMYFUNCTION("""COMPUTED_VALUE"""),"Superstate Short Duration U.S. Government Securities Fund (USTB)")</f>
        <v>Superstate Short Duration U.S. Government Securities Fund (USTB)</v>
      </c>
    </row>
    <row r="11536">
      <c r="A11536" s="4" t="str">
        <f>IFERROR(__xludf.DUMMYFUNCTION("""COMPUTED_VALUE"""),"super-sushi-samurai")</f>
        <v>super-sushi-samurai</v>
      </c>
      <c r="B11536" s="4" t="str">
        <f>IFERROR(__xludf.DUMMYFUNCTION("""COMPUTED_VALUE"""),"sss")</f>
        <v>sss</v>
      </c>
      <c r="C11536" s="4" t="str">
        <f>IFERROR(__xludf.DUMMYFUNCTION("""COMPUTED_VALUE"""),"Super Sushi Samurai")</f>
        <v>Super Sushi Samurai</v>
      </c>
    </row>
    <row r="11537">
      <c r="A11537" s="4" t="str">
        <f>IFERROR(__xludf.DUMMYFUNCTION("""COMPUTED_VALUE"""),"super-trump")</f>
        <v>super-trump</v>
      </c>
      <c r="B11537" s="4" t="str">
        <f>IFERROR(__xludf.DUMMYFUNCTION("""COMPUTED_VALUE"""),"strump")</f>
        <v>strump</v>
      </c>
      <c r="C11537" s="4" t="str">
        <f>IFERROR(__xludf.DUMMYFUNCTION("""COMPUTED_VALUE"""),"Super Trump")</f>
        <v>Super Trump</v>
      </c>
    </row>
    <row r="11538">
      <c r="A11538" s="4" t="str">
        <f>IFERROR(__xludf.DUMMYFUNCTION("""COMPUTED_VALUE"""),"super-vet")</f>
        <v>super-vet</v>
      </c>
      <c r="B11538" s="4" t="str">
        <f>IFERROR(__xludf.DUMMYFUNCTION("""COMPUTED_VALUE"""),"svet")</f>
        <v>svet</v>
      </c>
      <c r="C11538" s="4" t="str">
        <f>IFERROR(__xludf.DUMMYFUNCTION("""COMPUTED_VALUE"""),"Super Vet")</f>
        <v>Super Vet</v>
      </c>
    </row>
    <row r="11539">
      <c r="A11539" s="4" t="str">
        <f>IFERROR(__xludf.DUMMYFUNCTION("""COMPUTED_VALUE"""),"superwalk")</f>
        <v>superwalk</v>
      </c>
      <c r="B11539" s="4" t="str">
        <f>IFERROR(__xludf.DUMMYFUNCTION("""COMPUTED_VALUE"""),"grnd")</f>
        <v>grnd</v>
      </c>
      <c r="C11539" s="4" t="str">
        <f>IFERROR(__xludf.DUMMYFUNCTION("""COMPUTED_VALUE"""),"SuperWalk")</f>
        <v>SuperWalk</v>
      </c>
    </row>
    <row r="11540">
      <c r="A11540" s="4" t="str">
        <f>IFERROR(__xludf.DUMMYFUNCTION("""COMPUTED_VALUE"""),"super-zero")</f>
        <v>super-zero</v>
      </c>
      <c r="B11540" s="4" t="str">
        <f>IFERROR(__xludf.DUMMYFUNCTION("""COMPUTED_VALUE"""),"sero")</f>
        <v>sero</v>
      </c>
      <c r="C11540" s="4" t="str">
        <f>IFERROR(__xludf.DUMMYFUNCTION("""COMPUTED_VALUE"""),"SERO")</f>
        <v>SERO</v>
      </c>
    </row>
    <row r="11541">
      <c r="A11541" s="4" t="str">
        <f>IFERROR(__xludf.DUMMYFUNCTION("""COMPUTED_VALUE"""),"supra")</f>
        <v>supra</v>
      </c>
      <c r="B11541" s="4" t="str">
        <f>IFERROR(__xludf.DUMMYFUNCTION("""COMPUTED_VALUE"""),"supra")</f>
        <v>supra</v>
      </c>
      <c r="C11541" s="4" t="str">
        <f>IFERROR(__xludf.DUMMYFUNCTION("""COMPUTED_VALUE"""),"Supra")</f>
        <v>Supra</v>
      </c>
    </row>
    <row r="11542">
      <c r="A11542" s="4" t="str">
        <f>IFERROR(__xludf.DUMMYFUNCTION("""COMPUTED_VALUE"""),"supreme-finance")</f>
        <v>supreme-finance</v>
      </c>
      <c r="B11542" s="4" t="str">
        <f>IFERROR(__xludf.DUMMYFUNCTION("""COMPUTED_VALUE"""),"hype")</f>
        <v>hype</v>
      </c>
      <c r="C11542" s="4" t="str">
        <f>IFERROR(__xludf.DUMMYFUNCTION("""COMPUTED_VALUE"""),"Supreme Finance")</f>
        <v>Supreme Finance</v>
      </c>
    </row>
    <row r="11543">
      <c r="A11543" s="4" t="str">
        <f>IFERROR(__xludf.DUMMYFUNCTION("""COMPUTED_VALUE"""),"suprenft")</f>
        <v>suprenft</v>
      </c>
      <c r="B11543" s="4" t="str">
        <f>IFERROR(__xludf.DUMMYFUNCTION("""COMPUTED_VALUE"""),"snft")</f>
        <v>snft</v>
      </c>
      <c r="C11543" s="4" t="str">
        <f>IFERROR(__xludf.DUMMYFUNCTION("""COMPUTED_VALUE"""),"SupreNFT")</f>
        <v>SupreNFT</v>
      </c>
    </row>
    <row r="11544">
      <c r="A11544" s="4" t="str">
        <f>IFERROR(__xludf.DUMMYFUNCTION("""COMPUTED_VALUE"""),"sureremit")</f>
        <v>sureremit</v>
      </c>
      <c r="B11544" s="4" t="str">
        <f>IFERROR(__xludf.DUMMYFUNCTION("""COMPUTED_VALUE"""),"rmt")</f>
        <v>rmt</v>
      </c>
      <c r="C11544" s="4" t="str">
        <f>IFERROR(__xludf.DUMMYFUNCTION("""COMPUTED_VALUE"""),"SureRemit")</f>
        <v>SureRemit</v>
      </c>
    </row>
    <row r="11545">
      <c r="A11545" s="4" t="str">
        <f>IFERROR(__xludf.DUMMYFUNCTION("""COMPUTED_VALUE"""),"surfboard")</f>
        <v>surfboard</v>
      </c>
      <c r="B11545" s="4" t="str">
        <f>IFERROR(__xludf.DUMMYFUNCTION("""COMPUTED_VALUE"""),"board")</f>
        <v>board</v>
      </c>
      <c r="C11545" s="4" t="str">
        <f>IFERROR(__xludf.DUMMYFUNCTION("""COMPUTED_VALUE"""),"SURFBOARD")</f>
        <v>SURFBOARD</v>
      </c>
    </row>
    <row r="11546">
      <c r="A11546" s="4" t="str">
        <f>IFERROR(__xludf.DUMMYFUNCTION("""COMPUTED_VALUE"""),"surfexutilitytoken")</f>
        <v>surfexutilitytoken</v>
      </c>
      <c r="B11546" s="4" t="str">
        <f>IFERROR(__xludf.DUMMYFUNCTION("""COMPUTED_VALUE"""),"surf")</f>
        <v>surf</v>
      </c>
      <c r="C11546" s="4" t="str">
        <f>IFERROR(__xludf.DUMMYFUNCTION("""COMPUTED_VALUE"""),"SurfExUtilityToken")</f>
        <v>SurfExUtilityToken</v>
      </c>
    </row>
    <row r="11547">
      <c r="A11547" s="4" t="str">
        <f>IFERROR(__xludf.DUMMYFUNCTION("""COMPUTED_VALUE"""),"surge")</f>
        <v>surge</v>
      </c>
      <c r="B11547" s="4" t="str">
        <f>IFERROR(__xludf.DUMMYFUNCTION("""COMPUTED_VALUE"""),"surge")</f>
        <v>surge</v>
      </c>
      <c r="C11547" s="4" t="str">
        <f>IFERROR(__xludf.DUMMYFUNCTION("""COMPUTED_VALUE"""),"SURGE")</f>
        <v>SURGE</v>
      </c>
    </row>
    <row r="11548">
      <c r="A11548" s="4" t="str">
        <f>IFERROR(__xludf.DUMMYFUNCTION("""COMPUTED_VALUE"""),"surrealverse")</f>
        <v>surrealverse</v>
      </c>
      <c r="B11548" s="4" t="str">
        <f>IFERROR(__xludf.DUMMYFUNCTION("""COMPUTED_VALUE"""),"azee")</f>
        <v>azee</v>
      </c>
      <c r="C11548" s="4" t="str">
        <f>IFERROR(__xludf.DUMMYFUNCTION("""COMPUTED_VALUE"""),"SurrealVerse")</f>
        <v>SurrealVerse</v>
      </c>
    </row>
    <row r="11549">
      <c r="A11549" s="4" t="str">
        <f>IFERROR(__xludf.DUMMYFUNCTION("""COMPUTED_VALUE"""),"surveyor-dao")</f>
        <v>surveyor-dao</v>
      </c>
      <c r="B11549" s="4" t="str">
        <f>IFERROR(__xludf.DUMMYFUNCTION("""COMPUTED_VALUE"""),"surv")</f>
        <v>surv</v>
      </c>
      <c r="C11549" s="4" t="str">
        <f>IFERROR(__xludf.DUMMYFUNCTION("""COMPUTED_VALUE"""),"Surveyor DAO")</f>
        <v>Surveyor DAO</v>
      </c>
    </row>
    <row r="11550">
      <c r="A11550" s="4" t="str">
        <f>IFERROR(__xludf.DUMMYFUNCTION("""COMPUTED_VALUE"""),"susd-yvault")</f>
        <v>susd-yvault</v>
      </c>
      <c r="B11550" s="4" t="str">
        <f>IFERROR(__xludf.DUMMYFUNCTION("""COMPUTED_VALUE"""),"yvsusd")</f>
        <v>yvsusd</v>
      </c>
      <c r="C11550" s="4" t="str">
        <f>IFERROR(__xludf.DUMMYFUNCTION("""COMPUTED_VALUE"""),"sUSD yVault")</f>
        <v>sUSD yVault</v>
      </c>
    </row>
    <row r="11551">
      <c r="A11551" s="4" t="str">
        <f>IFERROR(__xludf.DUMMYFUNCTION("""COMPUTED_VALUE"""),"sushi")</f>
        <v>sushi</v>
      </c>
      <c r="B11551" s="4" t="str">
        <f>IFERROR(__xludf.DUMMYFUNCTION("""COMPUTED_VALUE"""),"sushi")</f>
        <v>sushi</v>
      </c>
      <c r="C11551" s="4" t="str">
        <f>IFERROR(__xludf.DUMMYFUNCTION("""COMPUTED_VALUE"""),"Sushi")</f>
        <v>Sushi</v>
      </c>
    </row>
    <row r="11552">
      <c r="A11552" s="4" t="str">
        <f>IFERROR(__xludf.DUMMYFUNCTION("""COMPUTED_VALUE"""),"sushi-fighter")</f>
        <v>sushi-fighter</v>
      </c>
      <c r="B11552" s="4" t="str">
        <f>IFERROR(__xludf.DUMMYFUNCTION("""COMPUTED_VALUE"""),"$sushi")</f>
        <v>$sushi</v>
      </c>
      <c r="C11552" s="4" t="str">
        <f>IFERROR(__xludf.DUMMYFUNCTION("""COMPUTED_VALUE"""),"Sushi Fighter")</f>
        <v>Sushi Fighter</v>
      </c>
    </row>
    <row r="11553">
      <c r="A11553" s="4" t="str">
        <f>IFERROR(__xludf.DUMMYFUNCTION("""COMPUTED_VALUE"""),"sushi-yvault")</f>
        <v>sushi-yvault</v>
      </c>
      <c r="B11553" s="4" t="str">
        <f>IFERROR(__xludf.DUMMYFUNCTION("""COMPUTED_VALUE"""),"yvsushi")</f>
        <v>yvsushi</v>
      </c>
      <c r="C11553" s="4" t="str">
        <f>IFERROR(__xludf.DUMMYFUNCTION("""COMPUTED_VALUE"""),"SUSHI yVault")</f>
        <v>SUSHI yVault</v>
      </c>
    </row>
    <row r="11554">
      <c r="A11554" s="4" t="str">
        <f>IFERROR(__xludf.DUMMYFUNCTION("""COMPUTED_VALUE"""),"sustainable-energy-token")</f>
        <v>sustainable-energy-token</v>
      </c>
      <c r="B11554" s="4" t="str">
        <f>IFERROR(__xludf.DUMMYFUNCTION("""COMPUTED_VALUE"""),"set")</f>
        <v>set</v>
      </c>
      <c r="C11554" s="4" t="str">
        <f>IFERROR(__xludf.DUMMYFUNCTION("""COMPUTED_VALUE"""),"Sustainable Energy")</f>
        <v>Sustainable Energy</v>
      </c>
    </row>
    <row r="11555">
      <c r="A11555" s="4" t="str">
        <f>IFERROR(__xludf.DUMMYFUNCTION("""COMPUTED_VALUE"""),"suterusu")</f>
        <v>suterusu</v>
      </c>
      <c r="B11555" s="4" t="str">
        <f>IFERROR(__xludf.DUMMYFUNCTION("""COMPUTED_VALUE"""),"suter")</f>
        <v>suter</v>
      </c>
      <c r="C11555" s="4" t="str">
        <f>IFERROR(__xludf.DUMMYFUNCTION("""COMPUTED_VALUE"""),"Suterusu")</f>
        <v>Suterusu</v>
      </c>
    </row>
    <row r="11556">
      <c r="A11556" s="4" t="str">
        <f>IFERROR(__xludf.DUMMYFUNCTION("""COMPUTED_VALUE"""),"suvereno")</f>
        <v>suvereno</v>
      </c>
      <c r="B11556" s="4" t="str">
        <f>IFERROR(__xludf.DUMMYFUNCTION("""COMPUTED_VALUE"""),"suv")</f>
        <v>suv</v>
      </c>
      <c r="C11556" s="4" t="str">
        <f>IFERROR(__xludf.DUMMYFUNCTION("""COMPUTED_VALUE"""),"Suvereno")</f>
        <v>Suvereno</v>
      </c>
    </row>
    <row r="11557">
      <c r="A11557" s="4" t="str">
        <f>IFERROR(__xludf.DUMMYFUNCTION("""COMPUTED_VALUE"""),"suzuverse")</f>
        <v>suzuverse</v>
      </c>
      <c r="B11557" s="4" t="str">
        <f>IFERROR(__xludf.DUMMYFUNCTION("""COMPUTED_VALUE"""),"sgt")</f>
        <v>sgt</v>
      </c>
      <c r="C11557" s="4" t="str">
        <f>IFERROR(__xludf.DUMMYFUNCTION("""COMPUTED_VALUE"""),"Suzuverse")</f>
        <v>Suzuverse</v>
      </c>
    </row>
    <row r="11558">
      <c r="A11558" s="4" t="str">
        <f>IFERROR(__xludf.DUMMYFUNCTION("""COMPUTED_VALUE"""),"swag-coin")</f>
        <v>swag-coin</v>
      </c>
      <c r="B11558" s="4" t="str">
        <f>IFERROR(__xludf.DUMMYFUNCTION("""COMPUTED_VALUE"""),"swag")</f>
        <v>swag</v>
      </c>
      <c r="C11558" s="4" t="str">
        <f>IFERROR(__xludf.DUMMYFUNCTION("""COMPUTED_VALUE"""),"swag coin")</f>
        <v>swag coin</v>
      </c>
    </row>
    <row r="11559">
      <c r="A11559" s="4" t="str">
        <f>IFERROR(__xludf.DUMMYFUNCTION("""COMPUTED_VALUE"""),"swamp-coin")</f>
        <v>swamp-coin</v>
      </c>
      <c r="B11559" s="4" t="str">
        <f>IFERROR(__xludf.DUMMYFUNCTION("""COMPUTED_VALUE"""),"swamp")</f>
        <v>swamp</v>
      </c>
      <c r="C11559" s="4" t="str">
        <f>IFERROR(__xludf.DUMMYFUNCTION("""COMPUTED_VALUE"""),"Swamp Coin")</f>
        <v>Swamp Coin</v>
      </c>
    </row>
    <row r="11560">
      <c r="A11560" s="4" t="str">
        <f>IFERROR(__xludf.DUMMYFUNCTION("""COMPUTED_VALUE"""),"swap")</f>
        <v>swap</v>
      </c>
      <c r="B11560" s="4" t="str">
        <f>IFERROR(__xludf.DUMMYFUNCTION("""COMPUTED_VALUE"""),"xwp")</f>
        <v>xwp</v>
      </c>
      <c r="C11560" s="4" t="str">
        <f>IFERROR(__xludf.DUMMYFUNCTION("""COMPUTED_VALUE"""),"Swap")</f>
        <v>Swap</v>
      </c>
    </row>
    <row r="11561">
      <c r="A11561" s="4" t="str">
        <f>IFERROR(__xludf.DUMMYFUNCTION("""COMPUTED_VALUE"""),"swapblast-finance-token")</f>
        <v>swapblast-finance-token</v>
      </c>
      <c r="B11561" s="4" t="str">
        <f>IFERROR(__xludf.DUMMYFUNCTION("""COMPUTED_VALUE"""),"sbf")</f>
        <v>sbf</v>
      </c>
      <c r="C11561" s="4" t="str">
        <f>IFERROR(__xludf.DUMMYFUNCTION("""COMPUTED_VALUE"""),"SwapBlast Finance Token")</f>
        <v>SwapBlast Finance Token</v>
      </c>
    </row>
    <row r="11562">
      <c r="A11562" s="4" t="str">
        <f>IFERROR(__xludf.DUMMYFUNCTION("""COMPUTED_VALUE"""),"swapdex")</f>
        <v>swapdex</v>
      </c>
      <c r="B11562" s="4" t="str">
        <f>IFERROR(__xludf.DUMMYFUNCTION("""COMPUTED_VALUE"""),"sdxb")</f>
        <v>sdxb</v>
      </c>
      <c r="C11562" s="4" t="str">
        <f>IFERROR(__xludf.DUMMYFUNCTION("""COMPUTED_VALUE"""),"SwapDEX")</f>
        <v>SwapDEX</v>
      </c>
    </row>
    <row r="11563">
      <c r="A11563" s="4" t="str">
        <f>IFERROR(__xludf.DUMMYFUNCTION("""COMPUTED_VALUE"""),"swapmode")</f>
        <v>swapmode</v>
      </c>
      <c r="B11563" s="4" t="str">
        <f>IFERROR(__xludf.DUMMYFUNCTION("""COMPUTED_VALUE"""),"smd")</f>
        <v>smd</v>
      </c>
      <c r="C11563" s="4" t="str">
        <f>IFERROR(__xludf.DUMMYFUNCTION("""COMPUTED_VALUE"""),"SwapMode")</f>
        <v>SwapMode</v>
      </c>
    </row>
    <row r="11564">
      <c r="A11564" s="4" t="str">
        <f>IFERROR(__xludf.DUMMYFUNCTION("""COMPUTED_VALUE"""),"swapped-finance")</f>
        <v>swapped-finance</v>
      </c>
      <c r="B11564" s="4" t="str">
        <f>IFERROR(__xludf.DUMMYFUNCTION("""COMPUTED_VALUE"""),"swpd")</f>
        <v>swpd</v>
      </c>
      <c r="C11564" s="4" t="str">
        <f>IFERROR(__xludf.DUMMYFUNCTION("""COMPUTED_VALUE"""),"Swapped Finance")</f>
        <v>Swapped Finance</v>
      </c>
    </row>
    <row r="11565">
      <c r="A11565" s="4" t="str">
        <f>IFERROR(__xludf.DUMMYFUNCTION("""COMPUTED_VALUE"""),"swappi")</f>
        <v>swappi</v>
      </c>
      <c r="B11565" s="4" t="str">
        <f>IFERROR(__xludf.DUMMYFUNCTION("""COMPUTED_VALUE"""),"ppi")</f>
        <v>ppi</v>
      </c>
      <c r="C11565" s="4" t="str">
        <f>IFERROR(__xludf.DUMMYFUNCTION("""COMPUTED_VALUE"""),"Swappi")</f>
        <v>Swappi</v>
      </c>
    </row>
    <row r="11566">
      <c r="A11566" s="4" t="str">
        <f>IFERROR(__xludf.DUMMYFUNCTION("""COMPUTED_VALUE"""),"swapr")</f>
        <v>swapr</v>
      </c>
      <c r="B11566" s="4" t="str">
        <f>IFERROR(__xludf.DUMMYFUNCTION("""COMPUTED_VALUE"""),"swpr")</f>
        <v>swpr</v>
      </c>
      <c r="C11566" s="4" t="str">
        <f>IFERROR(__xludf.DUMMYFUNCTION("""COMPUTED_VALUE"""),"Swapr")</f>
        <v>Swapr</v>
      </c>
    </row>
    <row r="11567">
      <c r="A11567" s="4" t="str">
        <f>IFERROR(__xludf.DUMMYFUNCTION("""COMPUTED_VALUE"""),"swaprum")</f>
        <v>swaprum</v>
      </c>
      <c r="B11567" s="4" t="str">
        <f>IFERROR(__xludf.DUMMYFUNCTION("""COMPUTED_VALUE"""),"sapr")</f>
        <v>sapr</v>
      </c>
      <c r="C11567" s="4" t="str">
        <f>IFERROR(__xludf.DUMMYFUNCTION("""COMPUTED_VALUE"""),"Swaprum")</f>
        <v>Swaprum</v>
      </c>
    </row>
    <row r="11568">
      <c r="A11568" s="4" t="str">
        <f>IFERROR(__xludf.DUMMYFUNCTION("""COMPUTED_VALUE"""),"swaptracker")</f>
        <v>swaptracker</v>
      </c>
      <c r="B11568" s="4" t="str">
        <f>IFERROR(__xludf.DUMMYFUNCTION("""COMPUTED_VALUE"""),"swpt")</f>
        <v>swpt</v>
      </c>
      <c r="C11568" s="4" t="str">
        <f>IFERROR(__xludf.DUMMYFUNCTION("""COMPUTED_VALUE"""),"SwapTracker")</f>
        <v>SwapTracker</v>
      </c>
    </row>
    <row r="11569">
      <c r="A11569" s="4" t="str">
        <f>IFERROR(__xludf.DUMMYFUNCTION("""COMPUTED_VALUE"""),"swapz-app")</f>
        <v>swapz-app</v>
      </c>
      <c r="B11569" s="4" t="str">
        <f>IFERROR(__xludf.DUMMYFUNCTION("""COMPUTED_VALUE"""),"swapz")</f>
        <v>swapz</v>
      </c>
      <c r="C11569" s="4" t="str">
        <f>IFERROR(__xludf.DUMMYFUNCTION("""COMPUTED_VALUE"""),"SWAPZ.app")</f>
        <v>SWAPZ.app</v>
      </c>
    </row>
    <row r="11570">
      <c r="A11570" s="4" t="str">
        <f>IFERROR(__xludf.DUMMYFUNCTION("""COMPUTED_VALUE"""),"swarm")</f>
        <v>swarm</v>
      </c>
      <c r="B11570" s="4" t="str">
        <f>IFERROR(__xludf.DUMMYFUNCTION("""COMPUTED_VALUE"""),"swm")</f>
        <v>swm</v>
      </c>
      <c r="C11570" s="4" t="str">
        <f>IFERROR(__xludf.DUMMYFUNCTION("""COMPUTED_VALUE"""),"Swarm Network")</f>
        <v>Swarm Network</v>
      </c>
    </row>
    <row r="11571">
      <c r="A11571" s="4" t="str">
        <f>IFERROR(__xludf.DUMMYFUNCTION("""COMPUTED_VALUE"""),"swarm-bzz")</f>
        <v>swarm-bzz</v>
      </c>
      <c r="B11571" s="4" t="str">
        <f>IFERROR(__xludf.DUMMYFUNCTION("""COMPUTED_VALUE"""),"bzz")</f>
        <v>bzz</v>
      </c>
      <c r="C11571" s="4" t="str">
        <f>IFERROR(__xludf.DUMMYFUNCTION("""COMPUTED_VALUE"""),"Swarm")</f>
        <v>Swarm</v>
      </c>
    </row>
    <row r="11572">
      <c r="A11572" s="4" t="str">
        <f>IFERROR(__xludf.DUMMYFUNCTION("""COMPUTED_VALUE"""),"swarm-markets")</f>
        <v>swarm-markets</v>
      </c>
      <c r="B11572" s="4" t="str">
        <f>IFERROR(__xludf.DUMMYFUNCTION("""COMPUTED_VALUE"""),"smt")</f>
        <v>smt</v>
      </c>
      <c r="C11572" s="4" t="str">
        <f>IFERROR(__xludf.DUMMYFUNCTION("""COMPUTED_VALUE"""),"Swarm Markets")</f>
        <v>Swarm Markets</v>
      </c>
    </row>
    <row r="11573">
      <c r="A11573" s="4" t="str">
        <f>IFERROR(__xludf.DUMMYFUNCTION("""COMPUTED_VALUE"""),"swash")</f>
        <v>swash</v>
      </c>
      <c r="B11573" s="4" t="str">
        <f>IFERROR(__xludf.DUMMYFUNCTION("""COMPUTED_VALUE"""),"swash")</f>
        <v>swash</v>
      </c>
      <c r="C11573" s="4" t="str">
        <f>IFERROR(__xludf.DUMMYFUNCTION("""COMPUTED_VALUE"""),"Swash")</f>
        <v>Swash</v>
      </c>
    </row>
    <row r="11574">
      <c r="A11574" s="4" t="str">
        <f>IFERROR(__xludf.DUMMYFUNCTION("""COMPUTED_VALUE"""),"sway-social")</f>
        <v>sway-social</v>
      </c>
      <c r="B11574" s="4" t="str">
        <f>IFERROR(__xludf.DUMMYFUNCTION("""COMPUTED_VALUE"""),"sway")</f>
        <v>sway</v>
      </c>
      <c r="C11574" s="4" t="str">
        <f>IFERROR(__xludf.DUMMYFUNCTION("""COMPUTED_VALUE"""),"Sway Social")</f>
        <v>Sway Social</v>
      </c>
    </row>
    <row r="11575">
      <c r="A11575" s="4" t="str">
        <f>IFERROR(__xludf.DUMMYFUNCTION("""COMPUTED_VALUE"""),"sweatcoin")</f>
        <v>sweatcoin</v>
      </c>
      <c r="B11575" s="4" t="str">
        <f>IFERROR(__xludf.DUMMYFUNCTION("""COMPUTED_VALUE"""),"sweat")</f>
        <v>sweat</v>
      </c>
      <c r="C11575" s="4" t="str">
        <f>IFERROR(__xludf.DUMMYFUNCTION("""COMPUTED_VALUE"""),"Sweat Economy")</f>
        <v>Sweat Economy</v>
      </c>
    </row>
    <row r="11576">
      <c r="A11576" s="4" t="str">
        <f>IFERROR(__xludf.DUMMYFUNCTION("""COMPUTED_VALUE"""),"sweep-token")</f>
        <v>sweep-token</v>
      </c>
      <c r="B11576" s="4" t="str">
        <f>IFERROR(__xludf.DUMMYFUNCTION("""COMPUTED_VALUE"""),"sweep")</f>
        <v>sweep</v>
      </c>
      <c r="C11576" s="4" t="str">
        <f>IFERROR(__xludf.DUMMYFUNCTION("""COMPUTED_VALUE"""),"Sweep Token")</f>
        <v>Sweep Token</v>
      </c>
    </row>
    <row r="11577">
      <c r="A11577" s="4" t="str">
        <f>IFERROR(__xludf.DUMMYFUNCTION("""COMPUTED_VALUE"""),"sweet")</f>
        <v>sweet</v>
      </c>
      <c r="B11577" s="4" t="str">
        <f>IFERROR(__xludf.DUMMYFUNCTION("""COMPUTED_VALUE"""),"sweet")</f>
        <v>sweet</v>
      </c>
      <c r="C11577" s="4" t="str">
        <f>IFERROR(__xludf.DUMMYFUNCTION("""COMPUTED_VALUE"""),"Sweet")</f>
        <v>Sweet</v>
      </c>
    </row>
    <row r="11578">
      <c r="A11578" s="4" t="str">
        <f>IFERROR(__xludf.DUMMYFUNCTION("""COMPUTED_VALUE"""),"sweets")</f>
        <v>sweets</v>
      </c>
      <c r="B11578" s="4" t="str">
        <f>IFERROR(__xludf.DUMMYFUNCTION("""COMPUTED_VALUE"""),"$swts")</f>
        <v>$swts</v>
      </c>
      <c r="C11578" s="4" t="str">
        <f>IFERROR(__xludf.DUMMYFUNCTION("""COMPUTED_VALUE"""),"SWEETS")</f>
        <v>SWEETS</v>
      </c>
    </row>
    <row r="11579">
      <c r="A11579" s="4" t="str">
        <f>IFERROR(__xludf.DUMMYFUNCTION("""COMPUTED_VALUE"""),"swell-network")</f>
        <v>swell-network</v>
      </c>
      <c r="B11579" s="4" t="str">
        <f>IFERROR(__xludf.DUMMYFUNCTION("""COMPUTED_VALUE"""),"swell")</f>
        <v>swell</v>
      </c>
      <c r="C11579" s="4" t="str">
        <f>IFERROR(__xludf.DUMMYFUNCTION("""COMPUTED_VALUE"""),"Swell Network")</f>
        <v>Swell Network</v>
      </c>
    </row>
    <row r="11580">
      <c r="A11580" s="4" t="str">
        <f>IFERROR(__xludf.DUMMYFUNCTION("""COMPUTED_VALUE"""),"sweply")</f>
        <v>sweply</v>
      </c>
      <c r="B11580" s="4" t="str">
        <f>IFERROR(__xludf.DUMMYFUNCTION("""COMPUTED_VALUE"""),"swply")</f>
        <v>swply</v>
      </c>
      <c r="C11580" s="4" t="str">
        <f>IFERROR(__xludf.DUMMYFUNCTION("""COMPUTED_VALUE"""),"Sweply")</f>
        <v>Sweply</v>
      </c>
    </row>
    <row r="11581">
      <c r="A11581" s="4" t="str">
        <f>IFERROR(__xludf.DUMMYFUNCTION("""COMPUTED_VALUE"""),"swerve-dao")</f>
        <v>swerve-dao</v>
      </c>
      <c r="B11581" s="4" t="str">
        <f>IFERROR(__xludf.DUMMYFUNCTION("""COMPUTED_VALUE"""),"swrv")</f>
        <v>swrv</v>
      </c>
      <c r="C11581" s="4" t="str">
        <f>IFERROR(__xludf.DUMMYFUNCTION("""COMPUTED_VALUE"""),"Swerve")</f>
        <v>Swerve</v>
      </c>
    </row>
    <row r="11582">
      <c r="A11582" s="4" t="str">
        <f>IFERROR(__xludf.DUMMYFUNCTION("""COMPUTED_VALUE"""),"swerve-protocol")</f>
        <v>swerve-protocol</v>
      </c>
      <c r="B11582" s="4" t="str">
        <f>IFERROR(__xludf.DUMMYFUNCTION("""COMPUTED_VALUE"""),"swerve")</f>
        <v>swerve</v>
      </c>
      <c r="C11582" s="4" t="str">
        <f>IFERROR(__xludf.DUMMYFUNCTION("""COMPUTED_VALUE"""),"SWERVE Protocol")</f>
        <v>SWERVE Protocol</v>
      </c>
    </row>
    <row r="11583">
      <c r="A11583" s="4" t="str">
        <f>IFERROR(__xludf.DUMMYFUNCTION("""COMPUTED_VALUE"""),"sweth")</f>
        <v>sweth</v>
      </c>
      <c r="B11583" s="4" t="str">
        <f>IFERROR(__xludf.DUMMYFUNCTION("""COMPUTED_VALUE"""),"sweth")</f>
        <v>sweth</v>
      </c>
      <c r="C11583" s="4" t="str">
        <f>IFERROR(__xludf.DUMMYFUNCTION("""COMPUTED_VALUE"""),"Swell Ethereum")</f>
        <v>Swell Ethereum</v>
      </c>
    </row>
    <row r="11584">
      <c r="A11584" s="4" t="str">
        <f>IFERROR(__xludf.DUMMYFUNCTION("""COMPUTED_VALUE"""),"swftcoin")</f>
        <v>swftcoin</v>
      </c>
      <c r="B11584" s="4" t="str">
        <f>IFERROR(__xludf.DUMMYFUNCTION("""COMPUTED_VALUE"""),"swftc")</f>
        <v>swftc</v>
      </c>
      <c r="C11584" s="4" t="str">
        <f>IFERROR(__xludf.DUMMYFUNCTION("""COMPUTED_VALUE"""),"SWFTCOIN")</f>
        <v>SWFTCOIN</v>
      </c>
    </row>
    <row r="11585">
      <c r="A11585" s="4" t="str">
        <f>IFERROR(__xludf.DUMMYFUNCTION("""COMPUTED_VALUE"""),"swift")</f>
        <v>swift</v>
      </c>
      <c r="B11585" s="4" t="str">
        <f>IFERROR(__xludf.DUMMYFUNCTION("""COMPUTED_VALUE"""),"swift")</f>
        <v>swift</v>
      </c>
      <c r="C11585" s="4" t="str">
        <f>IFERROR(__xludf.DUMMYFUNCTION("""COMPUTED_VALUE"""),"Swift")</f>
        <v>Swift</v>
      </c>
    </row>
    <row r="11586">
      <c r="A11586" s="4" t="str">
        <f>IFERROR(__xludf.DUMMYFUNCTION("""COMPUTED_VALUE"""),"swiftbit")</f>
        <v>swiftbit</v>
      </c>
      <c r="B11586" s="4" t="str">
        <f>IFERROR(__xludf.DUMMYFUNCTION("""COMPUTED_VALUE"""),"sbc")</f>
        <v>sbc</v>
      </c>
      <c r="C11586" s="4" t="str">
        <f>IFERROR(__xludf.DUMMYFUNCTION("""COMPUTED_VALUE"""),"SwiftBit")</f>
        <v>SwiftBit</v>
      </c>
    </row>
    <row r="11587">
      <c r="A11587" s="4" t="str">
        <f>IFERROR(__xludf.DUMMYFUNCTION("""COMPUTED_VALUE"""),"swift-bot")</f>
        <v>swift-bot</v>
      </c>
      <c r="B11587" s="4" t="str">
        <f>IFERROR(__xludf.DUMMYFUNCTION("""COMPUTED_VALUE"""),"$swift")</f>
        <v>$swift</v>
      </c>
      <c r="C11587" s="4" t="str">
        <f>IFERROR(__xludf.DUMMYFUNCTION("""COMPUTED_VALUE"""),"Swift Bot")</f>
        <v>Swift Bot</v>
      </c>
    </row>
    <row r="11588">
      <c r="A11588" s="4" t="str">
        <f>IFERROR(__xludf.DUMMYFUNCTION("""COMPUTED_VALUE"""),"swiftcash")</f>
        <v>swiftcash</v>
      </c>
      <c r="B11588" s="4" t="str">
        <f>IFERROR(__xludf.DUMMYFUNCTION("""COMPUTED_VALUE"""),"swift")</f>
        <v>swift</v>
      </c>
      <c r="C11588" s="4" t="str">
        <f>IFERROR(__xludf.DUMMYFUNCTION("""COMPUTED_VALUE"""),"SwiftCash")</f>
        <v>SwiftCash</v>
      </c>
    </row>
    <row r="11589">
      <c r="A11589" s="4" t="str">
        <f>IFERROR(__xludf.DUMMYFUNCTION("""COMPUTED_VALUE"""),"swiftpad")</f>
        <v>swiftpad</v>
      </c>
      <c r="B11589" s="4" t="str">
        <f>IFERROR(__xludf.DUMMYFUNCTION("""COMPUTED_VALUE"""),"swift")</f>
        <v>swift</v>
      </c>
      <c r="C11589" s="4" t="str">
        <f>IFERROR(__xludf.DUMMYFUNCTION("""COMPUTED_VALUE"""),"SwiftPad")</f>
        <v>SwiftPad</v>
      </c>
    </row>
    <row r="11590">
      <c r="A11590" s="4" t="str">
        <f>IFERROR(__xludf.DUMMYFUNCTION("""COMPUTED_VALUE"""),"swiftswap")</f>
        <v>swiftswap</v>
      </c>
      <c r="B11590" s="4" t="str">
        <f>IFERROR(__xludf.DUMMYFUNCTION("""COMPUTED_VALUE"""),"sws")</f>
        <v>sws</v>
      </c>
      <c r="C11590" s="4" t="str">
        <f>IFERROR(__xludf.DUMMYFUNCTION("""COMPUTED_VALUE"""),"SwiftSwap")</f>
        <v>SwiftSwap</v>
      </c>
    </row>
    <row r="11591">
      <c r="A11591" s="4" t="str">
        <f>IFERROR(__xludf.DUMMYFUNCTION("""COMPUTED_VALUE"""),"swinca-2")</f>
        <v>swinca-2</v>
      </c>
      <c r="B11591" s="4" t="str">
        <f>IFERROR(__xludf.DUMMYFUNCTION("""COMPUTED_VALUE"""),"swi")</f>
        <v>swi</v>
      </c>
      <c r="C11591" s="4" t="str">
        <f>IFERROR(__xludf.DUMMYFUNCTION("""COMPUTED_VALUE"""),"Swinca")</f>
        <v>Swinca</v>
      </c>
    </row>
    <row r="11592">
      <c r="A11592" s="4" t="str">
        <f>IFERROR(__xludf.DUMMYFUNCTION("""COMPUTED_VALUE"""),"swingby")</f>
        <v>swingby</v>
      </c>
      <c r="B11592" s="4" t="str">
        <f>IFERROR(__xludf.DUMMYFUNCTION("""COMPUTED_VALUE"""),"swingby")</f>
        <v>swingby</v>
      </c>
      <c r="C11592" s="4" t="str">
        <f>IFERROR(__xludf.DUMMYFUNCTION("""COMPUTED_VALUE"""),"Swingby")</f>
        <v>Swingby</v>
      </c>
    </row>
    <row r="11593">
      <c r="A11593" s="4" t="str">
        <f>IFERROR(__xludf.DUMMYFUNCTION("""COMPUTED_VALUE"""),"swing-xyz")</f>
        <v>swing-xyz</v>
      </c>
      <c r="B11593" s="4" t="str">
        <f>IFERROR(__xludf.DUMMYFUNCTION("""COMPUTED_VALUE"""),"$swing")</f>
        <v>$swing</v>
      </c>
      <c r="C11593" s="4" t="str">
        <f>IFERROR(__xludf.DUMMYFUNCTION("""COMPUTED_VALUE"""),"Swing.xyz")</f>
        <v>Swing.xyz</v>
      </c>
    </row>
    <row r="11594">
      <c r="A11594" s="4" t="str">
        <f>IFERROR(__xludf.DUMMYFUNCTION("""COMPUTED_VALUE"""),"swipe")</f>
        <v>swipe</v>
      </c>
      <c r="B11594" s="4" t="str">
        <f>IFERROR(__xludf.DUMMYFUNCTION("""COMPUTED_VALUE"""),"sxp")</f>
        <v>sxp</v>
      </c>
      <c r="C11594" s="4" t="str">
        <f>IFERROR(__xludf.DUMMYFUNCTION("""COMPUTED_VALUE"""),"SXP")</f>
        <v>SXP</v>
      </c>
    </row>
    <row r="11595">
      <c r="A11595" s="4" t="str">
        <f>IFERROR(__xludf.DUMMYFUNCTION("""COMPUTED_VALUE"""),"swipe-token")</f>
        <v>swipe-token</v>
      </c>
      <c r="B11595" s="4" t="str">
        <f>IFERROR(__xludf.DUMMYFUNCTION("""COMPUTED_VALUE"""),"swipe")</f>
        <v>swipe</v>
      </c>
      <c r="C11595" s="4" t="str">
        <f>IFERROR(__xludf.DUMMYFUNCTION("""COMPUTED_VALUE"""),"Swipe Token")</f>
        <v>Swipe Token</v>
      </c>
    </row>
    <row r="11596">
      <c r="A11596" s="4" t="str">
        <f>IFERROR(__xludf.DUMMYFUNCTION("""COMPUTED_VALUE"""),"swirltoken")</f>
        <v>swirltoken</v>
      </c>
      <c r="B11596" s="4" t="str">
        <f>IFERROR(__xludf.DUMMYFUNCTION("""COMPUTED_VALUE"""),"swirl")</f>
        <v>swirl</v>
      </c>
      <c r="C11596" s="4" t="str">
        <f>IFERROR(__xludf.DUMMYFUNCTION("""COMPUTED_VALUE"""),"SwirlToken (OLD)")</f>
        <v>SwirlToken (OLD)</v>
      </c>
    </row>
    <row r="11597">
      <c r="A11597" s="4" t="str">
        <f>IFERROR(__xludf.DUMMYFUNCTION("""COMPUTED_VALUE"""),"swissborg")</f>
        <v>swissborg</v>
      </c>
      <c r="B11597" s="4" t="str">
        <f>IFERROR(__xludf.DUMMYFUNCTION("""COMPUTED_VALUE"""),"borg")</f>
        <v>borg</v>
      </c>
      <c r="C11597" s="4" t="str">
        <f>IFERROR(__xludf.DUMMYFUNCTION("""COMPUTED_VALUE"""),"SwissBorg")</f>
        <v>SwissBorg</v>
      </c>
    </row>
    <row r="11598">
      <c r="A11598" s="4" t="str">
        <f>IFERROR(__xludf.DUMMYFUNCTION("""COMPUTED_VALUE"""),"swisscheese")</f>
        <v>swisscheese</v>
      </c>
      <c r="B11598" s="4" t="str">
        <f>IFERROR(__xludf.DUMMYFUNCTION("""COMPUTED_VALUE"""),"swch")</f>
        <v>swch</v>
      </c>
      <c r="C11598" s="4" t="str">
        <f>IFERROR(__xludf.DUMMYFUNCTION("""COMPUTED_VALUE"""),"SwissCheese")</f>
        <v>SwissCheese</v>
      </c>
    </row>
    <row r="11599">
      <c r="A11599" s="4" t="str">
        <f>IFERROR(__xludf.DUMMYFUNCTION("""COMPUTED_VALUE"""),"switcheo")</f>
        <v>switcheo</v>
      </c>
      <c r="B11599" s="4" t="str">
        <f>IFERROR(__xludf.DUMMYFUNCTION("""COMPUTED_VALUE"""),"swth")</f>
        <v>swth</v>
      </c>
      <c r="C11599" s="4" t="str">
        <f>IFERROR(__xludf.DUMMYFUNCTION("""COMPUTED_VALUE"""),"Carbon Protocol")</f>
        <v>Carbon Protocol</v>
      </c>
    </row>
    <row r="11600">
      <c r="A11600" s="4" t="str">
        <f>IFERROR(__xludf.DUMMYFUNCTION("""COMPUTED_VALUE"""),"switch-token")</f>
        <v>switch-token</v>
      </c>
      <c r="B11600" s="4" t="str">
        <f>IFERROR(__xludf.DUMMYFUNCTION("""COMPUTED_VALUE"""),"switch")</f>
        <v>switch</v>
      </c>
      <c r="C11600" s="4" t="str">
        <f>IFERROR(__xludf.DUMMYFUNCTION("""COMPUTED_VALUE"""),"Switch Token")</f>
        <v>Switch Token</v>
      </c>
    </row>
    <row r="11601">
      <c r="A11601" s="4" t="str">
        <f>IFERROR(__xludf.DUMMYFUNCTION("""COMPUTED_VALUE"""),"swop")</f>
        <v>swop</v>
      </c>
      <c r="B11601" s="4" t="str">
        <f>IFERROR(__xludf.DUMMYFUNCTION("""COMPUTED_VALUE"""),"swop")</f>
        <v>swop</v>
      </c>
      <c r="C11601" s="4" t="str">
        <f>IFERROR(__xludf.DUMMYFUNCTION("""COMPUTED_VALUE"""),"Swop")</f>
        <v>Swop</v>
      </c>
    </row>
    <row r="11602">
      <c r="A11602" s="4" t="str">
        <f>IFERROR(__xludf.DUMMYFUNCTION("""COMPUTED_VALUE"""),"sword")</f>
        <v>sword</v>
      </c>
      <c r="B11602" s="4" t="str">
        <f>IFERROR(__xludf.DUMMYFUNCTION("""COMPUTED_VALUE"""),"sword")</f>
        <v>sword</v>
      </c>
      <c r="C11602" s="4" t="str">
        <f>IFERROR(__xludf.DUMMYFUNCTION("""COMPUTED_VALUE"""),"SWORD")</f>
        <v>SWORD</v>
      </c>
    </row>
    <row r="11603">
      <c r="A11603" s="4" t="str">
        <f>IFERROR(__xludf.DUMMYFUNCTION("""COMPUTED_VALUE"""),"sword-and-magic-world")</f>
        <v>sword-and-magic-world</v>
      </c>
      <c r="B11603" s="4" t="str">
        <f>IFERROR(__xludf.DUMMYFUNCTION("""COMPUTED_VALUE"""),"swo")</f>
        <v>swo</v>
      </c>
      <c r="C11603" s="4" t="str">
        <f>IFERROR(__xludf.DUMMYFUNCTION("""COMPUTED_VALUE"""),"Sword and Magic World")</f>
        <v>Sword and Magic World</v>
      </c>
    </row>
    <row r="11604">
      <c r="A11604" s="4" t="str">
        <f>IFERROR(__xludf.DUMMYFUNCTION("""COMPUTED_VALUE"""),"sword-bot")</f>
        <v>sword-bot</v>
      </c>
      <c r="B11604" s="4" t="str">
        <f>IFERROR(__xludf.DUMMYFUNCTION("""COMPUTED_VALUE"""),"sword")</f>
        <v>sword</v>
      </c>
      <c r="C11604" s="4" t="str">
        <f>IFERROR(__xludf.DUMMYFUNCTION("""COMPUTED_VALUE"""),"Sword Bot")</f>
        <v>Sword Bot</v>
      </c>
    </row>
    <row r="11605">
      <c r="A11605" s="4" t="str">
        <f>IFERROR(__xludf.DUMMYFUNCTION("""COMPUTED_VALUE"""),"sword-bsc-token")</f>
        <v>sword-bsc-token</v>
      </c>
      <c r="B11605" s="4" t="str">
        <f>IFERROR(__xludf.DUMMYFUNCTION("""COMPUTED_VALUE"""),"swdb")</f>
        <v>swdb</v>
      </c>
      <c r="C11605" s="4" t="str">
        <f>IFERROR(__xludf.DUMMYFUNCTION("""COMPUTED_VALUE"""),"Sword BSC Token")</f>
        <v>Sword BSC Token</v>
      </c>
    </row>
    <row r="11606">
      <c r="A11606" s="4" t="str">
        <f>IFERROR(__xludf.DUMMYFUNCTION("""COMPUTED_VALUE"""),"swot-ai")</f>
        <v>swot-ai</v>
      </c>
      <c r="B11606" s="4" t="str">
        <f>IFERROR(__xludf.DUMMYFUNCTION("""COMPUTED_VALUE"""),"swot")</f>
        <v>swot</v>
      </c>
      <c r="C11606" s="4" t="str">
        <f>IFERROR(__xludf.DUMMYFUNCTION("""COMPUTED_VALUE"""),"Swot AI")</f>
        <v>Swot AI</v>
      </c>
    </row>
    <row r="11607">
      <c r="A11607" s="4" t="str">
        <f>IFERROR(__xludf.DUMMYFUNCTION("""COMPUTED_VALUE"""),"swtcoin")</f>
        <v>swtcoin</v>
      </c>
      <c r="B11607" s="4" t="str">
        <f>IFERROR(__xludf.DUMMYFUNCTION("""COMPUTED_VALUE"""),"swat")</f>
        <v>swat</v>
      </c>
      <c r="C11607" s="4" t="str">
        <f>IFERROR(__xludf.DUMMYFUNCTION("""COMPUTED_VALUE"""),"SWTCoin")</f>
        <v>SWTCoin</v>
      </c>
    </row>
    <row r="11608">
      <c r="A11608" s="4" t="str">
        <f>IFERROR(__xludf.DUMMYFUNCTION("""COMPUTED_VALUE"""),"swusd")</f>
        <v>swusd</v>
      </c>
      <c r="B11608" s="4" t="str">
        <f>IFERROR(__xludf.DUMMYFUNCTION("""COMPUTED_VALUE"""),"swusd")</f>
        <v>swusd</v>
      </c>
      <c r="C11608" s="4" t="str">
        <f>IFERROR(__xludf.DUMMYFUNCTION("""COMPUTED_VALUE"""),"Swerve.fi USD")</f>
        <v>Swerve.fi USD</v>
      </c>
    </row>
    <row r="11609">
      <c r="A11609" s="4" t="str">
        <f>IFERROR(__xludf.DUMMYFUNCTION("""COMPUTED_VALUE"""),"swych")</f>
        <v>swych</v>
      </c>
      <c r="B11609" s="4" t="str">
        <f>IFERROR(__xludf.DUMMYFUNCTION("""COMPUTED_VALUE"""),"swych")</f>
        <v>swych</v>
      </c>
      <c r="C11609" s="4" t="str">
        <f>IFERROR(__xludf.DUMMYFUNCTION("""COMPUTED_VALUE"""),"Swych")</f>
        <v>Swych</v>
      </c>
    </row>
    <row r="11610">
      <c r="A11610" s="4" t="str">
        <f>IFERROR(__xludf.DUMMYFUNCTION("""COMPUTED_VALUE"""),"swyp-foundation")</f>
        <v>swyp-foundation</v>
      </c>
      <c r="B11610" s="4" t="str">
        <f>IFERROR(__xludf.DUMMYFUNCTION("""COMPUTED_VALUE"""),"swyp")</f>
        <v>swyp</v>
      </c>
      <c r="C11610" s="4" t="str">
        <f>IFERROR(__xludf.DUMMYFUNCTION("""COMPUTED_VALUE"""),"SWYP Foundation")</f>
        <v>SWYP Foundation</v>
      </c>
    </row>
    <row r="11611">
      <c r="A11611" s="4" t="str">
        <f>IFERROR(__xludf.DUMMYFUNCTION("""COMPUTED_VALUE"""),"sx-network")</f>
        <v>sx-network</v>
      </c>
      <c r="B11611" s="4" t="str">
        <f>IFERROR(__xludf.DUMMYFUNCTION("""COMPUTED_VALUE"""),"sx")</f>
        <v>sx</v>
      </c>
      <c r="C11611" s="4" t="str">
        <f>IFERROR(__xludf.DUMMYFUNCTION("""COMPUTED_VALUE"""),"SX Network (OLD)")</f>
        <v>SX Network (OLD)</v>
      </c>
    </row>
    <row r="11612">
      <c r="A11612" s="4" t="str">
        <f>IFERROR(__xludf.DUMMYFUNCTION("""COMPUTED_VALUE"""),"sx-network-2")</f>
        <v>sx-network-2</v>
      </c>
      <c r="B11612" s="4" t="str">
        <f>IFERROR(__xludf.DUMMYFUNCTION("""COMPUTED_VALUE"""),"sx")</f>
        <v>sx</v>
      </c>
      <c r="C11612" s="4" t="str">
        <f>IFERROR(__xludf.DUMMYFUNCTION("""COMPUTED_VALUE"""),"SX Network")</f>
        <v>SX Network</v>
      </c>
    </row>
    <row r="11613">
      <c r="A11613" s="4" t="str">
        <f>IFERROR(__xludf.DUMMYFUNCTION("""COMPUTED_VALUE"""),"sx-network-bridged-usdc-sx-network")</f>
        <v>sx-network-bridged-usdc-sx-network</v>
      </c>
      <c r="B11613" s="4" t="str">
        <f>IFERROR(__xludf.DUMMYFUNCTION("""COMPUTED_VALUE"""),"usdc")</f>
        <v>usdc</v>
      </c>
      <c r="C11613" s="4" t="str">
        <f>IFERROR(__xludf.DUMMYFUNCTION("""COMPUTED_VALUE"""),"SX Network Bridged USDC (SX Network)")</f>
        <v>SX Network Bridged USDC (SX Network)</v>
      </c>
    </row>
    <row r="11614">
      <c r="A11614" s="4" t="str">
        <f>IFERROR(__xludf.DUMMYFUNCTION("""COMPUTED_VALUE"""),"sybulls")</f>
        <v>sybulls</v>
      </c>
      <c r="B11614" s="4" t="str">
        <f>IFERROR(__xludf.DUMMYFUNCTION("""COMPUTED_VALUE"""),"sybl")</f>
        <v>sybl</v>
      </c>
      <c r="C11614" s="4" t="str">
        <f>IFERROR(__xludf.DUMMYFUNCTION("""COMPUTED_VALUE"""),"Sybulls")</f>
        <v>Sybulls</v>
      </c>
    </row>
    <row r="11615">
      <c r="A11615" s="4" t="str">
        <f>IFERROR(__xludf.DUMMYFUNCTION("""COMPUTED_VALUE"""),"sylo")</f>
        <v>sylo</v>
      </c>
      <c r="B11615" s="4" t="str">
        <f>IFERROR(__xludf.DUMMYFUNCTION("""COMPUTED_VALUE"""),"sylo")</f>
        <v>sylo</v>
      </c>
      <c r="C11615" s="4" t="str">
        <f>IFERROR(__xludf.DUMMYFUNCTION("""COMPUTED_VALUE"""),"Sylo")</f>
        <v>Sylo</v>
      </c>
    </row>
    <row r="11616">
      <c r="A11616" s="4" t="str">
        <f>IFERROR(__xludf.DUMMYFUNCTION("""COMPUTED_VALUE"""),"symbiosis-finance")</f>
        <v>symbiosis-finance</v>
      </c>
      <c r="B11616" s="4" t="str">
        <f>IFERROR(__xludf.DUMMYFUNCTION("""COMPUTED_VALUE"""),"sis")</f>
        <v>sis</v>
      </c>
      <c r="C11616" s="4" t="str">
        <f>IFERROR(__xludf.DUMMYFUNCTION("""COMPUTED_VALUE"""),"Symbiosis")</f>
        <v>Symbiosis</v>
      </c>
    </row>
    <row r="11617">
      <c r="A11617" s="4" t="str">
        <f>IFERROR(__xludf.DUMMYFUNCTION("""COMPUTED_VALUE"""),"symbol")</f>
        <v>symbol</v>
      </c>
      <c r="B11617" s="4" t="str">
        <f>IFERROR(__xludf.DUMMYFUNCTION("""COMPUTED_VALUE"""),"xym")</f>
        <v>xym</v>
      </c>
      <c r="C11617" s="4" t="str">
        <f>IFERROR(__xludf.DUMMYFUNCTION("""COMPUTED_VALUE"""),"Symbol")</f>
        <v>Symbol</v>
      </c>
    </row>
    <row r="11618">
      <c r="A11618" s="4" t="str">
        <f>IFERROR(__xludf.DUMMYFUNCTION("""COMPUTED_VALUE"""),"symmetry-solana-lsd-fund")</f>
        <v>symmetry-solana-lsd-fund</v>
      </c>
      <c r="B11618" s="4" t="str">
        <f>IFERROR(__xludf.DUMMYFUNCTION("""COMPUTED_VALUE"""),"ysol")</f>
        <v>ysol</v>
      </c>
      <c r="C11618" s="4" t="str">
        <f>IFERROR(__xludf.DUMMYFUNCTION("""COMPUTED_VALUE"""),"Symmetry Solana LSD Fund")</f>
        <v>Symmetry Solana LSD Fund</v>
      </c>
    </row>
    <row r="11619">
      <c r="A11619" s="4" t="str">
        <f>IFERROR(__xludf.DUMMYFUNCTION("""COMPUTED_VALUE"""),"symverse")</f>
        <v>symverse</v>
      </c>
      <c r="B11619" s="4" t="str">
        <f>IFERROR(__xludf.DUMMYFUNCTION("""COMPUTED_VALUE"""),"sym")</f>
        <v>sym</v>
      </c>
      <c r="C11619" s="4" t="str">
        <f>IFERROR(__xludf.DUMMYFUNCTION("""COMPUTED_VALUE"""),"SymVerse")</f>
        <v>SymVerse</v>
      </c>
    </row>
    <row r="11620">
      <c r="A11620" s="4" t="str">
        <f>IFERROR(__xludf.DUMMYFUNCTION("""COMPUTED_VALUE"""),"synapse-2")</f>
        <v>synapse-2</v>
      </c>
      <c r="B11620" s="4" t="str">
        <f>IFERROR(__xludf.DUMMYFUNCTION("""COMPUTED_VALUE"""),"syn")</f>
        <v>syn</v>
      </c>
      <c r="C11620" s="4" t="str">
        <f>IFERROR(__xludf.DUMMYFUNCTION("""COMPUTED_VALUE"""),"Synapse")</f>
        <v>Synapse</v>
      </c>
    </row>
    <row r="11621">
      <c r="A11621" s="4" t="str">
        <f>IFERROR(__xludf.DUMMYFUNCTION("""COMPUTED_VALUE"""),"synapse-bridged-usdc-canto")</f>
        <v>synapse-bridged-usdc-canto</v>
      </c>
      <c r="B11621" s="4" t="str">
        <f>IFERROR(__xludf.DUMMYFUNCTION("""COMPUTED_VALUE"""),"usdc")</f>
        <v>usdc</v>
      </c>
      <c r="C11621" s="4" t="str">
        <f>IFERROR(__xludf.DUMMYFUNCTION("""COMPUTED_VALUE"""),"Synapse Bridged USDC (Canto)")</f>
        <v>Synapse Bridged USDC (Canto)</v>
      </c>
    </row>
    <row r="11622">
      <c r="A11622" s="4" t="str">
        <f>IFERROR(__xludf.DUMMYFUNCTION("""COMPUTED_VALUE"""),"synapse-bridged-usdc-elastos")</f>
        <v>synapse-bridged-usdc-elastos</v>
      </c>
      <c r="B11622" s="4" t="str">
        <f>IFERROR(__xludf.DUMMYFUNCTION("""COMPUTED_VALUE"""),"usdc")</f>
        <v>usdc</v>
      </c>
      <c r="C11622" s="4" t="str">
        <f>IFERROR(__xludf.DUMMYFUNCTION("""COMPUTED_VALUE"""),"Synapse Bridged USDC (Elastos)")</f>
        <v>Synapse Bridged USDC (Elastos)</v>
      </c>
    </row>
    <row r="11623">
      <c r="A11623" s="4" t="str">
        <f>IFERROR(__xludf.DUMMYFUNCTION("""COMPUTED_VALUE"""),"synapse-bridged-usdc-klaytn")</f>
        <v>synapse-bridged-usdc-klaytn</v>
      </c>
      <c r="B11623" s="4" t="str">
        <f>IFERROR(__xludf.DUMMYFUNCTION("""COMPUTED_VALUE"""),"usdc")</f>
        <v>usdc</v>
      </c>
      <c r="C11623" s="4" t="str">
        <f>IFERROR(__xludf.DUMMYFUNCTION("""COMPUTED_VALUE"""),"Synapse Bridged USDC (Klaytn)")</f>
        <v>Synapse Bridged USDC (Klaytn)</v>
      </c>
    </row>
    <row r="11624">
      <c r="A11624" s="4" t="str">
        <f>IFERROR(__xludf.DUMMYFUNCTION("""COMPUTED_VALUE"""),"synapse-network-2")</f>
        <v>synapse-network-2</v>
      </c>
      <c r="B11624" s="4" t="str">
        <f>IFERROR(__xludf.DUMMYFUNCTION("""COMPUTED_VALUE"""),"zksnp")</f>
        <v>zksnp</v>
      </c>
      <c r="C11624" s="4" t="str">
        <f>IFERROR(__xludf.DUMMYFUNCTION("""COMPUTED_VALUE"""),"Synapse Network")</f>
        <v>Synapse Network</v>
      </c>
    </row>
    <row r="11625">
      <c r="A11625" s="4" t="str">
        <f>IFERROR(__xludf.DUMMYFUNCTION("""COMPUTED_VALUE"""),"synaptic-ai")</f>
        <v>synaptic-ai</v>
      </c>
      <c r="B11625" s="4" t="str">
        <f>IFERROR(__xludf.DUMMYFUNCTION("""COMPUTED_VALUE"""),"synapticai")</f>
        <v>synapticai</v>
      </c>
      <c r="C11625" s="4" t="str">
        <f>IFERROR(__xludf.DUMMYFUNCTION("""COMPUTED_VALUE"""),"Synaptic AI")</f>
        <v>Synaptic AI</v>
      </c>
    </row>
    <row r="11626">
      <c r="A11626" s="4" t="str">
        <f>IFERROR(__xludf.DUMMYFUNCTION("""COMPUTED_VALUE"""),"synatra-staked-sol")</f>
        <v>synatra-staked-sol</v>
      </c>
      <c r="B11626" s="4" t="str">
        <f>IFERROR(__xludf.DUMMYFUNCTION("""COMPUTED_VALUE"""),"ysol")</f>
        <v>ysol</v>
      </c>
      <c r="C11626" s="4" t="str">
        <f>IFERROR(__xludf.DUMMYFUNCTION("""COMPUTED_VALUE"""),"Synatra Staked SOL")</f>
        <v>Synatra Staked SOL</v>
      </c>
    </row>
    <row r="11627">
      <c r="A11627" s="4" t="str">
        <f>IFERROR(__xludf.DUMMYFUNCTION("""COMPUTED_VALUE"""),"syncdex")</f>
        <v>syncdex</v>
      </c>
      <c r="B11627" s="4" t="str">
        <f>IFERROR(__xludf.DUMMYFUNCTION("""COMPUTED_VALUE"""),"sydx")</f>
        <v>sydx</v>
      </c>
      <c r="C11627" s="4" t="str">
        <f>IFERROR(__xludf.DUMMYFUNCTION("""COMPUTED_VALUE"""),"SyncDex")</f>
        <v>SyncDex</v>
      </c>
    </row>
    <row r="11628">
      <c r="A11628" s="4" t="str">
        <f>IFERROR(__xludf.DUMMYFUNCTION("""COMPUTED_VALUE"""),"synchrony")</f>
        <v>synchrony</v>
      </c>
      <c r="B11628" s="4" t="str">
        <f>IFERROR(__xludf.DUMMYFUNCTION("""COMPUTED_VALUE"""),"scy")</f>
        <v>scy</v>
      </c>
      <c r="C11628" s="4" t="str">
        <f>IFERROR(__xludf.DUMMYFUNCTION("""COMPUTED_VALUE"""),"Synchrony")</f>
        <v>Synchrony</v>
      </c>
    </row>
    <row r="11629">
      <c r="A11629" s="4" t="str">
        <f>IFERROR(__xludf.DUMMYFUNCTION("""COMPUTED_VALUE"""),"synclub-staked-bnb")</f>
        <v>synclub-staked-bnb</v>
      </c>
      <c r="B11629" s="4" t="str">
        <f>IFERROR(__xludf.DUMMYFUNCTION("""COMPUTED_VALUE"""),"slisbnb")</f>
        <v>slisbnb</v>
      </c>
      <c r="C11629" s="4" t="str">
        <f>IFERROR(__xludf.DUMMYFUNCTION("""COMPUTED_VALUE"""),"Lista Staked BNB")</f>
        <v>Lista Staked BNB</v>
      </c>
    </row>
    <row r="11630">
      <c r="A11630" s="4" t="str">
        <f>IFERROR(__xludf.DUMMYFUNCTION("""COMPUTED_VALUE"""),"sync-network")</f>
        <v>sync-network</v>
      </c>
      <c r="B11630" s="4" t="str">
        <f>IFERROR(__xludf.DUMMYFUNCTION("""COMPUTED_VALUE"""),"sync")</f>
        <v>sync</v>
      </c>
      <c r="C11630" s="4" t="str">
        <f>IFERROR(__xludf.DUMMYFUNCTION("""COMPUTED_VALUE"""),"Sync Network")</f>
        <v>Sync Network</v>
      </c>
    </row>
    <row r="11631">
      <c r="A11631" s="4" t="str">
        <f>IFERROR(__xludf.DUMMYFUNCTION("""COMPUTED_VALUE"""),"syncus")</f>
        <v>syncus</v>
      </c>
      <c r="B11631" s="4" t="str">
        <f>IFERROR(__xludf.DUMMYFUNCTION("""COMPUTED_VALUE"""),"sync")</f>
        <v>sync</v>
      </c>
      <c r="C11631" s="4" t="str">
        <f>IFERROR(__xludf.DUMMYFUNCTION("""COMPUTED_VALUE"""),"Syncus")</f>
        <v>Syncus</v>
      </c>
    </row>
    <row r="11632">
      <c r="A11632" s="4" t="str">
        <f>IFERROR(__xludf.DUMMYFUNCTION("""COMPUTED_VALUE"""),"syndicate-2")</f>
        <v>syndicate-2</v>
      </c>
      <c r="B11632" s="4" t="str">
        <f>IFERROR(__xludf.DUMMYFUNCTION("""COMPUTED_VALUE"""),"synr")</f>
        <v>synr</v>
      </c>
      <c r="C11632" s="4" t="str">
        <f>IFERROR(__xludf.DUMMYFUNCTION("""COMPUTED_VALUE"""),"MOBLAND")</f>
        <v>MOBLAND</v>
      </c>
    </row>
    <row r="11633">
      <c r="A11633" s="4" t="str">
        <f>IFERROR(__xludf.DUMMYFUNCTION("""COMPUTED_VALUE"""),"synergy-crystal")</f>
        <v>synergy-crystal</v>
      </c>
      <c r="B11633" s="4" t="str">
        <f>IFERROR(__xludf.DUMMYFUNCTION("""COMPUTED_VALUE"""),"crs")</f>
        <v>crs</v>
      </c>
      <c r="C11633" s="4" t="str">
        <f>IFERROR(__xludf.DUMMYFUNCTION("""COMPUTED_VALUE"""),"Synergy Crystal")</f>
        <v>Synergy Crystal</v>
      </c>
    </row>
    <row r="11634">
      <c r="A11634" s="4" t="str">
        <f>IFERROR(__xludf.DUMMYFUNCTION("""COMPUTED_VALUE"""),"synergy-diamonds")</f>
        <v>synergy-diamonds</v>
      </c>
      <c r="B11634" s="4" t="str">
        <f>IFERROR(__xludf.DUMMYFUNCTION("""COMPUTED_VALUE"""),"dia")</f>
        <v>dia</v>
      </c>
      <c r="C11634" s="4" t="str">
        <f>IFERROR(__xludf.DUMMYFUNCTION("""COMPUTED_VALUE"""),"Synergy Diamonds")</f>
        <v>Synergy Diamonds</v>
      </c>
    </row>
    <row r="11635">
      <c r="A11635" s="4" t="str">
        <f>IFERROR(__xludf.DUMMYFUNCTION("""COMPUTED_VALUE"""),"synergy-land-token")</f>
        <v>synergy-land-token</v>
      </c>
      <c r="B11635" s="4" t="str">
        <f>IFERROR(__xludf.DUMMYFUNCTION("""COMPUTED_VALUE"""),"sng")</f>
        <v>sng</v>
      </c>
      <c r="C11635" s="4" t="str">
        <f>IFERROR(__xludf.DUMMYFUNCTION("""COMPUTED_VALUE"""),"Synergy Land Token")</f>
        <v>Synergy Land Token</v>
      </c>
    </row>
    <row r="11636">
      <c r="A11636" s="4" t="str">
        <f>IFERROR(__xludf.DUMMYFUNCTION("""COMPUTED_VALUE"""),"synesis-one")</f>
        <v>synesis-one</v>
      </c>
      <c r="B11636" s="4" t="str">
        <f>IFERROR(__xludf.DUMMYFUNCTION("""COMPUTED_VALUE"""),"sns")</f>
        <v>sns</v>
      </c>
      <c r="C11636" s="4" t="str">
        <f>IFERROR(__xludf.DUMMYFUNCTION("""COMPUTED_VALUE"""),"Synesis One")</f>
        <v>Synesis One</v>
      </c>
    </row>
    <row r="11637">
      <c r="A11637" s="4" t="str">
        <f>IFERROR(__xludf.DUMMYFUNCTION("""COMPUTED_VALUE"""),"synonym-finance")</f>
        <v>synonym-finance</v>
      </c>
      <c r="B11637" s="4" t="str">
        <f>IFERROR(__xludf.DUMMYFUNCTION("""COMPUTED_VALUE"""),"syno")</f>
        <v>syno</v>
      </c>
      <c r="C11637" s="4" t="str">
        <f>IFERROR(__xludf.DUMMYFUNCTION("""COMPUTED_VALUE"""),"Synonym Finance")</f>
        <v>Synonym Finance</v>
      </c>
    </row>
    <row r="11638">
      <c r="A11638" s="4" t="str">
        <f>IFERROR(__xludf.DUMMYFUNCTION("""COMPUTED_VALUE"""),"syntax-ai")</f>
        <v>syntax-ai</v>
      </c>
      <c r="B11638" s="4" t="str">
        <f>IFERROR(__xludf.DUMMYFUNCTION("""COMPUTED_VALUE"""),"syntx")</f>
        <v>syntx</v>
      </c>
      <c r="C11638" s="4" t="str">
        <f>IFERROR(__xludf.DUMMYFUNCTION("""COMPUTED_VALUE"""),"Syntax AI")</f>
        <v>Syntax AI</v>
      </c>
    </row>
    <row r="11639">
      <c r="A11639" s="4" t="str">
        <f>IFERROR(__xludf.DUMMYFUNCTION("""COMPUTED_VALUE"""),"synthai")</f>
        <v>synthai</v>
      </c>
      <c r="B11639" s="4" t="str">
        <f>IFERROR(__xludf.DUMMYFUNCTION("""COMPUTED_VALUE"""),"synthai")</f>
        <v>synthai</v>
      </c>
      <c r="C11639" s="4" t="str">
        <f>IFERROR(__xludf.DUMMYFUNCTION("""COMPUTED_VALUE"""),"SynthAI")</f>
        <v>SynthAI</v>
      </c>
    </row>
    <row r="11640">
      <c r="A11640" s="4" t="str">
        <f>IFERROR(__xludf.DUMMYFUNCTION("""COMPUTED_VALUE"""),"synth-ai")</f>
        <v>synth-ai</v>
      </c>
      <c r="B11640" s="4" t="str">
        <f>IFERROR(__xludf.DUMMYFUNCTION("""COMPUTED_VALUE"""),"syai")</f>
        <v>syai</v>
      </c>
      <c r="C11640" s="4" t="str">
        <f>IFERROR(__xludf.DUMMYFUNCTION("""COMPUTED_VALUE"""),"Synth Ai")</f>
        <v>Synth Ai</v>
      </c>
    </row>
    <row r="11641">
      <c r="A11641" s="4" t="str">
        <f>IFERROR(__xludf.DUMMYFUNCTION("""COMPUTED_VALUE"""),"synthetic-ai")</f>
        <v>synthetic-ai</v>
      </c>
      <c r="B11641" s="4" t="str">
        <f>IFERROR(__xludf.DUMMYFUNCTION("""COMPUTED_VALUE"""),"sai")</f>
        <v>sai</v>
      </c>
      <c r="C11641" s="4" t="str">
        <f>IFERROR(__xludf.DUMMYFUNCTION("""COMPUTED_VALUE"""),"Synthetic AI")</f>
        <v>Synthetic AI</v>
      </c>
    </row>
    <row r="11642">
      <c r="A11642" s="4" t="str">
        <f>IFERROR(__xludf.DUMMYFUNCTION("""COMPUTED_VALUE"""),"synthetic-usd")</f>
        <v>synthetic-usd</v>
      </c>
      <c r="B11642" s="4" t="str">
        <f>IFERROR(__xludf.DUMMYFUNCTION("""COMPUTED_VALUE"""),"xusd")</f>
        <v>xusd</v>
      </c>
      <c r="C11642" s="4" t="str">
        <f>IFERROR(__xludf.DUMMYFUNCTION("""COMPUTED_VALUE"""),"Synthetic USD")</f>
        <v>Synthetic USD</v>
      </c>
    </row>
    <row r="11643">
      <c r="A11643" s="4" t="str">
        <f>IFERROR(__xludf.DUMMYFUNCTION("""COMPUTED_VALUE"""),"synthetify-token")</f>
        <v>synthetify-token</v>
      </c>
      <c r="B11643" s="4" t="str">
        <f>IFERROR(__xludf.DUMMYFUNCTION("""COMPUTED_VALUE"""),"sny")</f>
        <v>sny</v>
      </c>
      <c r="C11643" s="4" t="str">
        <f>IFERROR(__xludf.DUMMYFUNCTION("""COMPUTED_VALUE"""),"Synthetify")</f>
        <v>Synthetify</v>
      </c>
    </row>
    <row r="11644">
      <c r="A11644" s="4" t="str">
        <f>IFERROR(__xludf.DUMMYFUNCTION("""COMPUTED_VALUE"""),"synth-ousd")</f>
        <v>synth-ousd</v>
      </c>
      <c r="B11644" s="4" t="str">
        <f>IFERROR(__xludf.DUMMYFUNCTION("""COMPUTED_VALUE"""),"ousd")</f>
        <v>ousd</v>
      </c>
      <c r="C11644" s="4" t="str">
        <f>IFERROR(__xludf.DUMMYFUNCTION("""COMPUTED_VALUE"""),"Synth oUSD")</f>
        <v>Synth oUSD</v>
      </c>
    </row>
    <row r="11645">
      <c r="A11645" s="4" t="str">
        <f>IFERROR(__xludf.DUMMYFUNCTION("""COMPUTED_VALUE"""),"synthswap")</f>
        <v>synthswap</v>
      </c>
      <c r="B11645" s="4" t="str">
        <f>IFERROR(__xludf.DUMMYFUNCTION("""COMPUTED_VALUE"""),"synth")</f>
        <v>synth</v>
      </c>
      <c r="C11645" s="4" t="str">
        <f>IFERROR(__xludf.DUMMYFUNCTION("""COMPUTED_VALUE"""),"Synthswap")</f>
        <v>Synthswap</v>
      </c>
    </row>
    <row r="11646">
      <c r="A11646" s="4" t="str">
        <f>IFERROR(__xludf.DUMMYFUNCTION("""COMPUTED_VALUE"""),"sypool")</f>
        <v>sypool</v>
      </c>
      <c r="B11646" s="4" t="str">
        <f>IFERROR(__xludf.DUMMYFUNCTION("""COMPUTED_VALUE"""),"syp")</f>
        <v>syp</v>
      </c>
      <c r="C11646" s="4" t="str">
        <f>IFERROR(__xludf.DUMMYFUNCTION("""COMPUTED_VALUE"""),"Sypool")</f>
        <v>Sypool</v>
      </c>
    </row>
    <row r="11647">
      <c r="A11647" s="4" t="str">
        <f>IFERROR(__xludf.DUMMYFUNCTION("""COMPUTED_VALUE"""),"syrup-finance")</f>
        <v>syrup-finance</v>
      </c>
      <c r="B11647" s="4" t="str">
        <f>IFERROR(__xludf.DUMMYFUNCTION("""COMPUTED_VALUE"""),"srx")</f>
        <v>srx</v>
      </c>
      <c r="C11647" s="4" t="str">
        <f>IFERROR(__xludf.DUMMYFUNCTION("""COMPUTED_VALUE"""),"Syrup Finance")</f>
        <v>Syrup Finance</v>
      </c>
    </row>
    <row r="11648">
      <c r="A11648" s="4" t="str">
        <f>IFERROR(__xludf.DUMMYFUNCTION("""COMPUTED_VALUE"""),"syscoin")</f>
        <v>syscoin</v>
      </c>
      <c r="B11648" s="4" t="str">
        <f>IFERROR(__xludf.DUMMYFUNCTION("""COMPUTED_VALUE"""),"sys")</f>
        <v>sys</v>
      </c>
      <c r="C11648" s="4" t="str">
        <f>IFERROR(__xludf.DUMMYFUNCTION("""COMPUTED_VALUE"""),"Syscoin")</f>
        <v>Syscoin</v>
      </c>
    </row>
    <row r="11649">
      <c r="A11649" s="4" t="str">
        <f>IFERROR(__xludf.DUMMYFUNCTION("""COMPUTED_VALUE"""),"t23")</f>
        <v>t23</v>
      </c>
      <c r="B11649" s="4" t="str">
        <f>IFERROR(__xludf.DUMMYFUNCTION("""COMPUTED_VALUE"""),"t23")</f>
        <v>t23</v>
      </c>
      <c r="C11649" s="4" t="str">
        <f>IFERROR(__xludf.DUMMYFUNCTION("""COMPUTED_VALUE"""),"T23")</f>
        <v>T23</v>
      </c>
    </row>
    <row r="11650">
      <c r="A11650" s="4" t="str">
        <f>IFERROR(__xludf.DUMMYFUNCTION("""COMPUTED_VALUE"""),"t2t2")</f>
        <v>t2t2</v>
      </c>
      <c r="B11650" s="4" t="str">
        <f>IFERROR(__xludf.DUMMYFUNCTION("""COMPUTED_VALUE"""),"t2t2")</f>
        <v>t2t2</v>
      </c>
      <c r="C11650" s="4" t="str">
        <f>IFERROR(__xludf.DUMMYFUNCTION("""COMPUTED_VALUE"""),"T2T2")</f>
        <v>T2T2</v>
      </c>
    </row>
    <row r="11651">
      <c r="A11651" s="4" t="str">
        <f>IFERROR(__xludf.DUMMYFUNCTION("""COMPUTED_VALUE"""),"t3rn")</f>
        <v>t3rn</v>
      </c>
      <c r="B11651" s="4" t="str">
        <f>IFERROR(__xludf.DUMMYFUNCTION("""COMPUTED_VALUE"""),"trn")</f>
        <v>trn</v>
      </c>
      <c r="C11651" s="4" t="str">
        <f>IFERROR(__xludf.DUMMYFUNCTION("""COMPUTED_VALUE"""),"t3rn")</f>
        <v>t3rn</v>
      </c>
    </row>
    <row r="11652">
      <c r="A11652" s="4" t="str">
        <f>IFERROR(__xludf.DUMMYFUNCTION("""COMPUTED_VALUE"""),"tabank")</f>
        <v>tabank</v>
      </c>
      <c r="B11652" s="4" t="str">
        <f>IFERROR(__xludf.DUMMYFUNCTION("""COMPUTED_VALUE"""),"tab")</f>
        <v>tab</v>
      </c>
      <c r="C11652" s="4" t="str">
        <f>IFERROR(__xludf.DUMMYFUNCTION("""COMPUTED_VALUE"""),"Tabank")</f>
        <v>Tabank</v>
      </c>
    </row>
    <row r="11653">
      <c r="A11653" s="4" t="str">
        <f>IFERROR(__xludf.DUMMYFUNCTION("""COMPUTED_VALUE"""),"tabbypos")</f>
        <v>tabbypos</v>
      </c>
      <c r="B11653" s="4" t="str">
        <f>IFERROR(__xludf.DUMMYFUNCTION("""COMPUTED_VALUE"""),"epos")</f>
        <v>epos</v>
      </c>
      <c r="C11653" s="4" t="str">
        <f>IFERROR(__xludf.DUMMYFUNCTION("""COMPUTED_VALUE"""),"TabbyPOS")</f>
        <v>TabbyPOS</v>
      </c>
    </row>
    <row r="11654">
      <c r="A11654" s="4" t="str">
        <f>IFERROR(__xludf.DUMMYFUNCTION("""COMPUTED_VALUE"""),"tabo")</f>
        <v>tabo</v>
      </c>
      <c r="B11654" s="4" t="str">
        <f>IFERROR(__xludf.DUMMYFUNCTION("""COMPUTED_VALUE"""),"tabo")</f>
        <v>tabo</v>
      </c>
      <c r="C11654" s="4" t="str">
        <f>IFERROR(__xludf.DUMMYFUNCTION("""COMPUTED_VALUE"""),"TABO")</f>
        <v>TABO</v>
      </c>
    </row>
    <row r="11655">
      <c r="A11655" s="4" t="str">
        <f>IFERROR(__xludf.DUMMYFUNCTION("""COMPUTED_VALUE"""),"taboo-token")</f>
        <v>taboo-token</v>
      </c>
      <c r="B11655" s="4" t="str">
        <f>IFERROR(__xludf.DUMMYFUNCTION("""COMPUTED_VALUE"""),"taboo")</f>
        <v>taboo</v>
      </c>
      <c r="C11655" s="4" t="str">
        <f>IFERROR(__xludf.DUMMYFUNCTION("""COMPUTED_VALUE"""),"Taboo")</f>
        <v>Taboo</v>
      </c>
    </row>
    <row r="11656">
      <c r="A11656" s="4" t="str">
        <f>IFERROR(__xludf.DUMMYFUNCTION("""COMPUTED_VALUE"""),"tabtrader")</f>
        <v>tabtrader</v>
      </c>
      <c r="B11656" s="4" t="str">
        <f>IFERROR(__xludf.DUMMYFUNCTION("""COMPUTED_VALUE"""),"ttt")</f>
        <v>ttt</v>
      </c>
      <c r="C11656" s="4" t="str">
        <f>IFERROR(__xludf.DUMMYFUNCTION("""COMPUTED_VALUE"""),"TabTrader")</f>
        <v>TabTrader</v>
      </c>
    </row>
    <row r="11657">
      <c r="A11657" s="4" t="str">
        <f>IFERROR(__xludf.DUMMYFUNCTION("""COMPUTED_VALUE"""),"tacocat")</f>
        <v>tacocat</v>
      </c>
      <c r="B11657" s="4" t="str">
        <f>IFERROR(__xludf.DUMMYFUNCTION("""COMPUTED_VALUE"""),"tacocat")</f>
        <v>tacocat</v>
      </c>
      <c r="C11657" s="4" t="str">
        <f>IFERROR(__xludf.DUMMYFUNCTION("""COMPUTED_VALUE"""),"TACOCAT")</f>
        <v>TACOCAT</v>
      </c>
    </row>
    <row r="11658">
      <c r="A11658" s="4" t="str">
        <f>IFERROR(__xludf.DUMMYFUNCTION("""COMPUTED_VALUE"""),"ta-da")</f>
        <v>ta-da</v>
      </c>
      <c r="B11658" s="4" t="str">
        <f>IFERROR(__xludf.DUMMYFUNCTION("""COMPUTED_VALUE"""),"tada")</f>
        <v>tada</v>
      </c>
      <c r="C11658" s="4" t="str">
        <f>IFERROR(__xludf.DUMMYFUNCTION("""COMPUTED_VALUE"""),"Ta-da")</f>
        <v>Ta-da</v>
      </c>
    </row>
    <row r="11659">
      <c r="A11659" s="4" t="str">
        <f>IFERROR(__xludf.DUMMYFUNCTION("""COMPUTED_VALUE"""),"taggr")</f>
        <v>taggr</v>
      </c>
      <c r="B11659" s="4" t="str">
        <f>IFERROR(__xludf.DUMMYFUNCTION("""COMPUTED_VALUE"""),"taggr")</f>
        <v>taggr</v>
      </c>
      <c r="C11659" s="4" t="str">
        <f>IFERROR(__xludf.DUMMYFUNCTION("""COMPUTED_VALUE"""),"TAGGR")</f>
        <v>TAGGR</v>
      </c>
    </row>
    <row r="11660">
      <c r="A11660" s="4" t="str">
        <f>IFERROR(__xludf.DUMMYFUNCTION("""COMPUTED_VALUE"""),"taho")</f>
        <v>taho</v>
      </c>
      <c r="B11660" s="4" t="str">
        <f>IFERROR(__xludf.DUMMYFUNCTION("""COMPUTED_VALUE"""),"taho")</f>
        <v>taho</v>
      </c>
      <c r="C11660" s="4" t="str">
        <f>IFERROR(__xludf.DUMMYFUNCTION("""COMPUTED_VALUE"""),"Taho")</f>
        <v>Taho</v>
      </c>
    </row>
    <row r="11661">
      <c r="A11661" s="4" t="str">
        <f>IFERROR(__xludf.DUMMYFUNCTION("""COMPUTED_VALUE"""),"tahu")</f>
        <v>tahu</v>
      </c>
      <c r="B11661" s="4" t="str">
        <f>IFERROR(__xludf.DUMMYFUNCTION("""COMPUTED_VALUE"""),"tahu")</f>
        <v>tahu</v>
      </c>
      <c r="C11661" s="4" t="str">
        <f>IFERROR(__xludf.DUMMYFUNCTION("""COMPUTED_VALUE"""),"TAHU")</f>
        <v>TAHU</v>
      </c>
    </row>
    <row r="11662">
      <c r="A11662" s="4" t="str">
        <f>IFERROR(__xludf.DUMMYFUNCTION("""COMPUTED_VALUE"""),"tai")</f>
        <v>tai</v>
      </c>
      <c r="B11662" s="4" t="str">
        <f>IFERROR(__xludf.DUMMYFUNCTION("""COMPUTED_VALUE"""),"tai")</f>
        <v>tai</v>
      </c>
      <c r="C11662" s="4" t="str">
        <f>IFERROR(__xludf.DUMMYFUNCTION("""COMPUTED_VALUE"""),"tBridge")</f>
        <v>tBridge</v>
      </c>
    </row>
    <row r="11663">
      <c r="A11663" s="4" t="str">
        <f>IFERROR(__xludf.DUMMYFUNCTION("""COMPUTED_VALUE"""),"taikai")</f>
        <v>taikai</v>
      </c>
      <c r="B11663" s="4" t="str">
        <f>IFERROR(__xludf.DUMMYFUNCTION("""COMPUTED_VALUE"""),"tkai")</f>
        <v>tkai</v>
      </c>
      <c r="C11663" s="4" t="str">
        <f>IFERROR(__xludf.DUMMYFUNCTION("""COMPUTED_VALUE"""),"TAIKAI")</f>
        <v>TAIKAI</v>
      </c>
    </row>
    <row r="11664">
      <c r="A11664" s="4" t="str">
        <f>IFERROR(__xludf.DUMMYFUNCTION("""COMPUTED_VALUE"""),"taikula-coin")</f>
        <v>taikula-coin</v>
      </c>
      <c r="B11664" s="4" t="str">
        <f>IFERROR(__xludf.DUMMYFUNCTION("""COMPUTED_VALUE"""),"taikula")</f>
        <v>taikula</v>
      </c>
      <c r="C11664" s="4" t="str">
        <f>IFERROR(__xludf.DUMMYFUNCTION("""COMPUTED_VALUE"""),"Taikula Coin")</f>
        <v>Taikula Coin</v>
      </c>
    </row>
    <row r="11665">
      <c r="A11665" s="4" t="str">
        <f>IFERROR(__xludf.DUMMYFUNCTION("""COMPUTED_VALUE"""),"tail")</f>
        <v>tail</v>
      </c>
      <c r="B11665" s="4" t="str">
        <f>IFERROR(__xludf.DUMMYFUNCTION("""COMPUTED_VALUE"""),"tail")</f>
        <v>tail</v>
      </c>
      <c r="C11665" s="4" t="str">
        <f>IFERROR(__xludf.DUMMYFUNCTION("""COMPUTED_VALUE"""),"Tail")</f>
        <v>Tail</v>
      </c>
    </row>
    <row r="11666">
      <c r="A11666" s="4" t="str">
        <f>IFERROR(__xludf.DUMMYFUNCTION("""COMPUTED_VALUE"""),"tai-money")</f>
        <v>tai-money</v>
      </c>
      <c r="B11666" s="4" t="str">
        <f>IFERROR(__xludf.DUMMYFUNCTION("""COMPUTED_VALUE"""),"tai")</f>
        <v>tai</v>
      </c>
      <c r="C11666" s="4" t="str">
        <f>IFERROR(__xludf.DUMMYFUNCTION("""COMPUTED_VALUE"""),"TAI")</f>
        <v>TAI</v>
      </c>
    </row>
    <row r="11667">
      <c r="A11667" s="4" t="str">
        <f>IFERROR(__xludf.DUMMYFUNCTION("""COMPUTED_VALUE"""),"tajcoin")</f>
        <v>tajcoin</v>
      </c>
      <c r="B11667" s="4" t="str">
        <f>IFERROR(__xludf.DUMMYFUNCTION("""COMPUTED_VALUE"""),"taj")</f>
        <v>taj</v>
      </c>
      <c r="C11667" s="4" t="str">
        <f>IFERROR(__xludf.DUMMYFUNCTION("""COMPUTED_VALUE"""),"TajCoin")</f>
        <v>TajCoin</v>
      </c>
    </row>
    <row r="11668">
      <c r="A11668" s="4" t="str">
        <f>IFERROR(__xludf.DUMMYFUNCTION("""COMPUTED_VALUE"""),"takamaka-green-coin")</f>
        <v>takamaka-green-coin</v>
      </c>
      <c r="B11668" s="4" t="str">
        <f>IFERROR(__xludf.DUMMYFUNCTION("""COMPUTED_VALUE"""),"tkg")</f>
        <v>tkg</v>
      </c>
      <c r="C11668" s="4" t="str">
        <f>IFERROR(__xludf.DUMMYFUNCTION("""COMPUTED_VALUE"""),"Takamaka")</f>
        <v>Takamaka</v>
      </c>
    </row>
    <row r="11669">
      <c r="A11669" s="4" t="str">
        <f>IFERROR(__xludf.DUMMYFUNCTION("""COMPUTED_VALUE"""),"takepile")</f>
        <v>takepile</v>
      </c>
      <c r="B11669" s="4" t="str">
        <f>IFERROR(__xludf.DUMMYFUNCTION("""COMPUTED_VALUE"""),"take")</f>
        <v>take</v>
      </c>
      <c r="C11669" s="4" t="str">
        <f>IFERROR(__xludf.DUMMYFUNCTION("""COMPUTED_VALUE"""),"Takepile")</f>
        <v>Takepile</v>
      </c>
    </row>
    <row r="11670">
      <c r="A11670" s="4" t="str">
        <f>IFERROR(__xludf.DUMMYFUNCTION("""COMPUTED_VALUE"""),"taki")</f>
        <v>taki</v>
      </c>
      <c r="B11670" s="4" t="str">
        <f>IFERROR(__xludf.DUMMYFUNCTION("""COMPUTED_VALUE"""),"taki")</f>
        <v>taki</v>
      </c>
      <c r="C11670" s="4" t="str">
        <f>IFERROR(__xludf.DUMMYFUNCTION("""COMPUTED_VALUE"""),"Taki Games")</f>
        <v>Taki Games</v>
      </c>
    </row>
    <row r="11671">
      <c r="A11671" s="4" t="str">
        <f>IFERROR(__xludf.DUMMYFUNCTION("""COMPUTED_VALUE"""),"talaxeum")</f>
        <v>talaxeum</v>
      </c>
      <c r="B11671" s="4" t="str">
        <f>IFERROR(__xludf.DUMMYFUNCTION("""COMPUTED_VALUE"""),"talax")</f>
        <v>talax</v>
      </c>
      <c r="C11671" s="4" t="str">
        <f>IFERROR(__xludf.DUMMYFUNCTION("""COMPUTED_VALUE"""),"Talaxeum")</f>
        <v>Talaxeum</v>
      </c>
    </row>
    <row r="11672">
      <c r="A11672" s="4" t="str">
        <f>IFERROR(__xludf.DUMMYFUNCTION("""COMPUTED_VALUE"""),"talecraft")</f>
        <v>talecraft</v>
      </c>
      <c r="B11672" s="4" t="str">
        <f>IFERROR(__xludf.DUMMYFUNCTION("""COMPUTED_VALUE"""),"craft")</f>
        <v>craft</v>
      </c>
      <c r="C11672" s="4" t="str">
        <f>IFERROR(__xludf.DUMMYFUNCTION("""COMPUTED_VALUE"""),"TaleCraft")</f>
        <v>TaleCraft</v>
      </c>
    </row>
    <row r="11673">
      <c r="A11673" s="4" t="str">
        <f>IFERROR(__xludf.DUMMYFUNCTION("""COMPUTED_VALUE"""),"talent-coin")</f>
        <v>talent-coin</v>
      </c>
      <c r="B11673" s="4" t="str">
        <f>IFERROR(__xludf.DUMMYFUNCTION("""COMPUTED_VALUE"""),"tlnt")</f>
        <v>tlnt</v>
      </c>
      <c r="C11673" s="4" t="str">
        <f>IFERROR(__xludf.DUMMYFUNCTION("""COMPUTED_VALUE"""),"Talent Coin")</f>
        <v>Talent Coin</v>
      </c>
    </row>
    <row r="11674">
      <c r="A11674" s="4" t="str">
        <f>IFERROR(__xludf.DUMMYFUNCTION("""COMPUTED_VALUE"""),"talentido")</f>
        <v>talentido</v>
      </c>
      <c r="B11674" s="4" t="str">
        <f>IFERROR(__xludf.DUMMYFUNCTION("""COMPUTED_VALUE"""),"tal")</f>
        <v>tal</v>
      </c>
      <c r="C11674" s="4" t="str">
        <f>IFERROR(__xludf.DUMMYFUNCTION("""COMPUTED_VALUE"""),"TalentIDO")</f>
        <v>TalentIDO</v>
      </c>
    </row>
    <row r="11675">
      <c r="A11675" s="4" t="str">
        <f>IFERROR(__xludf.DUMMYFUNCTION("""COMPUTED_VALUE"""),"taler")</f>
        <v>taler</v>
      </c>
      <c r="B11675" s="4" t="str">
        <f>IFERROR(__xludf.DUMMYFUNCTION("""COMPUTED_VALUE"""),"tlr")</f>
        <v>tlr</v>
      </c>
      <c r="C11675" s="4" t="str">
        <f>IFERROR(__xludf.DUMMYFUNCTION("""COMPUTED_VALUE"""),"Taler")</f>
        <v>Taler</v>
      </c>
    </row>
    <row r="11676">
      <c r="A11676" s="4" t="str">
        <f>IFERROR(__xludf.DUMMYFUNCTION("""COMPUTED_VALUE"""),"talis-protocol")</f>
        <v>talis-protocol</v>
      </c>
      <c r="B11676" s="4" t="str">
        <f>IFERROR(__xludf.DUMMYFUNCTION("""COMPUTED_VALUE"""),"talis")</f>
        <v>talis</v>
      </c>
      <c r="C11676" s="4" t="str">
        <f>IFERROR(__xludf.DUMMYFUNCTION("""COMPUTED_VALUE"""),"Talis Protocol")</f>
        <v>Talis Protocol</v>
      </c>
    </row>
    <row r="11677">
      <c r="A11677" s="4" t="str">
        <f>IFERROR(__xludf.DUMMYFUNCTION("""COMPUTED_VALUE"""),"talkado")</f>
        <v>talkado</v>
      </c>
      <c r="B11677" s="4" t="str">
        <f>IFERROR(__xludf.DUMMYFUNCTION("""COMPUTED_VALUE"""),"talk")</f>
        <v>talk</v>
      </c>
      <c r="C11677" s="4" t="str">
        <f>IFERROR(__xludf.DUMMYFUNCTION("""COMPUTED_VALUE"""),"Talkado")</f>
        <v>Talkado</v>
      </c>
    </row>
    <row r="11678">
      <c r="A11678" s="4" t="str">
        <f>IFERROR(__xludf.DUMMYFUNCTION("""COMPUTED_VALUE"""),"talken")</f>
        <v>talken</v>
      </c>
      <c r="B11678" s="4" t="str">
        <f>IFERROR(__xludf.DUMMYFUNCTION("""COMPUTED_VALUE"""),"talk")</f>
        <v>talk</v>
      </c>
      <c r="C11678" s="4" t="str">
        <f>IFERROR(__xludf.DUMMYFUNCTION("""COMPUTED_VALUE"""),"Talken")</f>
        <v>Talken</v>
      </c>
    </row>
    <row r="11679">
      <c r="A11679" s="4" t="str">
        <f>IFERROR(__xludf.DUMMYFUNCTION("""COMPUTED_VALUE"""),"talki")</f>
        <v>talki</v>
      </c>
      <c r="B11679" s="4" t="str">
        <f>IFERROR(__xludf.DUMMYFUNCTION("""COMPUTED_VALUE"""),"tal")</f>
        <v>tal</v>
      </c>
      <c r="C11679" s="4" t="str">
        <f>IFERROR(__xludf.DUMMYFUNCTION("""COMPUTED_VALUE"""),"TALKI")</f>
        <v>TALKI</v>
      </c>
    </row>
    <row r="11680">
      <c r="A11680" s="4" t="str">
        <f>IFERROR(__xludf.DUMMYFUNCTION("""COMPUTED_VALUE"""),"tamadoge")</f>
        <v>tamadoge</v>
      </c>
      <c r="B11680" s="4" t="str">
        <f>IFERROR(__xludf.DUMMYFUNCTION("""COMPUTED_VALUE"""),"tama")</f>
        <v>tama</v>
      </c>
      <c r="C11680" s="4" t="str">
        <f>IFERROR(__xludf.DUMMYFUNCTION("""COMPUTED_VALUE"""),"Tamadoge")</f>
        <v>Tamadoge</v>
      </c>
    </row>
    <row r="11681">
      <c r="A11681" s="4" t="str">
        <f>IFERROR(__xludf.DUMMYFUNCTION("""COMPUTED_VALUE"""),"tama-finance")</f>
        <v>tama-finance</v>
      </c>
      <c r="B11681" s="4" t="str">
        <f>IFERROR(__xludf.DUMMYFUNCTION("""COMPUTED_VALUE"""),"tama")</f>
        <v>tama</v>
      </c>
      <c r="C11681" s="4" t="str">
        <f>IFERROR(__xludf.DUMMYFUNCTION("""COMPUTED_VALUE"""),"Tama Finance")</f>
        <v>Tama Finance</v>
      </c>
    </row>
    <row r="11682">
      <c r="A11682" s="4" t="str">
        <f>IFERROR(__xludf.DUMMYFUNCTION("""COMPUTED_VALUE"""),"tamagotchi")</f>
        <v>tamagotchi</v>
      </c>
      <c r="B11682" s="4" t="str">
        <f>IFERROR(__xludf.DUMMYFUNCTION("""COMPUTED_VALUE"""),"gotchi")</f>
        <v>gotchi</v>
      </c>
      <c r="C11682" s="4" t="str">
        <f>IFERROR(__xludf.DUMMYFUNCTION("""COMPUTED_VALUE"""),"Tamagotchi")</f>
        <v>Tamagotchi</v>
      </c>
    </row>
    <row r="11683">
      <c r="A11683" s="4" t="str">
        <f>IFERROR(__xludf.DUMMYFUNCTION("""COMPUTED_VALUE"""),"tamkin")</f>
        <v>tamkin</v>
      </c>
      <c r="B11683" s="4" t="str">
        <f>IFERROR(__xludf.DUMMYFUNCTION("""COMPUTED_VALUE"""),"tslt")</f>
        <v>tslt</v>
      </c>
      <c r="C11683" s="4" t="str">
        <f>IFERROR(__xludf.DUMMYFUNCTION("""COMPUTED_VALUE"""),"Tamkin")</f>
        <v>Tamkin</v>
      </c>
    </row>
    <row r="11684">
      <c r="A11684" s="4" t="str">
        <f>IFERROR(__xludf.DUMMYFUNCTION("""COMPUTED_VALUE"""),"tangent")</f>
        <v>tangent</v>
      </c>
      <c r="B11684" s="4" t="str">
        <f>IFERROR(__xludf.DUMMYFUNCTION("""COMPUTED_VALUE"""),"tang")</f>
        <v>tang</v>
      </c>
      <c r="C11684" s="4" t="str">
        <f>IFERROR(__xludf.DUMMYFUNCTION("""COMPUTED_VALUE"""),"Tangent")</f>
        <v>Tangent</v>
      </c>
    </row>
    <row r="11685">
      <c r="A11685" s="4" t="str">
        <f>IFERROR(__xludf.DUMMYFUNCTION("""COMPUTED_VALUE"""),"tangible")</f>
        <v>tangible</v>
      </c>
      <c r="B11685" s="4" t="str">
        <f>IFERROR(__xludf.DUMMYFUNCTION("""COMPUTED_VALUE"""),"tngbl")</f>
        <v>tngbl</v>
      </c>
      <c r="C11685" s="4" t="str">
        <f>IFERROR(__xludf.DUMMYFUNCTION("""COMPUTED_VALUE"""),"Tangible")</f>
        <v>Tangible</v>
      </c>
    </row>
    <row r="11686">
      <c r="A11686" s="4" t="str">
        <f>IFERROR(__xludf.DUMMYFUNCTION("""COMPUTED_VALUE"""),"tangleswap-void")</f>
        <v>tangleswap-void</v>
      </c>
      <c r="B11686" s="4" t="str">
        <f>IFERROR(__xludf.DUMMYFUNCTION("""COMPUTED_VALUE"""),"void")</f>
        <v>void</v>
      </c>
      <c r="C11686" s="4" t="str">
        <f>IFERROR(__xludf.DUMMYFUNCTION("""COMPUTED_VALUE"""),"TangleSwap VOID")</f>
        <v>TangleSwap VOID</v>
      </c>
    </row>
    <row r="11687">
      <c r="A11687" s="4" t="str">
        <f>IFERROR(__xludf.DUMMYFUNCTION("""COMPUTED_VALUE"""),"tangoswap")</f>
        <v>tangoswap</v>
      </c>
      <c r="B11687" s="4" t="str">
        <f>IFERROR(__xludf.DUMMYFUNCTION("""COMPUTED_VALUE"""),"tango")</f>
        <v>tango</v>
      </c>
      <c r="C11687" s="4" t="str">
        <f>IFERROR(__xludf.DUMMYFUNCTION("""COMPUTED_VALUE"""),"TangoSwap")</f>
        <v>TangoSwap</v>
      </c>
    </row>
    <row r="11688">
      <c r="A11688" s="4" t="str">
        <f>IFERROR(__xludf.DUMMYFUNCTION("""COMPUTED_VALUE"""),"tangyuan")</f>
        <v>tangyuan</v>
      </c>
      <c r="B11688" s="4" t="str">
        <f>IFERROR(__xludf.DUMMYFUNCTION("""COMPUTED_VALUE"""),"tangyuan")</f>
        <v>tangyuan</v>
      </c>
      <c r="C11688" s="4" t="str">
        <f>IFERROR(__xludf.DUMMYFUNCTION("""COMPUTED_VALUE"""),"TangYuan")</f>
        <v>TangYuan</v>
      </c>
    </row>
    <row r="11689">
      <c r="A11689" s="4" t="str">
        <f>IFERROR(__xludf.DUMMYFUNCTION("""COMPUTED_VALUE"""),"tank-battle")</f>
        <v>tank-battle</v>
      </c>
      <c r="B11689" s="4" t="str">
        <f>IFERROR(__xludf.DUMMYFUNCTION("""COMPUTED_VALUE"""),"tbl")</f>
        <v>tbl</v>
      </c>
      <c r="C11689" s="4" t="str">
        <f>IFERROR(__xludf.DUMMYFUNCTION("""COMPUTED_VALUE"""),"Tank Battle")</f>
        <v>Tank Battle</v>
      </c>
    </row>
    <row r="11690">
      <c r="A11690" s="4" t="str">
        <f>IFERROR(__xludf.DUMMYFUNCTION("""COMPUTED_VALUE"""),"tank-gold")</f>
        <v>tank-gold</v>
      </c>
      <c r="B11690" s="4" t="str">
        <f>IFERROR(__xludf.DUMMYFUNCTION("""COMPUTED_VALUE"""),"tgold")</f>
        <v>tgold</v>
      </c>
      <c r="C11690" s="4" t="str">
        <f>IFERROR(__xludf.DUMMYFUNCTION("""COMPUTED_VALUE"""),"Tank Gold")</f>
        <v>Tank Gold</v>
      </c>
    </row>
    <row r="11691">
      <c r="A11691" s="4" t="str">
        <f>IFERROR(__xludf.DUMMYFUNCTION("""COMPUTED_VALUE"""),"tanks")</f>
        <v>tanks</v>
      </c>
      <c r="B11691" s="4" t="str">
        <f>IFERROR(__xludf.DUMMYFUNCTION("""COMPUTED_VALUE"""),"tanks")</f>
        <v>tanks</v>
      </c>
      <c r="C11691" s="4" t="str">
        <f>IFERROR(__xludf.DUMMYFUNCTION("""COMPUTED_VALUE"""),"Tanks")</f>
        <v>Tanks</v>
      </c>
    </row>
    <row r="11692">
      <c r="A11692" s="4" t="str">
        <f>IFERROR(__xludf.DUMMYFUNCTION("""COMPUTED_VALUE"""),"tanpin")</f>
        <v>tanpin</v>
      </c>
      <c r="B11692" s="4" t="str">
        <f>IFERROR(__xludf.DUMMYFUNCTION("""COMPUTED_VALUE"""),"tanpin")</f>
        <v>tanpin</v>
      </c>
      <c r="C11692" s="4" t="str">
        <f>IFERROR(__xludf.DUMMYFUNCTION("""COMPUTED_VALUE"""),"TanPin")</f>
        <v>TanPin</v>
      </c>
    </row>
    <row r="11693">
      <c r="A11693" s="4" t="str">
        <f>IFERROR(__xludf.DUMMYFUNCTION("""COMPUTED_VALUE"""),"tao-accounting-system")</f>
        <v>tao-accounting-system</v>
      </c>
      <c r="B11693" s="4" t="str">
        <f>IFERROR(__xludf.DUMMYFUNCTION("""COMPUTED_VALUE"""),"tas")</f>
        <v>tas</v>
      </c>
      <c r="C11693" s="4" t="str">
        <f>IFERROR(__xludf.DUMMYFUNCTION("""COMPUTED_VALUE"""),"Tao Accounting System")</f>
        <v>Tao Accounting System</v>
      </c>
    </row>
    <row r="11694">
      <c r="A11694" s="4" t="str">
        <f>IFERROR(__xludf.DUMMYFUNCTION("""COMPUTED_VALUE"""),"taobank")</f>
        <v>taobank</v>
      </c>
      <c r="B11694" s="4" t="str">
        <f>IFERROR(__xludf.DUMMYFUNCTION("""COMPUTED_VALUE"""),"tbank")</f>
        <v>tbank</v>
      </c>
      <c r="C11694" s="4" t="str">
        <f>IFERROR(__xludf.DUMMYFUNCTION("""COMPUTED_VALUE"""),"TaoBank")</f>
        <v>TaoBank</v>
      </c>
    </row>
    <row r="11695">
      <c r="A11695" s="4" t="str">
        <f>IFERROR(__xludf.DUMMYFUNCTION("""COMPUTED_VALUE"""),"tao-bot")</f>
        <v>tao-bot</v>
      </c>
      <c r="B11695" s="4" t="str">
        <f>IFERROR(__xludf.DUMMYFUNCTION("""COMPUTED_VALUE"""),"taobot")</f>
        <v>taobot</v>
      </c>
      <c r="C11695" s="4" t="str">
        <f>IFERROR(__xludf.DUMMYFUNCTION("""COMPUTED_VALUE"""),"tao.bot")</f>
        <v>tao.bot</v>
      </c>
    </row>
    <row r="11696">
      <c r="A11696" s="4" t="str">
        <f>IFERROR(__xludf.DUMMYFUNCTION("""COMPUTED_VALUE"""),"tao-ceti")</f>
        <v>tao-ceti</v>
      </c>
      <c r="B11696" s="4" t="str">
        <f>IFERROR(__xludf.DUMMYFUNCTION("""COMPUTED_VALUE"""),"ceti")</f>
        <v>ceti</v>
      </c>
      <c r="C11696" s="4" t="str">
        <f>IFERROR(__xludf.DUMMYFUNCTION("""COMPUTED_VALUE"""),"Tao Ceτi")</f>
        <v>Tao Ceτi</v>
      </c>
    </row>
    <row r="11697">
      <c r="A11697" s="4" t="str">
        <f>IFERROR(__xludf.DUMMYFUNCTION("""COMPUTED_VALUE"""),"taoharvest")</f>
        <v>taoharvest</v>
      </c>
      <c r="B11697" s="4" t="str">
        <f>IFERROR(__xludf.DUMMYFUNCTION("""COMPUTED_VALUE"""),"tah")</f>
        <v>tah</v>
      </c>
      <c r="C11697" s="4" t="str">
        <f>IFERROR(__xludf.DUMMYFUNCTION("""COMPUTED_VALUE"""),"TaoHarvest")</f>
        <v>TaoHarvest</v>
      </c>
    </row>
    <row r="11698">
      <c r="A11698" s="4" t="str">
        <f>IFERROR(__xludf.DUMMYFUNCTION("""COMPUTED_VALUE"""),"tao-inu")</f>
        <v>tao-inu</v>
      </c>
      <c r="B11698" s="4" t="str">
        <f>IFERROR(__xludf.DUMMYFUNCTION("""COMPUTED_VALUE"""),"taonu")</f>
        <v>taonu</v>
      </c>
      <c r="C11698" s="4" t="str">
        <f>IFERROR(__xludf.DUMMYFUNCTION("""COMPUTED_VALUE"""),"TAO INU")</f>
        <v>TAO INU</v>
      </c>
    </row>
    <row r="11699">
      <c r="A11699" s="4" t="str">
        <f>IFERROR(__xludf.DUMMYFUNCTION("""COMPUTED_VALUE"""),"tao-meme")</f>
        <v>tao-meme</v>
      </c>
      <c r="B11699" s="4" t="str">
        <f>IFERROR(__xludf.DUMMYFUNCTION("""COMPUTED_VALUE"""),"tao")</f>
        <v>tao</v>
      </c>
      <c r="C11699" s="4" t="str">
        <f>IFERROR(__xludf.DUMMYFUNCTION("""COMPUTED_VALUE"""),"Tao Meme")</f>
        <v>Tao Meme</v>
      </c>
    </row>
    <row r="11700">
      <c r="A11700" s="4" t="str">
        <f>IFERROR(__xludf.DUMMYFUNCTION("""COMPUTED_VALUE"""),"taopad")</f>
        <v>taopad</v>
      </c>
      <c r="B11700" s="4" t="str">
        <f>IFERROR(__xludf.DUMMYFUNCTION("""COMPUTED_VALUE"""),"tpad")</f>
        <v>tpad</v>
      </c>
      <c r="C11700" s="4" t="str">
        <f>IFERROR(__xludf.DUMMYFUNCTION("""COMPUTED_VALUE"""),"TaoPad")</f>
        <v>TaoPad</v>
      </c>
    </row>
    <row r="11701">
      <c r="A11701" s="4" t="str">
        <f>IFERROR(__xludf.DUMMYFUNCTION("""COMPUTED_VALUE"""),"taoplay")</f>
        <v>taoplay</v>
      </c>
      <c r="B11701" s="4" t="str">
        <f>IFERROR(__xludf.DUMMYFUNCTION("""COMPUTED_VALUE"""),"taop")</f>
        <v>taop</v>
      </c>
      <c r="C11701" s="4" t="str">
        <f>IFERROR(__xludf.DUMMYFUNCTION("""COMPUTED_VALUE"""),"TAOPlay")</f>
        <v>TAOPlay</v>
      </c>
    </row>
    <row r="11702">
      <c r="A11702" s="4" t="str">
        <f>IFERROR(__xludf.DUMMYFUNCTION("""COMPUTED_VALUE"""),"taoshi")</f>
        <v>taoshi</v>
      </c>
      <c r="B11702" s="4" t="str">
        <f>IFERROR(__xludf.DUMMYFUNCTION("""COMPUTED_VALUE"""),"taoshi")</f>
        <v>taoshi</v>
      </c>
      <c r="C11702" s="4" t="str">
        <f>IFERROR(__xludf.DUMMYFUNCTION("""COMPUTED_VALUE"""),"TAOSHI")</f>
        <v>TAOSHI</v>
      </c>
    </row>
    <row r="11703">
      <c r="A11703" s="4" t="str">
        <f>IFERROR(__xludf.DUMMYFUNCTION("""COMPUTED_VALUE"""),"taostack")</f>
        <v>taostack</v>
      </c>
      <c r="B11703" s="4" t="str">
        <f>IFERROR(__xludf.DUMMYFUNCTION("""COMPUTED_VALUE"""),"tst")</f>
        <v>tst</v>
      </c>
      <c r="C11703" s="4" t="str">
        <f>IFERROR(__xludf.DUMMYFUNCTION("""COMPUTED_VALUE"""),"TaoStack")</f>
        <v>TaoStack</v>
      </c>
    </row>
    <row r="11704">
      <c r="A11704" s="4" t="str">
        <f>IFERROR(__xludf.DUMMYFUNCTION("""COMPUTED_VALUE"""),"tao-subnet-sharding")</f>
        <v>tao-subnet-sharding</v>
      </c>
      <c r="B11704" s="4" t="str">
        <f>IFERROR(__xludf.DUMMYFUNCTION("""COMPUTED_VALUE"""),"taoshard")</f>
        <v>taoshard</v>
      </c>
      <c r="C11704" s="4" t="str">
        <f>IFERROR(__xludf.DUMMYFUNCTION("""COMPUTED_VALUE"""),"TAO Subnet Sharding")</f>
        <v>TAO Subnet Sharding</v>
      </c>
    </row>
    <row r="11705">
      <c r="A11705" s="4" t="str">
        <f>IFERROR(__xludf.DUMMYFUNCTION("""COMPUTED_VALUE"""),"taounity")</f>
        <v>taounity</v>
      </c>
      <c r="B11705" s="4" t="str">
        <f>IFERROR(__xludf.DUMMYFUNCTION("""COMPUTED_VALUE"""),"utao")</f>
        <v>utao</v>
      </c>
      <c r="C11705" s="4" t="str">
        <f>IFERROR(__xludf.DUMMYFUNCTION("""COMPUTED_VALUE"""),"TAOUnity")</f>
        <v>TAOUnity</v>
      </c>
    </row>
    <row r="11706">
      <c r="A11706" s="4" t="str">
        <f>IFERROR(__xludf.DUMMYFUNCTION("""COMPUTED_VALUE"""),"taovm")</f>
        <v>taovm</v>
      </c>
      <c r="B11706" s="4" t="str">
        <f>IFERROR(__xludf.DUMMYFUNCTION("""COMPUTED_VALUE"""),"taovm")</f>
        <v>taovm</v>
      </c>
      <c r="C11706" s="4" t="str">
        <f>IFERROR(__xludf.DUMMYFUNCTION("""COMPUTED_VALUE"""),"TAOVM")</f>
        <v>TAOVM</v>
      </c>
    </row>
    <row r="11707">
      <c r="A11707" s="4" t="str">
        <f>IFERROR(__xludf.DUMMYFUNCTION("""COMPUTED_VALUE"""),"taox")</f>
        <v>taox</v>
      </c>
      <c r="B11707" s="4" t="str">
        <f>IFERROR(__xludf.DUMMYFUNCTION("""COMPUTED_VALUE"""),"taox")</f>
        <v>taox</v>
      </c>
      <c r="C11707" s="4" t="str">
        <f>IFERROR(__xludf.DUMMYFUNCTION("""COMPUTED_VALUE"""),"TAOx")</f>
        <v>TAOx</v>
      </c>
    </row>
    <row r="11708">
      <c r="A11708" s="4" t="str">
        <f>IFERROR(__xludf.DUMMYFUNCTION("""COMPUTED_VALUE"""),"tap")</f>
        <v>tap</v>
      </c>
      <c r="B11708" s="4" t="str">
        <f>IFERROR(__xludf.DUMMYFUNCTION("""COMPUTED_VALUE"""),"xtp")</f>
        <v>xtp</v>
      </c>
      <c r="C11708" s="4" t="str">
        <f>IFERROR(__xludf.DUMMYFUNCTION("""COMPUTED_VALUE"""),"Tap")</f>
        <v>Tap</v>
      </c>
    </row>
    <row r="11709">
      <c r="A11709" s="4" t="str">
        <f>IFERROR(__xludf.DUMMYFUNCTION("""COMPUTED_VALUE"""),"tap-fantasy")</f>
        <v>tap-fantasy</v>
      </c>
      <c r="B11709" s="4" t="str">
        <f>IFERROR(__xludf.DUMMYFUNCTION("""COMPUTED_VALUE"""),"tap")</f>
        <v>tap</v>
      </c>
      <c r="C11709" s="4" t="str">
        <f>IFERROR(__xludf.DUMMYFUNCTION("""COMPUTED_VALUE"""),"Tap Fantasy")</f>
        <v>Tap Fantasy</v>
      </c>
    </row>
    <row r="11710">
      <c r="A11710" s="4" t="str">
        <f>IFERROR(__xludf.DUMMYFUNCTION("""COMPUTED_VALUE"""),"tapp-coin")</f>
        <v>tapp-coin</v>
      </c>
      <c r="B11710" s="4" t="str">
        <f>IFERROR(__xludf.DUMMYFUNCTION("""COMPUTED_VALUE"""),"tpx")</f>
        <v>tpx</v>
      </c>
      <c r="C11710" s="4" t="str">
        <f>IFERROR(__xludf.DUMMYFUNCTION("""COMPUTED_VALUE"""),"Tapp Coin")</f>
        <v>Tapp Coin</v>
      </c>
    </row>
    <row r="11711">
      <c r="A11711" s="4" t="str">
        <f>IFERROR(__xludf.DUMMYFUNCTION("""COMPUTED_VALUE"""),"taproot")</f>
        <v>taproot</v>
      </c>
      <c r="B11711" s="4" t="str">
        <f>IFERROR(__xludf.DUMMYFUNCTION("""COMPUTED_VALUE"""),"taproot")</f>
        <v>taproot</v>
      </c>
      <c r="C11711" s="4" t="str">
        <f>IFERROR(__xludf.DUMMYFUNCTION("""COMPUTED_VALUE"""),"Taproot")</f>
        <v>Taproot</v>
      </c>
    </row>
    <row r="11712">
      <c r="A11712" s="4" t="str">
        <f>IFERROR(__xludf.DUMMYFUNCTION("""COMPUTED_VALUE"""),"tarality")</f>
        <v>tarality</v>
      </c>
      <c r="B11712" s="4" t="str">
        <f>IFERROR(__xludf.DUMMYFUNCTION("""COMPUTED_VALUE"""),"taral")</f>
        <v>taral</v>
      </c>
      <c r="C11712" s="4" t="str">
        <f>IFERROR(__xludf.DUMMYFUNCTION("""COMPUTED_VALUE"""),"Tarality")</f>
        <v>Tarality</v>
      </c>
    </row>
    <row r="11713">
      <c r="A11713" s="4" t="str">
        <f>IFERROR(__xludf.DUMMYFUNCTION("""COMPUTED_VALUE"""),"tara-token")</f>
        <v>tara-token</v>
      </c>
      <c r="B11713" s="4" t="str">
        <f>IFERROR(__xludf.DUMMYFUNCTION("""COMPUTED_VALUE"""),"tara")</f>
        <v>tara</v>
      </c>
      <c r="C11713" s="4" t="str">
        <f>IFERROR(__xludf.DUMMYFUNCTION("""COMPUTED_VALUE"""),"TARA TOKEN")</f>
        <v>TARA TOKEN</v>
      </c>
    </row>
    <row r="11714">
      <c r="A11714" s="4" t="str">
        <f>IFERROR(__xludf.DUMMYFUNCTION("""COMPUTED_VALUE"""),"taraxa")</f>
        <v>taraxa</v>
      </c>
      <c r="B11714" s="4" t="str">
        <f>IFERROR(__xludf.DUMMYFUNCTION("""COMPUTED_VALUE"""),"tara")</f>
        <v>tara</v>
      </c>
      <c r="C11714" s="4" t="str">
        <f>IFERROR(__xludf.DUMMYFUNCTION("""COMPUTED_VALUE"""),"Taraxa")</f>
        <v>Taraxa</v>
      </c>
    </row>
    <row r="11715">
      <c r="A11715" s="4" t="str">
        <f>IFERROR(__xludf.DUMMYFUNCTION("""COMPUTED_VALUE"""),"tardigrades-finance")</f>
        <v>tardigrades-finance</v>
      </c>
      <c r="B11715" s="4" t="str">
        <f>IFERROR(__xludf.DUMMYFUNCTION("""COMPUTED_VALUE"""),"trdg")</f>
        <v>trdg</v>
      </c>
      <c r="C11715" s="4" t="str">
        <f>IFERROR(__xludf.DUMMYFUNCTION("""COMPUTED_VALUE"""),"TRDGtoken")</f>
        <v>TRDGtoken</v>
      </c>
    </row>
    <row r="11716">
      <c r="A11716" s="4" t="str">
        <f>IFERROR(__xludf.DUMMYFUNCTION("""COMPUTED_VALUE"""),"target-protocol")</f>
        <v>target-protocol</v>
      </c>
      <c r="B11716" s="4" t="str">
        <f>IFERROR(__xludf.DUMMYFUNCTION("""COMPUTED_VALUE"""),"target")</f>
        <v>target</v>
      </c>
      <c r="C11716" s="4" t="str">
        <f>IFERROR(__xludf.DUMMYFUNCTION("""COMPUTED_VALUE"""),"Target Protocol")</f>
        <v>Target Protocol</v>
      </c>
    </row>
    <row r="11717">
      <c r="A11717" s="4" t="str">
        <f>IFERROR(__xludf.DUMMYFUNCTION("""COMPUTED_VALUE"""),"targetwatch-bot")</f>
        <v>targetwatch-bot</v>
      </c>
      <c r="B11717" s="4" t="str">
        <f>IFERROR(__xludf.DUMMYFUNCTION("""COMPUTED_VALUE"""),"twb")</f>
        <v>twb</v>
      </c>
      <c r="C11717" s="4" t="str">
        <f>IFERROR(__xludf.DUMMYFUNCTION("""COMPUTED_VALUE"""),"TargetWatch Bot")</f>
        <v>TargetWatch Bot</v>
      </c>
    </row>
    <row r="11718">
      <c r="A11718" s="4" t="str">
        <f>IFERROR(__xludf.DUMMYFUNCTION("""COMPUTED_VALUE"""),"tari-world")</f>
        <v>tari-world</v>
      </c>
      <c r="B11718" s="4" t="str">
        <f>IFERROR(__xludf.DUMMYFUNCTION("""COMPUTED_VALUE"""),"tari")</f>
        <v>tari</v>
      </c>
      <c r="C11718" s="4" t="str">
        <f>IFERROR(__xludf.DUMMYFUNCTION("""COMPUTED_VALUE"""),"Tari World")</f>
        <v>Tari World</v>
      </c>
    </row>
    <row r="11719">
      <c r="A11719" s="4" t="str">
        <f>IFERROR(__xludf.DUMMYFUNCTION("""COMPUTED_VALUE"""),"tarmex")</f>
        <v>tarmex</v>
      </c>
      <c r="B11719" s="4" t="str">
        <f>IFERROR(__xludf.DUMMYFUNCTION("""COMPUTED_VALUE"""),"tarm")</f>
        <v>tarm</v>
      </c>
      <c r="C11719" s="4" t="str">
        <f>IFERROR(__xludf.DUMMYFUNCTION("""COMPUTED_VALUE"""),"Tarmex [OLD]")</f>
        <v>Tarmex [OLD]</v>
      </c>
    </row>
    <row r="11720">
      <c r="A11720" s="4" t="str">
        <f>IFERROR(__xludf.DUMMYFUNCTION("""COMPUTED_VALUE"""),"tarmex-2")</f>
        <v>tarmex-2</v>
      </c>
      <c r="B11720" s="4" t="str">
        <f>IFERROR(__xludf.DUMMYFUNCTION("""COMPUTED_VALUE"""),"tarm")</f>
        <v>tarm</v>
      </c>
      <c r="C11720" s="4" t="str">
        <f>IFERROR(__xludf.DUMMYFUNCTION("""COMPUTED_VALUE"""),"Tarmex")</f>
        <v>Tarmex</v>
      </c>
    </row>
    <row r="11721">
      <c r="A11721" s="4" t="str">
        <f>IFERROR(__xludf.DUMMYFUNCTION("""COMPUTED_VALUE"""),"tarot")</f>
        <v>tarot</v>
      </c>
      <c r="B11721" s="4" t="str">
        <f>IFERROR(__xludf.DUMMYFUNCTION("""COMPUTED_VALUE"""),"tarot")</f>
        <v>tarot</v>
      </c>
      <c r="C11721" s="4" t="str">
        <f>IFERROR(__xludf.DUMMYFUNCTION("""COMPUTED_VALUE"""),"Tarot V1")</f>
        <v>Tarot V1</v>
      </c>
    </row>
    <row r="11722">
      <c r="A11722" s="4" t="str">
        <f>IFERROR(__xludf.DUMMYFUNCTION("""COMPUTED_VALUE"""),"tarot-2")</f>
        <v>tarot-2</v>
      </c>
      <c r="B11722" s="4" t="str">
        <f>IFERROR(__xludf.DUMMYFUNCTION("""COMPUTED_VALUE"""),"tarot")</f>
        <v>tarot</v>
      </c>
      <c r="C11722" s="4" t="str">
        <f>IFERROR(__xludf.DUMMYFUNCTION("""COMPUTED_VALUE"""),"Tarot")</f>
        <v>Tarot</v>
      </c>
    </row>
    <row r="11723">
      <c r="A11723" s="4" t="str">
        <f>IFERROR(__xludf.DUMMYFUNCTION("""COMPUTED_VALUE"""),"tashi")</f>
        <v>tashi</v>
      </c>
      <c r="B11723" s="4" t="str">
        <f>IFERROR(__xludf.DUMMYFUNCTION("""COMPUTED_VALUE"""),"tashi")</f>
        <v>tashi</v>
      </c>
      <c r="C11723" s="4" t="str">
        <f>IFERROR(__xludf.DUMMYFUNCTION("""COMPUTED_VALUE"""),"Tashi")</f>
        <v>Tashi</v>
      </c>
    </row>
    <row r="11724">
      <c r="A11724" s="4" t="str">
        <f>IFERROR(__xludf.DUMMYFUNCTION("""COMPUTED_VALUE"""),"tastenft")</f>
        <v>tastenft</v>
      </c>
      <c r="B11724" s="4" t="str">
        <f>IFERROR(__xludf.DUMMYFUNCTION("""COMPUTED_VALUE"""),"taste")</f>
        <v>taste</v>
      </c>
      <c r="C11724" s="4" t="str">
        <f>IFERROR(__xludf.DUMMYFUNCTION("""COMPUTED_VALUE"""),"TasteNFT")</f>
        <v>TasteNFT</v>
      </c>
    </row>
    <row r="11725">
      <c r="A11725" s="4" t="str">
        <f>IFERROR(__xludf.DUMMYFUNCTION("""COMPUTED_VALUE"""),"tate")</f>
        <v>tate</v>
      </c>
      <c r="B11725" s="4" t="str">
        <f>IFERROR(__xludf.DUMMYFUNCTION("""COMPUTED_VALUE"""),"tate")</f>
        <v>tate</v>
      </c>
      <c r="C11725" s="4" t="str">
        <f>IFERROR(__xludf.DUMMYFUNCTION("""COMPUTED_VALUE"""),"TATE")</f>
        <v>TATE</v>
      </c>
    </row>
    <row r="11726">
      <c r="A11726" s="4" t="str">
        <f>IFERROR(__xludf.DUMMYFUNCTION("""COMPUTED_VALUE"""),"tatsu")</f>
        <v>tatsu</v>
      </c>
      <c r="B11726" s="4" t="str">
        <f>IFERROR(__xludf.DUMMYFUNCTION("""COMPUTED_VALUE"""),"tatsu")</f>
        <v>tatsu</v>
      </c>
      <c r="C11726" s="4" t="str">
        <f>IFERROR(__xludf.DUMMYFUNCTION("""COMPUTED_VALUE"""),"Tatsu")</f>
        <v>Tatsu</v>
      </c>
    </row>
    <row r="11727">
      <c r="A11727" s="4" t="str">
        <f>IFERROR(__xludf.DUMMYFUNCTION("""COMPUTED_VALUE"""),"taxa-token")</f>
        <v>taxa-token</v>
      </c>
      <c r="B11727" s="4" t="str">
        <f>IFERROR(__xludf.DUMMYFUNCTION("""COMPUTED_VALUE"""),"txt")</f>
        <v>txt</v>
      </c>
      <c r="C11727" s="4" t="str">
        <f>IFERROR(__xludf.DUMMYFUNCTION("""COMPUTED_VALUE"""),"Taxa Network")</f>
        <v>Taxa Network</v>
      </c>
    </row>
    <row r="11728">
      <c r="A11728" s="4" t="str">
        <f>IFERROR(__xludf.DUMMYFUNCTION("""COMPUTED_VALUE"""),"tax-haven-inu")</f>
        <v>tax-haven-inu</v>
      </c>
      <c r="B11728" s="4" t="str">
        <f>IFERROR(__xludf.DUMMYFUNCTION("""COMPUTED_VALUE"""),"taxhaveninu")</f>
        <v>taxhaveninu</v>
      </c>
      <c r="C11728" s="4" t="str">
        <f>IFERROR(__xludf.DUMMYFUNCTION("""COMPUTED_VALUE"""),"Tax Haven Inu")</f>
        <v>Tax Haven Inu</v>
      </c>
    </row>
    <row r="11729">
      <c r="A11729" s="4" t="str">
        <f>IFERROR(__xludf.DUMMYFUNCTION("""COMPUTED_VALUE"""),"taylor-swift-s-cat")</f>
        <v>taylor-swift-s-cat</v>
      </c>
      <c r="B11729" s="4" t="str">
        <f>IFERROR(__xludf.DUMMYFUNCTION("""COMPUTED_VALUE"""),"benji")</f>
        <v>benji</v>
      </c>
      <c r="C11729" s="4" t="str">
        <f>IFERROR(__xludf.DUMMYFUNCTION("""COMPUTED_VALUE"""),"Taylor Swift's Cat Benji")</f>
        <v>Taylor Swift's Cat Benji</v>
      </c>
    </row>
    <row r="11730">
      <c r="A11730" s="4" t="str">
        <f>IFERROR(__xludf.DUMMYFUNCTION("""COMPUTED_VALUE"""),"tbcc")</f>
        <v>tbcc</v>
      </c>
      <c r="B11730" s="4" t="str">
        <f>IFERROR(__xludf.DUMMYFUNCTION("""COMPUTED_VALUE"""),"tbcc")</f>
        <v>tbcc</v>
      </c>
      <c r="C11730" s="4" t="str">
        <f>IFERROR(__xludf.DUMMYFUNCTION("""COMPUTED_VALUE"""),"TBCC")</f>
        <v>TBCC</v>
      </c>
    </row>
    <row r="11731">
      <c r="A11731" s="4" t="str">
        <f>IFERROR(__xludf.DUMMYFUNCTION("""COMPUTED_VALUE"""),"tbtc")</f>
        <v>tbtc</v>
      </c>
      <c r="B11731" s="4" t="str">
        <f>IFERROR(__xludf.DUMMYFUNCTION("""COMPUTED_VALUE"""),"tbtc")</f>
        <v>tbtc</v>
      </c>
      <c r="C11731" s="4" t="str">
        <f>IFERROR(__xludf.DUMMYFUNCTION("""COMPUTED_VALUE"""),"tBTC")</f>
        <v>tBTC</v>
      </c>
    </row>
    <row r="11732">
      <c r="A11732" s="4" t="str">
        <f>IFERROR(__xludf.DUMMYFUNCTION("""COMPUTED_VALUE"""),"tcg-verse")</f>
        <v>tcg-verse</v>
      </c>
      <c r="B11732" s="4" t="str">
        <f>IFERROR(__xludf.DUMMYFUNCTION("""COMPUTED_VALUE"""),"tcgc")</f>
        <v>tcgc</v>
      </c>
      <c r="C11732" s="4" t="str">
        <f>IFERROR(__xludf.DUMMYFUNCTION("""COMPUTED_VALUE"""),"TCG Verse")</f>
        <v>TCG Verse</v>
      </c>
    </row>
    <row r="11733">
      <c r="A11733" s="4" t="str">
        <f>IFERROR(__xludf.DUMMYFUNCTION("""COMPUTED_VALUE"""),"tdoge")</f>
        <v>tdoge</v>
      </c>
      <c r="B11733" s="4" t="str">
        <f>IFERROR(__xludf.DUMMYFUNCTION("""COMPUTED_VALUE"""),"tdoge")</f>
        <v>tdoge</v>
      </c>
      <c r="C11733" s="4" t="str">
        <f>IFERROR(__xludf.DUMMYFUNCTION("""COMPUTED_VALUE"""),"τDoge")</f>
        <v>τDoge</v>
      </c>
    </row>
    <row r="11734">
      <c r="A11734" s="4" t="str">
        <f>IFERROR(__xludf.DUMMYFUNCTION("""COMPUTED_VALUE"""),"team-heretics-fan-token")</f>
        <v>team-heretics-fan-token</v>
      </c>
      <c r="B11734" s="4" t="str">
        <f>IFERROR(__xludf.DUMMYFUNCTION("""COMPUTED_VALUE"""),"th")</f>
        <v>th</v>
      </c>
      <c r="C11734" s="4" t="str">
        <f>IFERROR(__xludf.DUMMYFUNCTION("""COMPUTED_VALUE"""),"Team Heretics Fan Token")</f>
        <v>Team Heretics Fan Token</v>
      </c>
    </row>
    <row r="11735">
      <c r="A11735" s="4" t="str">
        <f>IFERROR(__xludf.DUMMYFUNCTION("""COMPUTED_VALUE"""),"team-vitality-fan-token")</f>
        <v>team-vitality-fan-token</v>
      </c>
      <c r="B11735" s="4" t="str">
        <f>IFERROR(__xludf.DUMMYFUNCTION("""COMPUTED_VALUE"""),"vit")</f>
        <v>vit</v>
      </c>
      <c r="C11735" s="4" t="str">
        <f>IFERROR(__xludf.DUMMYFUNCTION("""COMPUTED_VALUE"""),"Team Vitality Fan Token")</f>
        <v>Team Vitality Fan Token</v>
      </c>
    </row>
    <row r="11736">
      <c r="A11736" s="4" t="str">
        <f>IFERROR(__xludf.DUMMYFUNCTION("""COMPUTED_VALUE"""),"tear")</f>
        <v>tear</v>
      </c>
      <c r="B11736" s="4" t="str">
        <f>IFERROR(__xludf.DUMMYFUNCTION("""COMPUTED_VALUE"""),"tear")</f>
        <v>tear</v>
      </c>
      <c r="C11736" s="4" t="str">
        <f>IFERROR(__xludf.DUMMYFUNCTION("""COMPUTED_VALUE"""),"TEAR")</f>
        <v>TEAR</v>
      </c>
    </row>
    <row r="11737">
      <c r="A11737" s="4" t="str">
        <f>IFERROR(__xludf.DUMMYFUNCTION("""COMPUTED_VALUE"""),"tech")</f>
        <v>tech</v>
      </c>
      <c r="B11737" s="4" t="str">
        <f>IFERROR(__xludf.DUMMYFUNCTION("""COMPUTED_VALUE"""),"tech")</f>
        <v>tech</v>
      </c>
      <c r="C11737" s="4" t="str">
        <f>IFERROR(__xludf.DUMMYFUNCTION("""COMPUTED_VALUE"""),"NumberGoUpTech")</f>
        <v>NumberGoUpTech</v>
      </c>
    </row>
    <row r="11738">
      <c r="A11738" s="4" t="str">
        <f>IFERROR(__xludf.DUMMYFUNCTION("""COMPUTED_VALUE"""),"technology-metal-network-global")</f>
        <v>technology-metal-network-global</v>
      </c>
      <c r="B11738" s="4" t="str">
        <f>IFERROR(__xludf.DUMMYFUNCTION("""COMPUTED_VALUE"""),"tmng")</f>
        <v>tmng</v>
      </c>
      <c r="C11738" s="4" t="str">
        <f>IFERROR(__xludf.DUMMYFUNCTION("""COMPUTED_VALUE"""),"Technology Metal Network Global")</f>
        <v>Technology Metal Network Global</v>
      </c>
    </row>
    <row r="11739">
      <c r="A11739" s="4" t="str">
        <f>IFERROR(__xludf.DUMMYFUNCTION("""COMPUTED_VALUE"""),"tectonic")</f>
        <v>tectonic</v>
      </c>
      <c r="B11739" s="4" t="str">
        <f>IFERROR(__xludf.DUMMYFUNCTION("""COMPUTED_VALUE"""),"tonic")</f>
        <v>tonic</v>
      </c>
      <c r="C11739" s="4" t="str">
        <f>IFERROR(__xludf.DUMMYFUNCTION("""COMPUTED_VALUE"""),"Tectonic")</f>
        <v>Tectonic</v>
      </c>
    </row>
    <row r="11740">
      <c r="A11740" s="4" t="str">
        <f>IFERROR(__xludf.DUMMYFUNCTION("""COMPUTED_VALUE"""),"tectum")</f>
        <v>tectum</v>
      </c>
      <c r="B11740" s="4" t="str">
        <f>IFERROR(__xludf.DUMMYFUNCTION("""COMPUTED_VALUE"""),"tet")</f>
        <v>tet</v>
      </c>
      <c r="C11740" s="4" t="str">
        <f>IFERROR(__xludf.DUMMYFUNCTION("""COMPUTED_VALUE"""),"Tectum")</f>
        <v>Tectum</v>
      </c>
    </row>
    <row r="11741">
      <c r="A11741" s="4" t="str">
        <f>IFERROR(__xludf.DUMMYFUNCTION("""COMPUTED_VALUE"""),"teddy-bear")</f>
        <v>teddy-bear</v>
      </c>
      <c r="B11741" s="4" t="str">
        <f>IFERROR(__xludf.DUMMYFUNCTION("""COMPUTED_VALUE"""),"bear")</f>
        <v>bear</v>
      </c>
      <c r="C11741" s="4" t="str">
        <f>IFERROR(__xludf.DUMMYFUNCTION("""COMPUTED_VALUE"""),"TEDDY BEAR")</f>
        <v>TEDDY BEAR</v>
      </c>
    </row>
    <row r="11742">
      <c r="A11742" s="4" t="str">
        <f>IFERROR(__xludf.DUMMYFUNCTION("""COMPUTED_VALUE"""),"teddy-bear-inu")</f>
        <v>teddy-bear-inu</v>
      </c>
      <c r="B11742" s="4" t="str">
        <f>IFERROR(__xludf.DUMMYFUNCTION("""COMPUTED_VALUE"""),"tbi")</f>
        <v>tbi</v>
      </c>
      <c r="C11742" s="4" t="str">
        <f>IFERROR(__xludf.DUMMYFUNCTION("""COMPUTED_VALUE"""),"Teddy Bear INU")</f>
        <v>Teddy Bear INU</v>
      </c>
    </row>
    <row r="11743">
      <c r="A11743" s="4" t="str">
        <f>IFERROR(__xludf.DUMMYFUNCTION("""COMPUTED_VALUE"""),"teddy-dollar")</f>
        <v>teddy-dollar</v>
      </c>
      <c r="B11743" s="4" t="str">
        <f>IFERROR(__xludf.DUMMYFUNCTION("""COMPUTED_VALUE"""),"tsd")</f>
        <v>tsd</v>
      </c>
      <c r="C11743" s="4" t="str">
        <f>IFERROR(__xludf.DUMMYFUNCTION("""COMPUTED_VALUE"""),"Teddy Dollar")</f>
        <v>Teddy Dollar</v>
      </c>
    </row>
    <row r="11744">
      <c r="A11744" s="4" t="str">
        <f>IFERROR(__xludf.DUMMYFUNCTION("""COMPUTED_VALUE"""),"teddyswap")</f>
        <v>teddyswap</v>
      </c>
      <c r="B11744" s="4" t="str">
        <f>IFERROR(__xludf.DUMMYFUNCTION("""COMPUTED_VALUE"""),"tedy")</f>
        <v>tedy</v>
      </c>
      <c r="C11744" s="4" t="str">
        <f>IFERROR(__xludf.DUMMYFUNCTION("""COMPUTED_VALUE"""),"TeddySwap")</f>
        <v>TeddySwap</v>
      </c>
    </row>
    <row r="11745">
      <c r="A11745" s="4" t="str">
        <f>IFERROR(__xludf.DUMMYFUNCTION("""COMPUTED_VALUE"""),"te-food")</f>
        <v>te-food</v>
      </c>
      <c r="B11745" s="4" t="str">
        <f>IFERROR(__xludf.DUMMYFUNCTION("""COMPUTED_VALUE"""),"tone")</f>
        <v>tone</v>
      </c>
      <c r="C11745" s="4" t="str">
        <f>IFERROR(__xludf.DUMMYFUNCTION("""COMPUTED_VALUE"""),"TE-FOOD")</f>
        <v>TE-FOOD</v>
      </c>
    </row>
    <row r="11746">
      <c r="A11746" s="4" t="str">
        <f>IFERROR(__xludf.DUMMYFUNCTION("""COMPUTED_VALUE"""),"tegisto")</f>
        <v>tegisto</v>
      </c>
      <c r="B11746" s="4" t="str">
        <f>IFERROR(__xludf.DUMMYFUNCTION("""COMPUTED_VALUE"""),"tgs")</f>
        <v>tgs</v>
      </c>
      <c r="C11746" s="4" t="str">
        <f>IFERROR(__xludf.DUMMYFUNCTION("""COMPUTED_VALUE"""),"Tegisto")</f>
        <v>Tegisto</v>
      </c>
    </row>
    <row r="11747">
      <c r="A11747" s="4" t="str">
        <f>IFERROR(__xludf.DUMMYFUNCTION("""COMPUTED_VALUE"""),"tegro")</f>
        <v>tegro</v>
      </c>
      <c r="B11747" s="4" t="str">
        <f>IFERROR(__xludf.DUMMYFUNCTION("""COMPUTED_VALUE"""),"tgr")</f>
        <v>tgr</v>
      </c>
      <c r="C11747" s="4" t="str">
        <f>IFERROR(__xludf.DUMMYFUNCTION("""COMPUTED_VALUE"""),"Tegro")</f>
        <v>Tegro</v>
      </c>
    </row>
    <row r="11748">
      <c r="A11748" s="4" t="str">
        <f>IFERROR(__xludf.DUMMYFUNCTION("""COMPUTED_VALUE"""),"tehbag")</f>
        <v>tehbag</v>
      </c>
      <c r="B11748" s="4" t="str">
        <f>IFERROR(__xludf.DUMMYFUNCTION("""COMPUTED_VALUE"""),"bag")</f>
        <v>bag</v>
      </c>
      <c r="C11748" s="4" t="str">
        <f>IFERROR(__xludf.DUMMYFUNCTION("""COMPUTED_VALUE"""),"tehBag")</f>
        <v>tehBag</v>
      </c>
    </row>
    <row r="11749">
      <c r="A11749" s="4" t="str">
        <f>IFERROR(__xludf.DUMMYFUNCTION("""COMPUTED_VALUE"""),"teh-epik-duck")</f>
        <v>teh-epik-duck</v>
      </c>
      <c r="B11749" s="4" t="str">
        <f>IFERROR(__xludf.DUMMYFUNCTION("""COMPUTED_VALUE"""),"epik")</f>
        <v>epik</v>
      </c>
      <c r="C11749" s="4" t="str">
        <f>IFERROR(__xludf.DUMMYFUNCTION("""COMPUTED_VALUE"""),"TEH EPIK DUCK")</f>
        <v>TEH EPIK DUCK</v>
      </c>
    </row>
    <row r="11750">
      <c r="A11750" s="4" t="str">
        <f>IFERROR(__xludf.DUMMYFUNCTION("""COMPUTED_VALUE"""),"teh-fund")</f>
        <v>teh-fund</v>
      </c>
      <c r="B11750" s="4" t="str">
        <f>IFERROR(__xludf.DUMMYFUNCTION("""COMPUTED_VALUE"""),"fund")</f>
        <v>fund</v>
      </c>
      <c r="C11750" s="4" t="str">
        <f>IFERROR(__xludf.DUMMYFUNCTION("""COMPUTED_VALUE"""),"Teh Fund")</f>
        <v>Teh Fund</v>
      </c>
    </row>
    <row r="11751">
      <c r="A11751" s="4" t="str">
        <f>IFERROR(__xludf.DUMMYFUNCTION("""COMPUTED_VALUE"""),"teh-golden-one")</f>
        <v>teh-golden-one</v>
      </c>
      <c r="B11751" s="4" t="str">
        <f>IFERROR(__xludf.DUMMYFUNCTION("""COMPUTED_VALUE"""),"gold 1")</f>
        <v>gold 1</v>
      </c>
      <c r="C11751" s="4" t="str">
        <f>IFERROR(__xludf.DUMMYFUNCTION("""COMPUTED_VALUE"""),"Teh Golden One")</f>
        <v>Teh Golden One</v>
      </c>
    </row>
    <row r="11752">
      <c r="A11752" s="4" t="str">
        <f>IFERROR(__xludf.DUMMYFUNCTION("""COMPUTED_VALUE"""),"teia-dao")</f>
        <v>teia-dao</v>
      </c>
      <c r="B11752" s="4" t="str">
        <f>IFERROR(__xludf.DUMMYFUNCTION("""COMPUTED_VALUE"""),"teia")</f>
        <v>teia</v>
      </c>
      <c r="C11752" s="4" t="str">
        <f>IFERROR(__xludf.DUMMYFUNCTION("""COMPUTED_VALUE"""),"Teia DAO")</f>
        <v>Teia DAO</v>
      </c>
    </row>
    <row r="11753">
      <c r="A11753" s="4" t="str">
        <f>IFERROR(__xludf.DUMMYFUNCTION("""COMPUTED_VALUE"""),"tektias")</f>
        <v>tektias</v>
      </c>
      <c r="B11753" s="4" t="str">
        <f>IFERROR(__xludf.DUMMYFUNCTION("""COMPUTED_VALUE"""),"tektias")</f>
        <v>tektias</v>
      </c>
      <c r="C11753" s="4" t="str">
        <f>IFERROR(__xludf.DUMMYFUNCTION("""COMPUTED_VALUE"""),"Tektias")</f>
        <v>Tektias</v>
      </c>
    </row>
    <row r="11754">
      <c r="A11754" s="4" t="str">
        <f>IFERROR(__xludf.DUMMYFUNCTION("""COMPUTED_VALUE"""),"tel3")</f>
        <v>tel3</v>
      </c>
      <c r="B11754" s="4" t="str">
        <f>IFERROR(__xludf.DUMMYFUNCTION("""COMPUTED_VALUE"""),"tel3")</f>
        <v>tel3</v>
      </c>
      <c r="C11754" s="4" t="str">
        <f>IFERROR(__xludf.DUMMYFUNCTION("""COMPUTED_VALUE"""),"TEL3")</f>
        <v>TEL3</v>
      </c>
    </row>
    <row r="11755">
      <c r="A11755" s="4" t="str">
        <f>IFERROR(__xludf.DUMMYFUNCTION("""COMPUTED_VALUE"""),"telcoin")</f>
        <v>telcoin</v>
      </c>
      <c r="B11755" s="4" t="str">
        <f>IFERROR(__xludf.DUMMYFUNCTION("""COMPUTED_VALUE"""),"tel")</f>
        <v>tel</v>
      </c>
      <c r="C11755" s="4" t="str">
        <f>IFERROR(__xludf.DUMMYFUNCTION("""COMPUTED_VALUE"""),"Telcoin")</f>
        <v>Telcoin</v>
      </c>
    </row>
    <row r="11756">
      <c r="A11756" s="4" t="str">
        <f>IFERROR(__xludf.DUMMYFUNCTION("""COMPUTED_VALUE"""),"telebucks")</f>
        <v>telebucks</v>
      </c>
      <c r="B11756" s="4" t="str">
        <f>IFERROR(__xludf.DUMMYFUNCTION("""COMPUTED_VALUE"""),"teleb")</f>
        <v>teleb</v>
      </c>
      <c r="C11756" s="4" t="str">
        <f>IFERROR(__xludf.DUMMYFUNCTION("""COMPUTED_VALUE"""),"TeleBucks")</f>
        <v>TeleBucks</v>
      </c>
    </row>
    <row r="11757">
      <c r="A11757" s="4" t="str">
        <f>IFERROR(__xludf.DUMMYFUNCTION("""COMPUTED_VALUE"""),"telecard")</f>
        <v>telecard</v>
      </c>
      <c r="B11757" s="4" t="str">
        <f>IFERROR(__xludf.DUMMYFUNCTION("""COMPUTED_VALUE"""),"tcard")</f>
        <v>tcard</v>
      </c>
      <c r="C11757" s="4" t="str">
        <f>IFERROR(__xludf.DUMMYFUNCTION("""COMPUTED_VALUE"""),"TeleCard")</f>
        <v>TeleCard</v>
      </c>
    </row>
    <row r="11758">
      <c r="A11758" s="4" t="str">
        <f>IFERROR(__xludf.DUMMYFUNCTION("""COMPUTED_VALUE"""),"telefy")</f>
        <v>telefy</v>
      </c>
      <c r="B11758" s="4" t="str">
        <f>IFERROR(__xludf.DUMMYFUNCTION("""COMPUTED_VALUE"""),"tele")</f>
        <v>tele</v>
      </c>
      <c r="C11758" s="4" t="str">
        <f>IFERROR(__xludf.DUMMYFUNCTION("""COMPUTED_VALUE"""),"Telefy")</f>
        <v>Telefy</v>
      </c>
    </row>
    <row r="11759">
      <c r="A11759" s="4" t="str">
        <f>IFERROR(__xludf.DUMMYFUNCTION("""COMPUTED_VALUE"""),"telegram-inu")</f>
        <v>telegram-inu</v>
      </c>
      <c r="B11759" s="4" t="str">
        <f>IFERROR(__xludf.DUMMYFUNCTION("""COMPUTED_VALUE"""),"tinu")</f>
        <v>tinu</v>
      </c>
      <c r="C11759" s="4" t="str">
        <f>IFERROR(__xludf.DUMMYFUNCTION("""COMPUTED_VALUE"""),"Telegram Inu")</f>
        <v>Telegram Inu</v>
      </c>
    </row>
    <row r="11760">
      <c r="A11760" s="4" t="str">
        <f>IFERROR(__xludf.DUMMYFUNCTION("""COMPUTED_VALUE"""),"telenode")</f>
        <v>telenode</v>
      </c>
      <c r="B11760" s="4" t="str">
        <f>IFERROR(__xludf.DUMMYFUNCTION("""COMPUTED_VALUE"""),"tnode")</f>
        <v>tnode</v>
      </c>
      <c r="C11760" s="4" t="str">
        <f>IFERROR(__xludf.DUMMYFUNCTION("""COMPUTED_VALUE"""),"Telenode")</f>
        <v>Telenode</v>
      </c>
    </row>
    <row r="11761">
      <c r="A11761" s="4" t="str">
        <f>IFERROR(__xludf.DUMMYFUNCTION("""COMPUTED_VALUE"""),"teletreon")</f>
        <v>teletreon</v>
      </c>
      <c r="B11761" s="4" t="str">
        <f>IFERROR(__xludf.DUMMYFUNCTION("""COMPUTED_VALUE"""),"ttn")</f>
        <v>ttn</v>
      </c>
      <c r="C11761" s="4" t="str">
        <f>IFERROR(__xludf.DUMMYFUNCTION("""COMPUTED_VALUE"""),"TeleTreon")</f>
        <v>TeleTreon</v>
      </c>
    </row>
    <row r="11762">
      <c r="A11762" s="4" t="str">
        <f>IFERROR(__xludf.DUMMYFUNCTION("""COMPUTED_VALUE"""),"tellor")</f>
        <v>tellor</v>
      </c>
      <c r="B11762" s="4" t="str">
        <f>IFERROR(__xludf.DUMMYFUNCTION("""COMPUTED_VALUE"""),"trb")</f>
        <v>trb</v>
      </c>
      <c r="C11762" s="4" t="str">
        <f>IFERROR(__xludf.DUMMYFUNCTION("""COMPUTED_VALUE"""),"Tellor Tributes")</f>
        <v>Tellor Tributes</v>
      </c>
    </row>
    <row r="11763">
      <c r="A11763" s="4" t="str">
        <f>IFERROR(__xludf.DUMMYFUNCTION("""COMPUTED_VALUE"""),"telos")</f>
        <v>telos</v>
      </c>
      <c r="B11763" s="4" t="str">
        <f>IFERROR(__xludf.DUMMYFUNCTION("""COMPUTED_VALUE"""),"tlos")</f>
        <v>tlos</v>
      </c>
      <c r="C11763" s="4" t="str">
        <f>IFERROR(__xludf.DUMMYFUNCTION("""COMPUTED_VALUE"""),"Telos")</f>
        <v>Telos</v>
      </c>
    </row>
    <row r="11764">
      <c r="A11764" s="4" t="str">
        <f>IFERROR(__xludf.DUMMYFUNCTION("""COMPUTED_VALUE"""),"telos-velocore")</f>
        <v>telos-velocore</v>
      </c>
      <c r="B11764" s="4" t="str">
        <f>IFERROR(__xludf.DUMMYFUNCTION("""COMPUTED_VALUE"""),"tvc")</f>
        <v>tvc</v>
      </c>
      <c r="C11764" s="4" t="str">
        <f>IFERROR(__xludf.DUMMYFUNCTION("""COMPUTED_VALUE"""),"Telos Velocore")</f>
        <v>Telos Velocore</v>
      </c>
    </row>
    <row r="11765">
      <c r="A11765" s="4" t="str">
        <f>IFERROR(__xludf.DUMMYFUNCTION("""COMPUTED_VALUE"""),"temco")</f>
        <v>temco</v>
      </c>
      <c r="B11765" s="4" t="str">
        <f>IFERROR(__xludf.DUMMYFUNCTION("""COMPUTED_VALUE"""),"temco")</f>
        <v>temco</v>
      </c>
      <c r="C11765" s="4" t="str">
        <f>IFERROR(__xludf.DUMMYFUNCTION("""COMPUTED_VALUE"""),"TEMCO")</f>
        <v>TEMCO</v>
      </c>
    </row>
    <row r="11766">
      <c r="A11766" s="4" t="str">
        <f>IFERROR(__xludf.DUMMYFUNCTION("""COMPUTED_VALUE"""),"temdao")</f>
        <v>temdao</v>
      </c>
      <c r="B11766" s="4" t="str">
        <f>IFERROR(__xludf.DUMMYFUNCTION("""COMPUTED_VALUE"""),"tem")</f>
        <v>tem</v>
      </c>
      <c r="C11766" s="4" t="str">
        <f>IFERROR(__xludf.DUMMYFUNCTION("""COMPUTED_VALUE"""),"TemDAO")</f>
        <v>TemDAO</v>
      </c>
    </row>
    <row r="11767">
      <c r="A11767" s="4" t="str">
        <f>IFERROR(__xludf.DUMMYFUNCTION("""COMPUTED_VALUE"""),"templardao")</f>
        <v>templardao</v>
      </c>
      <c r="B11767" s="4" t="str">
        <f>IFERROR(__xludf.DUMMYFUNCTION("""COMPUTED_VALUE"""),"tem")</f>
        <v>tem</v>
      </c>
      <c r="C11767" s="4" t="str">
        <f>IFERROR(__xludf.DUMMYFUNCTION("""COMPUTED_VALUE"""),"Templar DAO")</f>
        <v>Templar DAO</v>
      </c>
    </row>
    <row r="11768">
      <c r="A11768" s="4" t="str">
        <f>IFERROR(__xludf.DUMMYFUNCTION("""COMPUTED_VALUE"""),"temple")</f>
        <v>temple</v>
      </c>
      <c r="B11768" s="4" t="str">
        <f>IFERROR(__xludf.DUMMYFUNCTION("""COMPUTED_VALUE"""),"temple")</f>
        <v>temple</v>
      </c>
      <c r="C11768" s="4" t="str">
        <f>IFERROR(__xludf.DUMMYFUNCTION("""COMPUTED_VALUE"""),"TempleDAO")</f>
        <v>TempleDAO</v>
      </c>
    </row>
    <row r="11769">
      <c r="A11769" s="4" t="str">
        <f>IFERROR(__xludf.DUMMYFUNCTION("""COMPUTED_VALUE"""),"temple-key")</f>
        <v>temple-key</v>
      </c>
      <c r="B11769" s="4" t="str">
        <f>IFERROR(__xludf.DUMMYFUNCTION("""COMPUTED_VALUE"""),"tkey")</f>
        <v>tkey</v>
      </c>
      <c r="C11769" s="4" t="str">
        <f>IFERROR(__xludf.DUMMYFUNCTION("""COMPUTED_VALUE"""),"Temple Key")</f>
        <v>Temple Key</v>
      </c>
    </row>
    <row r="11770">
      <c r="A11770" s="4" t="str">
        <f>IFERROR(__xludf.DUMMYFUNCTION("""COMPUTED_VALUE"""),"temtem")</f>
        <v>temtem</v>
      </c>
      <c r="B11770" s="4" t="str">
        <f>IFERROR(__xludf.DUMMYFUNCTION("""COMPUTED_VALUE"""),"tem")</f>
        <v>tem</v>
      </c>
      <c r="C11770" s="4" t="str">
        <f>IFERROR(__xludf.DUMMYFUNCTION("""COMPUTED_VALUE"""),"Temtum")</f>
        <v>Temtum</v>
      </c>
    </row>
    <row r="11771">
      <c r="A11771" s="4" t="str">
        <f>IFERROR(__xludf.DUMMYFUNCTION("""COMPUTED_VALUE"""),"ten")</f>
        <v>ten</v>
      </c>
      <c r="B11771" s="4" t="str">
        <f>IFERROR(__xludf.DUMMYFUNCTION("""COMPUTED_VALUE"""),"tenfi")</f>
        <v>tenfi</v>
      </c>
      <c r="C11771" s="4" t="str">
        <f>IFERROR(__xludf.DUMMYFUNCTION("""COMPUTED_VALUE"""),"TEN")</f>
        <v>TEN</v>
      </c>
    </row>
    <row r="11772">
      <c r="A11772" s="4" t="str">
        <f>IFERROR(__xludf.DUMMYFUNCTION("""COMPUTED_VALUE"""),"ten-best-coins")</f>
        <v>ten-best-coins</v>
      </c>
      <c r="B11772" s="4" t="str">
        <f>IFERROR(__xludf.DUMMYFUNCTION("""COMPUTED_VALUE"""),"tbc")</f>
        <v>tbc</v>
      </c>
      <c r="C11772" s="4" t="str">
        <f>IFERROR(__xludf.DUMMYFUNCTION("""COMPUTED_VALUE"""),"Ten Best Coins")</f>
        <v>Ten Best Coins</v>
      </c>
    </row>
    <row r="11773">
      <c r="A11773" s="4" t="str">
        <f>IFERROR(__xludf.DUMMYFUNCTION("""COMPUTED_VALUE"""),"tendies-icp")</f>
        <v>tendies-icp</v>
      </c>
      <c r="B11773" s="4" t="str">
        <f>IFERROR(__xludf.DUMMYFUNCTION("""COMPUTED_VALUE"""),"tendy")</f>
        <v>tendy</v>
      </c>
      <c r="C11773" s="4" t="str">
        <f>IFERROR(__xludf.DUMMYFUNCTION("""COMPUTED_VALUE"""),"Tendies (ICP)")</f>
        <v>Tendies (ICP)</v>
      </c>
    </row>
    <row r="11774">
      <c r="A11774" s="4" t="str">
        <f>IFERROR(__xludf.DUMMYFUNCTION("""COMPUTED_VALUE"""),"tenet-1b000f7b-59cb-4e06-89ce-d62b32d362b9")</f>
        <v>tenet-1b000f7b-59cb-4e06-89ce-d62b32d362b9</v>
      </c>
      <c r="B11774" s="4" t="str">
        <f>IFERROR(__xludf.DUMMYFUNCTION("""COMPUTED_VALUE"""),"tenet")</f>
        <v>tenet</v>
      </c>
      <c r="C11774" s="4" t="str">
        <f>IFERROR(__xludf.DUMMYFUNCTION("""COMPUTED_VALUE"""),"TENET")</f>
        <v>TENET</v>
      </c>
    </row>
    <row r="11775">
      <c r="A11775" s="4" t="str">
        <f>IFERROR(__xludf.DUMMYFUNCTION("""COMPUTED_VALUE"""),"tenset")</f>
        <v>tenset</v>
      </c>
      <c r="B11775" s="4" t="str">
        <f>IFERROR(__xludf.DUMMYFUNCTION("""COMPUTED_VALUE"""),"10set")</f>
        <v>10set</v>
      </c>
      <c r="C11775" s="4" t="str">
        <f>IFERROR(__xludf.DUMMYFUNCTION("""COMPUTED_VALUE"""),"Tenset")</f>
        <v>Tenset</v>
      </c>
    </row>
    <row r="11776">
      <c r="A11776" s="4" t="str">
        <f>IFERROR(__xludf.DUMMYFUNCTION("""COMPUTED_VALUE"""),"tenshi")</f>
        <v>tenshi</v>
      </c>
      <c r="B11776" s="4" t="str">
        <f>IFERROR(__xludf.DUMMYFUNCTION("""COMPUTED_VALUE"""),"tenshi")</f>
        <v>tenshi</v>
      </c>
      <c r="C11776" s="4" t="str">
        <f>IFERROR(__xludf.DUMMYFUNCTION("""COMPUTED_VALUE"""),"Tenshi")</f>
        <v>Tenshi</v>
      </c>
    </row>
    <row r="11777">
      <c r="A11777" s="4" t="str">
        <f>IFERROR(__xludf.DUMMYFUNCTION("""COMPUTED_VALUE"""),"tensor")</f>
        <v>tensor</v>
      </c>
      <c r="B11777" s="4" t="str">
        <f>IFERROR(__xludf.DUMMYFUNCTION("""COMPUTED_VALUE"""),"tnsr")</f>
        <v>tnsr</v>
      </c>
      <c r="C11777" s="4" t="str">
        <f>IFERROR(__xludf.DUMMYFUNCTION("""COMPUTED_VALUE"""),"Tensor")</f>
        <v>Tensor</v>
      </c>
    </row>
    <row r="11778">
      <c r="A11778" s="4" t="str">
        <f>IFERROR(__xludf.DUMMYFUNCTION("""COMPUTED_VALUE"""),"tensorhub")</f>
        <v>tensorhub</v>
      </c>
      <c r="B11778" s="4" t="str">
        <f>IFERROR(__xludf.DUMMYFUNCTION("""COMPUTED_VALUE"""),"thub")</f>
        <v>thub</v>
      </c>
      <c r="C11778" s="4" t="str">
        <f>IFERROR(__xludf.DUMMYFUNCTION("""COMPUTED_VALUE"""),"TensorHub")</f>
        <v>TensorHub</v>
      </c>
    </row>
    <row r="11779">
      <c r="A11779" s="4" t="str">
        <f>IFERROR(__xludf.DUMMYFUNCTION("""COMPUTED_VALUE"""),"tensorplex-staked-tao")</f>
        <v>tensorplex-staked-tao</v>
      </c>
      <c r="B11779" s="4" t="str">
        <f>IFERROR(__xludf.DUMMYFUNCTION("""COMPUTED_VALUE"""),"sttao")</f>
        <v>sttao</v>
      </c>
      <c r="C11779" s="4" t="str">
        <f>IFERROR(__xludf.DUMMYFUNCTION("""COMPUTED_VALUE"""),"Tensorplex Staked TAO")</f>
        <v>Tensorplex Staked TAO</v>
      </c>
    </row>
    <row r="11780">
      <c r="A11780" s="4" t="str">
        <f>IFERROR(__xludf.DUMMYFUNCTION("""COMPUTED_VALUE"""),"tensorscan-ai")</f>
        <v>tensorscan-ai</v>
      </c>
      <c r="B11780" s="4" t="str">
        <f>IFERROR(__xludf.DUMMYFUNCTION("""COMPUTED_VALUE"""),"tsa")</f>
        <v>tsa</v>
      </c>
      <c r="C11780" s="4" t="str">
        <f>IFERROR(__xludf.DUMMYFUNCTION("""COMPUTED_VALUE"""),"TensorScan AI")</f>
        <v>TensorScan AI</v>
      </c>
    </row>
    <row r="11781">
      <c r="A11781" s="4" t="str">
        <f>IFERROR(__xludf.DUMMYFUNCTION("""COMPUTED_VALUE"""),"tensorspace")</f>
        <v>tensorspace</v>
      </c>
      <c r="B11781" s="4" t="str">
        <f>IFERROR(__xludf.DUMMYFUNCTION("""COMPUTED_VALUE"""),"tpu")</f>
        <v>tpu</v>
      </c>
      <c r="C11781" s="4" t="str">
        <f>IFERROR(__xludf.DUMMYFUNCTION("""COMPUTED_VALUE"""),"TensorSpace")</f>
        <v>TensorSpace</v>
      </c>
    </row>
    <row r="11782">
      <c r="A11782" s="4" t="str">
        <f>IFERROR(__xludf.DUMMYFUNCTION("""COMPUTED_VALUE"""),"tenup")</f>
        <v>tenup</v>
      </c>
      <c r="B11782" s="4" t="str">
        <f>IFERROR(__xludf.DUMMYFUNCTION("""COMPUTED_VALUE"""),"tup")</f>
        <v>tup</v>
      </c>
      <c r="C11782" s="4" t="str">
        <f>IFERROR(__xludf.DUMMYFUNCTION("""COMPUTED_VALUE"""),"Tenup")</f>
        <v>Tenup</v>
      </c>
    </row>
    <row r="11783">
      <c r="A11783" s="4" t="str">
        <f>IFERROR(__xludf.DUMMYFUNCTION("""COMPUTED_VALUE"""),"tenx")</f>
        <v>tenx</v>
      </c>
      <c r="B11783" s="4" t="str">
        <f>IFERROR(__xludf.DUMMYFUNCTION("""COMPUTED_VALUE"""),"pay")</f>
        <v>pay</v>
      </c>
      <c r="C11783" s="4" t="str">
        <f>IFERROR(__xludf.DUMMYFUNCTION("""COMPUTED_VALUE"""),"TenX")</f>
        <v>TenX</v>
      </c>
    </row>
    <row r="11784">
      <c r="A11784" s="4" t="str">
        <f>IFERROR(__xludf.DUMMYFUNCTION("""COMPUTED_VALUE"""),"tenx-2")</f>
        <v>tenx-2</v>
      </c>
      <c r="B11784" s="4" t="str">
        <f>IFERROR(__xludf.DUMMYFUNCTION("""COMPUTED_VALUE"""),"tenx")</f>
        <v>tenx</v>
      </c>
      <c r="C11784" s="4" t="str">
        <f>IFERROR(__xludf.DUMMYFUNCTION("""COMPUTED_VALUE"""),"TenX")</f>
        <v>TenX</v>
      </c>
    </row>
    <row r="11785">
      <c r="A11785" s="4" t="str">
        <f>IFERROR(__xludf.DUMMYFUNCTION("""COMPUTED_VALUE"""),"tepe")</f>
        <v>tepe</v>
      </c>
      <c r="B11785" s="4" t="str">
        <f>IFERROR(__xludf.DUMMYFUNCTION("""COMPUTED_VALUE"""),"tepe")</f>
        <v>tepe</v>
      </c>
      <c r="C11785" s="4" t="str">
        <f>IFERROR(__xludf.DUMMYFUNCTION("""COMPUTED_VALUE"""),"Tepe")</f>
        <v>Tepe</v>
      </c>
    </row>
    <row r="11786">
      <c r="A11786" s="4" t="str">
        <f>IFERROR(__xludf.DUMMYFUNCTION("""COMPUTED_VALUE"""),"tepeport")</f>
        <v>tepeport</v>
      </c>
      <c r="B11786" s="4" t="str">
        <f>IFERROR(__xludf.DUMMYFUNCTION("""COMPUTED_VALUE"""),"tp")</f>
        <v>tp</v>
      </c>
      <c r="C11786" s="4" t="str">
        <f>IFERROR(__xludf.DUMMYFUNCTION("""COMPUTED_VALUE"""),"Tepeport")</f>
        <v>Tepeport</v>
      </c>
    </row>
    <row r="11787">
      <c r="A11787" s="4" t="str">
        <f>IFERROR(__xludf.DUMMYFUNCTION("""COMPUTED_VALUE"""),"teq-network")</f>
        <v>teq-network</v>
      </c>
      <c r="B11787" s="4" t="str">
        <f>IFERROR(__xludf.DUMMYFUNCTION("""COMPUTED_VALUE"""),"teq")</f>
        <v>teq</v>
      </c>
      <c r="C11787" s="4" t="str">
        <f>IFERROR(__xludf.DUMMYFUNCTION("""COMPUTED_VALUE"""),"Teq Network")</f>
        <v>Teq Network</v>
      </c>
    </row>
    <row r="11788">
      <c r="A11788" s="4" t="str">
        <f>IFERROR(__xludf.DUMMYFUNCTION("""COMPUTED_VALUE"""),"terahertz-capital")</f>
        <v>terahertz-capital</v>
      </c>
      <c r="B11788" s="4" t="str">
        <f>IFERROR(__xludf.DUMMYFUNCTION("""COMPUTED_VALUE"""),"thz")</f>
        <v>thz</v>
      </c>
      <c r="C11788" s="4" t="str">
        <f>IFERROR(__xludf.DUMMYFUNCTION("""COMPUTED_VALUE"""),"TeraHertz Capital")</f>
        <v>TeraHertz Capital</v>
      </c>
    </row>
    <row r="11789">
      <c r="A11789" s="4" t="str">
        <f>IFERROR(__xludf.DUMMYFUNCTION("""COMPUTED_VALUE"""),"terareum")</f>
        <v>terareum</v>
      </c>
      <c r="B11789" s="4" t="str">
        <f>IFERROR(__xludf.DUMMYFUNCTION("""COMPUTED_VALUE"""),"tera")</f>
        <v>tera</v>
      </c>
      <c r="C11789" s="4" t="str">
        <f>IFERROR(__xludf.DUMMYFUNCTION("""COMPUTED_VALUE"""),"Terareum [OLD]")</f>
        <v>Terareum [OLD]</v>
      </c>
    </row>
    <row r="11790">
      <c r="A11790" s="4" t="str">
        <f>IFERROR(__xludf.DUMMYFUNCTION("""COMPUTED_VALUE"""),"tera-smart-money")</f>
        <v>tera-smart-money</v>
      </c>
      <c r="B11790" s="4" t="str">
        <f>IFERROR(__xludf.DUMMYFUNCTION("""COMPUTED_VALUE"""),"tera")</f>
        <v>tera</v>
      </c>
      <c r="C11790" s="4" t="str">
        <f>IFERROR(__xludf.DUMMYFUNCTION("""COMPUTED_VALUE"""),"TERA")</f>
        <v>TERA</v>
      </c>
    </row>
    <row r="11791">
      <c r="A11791" s="4" t="str">
        <f>IFERROR(__xludf.DUMMYFUNCTION("""COMPUTED_VALUE"""),"teratto")</f>
        <v>teratto</v>
      </c>
      <c r="B11791" s="4" t="str">
        <f>IFERROR(__xludf.DUMMYFUNCTION("""COMPUTED_VALUE"""),"trcon")</f>
        <v>trcon</v>
      </c>
      <c r="C11791" s="4" t="str">
        <f>IFERROR(__xludf.DUMMYFUNCTION("""COMPUTED_VALUE"""),"TERATTO")</f>
        <v>TERATTO</v>
      </c>
    </row>
    <row r="11792">
      <c r="A11792" s="4" t="str">
        <f>IFERROR(__xludf.DUMMYFUNCTION("""COMPUTED_VALUE"""),"teritori")</f>
        <v>teritori</v>
      </c>
      <c r="B11792" s="4" t="str">
        <f>IFERROR(__xludf.DUMMYFUNCTION("""COMPUTED_VALUE"""),"tori")</f>
        <v>tori</v>
      </c>
      <c r="C11792" s="4" t="str">
        <f>IFERROR(__xludf.DUMMYFUNCTION("""COMPUTED_VALUE"""),"Teritori")</f>
        <v>Teritori</v>
      </c>
    </row>
    <row r="11793">
      <c r="A11793" s="4" t="str">
        <f>IFERROR(__xludf.DUMMYFUNCTION("""COMPUTED_VALUE"""),"term-structure")</f>
        <v>term-structure</v>
      </c>
      <c r="B11793" s="4" t="str">
        <f>IFERROR(__xludf.DUMMYFUNCTION("""COMPUTED_VALUE"""),"term")</f>
        <v>term</v>
      </c>
      <c r="C11793" s="4" t="str">
        <f>IFERROR(__xludf.DUMMYFUNCTION("""COMPUTED_VALUE"""),"Term Structure")</f>
        <v>Term Structure</v>
      </c>
    </row>
    <row r="11794">
      <c r="A11794" s="4" t="str">
        <f>IFERROR(__xludf.DUMMYFUNCTION("""COMPUTED_VALUE"""),"ternio")</f>
        <v>ternio</v>
      </c>
      <c r="B11794" s="4" t="str">
        <f>IFERROR(__xludf.DUMMYFUNCTION("""COMPUTED_VALUE"""),"tern")</f>
        <v>tern</v>
      </c>
      <c r="C11794" s="4" t="str">
        <f>IFERROR(__xludf.DUMMYFUNCTION("""COMPUTED_VALUE"""),"Ternio")</f>
        <v>Ternio</v>
      </c>
    </row>
    <row r="11795">
      <c r="A11795" s="4" t="str">
        <f>IFERROR(__xludf.DUMMYFUNCTION("""COMPUTED_VALUE"""),"terracoin")</f>
        <v>terracoin</v>
      </c>
      <c r="B11795" s="4" t="str">
        <f>IFERROR(__xludf.DUMMYFUNCTION("""COMPUTED_VALUE"""),"trc")</f>
        <v>trc</v>
      </c>
      <c r="C11795" s="4" t="str">
        <f>IFERROR(__xludf.DUMMYFUNCTION("""COMPUTED_VALUE"""),"Terracoin")</f>
        <v>Terracoin</v>
      </c>
    </row>
    <row r="11796">
      <c r="A11796" s="4" t="str">
        <f>IFERROR(__xludf.DUMMYFUNCTION("""COMPUTED_VALUE"""),"terra-luna")</f>
        <v>terra-luna</v>
      </c>
      <c r="B11796" s="4" t="str">
        <f>IFERROR(__xludf.DUMMYFUNCTION("""COMPUTED_VALUE"""),"lunc")</f>
        <v>lunc</v>
      </c>
      <c r="C11796" s="4" t="str">
        <f>IFERROR(__xludf.DUMMYFUNCTION("""COMPUTED_VALUE"""),"Terra Luna Classic")</f>
        <v>Terra Luna Classic</v>
      </c>
    </row>
    <row r="11797">
      <c r="A11797" s="4" t="str">
        <f>IFERROR(__xludf.DUMMYFUNCTION("""COMPUTED_VALUE"""),"terra-luna-2")</f>
        <v>terra-luna-2</v>
      </c>
      <c r="B11797" s="4" t="str">
        <f>IFERROR(__xludf.DUMMYFUNCTION("""COMPUTED_VALUE"""),"luna")</f>
        <v>luna</v>
      </c>
      <c r="C11797" s="4" t="str">
        <f>IFERROR(__xludf.DUMMYFUNCTION("""COMPUTED_VALUE"""),"Terra")</f>
        <v>Terra</v>
      </c>
    </row>
    <row r="11798">
      <c r="A11798" s="4" t="str">
        <f>IFERROR(__xludf.DUMMYFUNCTION("""COMPUTED_VALUE"""),"terran-coin")</f>
        <v>terran-coin</v>
      </c>
      <c r="B11798" s="4" t="str">
        <f>IFERROR(__xludf.DUMMYFUNCTION("""COMPUTED_VALUE"""),"trr")</f>
        <v>trr</v>
      </c>
      <c r="C11798" s="4" t="str">
        <f>IFERROR(__xludf.DUMMYFUNCTION("""COMPUTED_VALUE"""),"Terran Coin")</f>
        <v>Terran Coin</v>
      </c>
    </row>
    <row r="11799">
      <c r="A11799" s="4" t="str">
        <f>IFERROR(__xludf.DUMMYFUNCTION("""COMPUTED_VALUE"""),"terra-poker-token")</f>
        <v>terra-poker-token</v>
      </c>
      <c r="B11799" s="4" t="str">
        <f>IFERROR(__xludf.DUMMYFUNCTION("""COMPUTED_VALUE"""),"tpt")</f>
        <v>tpt</v>
      </c>
      <c r="C11799" s="4" t="str">
        <f>IFERROR(__xludf.DUMMYFUNCTION("""COMPUTED_VALUE"""),"Terra Poker Token")</f>
        <v>Terra Poker Token</v>
      </c>
    </row>
    <row r="11800">
      <c r="A11800" s="4" t="str">
        <f>IFERROR(__xludf.DUMMYFUNCTION("""COMPUTED_VALUE"""),"terraport")</f>
        <v>terraport</v>
      </c>
      <c r="B11800" s="4" t="str">
        <f>IFERROR(__xludf.DUMMYFUNCTION("""COMPUTED_VALUE"""),"terra")</f>
        <v>terra</v>
      </c>
      <c r="C11800" s="4" t="str">
        <f>IFERROR(__xludf.DUMMYFUNCTION("""COMPUTED_VALUE"""),"Terraport")</f>
        <v>Terraport</v>
      </c>
    </row>
    <row r="11801">
      <c r="A11801" s="4" t="str">
        <f>IFERROR(__xludf.DUMMYFUNCTION("""COMPUTED_VALUE"""),"terrausd")</f>
        <v>terrausd</v>
      </c>
      <c r="B11801" s="4" t="str">
        <f>IFERROR(__xludf.DUMMYFUNCTION("""COMPUTED_VALUE"""),"ustc")</f>
        <v>ustc</v>
      </c>
      <c r="C11801" s="4" t="str">
        <f>IFERROR(__xludf.DUMMYFUNCTION("""COMPUTED_VALUE"""),"TerraClassicUSD")</f>
        <v>TerraClassicUSD</v>
      </c>
    </row>
    <row r="11802">
      <c r="A11802" s="4" t="str">
        <f>IFERROR(__xludf.DUMMYFUNCTION("""COMPUTED_VALUE"""),"terrausd-wormhole")</f>
        <v>terrausd-wormhole</v>
      </c>
      <c r="B11802" s="4" t="str">
        <f>IFERROR(__xludf.DUMMYFUNCTION("""COMPUTED_VALUE"""),"ust")</f>
        <v>ust</v>
      </c>
      <c r="C11802" s="4" t="str">
        <f>IFERROR(__xludf.DUMMYFUNCTION("""COMPUTED_VALUE"""),"TerraUSD (Wormhole)")</f>
        <v>TerraUSD (Wormhole)</v>
      </c>
    </row>
    <row r="11803">
      <c r="A11803" s="4" t="str">
        <f>IFERROR(__xludf.DUMMYFUNCTION("""COMPUTED_VALUE"""),"terrier")</f>
        <v>terrier</v>
      </c>
      <c r="B11803" s="4" t="str">
        <f>IFERROR(__xludf.DUMMYFUNCTION("""COMPUTED_VALUE"""),"bull")</f>
        <v>bull</v>
      </c>
      <c r="C11803" s="4" t="str">
        <f>IFERROR(__xludf.DUMMYFUNCTION("""COMPUTED_VALUE"""),"TERRIER")</f>
        <v>TERRIER</v>
      </c>
    </row>
    <row r="11804">
      <c r="A11804" s="4" t="str">
        <f>IFERROR(__xludf.DUMMYFUNCTION("""COMPUTED_VALUE"""),"teso")</f>
        <v>teso</v>
      </c>
      <c r="B11804" s="4" t="str">
        <f>IFERROR(__xludf.DUMMYFUNCTION("""COMPUTED_VALUE"""),"teso")</f>
        <v>teso</v>
      </c>
      <c r="C11804" s="4" t="str">
        <f>IFERROR(__xludf.DUMMYFUNCTION("""COMPUTED_VALUE"""),"TeSo")</f>
        <v>TeSo</v>
      </c>
    </row>
    <row r="11805">
      <c r="A11805" s="4" t="str">
        <f>IFERROR(__xludf.DUMMYFUNCTION("""COMPUTED_VALUE"""),"test-2")</f>
        <v>test-2</v>
      </c>
      <c r="B11805" s="4" t="str">
        <f>IFERROR(__xludf.DUMMYFUNCTION("""COMPUTED_VALUE"""),"test")</f>
        <v>test</v>
      </c>
      <c r="C11805" s="4" t="str">
        <f>IFERROR(__xludf.DUMMYFUNCTION("""COMPUTED_VALUE"""),"Test")</f>
        <v>Test</v>
      </c>
    </row>
    <row r="11806">
      <c r="A11806" s="4" t="str">
        <f>IFERROR(__xludf.DUMMYFUNCTION("""COMPUTED_VALUE"""),"testo")</f>
        <v>testo</v>
      </c>
      <c r="B11806" s="4" t="str">
        <f>IFERROR(__xludf.DUMMYFUNCTION("""COMPUTED_VALUE"""),"testo")</f>
        <v>testo</v>
      </c>
      <c r="C11806" s="4" t="str">
        <f>IFERROR(__xludf.DUMMYFUNCTION("""COMPUTED_VALUE"""),"TESTO")</f>
        <v>TESTO</v>
      </c>
    </row>
    <row r="11807">
      <c r="A11807" s="4" t="str">
        <f>IFERROR(__xludf.DUMMYFUNCTION("""COMPUTED_VALUE"""),"tether")</f>
        <v>tether</v>
      </c>
      <c r="B11807" s="4" t="str">
        <f>IFERROR(__xludf.DUMMYFUNCTION("""COMPUTED_VALUE"""),"usdt")</f>
        <v>usdt</v>
      </c>
      <c r="C11807" s="4" t="str">
        <f>IFERROR(__xludf.DUMMYFUNCTION("""COMPUTED_VALUE"""),"Tether")</f>
        <v>Tether</v>
      </c>
    </row>
    <row r="11808">
      <c r="A11808" s="4" t="str">
        <f>IFERROR(__xludf.DUMMYFUNCTION("""COMPUTED_VALUE"""),"tether-6069e553-7ebb-487e-965e-2896cd21d6ac")</f>
        <v>tether-6069e553-7ebb-487e-965e-2896cd21d6ac</v>
      </c>
      <c r="B11808" s="4" t="str">
        <f>IFERROR(__xludf.DUMMYFUNCTION("""COMPUTED_VALUE"""),"zusdt")</f>
        <v>zusdt</v>
      </c>
      <c r="C11808" s="4" t="str">
        <f>IFERROR(__xludf.DUMMYFUNCTION("""COMPUTED_VALUE"""),"Bridged Tether (Zilliqa)")</f>
        <v>Bridged Tether (Zilliqa)</v>
      </c>
    </row>
    <row r="11809">
      <c r="A11809" s="4" t="str">
        <f>IFERROR(__xludf.DUMMYFUNCTION("""COMPUTED_VALUE"""),"tether-avalanche-bridged-usdt-e")</f>
        <v>tether-avalanche-bridged-usdt-e</v>
      </c>
      <c r="B11809" s="4" t="str">
        <f>IFERROR(__xludf.DUMMYFUNCTION("""COMPUTED_VALUE"""),"usdte")</f>
        <v>usdte</v>
      </c>
      <c r="C11809" s="4" t="str">
        <f>IFERROR(__xludf.DUMMYFUNCTION("""COMPUTED_VALUE"""),"Bridged Tether (Avalanche)")</f>
        <v>Bridged Tether (Avalanche)</v>
      </c>
    </row>
    <row r="11810">
      <c r="A11810" s="4" t="str">
        <f>IFERROR(__xludf.DUMMYFUNCTION("""COMPUTED_VALUE"""),"tethereum")</f>
        <v>tethereum</v>
      </c>
      <c r="B11810" s="4" t="str">
        <f>IFERROR(__xludf.DUMMYFUNCTION("""COMPUTED_VALUE"""),"t99")</f>
        <v>t99</v>
      </c>
      <c r="C11810" s="4" t="str">
        <f>IFERROR(__xludf.DUMMYFUNCTION("""COMPUTED_VALUE"""),"Tethereum")</f>
        <v>Tethereum</v>
      </c>
    </row>
    <row r="11811">
      <c r="A11811" s="4" t="str">
        <f>IFERROR(__xludf.DUMMYFUNCTION("""COMPUTED_VALUE"""),"tether-eurt")</f>
        <v>tether-eurt</v>
      </c>
      <c r="B11811" s="4" t="str">
        <f>IFERROR(__xludf.DUMMYFUNCTION("""COMPUTED_VALUE"""),"eurt")</f>
        <v>eurt</v>
      </c>
      <c r="C11811" s="4" t="str">
        <f>IFERROR(__xludf.DUMMYFUNCTION("""COMPUTED_VALUE"""),"Euro Tether")</f>
        <v>Euro Tether</v>
      </c>
    </row>
    <row r="11812">
      <c r="A11812" s="4" t="str">
        <f>IFERROR(__xludf.DUMMYFUNCTION("""COMPUTED_VALUE"""),"tether-gold")</f>
        <v>tether-gold</v>
      </c>
      <c r="B11812" s="4" t="str">
        <f>IFERROR(__xludf.DUMMYFUNCTION("""COMPUTED_VALUE"""),"xaut")</f>
        <v>xaut</v>
      </c>
      <c r="C11812" s="4" t="str">
        <f>IFERROR(__xludf.DUMMYFUNCTION("""COMPUTED_VALUE"""),"Tether Gold")</f>
        <v>Tether Gold</v>
      </c>
    </row>
    <row r="11813">
      <c r="A11813" s="4" t="str">
        <f>IFERROR(__xludf.DUMMYFUNCTION("""COMPUTED_VALUE"""),"tether-plenty-bridge")</f>
        <v>tether-plenty-bridge</v>
      </c>
      <c r="B11813" s="4" t="str">
        <f>IFERROR(__xludf.DUMMYFUNCTION("""COMPUTED_VALUE"""),"usdt.e")</f>
        <v>usdt.e</v>
      </c>
      <c r="C11813" s="4" t="str">
        <f>IFERROR(__xludf.DUMMYFUNCTION("""COMPUTED_VALUE"""),"Bridged Tether (Plenty Bridge)")</f>
        <v>Bridged Tether (Plenty Bridge)</v>
      </c>
    </row>
    <row r="11814">
      <c r="A11814" s="4" t="str">
        <f>IFERROR(__xludf.DUMMYFUNCTION("""COMPUTED_VALUE"""),"tether-pulsechain")</f>
        <v>tether-pulsechain</v>
      </c>
      <c r="B11814" s="4" t="str">
        <f>IFERROR(__xludf.DUMMYFUNCTION("""COMPUTED_VALUE"""),"usdt")</f>
        <v>usdt</v>
      </c>
      <c r="C11814" s="4" t="str">
        <f>IFERROR(__xludf.DUMMYFUNCTION("""COMPUTED_VALUE"""),"Bridged Tether (PulseChain)")</f>
        <v>Bridged Tether (PulseChain)</v>
      </c>
    </row>
    <row r="11815">
      <c r="A11815" s="4" t="str">
        <f>IFERROR(__xludf.DUMMYFUNCTION("""COMPUTED_VALUE"""),"tether-rainbow-bridge")</f>
        <v>tether-rainbow-bridge</v>
      </c>
      <c r="B11815" s="4" t="str">
        <f>IFERROR(__xludf.DUMMYFUNCTION("""COMPUTED_VALUE"""),"usdt.e")</f>
        <v>usdt.e</v>
      </c>
      <c r="C11815" s="4" t="str">
        <f>IFERROR(__xludf.DUMMYFUNCTION("""COMPUTED_VALUE"""),"Bridged Tether (Rainbow Bridge)")</f>
        <v>Bridged Tether (Rainbow Bridge)</v>
      </c>
    </row>
    <row r="11816">
      <c r="A11816" s="4" t="str">
        <f>IFERROR(__xludf.DUMMYFUNCTION("""COMPUTED_VALUE"""),"tether-usd-celer")</f>
        <v>tether-usd-celer</v>
      </c>
      <c r="B11816" s="4" t="str">
        <f>IFERROR(__xludf.DUMMYFUNCTION("""COMPUTED_VALUE"""),"ceusdt")</f>
        <v>ceusdt</v>
      </c>
      <c r="C11816" s="4" t="str">
        <f>IFERROR(__xludf.DUMMYFUNCTION("""COMPUTED_VALUE"""),"Celer Bridged Tether (Milkomeda)")</f>
        <v>Celer Bridged Tether (Milkomeda)</v>
      </c>
    </row>
    <row r="11817">
      <c r="A11817" s="4" t="str">
        <f>IFERROR(__xludf.DUMMYFUNCTION("""COMPUTED_VALUE"""),"tether-usd-pos-wormhole")</f>
        <v>tether-usd-pos-wormhole</v>
      </c>
      <c r="B11817" s="4" t="str">
        <f>IFERROR(__xludf.DUMMYFUNCTION("""COMPUTED_VALUE"""),"usdtpo")</f>
        <v>usdtpo</v>
      </c>
      <c r="C11817" s="4" t="str">
        <f>IFERROR(__xludf.DUMMYFUNCTION("""COMPUTED_VALUE"""),"Bridged Tether (Wormhole POS)")</f>
        <v>Bridged Tether (Wormhole POS)</v>
      </c>
    </row>
    <row r="11818">
      <c r="A11818" s="4" t="str">
        <f>IFERROR(__xludf.DUMMYFUNCTION("""COMPUTED_VALUE"""),"tether-usd-wormhole")</f>
        <v>tether-usd-wormhole</v>
      </c>
      <c r="B11818" s="4" t="str">
        <f>IFERROR(__xludf.DUMMYFUNCTION("""COMPUTED_VALUE"""),"usdtso")</f>
        <v>usdtso</v>
      </c>
      <c r="C11818" s="4" t="str">
        <f>IFERROR(__xludf.DUMMYFUNCTION("""COMPUTED_VALUE"""),"Bridged Tether (Wormhole)")</f>
        <v>Bridged Tether (Wormhole)</v>
      </c>
    </row>
    <row r="11819">
      <c r="A11819" s="4" t="str">
        <f>IFERROR(__xludf.DUMMYFUNCTION("""COMPUTED_VALUE"""),"tether-usd-wormhole-from-ethereum")</f>
        <v>tether-usd-wormhole-from-ethereum</v>
      </c>
      <c r="B11819" s="4" t="str">
        <f>IFERROR(__xludf.DUMMYFUNCTION("""COMPUTED_VALUE"""),"usdtet")</f>
        <v>usdtet</v>
      </c>
      <c r="C11819" s="4" t="str">
        <f>IFERROR(__xludf.DUMMYFUNCTION("""COMPUTED_VALUE"""),"Bridged Tether (Wormhole Ethereum)")</f>
        <v>Bridged Tether (Wormhole Ethereum)</v>
      </c>
    </row>
    <row r="11820">
      <c r="A11820" s="4" t="str">
        <f>IFERROR(__xludf.DUMMYFUNCTION("""COMPUTED_VALUE"""),"tethys-finance")</f>
        <v>tethys-finance</v>
      </c>
      <c r="B11820" s="4" t="str">
        <f>IFERROR(__xludf.DUMMYFUNCTION("""COMPUTED_VALUE"""),"tethys")</f>
        <v>tethys</v>
      </c>
      <c r="C11820" s="4" t="str">
        <f>IFERROR(__xludf.DUMMYFUNCTION("""COMPUTED_VALUE"""),"Tethys Finance")</f>
        <v>Tethys Finance</v>
      </c>
    </row>
    <row r="11821">
      <c r="A11821" s="4" t="str">
        <f>IFERROR(__xludf.DUMMYFUNCTION("""COMPUTED_VALUE"""),"tetra")</f>
        <v>tetra</v>
      </c>
      <c r="B11821" s="4" t="str">
        <f>IFERROR(__xludf.DUMMYFUNCTION("""COMPUTED_VALUE"""),"tetrap")</f>
        <v>tetrap</v>
      </c>
      <c r="C11821" s="4" t="str">
        <f>IFERROR(__xludf.DUMMYFUNCTION("""COMPUTED_VALUE"""),"TETRA")</f>
        <v>TETRA</v>
      </c>
    </row>
    <row r="11822">
      <c r="A11822" s="4" t="str">
        <f>IFERROR(__xludf.DUMMYFUNCTION("""COMPUTED_VALUE"""),"tetris-2")</f>
        <v>tetris-2</v>
      </c>
      <c r="B11822" s="4" t="str">
        <f>IFERROR(__xludf.DUMMYFUNCTION("""COMPUTED_VALUE"""),"tetris")</f>
        <v>tetris</v>
      </c>
      <c r="C11822" s="4" t="str">
        <f>IFERROR(__xludf.DUMMYFUNCTION("""COMPUTED_VALUE"""),"Tetris")</f>
        <v>Tetris</v>
      </c>
    </row>
    <row r="11823">
      <c r="A11823" s="4" t="str">
        <f>IFERROR(__xludf.DUMMYFUNCTION("""COMPUTED_VALUE"""),"tetu")</f>
        <v>tetu</v>
      </c>
      <c r="B11823" s="4" t="str">
        <f>IFERROR(__xludf.DUMMYFUNCTION("""COMPUTED_VALUE"""),"tetu")</f>
        <v>tetu</v>
      </c>
      <c r="C11823" s="4" t="str">
        <f>IFERROR(__xludf.DUMMYFUNCTION("""COMPUTED_VALUE"""),"TETU")</f>
        <v>TETU</v>
      </c>
    </row>
    <row r="11824">
      <c r="A11824" s="4" t="str">
        <f>IFERROR(__xludf.DUMMYFUNCTION("""COMPUTED_VALUE"""),"tetubal")</f>
        <v>tetubal</v>
      </c>
      <c r="B11824" s="4" t="str">
        <f>IFERROR(__xludf.DUMMYFUNCTION("""COMPUTED_VALUE"""),"tetubal")</f>
        <v>tetubal</v>
      </c>
      <c r="C11824" s="4" t="str">
        <f>IFERROR(__xludf.DUMMYFUNCTION("""COMPUTED_VALUE"""),"tetuBAL")</f>
        <v>tetuBAL</v>
      </c>
    </row>
    <row r="11825">
      <c r="A11825" s="4" t="str">
        <f>IFERROR(__xludf.DUMMYFUNCTION("""COMPUTED_VALUE"""),"tetuqi")</f>
        <v>tetuqi</v>
      </c>
      <c r="B11825" s="4" t="str">
        <f>IFERROR(__xludf.DUMMYFUNCTION("""COMPUTED_VALUE"""),"tetuqi")</f>
        <v>tetuqi</v>
      </c>
      <c r="C11825" s="4" t="str">
        <f>IFERROR(__xludf.DUMMYFUNCTION("""COMPUTED_VALUE"""),"tetuQi")</f>
        <v>tetuQi</v>
      </c>
    </row>
    <row r="11826">
      <c r="A11826" s="4" t="str">
        <f>IFERROR(__xludf.DUMMYFUNCTION("""COMPUTED_VALUE"""),"texan")</f>
        <v>texan</v>
      </c>
      <c r="B11826" s="4" t="str">
        <f>IFERROR(__xludf.DUMMYFUNCTION("""COMPUTED_VALUE"""),"texan")</f>
        <v>texan</v>
      </c>
      <c r="C11826" s="4" t="str">
        <f>IFERROR(__xludf.DUMMYFUNCTION("""COMPUTED_VALUE"""),"Texan")</f>
        <v>Texan</v>
      </c>
    </row>
    <row r="11827">
      <c r="A11827" s="4" t="str">
        <f>IFERROR(__xludf.DUMMYFUNCTION("""COMPUTED_VALUE"""),"textopia")</f>
        <v>textopia</v>
      </c>
      <c r="B11827" s="4" t="str">
        <f>IFERROR(__xludf.DUMMYFUNCTION("""COMPUTED_VALUE"""),"txt")</f>
        <v>txt</v>
      </c>
      <c r="C11827" s="4" t="str">
        <f>IFERROR(__xludf.DUMMYFUNCTION("""COMPUTED_VALUE"""),"Textopia")</f>
        <v>Textopia</v>
      </c>
    </row>
    <row r="11828">
      <c r="A11828" s="4" t="str">
        <f>IFERROR(__xludf.DUMMYFUNCTION("""COMPUTED_VALUE"""),"tezos")</f>
        <v>tezos</v>
      </c>
      <c r="B11828" s="4" t="str">
        <f>IFERROR(__xludf.DUMMYFUNCTION("""COMPUTED_VALUE"""),"xtz")</f>
        <v>xtz</v>
      </c>
      <c r="C11828" s="4" t="str">
        <f>IFERROR(__xludf.DUMMYFUNCTION("""COMPUTED_VALUE"""),"Tezos")</f>
        <v>Tezos</v>
      </c>
    </row>
    <row r="11829">
      <c r="A11829" s="4" t="str">
        <f>IFERROR(__xludf.DUMMYFUNCTION("""COMPUTED_VALUE"""),"tezos-domains")</f>
        <v>tezos-domains</v>
      </c>
      <c r="B11829" s="4" t="str">
        <f>IFERROR(__xludf.DUMMYFUNCTION("""COMPUTED_VALUE"""),"ted")</f>
        <v>ted</v>
      </c>
      <c r="C11829" s="4" t="str">
        <f>IFERROR(__xludf.DUMMYFUNCTION("""COMPUTED_VALUE"""),"Tezos Domains")</f>
        <v>Tezos Domains</v>
      </c>
    </row>
    <row r="11830">
      <c r="A11830" s="4" t="str">
        <f>IFERROR(__xludf.DUMMYFUNCTION("""COMPUTED_VALUE"""),"tezos-pepe")</f>
        <v>tezos-pepe</v>
      </c>
      <c r="B11830" s="4" t="str">
        <f>IFERROR(__xludf.DUMMYFUNCTION("""COMPUTED_VALUE"""),"pepe")</f>
        <v>pepe</v>
      </c>
      <c r="C11830" s="4" t="str">
        <f>IFERROR(__xludf.DUMMYFUNCTION("""COMPUTED_VALUE"""),"Tezos Pepe")</f>
        <v>Tezos Pepe</v>
      </c>
    </row>
    <row r="11831">
      <c r="A11831" s="4" t="str">
        <f>IFERROR(__xludf.DUMMYFUNCTION("""COMPUTED_VALUE"""),"tg20-tgram")</f>
        <v>tg20-tgram</v>
      </c>
      <c r="B11831" s="4" t="str">
        <f>IFERROR(__xludf.DUMMYFUNCTION("""COMPUTED_VALUE"""),"tgram")</f>
        <v>tgram</v>
      </c>
      <c r="C11831" s="4" t="str">
        <f>IFERROR(__xludf.DUMMYFUNCTION("""COMPUTED_VALUE"""),"TG20 TGram")</f>
        <v>TG20 TGram</v>
      </c>
    </row>
    <row r="11832">
      <c r="A11832" s="4" t="str">
        <f>IFERROR(__xludf.DUMMYFUNCTION("""COMPUTED_VALUE"""),"tg-casino")</f>
        <v>tg-casino</v>
      </c>
      <c r="B11832" s="4" t="str">
        <f>IFERROR(__xludf.DUMMYFUNCTION("""COMPUTED_VALUE"""),"tgc")</f>
        <v>tgc</v>
      </c>
      <c r="C11832" s="4" t="str">
        <f>IFERROR(__xludf.DUMMYFUNCTION("""COMPUTED_VALUE"""),"TG.Casino")</f>
        <v>TG.Casino</v>
      </c>
    </row>
    <row r="11833">
      <c r="A11833" s="4" t="str">
        <f>IFERROR(__xludf.DUMMYFUNCTION("""COMPUTED_VALUE"""),"tg-dao")</f>
        <v>tg-dao</v>
      </c>
      <c r="B11833" s="4" t="str">
        <f>IFERROR(__xludf.DUMMYFUNCTION("""COMPUTED_VALUE"""),"tgdao")</f>
        <v>tgdao</v>
      </c>
      <c r="C11833" s="4" t="str">
        <f>IFERROR(__xludf.DUMMYFUNCTION("""COMPUTED_VALUE"""),"TG DAO")</f>
        <v>TG DAO</v>
      </c>
    </row>
    <row r="11834">
      <c r="A11834" s="4" t="str">
        <f>IFERROR(__xludf.DUMMYFUNCTION("""COMPUTED_VALUE"""),"tgold")</f>
        <v>tgold</v>
      </c>
      <c r="B11834" s="4" t="str">
        <f>IFERROR(__xludf.DUMMYFUNCTION("""COMPUTED_VALUE"""),"txau")</f>
        <v>txau</v>
      </c>
      <c r="C11834" s="4" t="str">
        <f>IFERROR(__xludf.DUMMYFUNCTION("""COMPUTED_VALUE"""),"tGOLD")</f>
        <v>tGOLD</v>
      </c>
    </row>
    <row r="11835">
      <c r="A11835" s="4" t="str">
        <f>IFERROR(__xludf.DUMMYFUNCTION("""COMPUTED_VALUE"""),"tgrade")</f>
        <v>tgrade</v>
      </c>
      <c r="B11835" s="4" t="str">
        <f>IFERROR(__xludf.DUMMYFUNCTION("""COMPUTED_VALUE"""),"tgd")</f>
        <v>tgd</v>
      </c>
      <c r="C11835" s="4" t="str">
        <f>IFERROR(__xludf.DUMMYFUNCTION("""COMPUTED_VALUE"""),"Tgrade")</f>
        <v>Tgrade</v>
      </c>
    </row>
    <row r="11836">
      <c r="A11836" s="4" t="str">
        <f>IFERROR(__xludf.DUMMYFUNCTION("""COMPUTED_VALUE"""),"thala")</f>
        <v>thala</v>
      </c>
      <c r="B11836" s="4" t="str">
        <f>IFERROR(__xludf.DUMMYFUNCTION("""COMPUTED_VALUE"""),"thl")</f>
        <v>thl</v>
      </c>
      <c r="C11836" s="4" t="str">
        <f>IFERROR(__xludf.DUMMYFUNCTION("""COMPUTED_VALUE"""),"Thala")</f>
        <v>Thala</v>
      </c>
    </row>
    <row r="11837">
      <c r="A11837" s="4" t="str">
        <f>IFERROR(__xludf.DUMMYFUNCTION("""COMPUTED_VALUE"""),"thala-apt")</f>
        <v>thala-apt</v>
      </c>
      <c r="B11837" s="4" t="str">
        <f>IFERROR(__xludf.DUMMYFUNCTION("""COMPUTED_VALUE"""),"thapt")</f>
        <v>thapt</v>
      </c>
      <c r="C11837" s="4" t="str">
        <f>IFERROR(__xludf.DUMMYFUNCTION("""COMPUTED_VALUE"""),"Thala APT")</f>
        <v>Thala APT</v>
      </c>
    </row>
    <row r="11838">
      <c r="A11838" s="4" t="str">
        <f>IFERROR(__xludf.DUMMYFUNCTION("""COMPUTED_VALUE"""),"thales")</f>
        <v>thales</v>
      </c>
      <c r="B11838" s="4" t="str">
        <f>IFERROR(__xludf.DUMMYFUNCTION("""COMPUTED_VALUE"""),"thales")</f>
        <v>thales</v>
      </c>
      <c r="C11838" s="4" t="str">
        <f>IFERROR(__xludf.DUMMYFUNCTION("""COMPUTED_VALUE"""),"Thales")</f>
        <v>Thales</v>
      </c>
    </row>
    <row r="11839">
      <c r="A11839" s="4" t="str">
        <f>IFERROR(__xludf.DUMMYFUNCTION("""COMPUTED_VALUE"""),"the-4th-pillar")</f>
        <v>the-4th-pillar</v>
      </c>
      <c r="B11839" s="4" t="str">
        <f>IFERROR(__xludf.DUMMYFUNCTION("""COMPUTED_VALUE"""),"four")</f>
        <v>four</v>
      </c>
      <c r="C11839" s="4" t="str">
        <f>IFERROR(__xludf.DUMMYFUNCTION("""COMPUTED_VALUE"""),"FOUR")</f>
        <v>FOUR</v>
      </c>
    </row>
    <row r="11840">
      <c r="A11840" s="4" t="str">
        <f>IFERROR(__xludf.DUMMYFUNCTION("""COMPUTED_VALUE"""),"the9")</f>
        <v>the9</v>
      </c>
      <c r="B11840" s="4" t="str">
        <f>IFERROR(__xludf.DUMMYFUNCTION("""COMPUTED_VALUE"""),"the9")</f>
        <v>the9</v>
      </c>
      <c r="C11840" s="4" t="str">
        <f>IFERROR(__xludf.DUMMYFUNCTION("""COMPUTED_VALUE"""),"THE9")</f>
        <v>THE9</v>
      </c>
    </row>
    <row r="11841">
      <c r="A11841" s="4" t="str">
        <f>IFERROR(__xludf.DUMMYFUNCTION("""COMPUTED_VALUE"""),"the-abyss")</f>
        <v>the-abyss</v>
      </c>
      <c r="B11841" s="4" t="str">
        <f>IFERROR(__xludf.DUMMYFUNCTION("""COMPUTED_VALUE"""),"abyss")</f>
        <v>abyss</v>
      </c>
      <c r="C11841" s="4" t="str">
        <f>IFERROR(__xludf.DUMMYFUNCTION("""COMPUTED_VALUE"""),"Abyss")</f>
        <v>Abyss</v>
      </c>
    </row>
    <row r="11842">
      <c r="A11842" s="4" t="str">
        <f>IFERROR(__xludf.DUMMYFUNCTION("""COMPUTED_VALUE"""),"theada")</f>
        <v>theada</v>
      </c>
      <c r="B11842" s="4" t="str">
        <f>IFERROR(__xludf.DUMMYFUNCTION("""COMPUTED_VALUE"""),"tada")</f>
        <v>tada</v>
      </c>
      <c r="C11842" s="4" t="str">
        <f>IFERROR(__xludf.DUMMYFUNCTION("""COMPUTED_VALUE"""),"TheADA")</f>
        <v>TheADA</v>
      </c>
    </row>
    <row r="11843">
      <c r="A11843" s="4" t="str">
        <f>IFERROR(__xludf.DUMMYFUNCTION("""COMPUTED_VALUE"""),"the-ape-society")</f>
        <v>the-ape-society</v>
      </c>
      <c r="B11843" s="4" t="str">
        <f>IFERROR(__xludf.DUMMYFUNCTION("""COMPUTED_VALUE"""),"society")</f>
        <v>society</v>
      </c>
      <c r="C11843" s="4" t="str">
        <f>IFERROR(__xludf.DUMMYFUNCTION("""COMPUTED_VALUE"""),"The Ape Society")</f>
        <v>The Ape Society</v>
      </c>
    </row>
    <row r="11844">
      <c r="A11844" s="4" t="str">
        <f>IFERROR(__xludf.DUMMYFUNCTION("""COMPUTED_VALUE"""),"the-autism-token")</f>
        <v>the-autism-token</v>
      </c>
      <c r="B11844" s="4" t="str">
        <f>IFERROR(__xludf.DUMMYFUNCTION("""COMPUTED_VALUE"""),"tism")</f>
        <v>tism</v>
      </c>
      <c r="C11844" s="4" t="str">
        <f>IFERROR(__xludf.DUMMYFUNCTION("""COMPUTED_VALUE"""),"The Autism Token")</f>
        <v>The Autism Token</v>
      </c>
    </row>
    <row r="11845">
      <c r="A11845" s="4" t="str">
        <f>IFERROR(__xludf.DUMMYFUNCTION("""COMPUTED_VALUE"""),"the-balkan-dwarf")</f>
        <v>the-balkan-dwarf</v>
      </c>
      <c r="B11845" s="4" t="str">
        <f>IFERROR(__xludf.DUMMYFUNCTION("""COMPUTED_VALUE"""),"$kekec")</f>
        <v>$kekec</v>
      </c>
      <c r="C11845" s="4" t="str">
        <f>IFERROR(__xludf.DUMMYFUNCTION("""COMPUTED_VALUE"""),"The Balkan Dwarf")</f>
        <v>The Balkan Dwarf</v>
      </c>
    </row>
    <row r="11846">
      <c r="A11846" s="4" t="str">
        <f>IFERROR(__xludf.DUMMYFUNCTION("""COMPUTED_VALUE"""),"the-bet")</f>
        <v>the-bet</v>
      </c>
      <c r="B11846" s="4" t="str">
        <f>IFERROR(__xludf.DUMMYFUNCTION("""COMPUTED_VALUE"""),"bet")</f>
        <v>bet</v>
      </c>
      <c r="C11846" s="4" t="str">
        <f>IFERROR(__xludf.DUMMYFUNCTION("""COMPUTED_VALUE"""),"The Bet")</f>
        <v>The Bet</v>
      </c>
    </row>
    <row r="11847">
      <c r="A11847" s="4" t="str">
        <f>IFERROR(__xludf.DUMMYFUNCTION("""COMPUTED_VALUE"""),"the-big-five")</f>
        <v>the-big-five</v>
      </c>
      <c r="B11847" s="4" t="str">
        <f>IFERROR(__xludf.DUMMYFUNCTION("""COMPUTED_VALUE"""),"bft")</f>
        <v>bft</v>
      </c>
      <c r="C11847" s="4" t="str">
        <f>IFERROR(__xludf.DUMMYFUNCTION("""COMPUTED_VALUE"""),"The Big Five")</f>
        <v>The Big Five</v>
      </c>
    </row>
    <row r="11848">
      <c r="A11848" s="4" t="str">
        <f>IFERROR(__xludf.DUMMYFUNCTION("""COMPUTED_VALUE"""),"the-big-red")</f>
        <v>the-big-red</v>
      </c>
      <c r="B11848" s="4" t="str">
        <f>IFERROR(__xludf.DUMMYFUNCTION("""COMPUTED_VALUE"""),"$td")</f>
        <v>$td</v>
      </c>
      <c r="C11848" s="4" t="str">
        <f>IFERROR(__xludf.DUMMYFUNCTION("""COMPUTED_VALUE"""),"The Big Red")</f>
        <v>The Big Red</v>
      </c>
    </row>
    <row r="11849">
      <c r="A11849" s="4" t="str">
        <f>IFERROR(__xludf.DUMMYFUNCTION("""COMPUTED_VALUE"""),"the-blox-project")</f>
        <v>the-blox-project</v>
      </c>
      <c r="B11849" s="4" t="str">
        <f>IFERROR(__xludf.DUMMYFUNCTION("""COMPUTED_VALUE"""),"blox")</f>
        <v>blox</v>
      </c>
      <c r="C11849" s="4" t="str">
        <f>IFERROR(__xludf.DUMMYFUNCTION("""COMPUTED_VALUE"""),"The Blox Project")</f>
        <v>The Blox Project</v>
      </c>
    </row>
    <row r="11850">
      <c r="A11850" s="4" t="str">
        <f>IFERROR(__xludf.DUMMYFUNCTION("""COMPUTED_VALUE"""),"the-blu-arctic-water-comp")</f>
        <v>the-blu-arctic-water-comp</v>
      </c>
      <c r="B11850" s="4" t="str">
        <f>IFERROR(__xludf.DUMMYFUNCTION("""COMPUTED_VALUE"""),"barc")</f>
        <v>barc</v>
      </c>
      <c r="C11850" s="4" t="str">
        <f>IFERROR(__xludf.DUMMYFUNCTION("""COMPUTED_VALUE"""),"The Blu Arctic Water Comp")</f>
        <v>The Blu Arctic Water Comp</v>
      </c>
    </row>
    <row r="11851">
      <c r="A11851" s="4" t="str">
        <f>IFERROR(__xludf.DUMMYFUNCTION("""COMPUTED_VALUE"""),"theca")</f>
        <v>theca</v>
      </c>
      <c r="B11851" s="4" t="str">
        <f>IFERROR(__xludf.DUMMYFUNCTION("""COMPUTED_VALUE"""),"theca")</f>
        <v>theca</v>
      </c>
      <c r="C11851" s="4" t="str">
        <f>IFERROR(__xludf.DUMMYFUNCTION("""COMPUTED_VALUE"""),"Theca")</f>
        <v>Theca</v>
      </c>
    </row>
    <row r="11852">
      <c r="A11852" s="4" t="str">
        <f>IFERROR(__xludf.DUMMYFUNCTION("""COMPUTED_VALUE"""),"the-cat-inu")</f>
        <v>the-cat-inu</v>
      </c>
      <c r="B11852" s="4" t="str">
        <f>IFERROR(__xludf.DUMMYFUNCTION("""COMPUTED_VALUE"""),"thecat")</f>
        <v>thecat</v>
      </c>
      <c r="C11852" s="4" t="str">
        <f>IFERROR(__xludf.DUMMYFUNCTION("""COMPUTED_VALUE"""),"The Cat Inu")</f>
        <v>The Cat Inu</v>
      </c>
    </row>
    <row r="11853">
      <c r="A11853" s="4" t="str">
        <f>IFERROR(__xludf.DUMMYFUNCTION("""COMPUTED_VALUE"""),"the-cat-is-blue")</f>
        <v>the-cat-is-blue</v>
      </c>
      <c r="B11853" s="4" t="str">
        <f>IFERROR(__xludf.DUMMYFUNCTION("""COMPUTED_VALUE"""),"blue")</f>
        <v>blue</v>
      </c>
      <c r="C11853" s="4" t="str">
        <f>IFERROR(__xludf.DUMMYFUNCTION("""COMPUTED_VALUE"""),"The Cat Is Blue")</f>
        <v>The Cat Is Blue</v>
      </c>
    </row>
    <row r="11854">
      <c r="A11854" s="4" t="str">
        <f>IFERROR(__xludf.DUMMYFUNCTION("""COMPUTED_VALUE"""),"the-champcoin")</f>
        <v>the-champcoin</v>
      </c>
      <c r="B11854" s="4" t="str">
        <f>IFERROR(__xludf.DUMMYFUNCTION("""COMPUTED_VALUE"""),"tcc")</f>
        <v>tcc</v>
      </c>
      <c r="C11854" s="4" t="str">
        <f>IFERROR(__xludf.DUMMYFUNCTION("""COMPUTED_VALUE"""),"The ChampCoin")</f>
        <v>The ChampCoin</v>
      </c>
    </row>
    <row r="11855">
      <c r="A11855" s="4" t="str">
        <f>IFERROR(__xludf.DUMMYFUNCTION("""COMPUTED_VALUE"""),"the-citadel")</f>
        <v>the-citadel</v>
      </c>
      <c r="B11855" s="4" t="str">
        <f>IFERROR(__xludf.DUMMYFUNCTION("""COMPUTED_VALUE"""),"citadel")</f>
        <v>citadel</v>
      </c>
      <c r="C11855" s="4" t="str">
        <f>IFERROR(__xludf.DUMMYFUNCTION("""COMPUTED_VALUE"""),"The Citadel")</f>
        <v>The Citadel</v>
      </c>
    </row>
    <row r="11856">
      <c r="A11856" s="4" t="str">
        <f>IFERROR(__xludf.DUMMYFUNCTION("""COMPUTED_VALUE"""),"the-corgi-of-polkabridge")</f>
        <v>the-corgi-of-polkabridge</v>
      </c>
      <c r="B11856" s="4" t="str">
        <f>IFERROR(__xludf.DUMMYFUNCTION("""COMPUTED_VALUE"""),"corgib")</f>
        <v>corgib</v>
      </c>
      <c r="C11856" s="4" t="str">
        <f>IFERROR(__xludf.DUMMYFUNCTION("""COMPUTED_VALUE"""),"The Corgi of PolkaBridge")</f>
        <v>The Corgi of PolkaBridge</v>
      </c>
    </row>
    <row r="11857">
      <c r="A11857" s="4" t="str">
        <f>IFERROR(__xludf.DUMMYFUNCTION("""COMPUTED_VALUE"""),"the-crypto-prophecies")</f>
        <v>the-crypto-prophecies</v>
      </c>
      <c r="B11857" s="4" t="str">
        <f>IFERROR(__xludf.DUMMYFUNCTION("""COMPUTED_VALUE"""),"tcp")</f>
        <v>tcp</v>
      </c>
      <c r="C11857" s="4" t="str">
        <f>IFERROR(__xludf.DUMMYFUNCTION("""COMPUTED_VALUE"""),"The Crypto Prophecies")</f>
        <v>The Crypto Prophecies</v>
      </c>
    </row>
    <row r="11858">
      <c r="A11858" s="4" t="str">
        <f>IFERROR(__xludf.DUMMYFUNCTION("""COMPUTED_VALUE"""),"the-crypto-you")</f>
        <v>the-crypto-you</v>
      </c>
      <c r="B11858" s="4" t="str">
        <f>IFERROR(__xludf.DUMMYFUNCTION("""COMPUTED_VALUE"""),"milk")</f>
        <v>milk</v>
      </c>
      <c r="C11858" s="4" t="str">
        <f>IFERROR(__xludf.DUMMYFUNCTION("""COMPUTED_VALUE"""),"The Crypto You")</f>
        <v>The Crypto You</v>
      </c>
    </row>
    <row r="11859">
      <c r="A11859" s="4" t="str">
        <f>IFERROR(__xludf.DUMMYFUNCTION("""COMPUTED_VALUE"""),"the-dare")</f>
        <v>the-dare</v>
      </c>
      <c r="B11859" s="4" t="str">
        <f>IFERROR(__xludf.DUMMYFUNCTION("""COMPUTED_VALUE"""),"dare")</f>
        <v>dare</v>
      </c>
      <c r="C11859" s="4" t="str">
        <f>IFERROR(__xludf.DUMMYFUNCTION("""COMPUTED_VALUE"""),"The Dare")</f>
        <v>The Dare</v>
      </c>
    </row>
    <row r="11860">
      <c r="A11860" s="4" t="str">
        <f>IFERROR(__xludf.DUMMYFUNCTION("""COMPUTED_VALUE"""),"the-debt-box")</f>
        <v>the-debt-box</v>
      </c>
      <c r="B11860" s="4" t="str">
        <f>IFERROR(__xludf.DUMMYFUNCTION("""COMPUTED_VALUE"""),"debt")</f>
        <v>debt</v>
      </c>
      <c r="C11860" s="4" t="str">
        <f>IFERROR(__xludf.DUMMYFUNCTION("""COMPUTED_VALUE"""),"The Debt Box")</f>
        <v>The Debt Box</v>
      </c>
    </row>
    <row r="11861">
      <c r="A11861" s="4" t="str">
        <f>IFERROR(__xludf.DUMMYFUNCTION("""COMPUTED_VALUE"""),"the-doge-nft")</f>
        <v>the-doge-nft</v>
      </c>
      <c r="B11861" s="4" t="str">
        <f>IFERROR(__xludf.DUMMYFUNCTION("""COMPUTED_VALUE"""),"dog")</f>
        <v>dog</v>
      </c>
      <c r="C11861" s="4" t="str">
        <f>IFERROR(__xludf.DUMMYFUNCTION("""COMPUTED_VALUE"""),"The Doge NFT")</f>
        <v>The Doge NFT</v>
      </c>
    </row>
    <row r="11862">
      <c r="A11862" s="4" t="str">
        <f>IFERROR(__xludf.DUMMYFUNCTION("""COMPUTED_VALUE"""),"the-emerald-company")</f>
        <v>the-emerald-company</v>
      </c>
      <c r="B11862" s="4" t="str">
        <f>IFERROR(__xludf.DUMMYFUNCTION("""COMPUTED_VALUE"""),"emrld")</f>
        <v>emrld</v>
      </c>
      <c r="C11862" s="4" t="str">
        <f>IFERROR(__xludf.DUMMYFUNCTION("""COMPUTED_VALUE"""),"The Emerald Company")</f>
        <v>The Emerald Company</v>
      </c>
    </row>
    <row r="11863">
      <c r="A11863" s="4" t="str">
        <f>IFERROR(__xludf.DUMMYFUNCTION("""COMPUTED_VALUE"""),"the-employment-commons-work-token")</f>
        <v>the-employment-commons-work-token</v>
      </c>
      <c r="B11863" s="4" t="str">
        <f>IFERROR(__xludf.DUMMYFUNCTION("""COMPUTED_VALUE"""),"work")</f>
        <v>work</v>
      </c>
      <c r="C11863" s="4" t="str">
        <f>IFERROR(__xludf.DUMMYFUNCTION("""COMPUTED_VALUE"""),"The Employment Commons Work")</f>
        <v>The Employment Commons Work</v>
      </c>
    </row>
    <row r="11864">
      <c r="A11864" s="4" t="str">
        <f>IFERROR(__xludf.DUMMYFUNCTION("""COMPUTED_VALUE"""),"the-ennead")</f>
        <v>the-ennead</v>
      </c>
      <c r="B11864" s="4" t="str">
        <f>IFERROR(__xludf.DUMMYFUNCTION("""COMPUTED_VALUE"""),"neadram")</f>
        <v>neadram</v>
      </c>
      <c r="C11864" s="4" t="str">
        <f>IFERROR(__xludf.DUMMYFUNCTION("""COMPUTED_VALUE"""),"The Ennead")</f>
        <v>The Ennead</v>
      </c>
    </row>
    <row r="11865">
      <c r="A11865" s="4" t="str">
        <f>IFERROR(__xludf.DUMMYFUNCTION("""COMPUTED_VALUE"""),"the-essential-coin")</f>
        <v>the-essential-coin</v>
      </c>
      <c r="B11865" s="4" t="str">
        <f>IFERROR(__xludf.DUMMYFUNCTION("""COMPUTED_VALUE"""),"esc")</f>
        <v>esc</v>
      </c>
      <c r="C11865" s="4" t="str">
        <f>IFERROR(__xludf.DUMMYFUNCTION("""COMPUTED_VALUE"""),"The Essential Coin")</f>
        <v>The Essential Coin</v>
      </c>
    </row>
    <row r="11866">
      <c r="A11866" s="4" t="str">
        <f>IFERROR(__xludf.DUMMYFUNCTION("""COMPUTED_VALUE"""),"the-everlasting-parachain")</f>
        <v>the-everlasting-parachain</v>
      </c>
      <c r="B11866" s="4" t="str">
        <f>IFERROR(__xludf.DUMMYFUNCTION("""COMPUTED_VALUE"""),"elp")</f>
        <v>elp</v>
      </c>
      <c r="C11866" s="4" t="str">
        <f>IFERROR(__xludf.DUMMYFUNCTION("""COMPUTED_VALUE"""),"The Everlasting Parachain")</f>
        <v>The Everlasting Parachain</v>
      </c>
    </row>
    <row r="11867">
      <c r="A11867" s="4" t="str">
        <f>IFERROR(__xludf.DUMMYFUNCTION("""COMPUTED_VALUE"""),"theforce-trade")</f>
        <v>theforce-trade</v>
      </c>
      <c r="B11867" s="4" t="str">
        <f>IFERROR(__xludf.DUMMYFUNCTION("""COMPUTED_VALUE"""),"foc")</f>
        <v>foc</v>
      </c>
      <c r="C11867" s="4" t="str">
        <f>IFERROR(__xludf.DUMMYFUNCTION("""COMPUTED_VALUE"""),"TheForce Trade")</f>
        <v>TheForce Trade</v>
      </c>
    </row>
    <row r="11868">
      <c r="A11868" s="4" t="str">
        <f>IFERROR(__xludf.DUMMYFUNCTION("""COMPUTED_VALUE"""),"the-gamehub")</f>
        <v>the-gamehub</v>
      </c>
      <c r="B11868" s="4" t="str">
        <f>IFERROR(__xludf.DUMMYFUNCTION("""COMPUTED_VALUE"""),"ghub")</f>
        <v>ghub</v>
      </c>
      <c r="C11868" s="4" t="str">
        <f>IFERROR(__xludf.DUMMYFUNCTION("""COMPUTED_VALUE"""),"The GameHub")</f>
        <v>The GameHub</v>
      </c>
    </row>
    <row r="11869">
      <c r="A11869" s="4" t="str">
        <f>IFERROR(__xludf.DUMMYFUNCTION("""COMPUTED_VALUE"""),"the-goat-cz")</f>
        <v>the-goat-cz</v>
      </c>
      <c r="B11869" s="4" t="str">
        <f>IFERROR(__xludf.DUMMYFUNCTION("""COMPUTED_VALUE"""),"czgoat")</f>
        <v>czgoat</v>
      </c>
      <c r="C11869" s="4" t="str">
        <f>IFERROR(__xludf.DUMMYFUNCTION("""COMPUTED_VALUE"""),"CZ THE GOAT")</f>
        <v>CZ THE GOAT</v>
      </c>
    </row>
    <row r="11870">
      <c r="A11870" s="4" t="str">
        <f>IFERROR(__xludf.DUMMYFUNCTION("""COMPUTED_VALUE"""),"the-grapes-grape-coin")</f>
        <v>the-grapes-grape-coin</v>
      </c>
      <c r="B11870" s="4" t="str">
        <f>IFERROR(__xludf.DUMMYFUNCTION("""COMPUTED_VALUE"""),"grape")</f>
        <v>grape</v>
      </c>
      <c r="C11870" s="4" t="str">
        <f>IFERROR(__xludf.DUMMYFUNCTION("""COMPUTED_VALUE"""),"Grape Coin")</f>
        <v>Grape Coin</v>
      </c>
    </row>
    <row r="11871">
      <c r="A11871" s="4" t="str">
        <f>IFERROR(__xludf.DUMMYFUNCTION("""COMPUTED_VALUE"""),"the-graph")</f>
        <v>the-graph</v>
      </c>
      <c r="B11871" s="4" t="str">
        <f>IFERROR(__xludf.DUMMYFUNCTION("""COMPUTED_VALUE"""),"grt")</f>
        <v>grt</v>
      </c>
      <c r="C11871" s="4" t="str">
        <f>IFERROR(__xludf.DUMMYFUNCTION("""COMPUTED_VALUE"""),"The Graph")</f>
        <v>The Graph</v>
      </c>
    </row>
    <row r="11872">
      <c r="A11872" s="4" t="str">
        <f>IFERROR(__xludf.DUMMYFUNCTION("""COMPUTED_VALUE"""),"the-grays-currency")</f>
        <v>the-grays-currency</v>
      </c>
      <c r="B11872" s="4" t="str">
        <f>IFERROR(__xludf.DUMMYFUNCTION("""COMPUTED_VALUE"""),"ptgc")</f>
        <v>ptgc</v>
      </c>
      <c r="C11872" s="4" t="str">
        <f>IFERROR(__xludf.DUMMYFUNCTION("""COMPUTED_VALUE"""),"The Grays Currency")</f>
        <v>The Grays Currency</v>
      </c>
    </row>
    <row r="11873">
      <c r="A11873" s="4" t="str">
        <f>IFERROR(__xludf.DUMMYFUNCTION("""COMPUTED_VALUE"""),"the-great-void-token")</f>
        <v>the-great-void-token</v>
      </c>
      <c r="B11873" s="4" t="str">
        <f>IFERROR(__xludf.DUMMYFUNCTION("""COMPUTED_VALUE"""),"void")</f>
        <v>void</v>
      </c>
      <c r="C11873" s="4" t="str">
        <f>IFERROR(__xludf.DUMMYFUNCTION("""COMPUTED_VALUE"""),"The Great Void Token")</f>
        <v>The Great Void Token</v>
      </c>
    </row>
    <row r="11874">
      <c r="A11874" s="4" t="str">
        <f>IFERROR(__xludf.DUMMYFUNCTION("""COMPUTED_VALUE"""),"the-husl")</f>
        <v>the-husl</v>
      </c>
      <c r="B11874" s="4" t="str">
        <f>IFERROR(__xludf.DUMMYFUNCTION("""COMPUTED_VALUE"""),"husl")</f>
        <v>husl</v>
      </c>
      <c r="C11874" s="4" t="str">
        <f>IFERROR(__xludf.DUMMYFUNCTION("""COMPUTED_VALUE"""),"The HUSL")</f>
        <v>The HUSL</v>
      </c>
    </row>
    <row r="11875">
      <c r="A11875" s="4" t="str">
        <f>IFERROR(__xludf.DUMMYFUNCTION("""COMPUTED_VALUE"""),"the-infinite-garden")</f>
        <v>the-infinite-garden</v>
      </c>
      <c r="B11875" s="4" t="str">
        <f>IFERROR(__xludf.DUMMYFUNCTION("""COMPUTED_VALUE"""),"eth")</f>
        <v>eth</v>
      </c>
      <c r="C11875" s="4" t="str">
        <f>IFERROR(__xludf.DUMMYFUNCTION("""COMPUTED_VALUE"""),"The Infinite Garden")</f>
        <v>The Infinite Garden</v>
      </c>
    </row>
    <row r="11876">
      <c r="A11876" s="4" t="str">
        <f>IFERROR(__xludf.DUMMYFUNCTION("""COMPUTED_VALUE"""),"thejanitor")</f>
        <v>thejanitor</v>
      </c>
      <c r="B11876" s="4" t="str">
        <f>IFERROR(__xludf.DUMMYFUNCTION("""COMPUTED_VALUE"""),"eric")</f>
        <v>eric</v>
      </c>
      <c r="C11876" s="4" t="str">
        <f>IFERROR(__xludf.DUMMYFUNCTION("""COMPUTED_VALUE"""),"TheJanitor")</f>
        <v>TheJanitor</v>
      </c>
    </row>
    <row r="11877">
      <c r="A11877" s="4" t="str">
        <f>IFERROR(__xludf.DUMMYFUNCTION("""COMPUTED_VALUE"""),"the-joker-coin")</f>
        <v>the-joker-coin</v>
      </c>
      <c r="B11877" s="4" t="str">
        <f>IFERROR(__xludf.DUMMYFUNCTION("""COMPUTED_VALUE"""),"joker")</f>
        <v>joker</v>
      </c>
      <c r="C11877" s="4" t="str">
        <f>IFERROR(__xludf.DUMMYFUNCTION("""COMPUTED_VALUE"""),"The Joker Coin")</f>
        <v>The Joker Coin</v>
      </c>
    </row>
    <row r="11878">
      <c r="A11878" s="4" t="str">
        <f>IFERROR(__xludf.DUMMYFUNCTION("""COMPUTED_VALUE"""),"the-jupiter-cat")</f>
        <v>the-jupiter-cat</v>
      </c>
      <c r="B11878" s="4" t="str">
        <f>IFERROR(__xludf.DUMMYFUNCTION("""COMPUTED_VALUE"""),"jupcat")</f>
        <v>jupcat</v>
      </c>
      <c r="C11878" s="4" t="str">
        <f>IFERROR(__xludf.DUMMYFUNCTION("""COMPUTED_VALUE"""),"The Jupiter Cat")</f>
        <v>The Jupiter Cat</v>
      </c>
    </row>
    <row r="11879">
      <c r="A11879" s="4" t="str">
        <f>IFERROR(__xludf.DUMMYFUNCTION("""COMPUTED_VALUE"""),"the-killbox-game")</f>
        <v>the-killbox-game</v>
      </c>
      <c r="B11879" s="4" t="str">
        <f>IFERROR(__xludf.DUMMYFUNCTION("""COMPUTED_VALUE"""),"kbox")</f>
        <v>kbox</v>
      </c>
      <c r="C11879" s="4" t="str">
        <f>IFERROR(__xludf.DUMMYFUNCTION("""COMPUTED_VALUE"""),"The Killbox Game")</f>
        <v>The Killbox Game</v>
      </c>
    </row>
    <row r="11880">
      <c r="A11880" s="4" t="str">
        <f>IFERROR(__xludf.DUMMYFUNCTION("""COMPUTED_VALUE"""),"the-kingdom-coin")</f>
        <v>the-kingdom-coin</v>
      </c>
      <c r="B11880" s="4" t="str">
        <f>IFERROR(__xludf.DUMMYFUNCTION("""COMPUTED_VALUE"""),"tkc")</f>
        <v>tkc</v>
      </c>
      <c r="C11880" s="4" t="str">
        <f>IFERROR(__xludf.DUMMYFUNCTION("""COMPUTED_VALUE"""),"The Kingdom Coin")</f>
        <v>The Kingdom Coin</v>
      </c>
    </row>
    <row r="11881">
      <c r="A11881" s="4" t="str">
        <f>IFERROR(__xludf.DUMMYFUNCTION("""COMPUTED_VALUE"""),"the-last-pepe")</f>
        <v>the-last-pepe</v>
      </c>
      <c r="B11881" s="4" t="str">
        <f>IFERROR(__xludf.DUMMYFUNCTION("""COMPUTED_VALUE"""),"froggo")</f>
        <v>froggo</v>
      </c>
      <c r="C11881" s="4" t="str">
        <f>IFERROR(__xludf.DUMMYFUNCTION("""COMPUTED_VALUE"""),"The Last Pepe")</f>
        <v>The Last Pepe</v>
      </c>
    </row>
    <row r="11882">
      <c r="A11882" s="4" t="str">
        <f>IFERROR(__xludf.DUMMYFUNCTION("""COMPUTED_VALUE"""),"the-love-care-coin")</f>
        <v>the-love-care-coin</v>
      </c>
      <c r="B11882" s="4" t="str">
        <f>IFERROR(__xludf.DUMMYFUNCTION("""COMPUTED_VALUE"""),"tlcc")</f>
        <v>tlcc</v>
      </c>
      <c r="C11882" s="4" t="str">
        <f>IFERROR(__xludf.DUMMYFUNCTION("""COMPUTED_VALUE"""),"The Love Care Coin")</f>
        <v>The Love Care Coin</v>
      </c>
    </row>
    <row r="11883">
      <c r="A11883" s="4" t="str">
        <f>IFERROR(__xludf.DUMMYFUNCTION("""COMPUTED_VALUE"""),"the-mars")</f>
        <v>the-mars</v>
      </c>
      <c r="B11883" s="4" t="str">
        <f>IFERROR(__xludf.DUMMYFUNCTION("""COMPUTED_VALUE"""),"mrst")</f>
        <v>mrst</v>
      </c>
      <c r="C11883" s="4" t="str">
        <f>IFERROR(__xludf.DUMMYFUNCTION("""COMPUTED_VALUE"""),"Mars Token")</f>
        <v>Mars Token</v>
      </c>
    </row>
    <row r="11884">
      <c r="A11884" s="4" t="str">
        <f>IFERROR(__xludf.DUMMYFUNCTION("""COMPUTED_VALUE"""),"the-monopolist")</f>
        <v>the-monopolist</v>
      </c>
      <c r="B11884" s="4" t="str">
        <f>IFERROR(__xludf.DUMMYFUNCTION("""COMPUTED_VALUE"""),"mono")</f>
        <v>mono</v>
      </c>
      <c r="C11884" s="4" t="str">
        <f>IFERROR(__xludf.DUMMYFUNCTION("""COMPUTED_VALUE"""),"The Monopolist")</f>
        <v>The Monopolist</v>
      </c>
    </row>
    <row r="11885">
      <c r="A11885" s="4" t="str">
        <f>IFERROR(__xludf.DUMMYFUNCTION("""COMPUTED_VALUE"""),"thena")</f>
        <v>thena</v>
      </c>
      <c r="B11885" s="4" t="str">
        <f>IFERROR(__xludf.DUMMYFUNCTION("""COMPUTED_VALUE"""),"the")</f>
        <v>the</v>
      </c>
      <c r="C11885" s="4" t="str">
        <f>IFERROR(__xludf.DUMMYFUNCTION("""COMPUTED_VALUE"""),"Thena")</f>
        <v>Thena</v>
      </c>
    </row>
    <row r="11886">
      <c r="A11886" s="4" t="str">
        <f>IFERROR(__xludf.DUMMYFUNCTION("""COMPUTED_VALUE"""),"the-neko")</f>
        <v>the-neko</v>
      </c>
      <c r="B11886" s="4" t="str">
        <f>IFERROR(__xludf.DUMMYFUNCTION("""COMPUTED_VALUE"""),"neko")</f>
        <v>neko</v>
      </c>
      <c r="C11886" s="4" t="str">
        <f>IFERROR(__xludf.DUMMYFUNCTION("""COMPUTED_VALUE"""),"The Neko")</f>
        <v>The Neko</v>
      </c>
    </row>
    <row r="11887">
      <c r="A11887" s="4" t="str">
        <f>IFERROR(__xludf.DUMMYFUNCTION("""COMPUTED_VALUE"""),"the-nemesis")</f>
        <v>the-nemesis</v>
      </c>
      <c r="B11887" s="4" t="str">
        <f>IFERROR(__xludf.DUMMYFUNCTION("""COMPUTED_VALUE"""),"nems")</f>
        <v>nems</v>
      </c>
      <c r="C11887" s="4" t="str">
        <f>IFERROR(__xludf.DUMMYFUNCTION("""COMPUTED_VALUE"""),"The Nemesis")</f>
        <v>The Nemesis</v>
      </c>
    </row>
    <row r="11888">
      <c r="A11888" s="4" t="str">
        <f>IFERROR(__xludf.DUMMYFUNCTION("""COMPUTED_VALUE"""),"the-next-gem-ai")</f>
        <v>the-next-gem-ai</v>
      </c>
      <c r="B11888" s="4" t="str">
        <f>IFERROR(__xludf.DUMMYFUNCTION("""COMPUTED_VALUE"""),"gemai")</f>
        <v>gemai</v>
      </c>
      <c r="C11888" s="4" t="str">
        <f>IFERROR(__xludf.DUMMYFUNCTION("""COMPUTED_VALUE"""),"The Next Gem AI")</f>
        <v>The Next Gem AI</v>
      </c>
    </row>
    <row r="11889">
      <c r="A11889" s="4" t="str">
        <f>IFERROR(__xludf.DUMMYFUNCTION("""COMPUTED_VALUE"""),"the-node")</f>
        <v>the-node</v>
      </c>
      <c r="B11889" s="4" t="str">
        <f>IFERROR(__xludf.DUMMYFUNCTION("""COMPUTED_VALUE"""),"the")</f>
        <v>the</v>
      </c>
      <c r="C11889" s="4" t="str">
        <f>IFERROR(__xludf.DUMMYFUNCTION("""COMPUTED_VALUE"""),"THENODE")</f>
        <v>THENODE</v>
      </c>
    </row>
    <row r="11890">
      <c r="A11890" s="4" t="str">
        <f>IFERROR(__xludf.DUMMYFUNCTION("""COMPUTED_VALUE"""),"the-og-cheems-inu")</f>
        <v>the-og-cheems-inu</v>
      </c>
      <c r="B11890" s="4" t="str">
        <f>IFERROR(__xludf.DUMMYFUNCTION("""COMPUTED_VALUE"""),"ogcinu")</f>
        <v>ogcinu</v>
      </c>
      <c r="C11890" s="4" t="str">
        <f>IFERROR(__xludf.DUMMYFUNCTION("""COMPUTED_VALUE"""),"The OG Cheems Inu")</f>
        <v>The OG Cheems Inu</v>
      </c>
    </row>
    <row r="11891">
      <c r="A11891" s="4" t="str">
        <f>IFERROR(__xludf.DUMMYFUNCTION("""COMPUTED_VALUE"""),"the-open-league-meme")</f>
        <v>the-open-league-meme</v>
      </c>
      <c r="B11891" s="4" t="str">
        <f>IFERROR(__xludf.DUMMYFUNCTION("""COMPUTED_VALUE"""),"tol")</f>
        <v>tol</v>
      </c>
      <c r="C11891" s="4" t="str">
        <f>IFERROR(__xludf.DUMMYFUNCTION("""COMPUTED_VALUE"""),"The Open League MEME")</f>
        <v>The Open League MEME</v>
      </c>
    </row>
    <row r="11892">
      <c r="A11892" s="4" t="str">
        <f>IFERROR(__xludf.DUMMYFUNCTION("""COMPUTED_VALUE"""),"the-open-network")</f>
        <v>the-open-network</v>
      </c>
      <c r="B11892" s="4" t="str">
        <f>IFERROR(__xludf.DUMMYFUNCTION("""COMPUTED_VALUE"""),"ton")</f>
        <v>ton</v>
      </c>
      <c r="C11892" s="4" t="str">
        <f>IFERROR(__xludf.DUMMYFUNCTION("""COMPUTED_VALUE"""),"Toncoin")</f>
        <v>Toncoin</v>
      </c>
    </row>
    <row r="11893">
      <c r="A11893" s="4" t="str">
        <f>IFERROR(__xludf.DUMMYFUNCTION("""COMPUTED_VALUE"""),"theopetra")</f>
        <v>theopetra</v>
      </c>
      <c r="B11893" s="4" t="str">
        <f>IFERROR(__xludf.DUMMYFUNCTION("""COMPUTED_VALUE"""),"theo")</f>
        <v>theo</v>
      </c>
      <c r="C11893" s="4" t="str">
        <f>IFERROR(__xludf.DUMMYFUNCTION("""COMPUTED_VALUE"""),"Theopetra")</f>
        <v>Theopetra</v>
      </c>
    </row>
    <row r="11894">
      <c r="A11894" s="4" t="str">
        <f>IFERROR(__xludf.DUMMYFUNCTION("""COMPUTED_VALUE"""),"theos")</f>
        <v>theos</v>
      </c>
      <c r="B11894" s="4" t="str">
        <f>IFERROR(__xludf.DUMMYFUNCTION("""COMPUTED_VALUE"""),"theos")</f>
        <v>theos</v>
      </c>
      <c r="C11894" s="4" t="str">
        <f>IFERROR(__xludf.DUMMYFUNCTION("""COMPUTED_VALUE"""),"Theos")</f>
        <v>Theos</v>
      </c>
    </row>
    <row r="11895">
      <c r="A11895" s="4" t="str">
        <f>IFERROR(__xludf.DUMMYFUNCTION("""COMPUTED_VALUE"""),"the-other-party")</f>
        <v>the-other-party</v>
      </c>
      <c r="B11895" s="4" t="str">
        <f>IFERROR(__xludf.DUMMYFUNCTION("""COMPUTED_VALUE"""),"pod")</f>
        <v>pod</v>
      </c>
      <c r="C11895" s="4" t="str">
        <f>IFERROR(__xludf.DUMMYFUNCTION("""COMPUTED_VALUE"""),"The Other Party")</f>
        <v>The Other Party</v>
      </c>
    </row>
    <row r="11896">
      <c r="A11896" s="4" t="str">
        <f>IFERROR(__xludf.DUMMYFUNCTION("""COMPUTED_VALUE"""),"the-people-coin")</f>
        <v>the-people-coin</v>
      </c>
      <c r="B11896" s="4" t="str">
        <f>IFERROR(__xludf.DUMMYFUNCTION("""COMPUTED_VALUE"""),"peep$")</f>
        <v>peep$</v>
      </c>
      <c r="C11896" s="4" t="str">
        <f>IFERROR(__xludf.DUMMYFUNCTION("""COMPUTED_VALUE"""),"The People’s Coin")</f>
        <v>The People’s Coin</v>
      </c>
    </row>
    <row r="11897">
      <c r="A11897" s="4" t="str">
        <f>IFERROR(__xludf.DUMMYFUNCTION("""COMPUTED_VALUE"""),"the-phoenix")</f>
        <v>the-phoenix</v>
      </c>
      <c r="B11897" s="4" t="str">
        <f>IFERROR(__xludf.DUMMYFUNCTION("""COMPUTED_VALUE"""),"fire")</f>
        <v>fire</v>
      </c>
      <c r="C11897" s="4" t="str">
        <f>IFERROR(__xludf.DUMMYFUNCTION("""COMPUTED_VALUE"""),"The Phoenix")</f>
        <v>The Phoenix</v>
      </c>
    </row>
    <row r="11898">
      <c r="A11898" s="4" t="str">
        <f>IFERROR(__xludf.DUMMYFUNCTION("""COMPUTED_VALUE"""),"the-pond")</f>
        <v>the-pond</v>
      </c>
      <c r="B11898" s="4" t="str">
        <f>IFERROR(__xludf.DUMMYFUNCTION("""COMPUTED_VALUE"""),"thepond")</f>
        <v>thepond</v>
      </c>
      <c r="C11898" s="4" t="str">
        <f>IFERROR(__xludf.DUMMYFUNCTION("""COMPUTED_VALUE"""),"The Pond")</f>
        <v>The Pond</v>
      </c>
    </row>
    <row r="11899">
      <c r="A11899" s="4" t="str">
        <f>IFERROR(__xludf.DUMMYFUNCTION("""COMPUTED_VALUE"""),"the-protocol")</f>
        <v>the-protocol</v>
      </c>
      <c r="B11899" s="4" t="str">
        <f>IFERROR(__xludf.DUMMYFUNCTION("""COMPUTED_VALUE"""),"the")</f>
        <v>the</v>
      </c>
      <c r="C11899" s="4" t="str">
        <f>IFERROR(__xludf.DUMMYFUNCTION("""COMPUTED_VALUE"""),"The Protocol")</f>
        <v>The Protocol</v>
      </c>
    </row>
    <row r="11900">
      <c r="A11900" s="4" t="str">
        <f>IFERROR(__xludf.DUMMYFUNCTION("""COMPUTED_VALUE"""),"the-qwan")</f>
        <v>the-qwan</v>
      </c>
      <c r="B11900" s="4" t="str">
        <f>IFERROR(__xludf.DUMMYFUNCTION("""COMPUTED_VALUE"""),"qwan")</f>
        <v>qwan</v>
      </c>
      <c r="C11900" s="4" t="str">
        <f>IFERROR(__xludf.DUMMYFUNCTION("""COMPUTED_VALUE"""),"The QWAN")</f>
        <v>The QWAN</v>
      </c>
    </row>
    <row r="11901">
      <c r="A11901" s="4" t="str">
        <f>IFERROR(__xludf.DUMMYFUNCTION("""COMPUTED_VALUE"""),"the-real-world")</f>
        <v>the-real-world</v>
      </c>
      <c r="B11901" s="4" t="str">
        <f>IFERROR(__xludf.DUMMYFUNCTION("""COMPUTED_VALUE"""),"trw")</f>
        <v>trw</v>
      </c>
      <c r="C11901" s="4" t="str">
        <f>IFERROR(__xludf.DUMMYFUNCTION("""COMPUTED_VALUE"""),"The Real World")</f>
        <v>The Real World</v>
      </c>
    </row>
    <row r="11902">
      <c r="A11902" s="4" t="str">
        <f>IFERROR(__xludf.DUMMYFUNCTION("""COMPUTED_VALUE"""),"the-reaper")</f>
        <v>the-reaper</v>
      </c>
      <c r="B11902" s="4" t="str">
        <f>IFERROR(__xludf.DUMMYFUNCTION("""COMPUTED_VALUE"""),"rpr")</f>
        <v>rpr</v>
      </c>
      <c r="C11902" s="4" t="str">
        <f>IFERROR(__xludf.DUMMYFUNCTION("""COMPUTED_VALUE"""),"The Reaper")</f>
        <v>The Reaper</v>
      </c>
    </row>
    <row r="11903">
      <c r="A11903" s="4" t="str">
        <f>IFERROR(__xludf.DUMMYFUNCTION("""COMPUTED_VALUE"""),"the-roman-empire")</f>
        <v>the-roman-empire</v>
      </c>
      <c r="B11903" s="4" t="str">
        <f>IFERROR(__xludf.DUMMYFUNCTION("""COMPUTED_VALUE"""),"rome")</f>
        <v>rome</v>
      </c>
      <c r="C11903" s="4" t="str">
        <f>IFERROR(__xludf.DUMMYFUNCTION("""COMPUTED_VALUE"""),"The Roman Empire")</f>
        <v>The Roman Empire</v>
      </c>
    </row>
    <row r="11904">
      <c r="A11904" s="4" t="str">
        <f>IFERROR(__xludf.DUMMYFUNCTION("""COMPUTED_VALUE"""),"the-root-network")</f>
        <v>the-root-network</v>
      </c>
      <c r="B11904" s="4" t="str">
        <f>IFERROR(__xludf.DUMMYFUNCTION("""COMPUTED_VALUE"""),"root")</f>
        <v>root</v>
      </c>
      <c r="C11904" s="4" t="str">
        <f>IFERROR(__xludf.DUMMYFUNCTION("""COMPUTED_VALUE"""),"The Root Network")</f>
        <v>The Root Network</v>
      </c>
    </row>
    <row r="11905">
      <c r="A11905" s="4" t="str">
        <f>IFERROR(__xludf.DUMMYFUNCTION("""COMPUTED_VALUE"""),"the-rug-game")</f>
        <v>the-rug-game</v>
      </c>
      <c r="B11905" s="4" t="str">
        <f>IFERROR(__xludf.DUMMYFUNCTION("""COMPUTED_VALUE"""),"trg")</f>
        <v>trg</v>
      </c>
      <c r="C11905" s="4" t="str">
        <f>IFERROR(__xludf.DUMMYFUNCTION("""COMPUTED_VALUE"""),"The Rug Game")</f>
        <v>The Rug Game</v>
      </c>
    </row>
    <row r="11906">
      <c r="A11906" s="4" t="str">
        <f>IFERROR(__xludf.DUMMYFUNCTION("""COMPUTED_VALUE"""),"the-sandbox")</f>
        <v>the-sandbox</v>
      </c>
      <c r="B11906" s="4" t="str">
        <f>IFERROR(__xludf.DUMMYFUNCTION("""COMPUTED_VALUE"""),"sand")</f>
        <v>sand</v>
      </c>
      <c r="C11906" s="4" t="str">
        <f>IFERROR(__xludf.DUMMYFUNCTION("""COMPUTED_VALUE"""),"The Sandbox")</f>
        <v>The Sandbox</v>
      </c>
    </row>
    <row r="11907">
      <c r="A11907" s="4" t="str">
        <f>IFERROR(__xludf.DUMMYFUNCTION("""COMPUTED_VALUE"""),"the-sandbox-wormhole")</f>
        <v>the-sandbox-wormhole</v>
      </c>
      <c r="B11907" s="4" t="str">
        <f>IFERROR(__xludf.DUMMYFUNCTION("""COMPUTED_VALUE"""),"sand")</f>
        <v>sand</v>
      </c>
      <c r="C11907" s="4" t="str">
        <f>IFERROR(__xludf.DUMMYFUNCTION("""COMPUTED_VALUE"""),"The Sandbox (Wormhole)")</f>
        <v>The Sandbox (Wormhole)</v>
      </c>
    </row>
    <row r="11908">
      <c r="A11908" s="4" t="str">
        <f>IFERROR(__xludf.DUMMYFUNCTION("""COMPUTED_VALUE"""),"the-secret-coin")</f>
        <v>the-secret-coin</v>
      </c>
      <c r="B11908" s="4" t="str">
        <f>IFERROR(__xludf.DUMMYFUNCTION("""COMPUTED_VALUE"""),"tsc")</f>
        <v>tsc</v>
      </c>
      <c r="C11908" s="4" t="str">
        <f>IFERROR(__xludf.DUMMYFUNCTION("""COMPUTED_VALUE"""),"The Secret Coin")</f>
        <v>The Secret Coin</v>
      </c>
    </row>
    <row r="11909">
      <c r="A11909" s="4" t="str">
        <f>IFERROR(__xludf.DUMMYFUNCTION("""COMPUTED_VALUE"""),"the-sharks-fan-token")</f>
        <v>the-sharks-fan-token</v>
      </c>
      <c r="B11909" s="4" t="str">
        <f>IFERROR(__xludf.DUMMYFUNCTION("""COMPUTED_VALUE"""),"sharks")</f>
        <v>sharks</v>
      </c>
      <c r="C11909" s="4" t="str">
        <f>IFERROR(__xludf.DUMMYFUNCTION("""COMPUTED_VALUE"""),"The Sharks Fan Token")</f>
        <v>The Sharks Fan Token</v>
      </c>
    </row>
    <row r="11910">
      <c r="A11910" s="4" t="str">
        <f>IFERROR(__xludf.DUMMYFUNCTION("""COMPUTED_VALUE"""),"thesirion")</f>
        <v>thesirion</v>
      </c>
      <c r="B11910" s="4" t="str">
        <f>IFERROR(__xludf.DUMMYFUNCTION("""COMPUTED_VALUE"""),"tso")</f>
        <v>tso</v>
      </c>
      <c r="C11910" s="4" t="str">
        <f>IFERROR(__xludf.DUMMYFUNCTION("""COMPUTED_VALUE"""),"Thesirion")</f>
        <v>Thesirion</v>
      </c>
    </row>
    <row r="11911">
      <c r="A11911" s="4" t="str">
        <f>IFERROR(__xludf.DUMMYFUNCTION("""COMPUTED_VALUE"""),"thesolandao")</f>
        <v>thesolandao</v>
      </c>
      <c r="B11911" s="4" t="str">
        <f>IFERROR(__xludf.DUMMYFUNCTION("""COMPUTED_VALUE"""),"sdo")</f>
        <v>sdo</v>
      </c>
      <c r="C11911" s="4" t="str">
        <f>IFERROR(__xludf.DUMMYFUNCTION("""COMPUTED_VALUE"""),"TheSolanDAO")</f>
        <v>TheSolanDAO</v>
      </c>
    </row>
    <row r="11912">
      <c r="A11912" s="4" t="str">
        <f>IFERROR(__xludf.DUMMYFUNCTION("""COMPUTED_VALUE"""),"the-standard-euro")</f>
        <v>the-standard-euro</v>
      </c>
      <c r="B11912" s="4" t="str">
        <f>IFERROR(__xludf.DUMMYFUNCTION("""COMPUTED_VALUE"""),"euros")</f>
        <v>euros</v>
      </c>
      <c r="C11912" s="4" t="str">
        <f>IFERROR(__xludf.DUMMYFUNCTION("""COMPUTED_VALUE"""),"The Standard EURO")</f>
        <v>The Standard EURO</v>
      </c>
    </row>
    <row r="11913">
      <c r="A11913" s="4" t="str">
        <f>IFERROR(__xludf.DUMMYFUNCTION("""COMPUTED_VALUE"""),"thetadrop")</f>
        <v>thetadrop</v>
      </c>
      <c r="B11913" s="4" t="str">
        <f>IFERROR(__xludf.DUMMYFUNCTION("""COMPUTED_VALUE"""),"tdrop")</f>
        <v>tdrop</v>
      </c>
      <c r="C11913" s="4" t="str">
        <f>IFERROR(__xludf.DUMMYFUNCTION("""COMPUTED_VALUE"""),"ThetaDrop")</f>
        <v>ThetaDrop</v>
      </c>
    </row>
    <row r="11914">
      <c r="A11914" s="4" t="str">
        <f>IFERROR(__xludf.DUMMYFUNCTION("""COMPUTED_VALUE"""),"theta-fuel")</f>
        <v>theta-fuel</v>
      </c>
      <c r="B11914" s="4" t="str">
        <f>IFERROR(__xludf.DUMMYFUNCTION("""COMPUTED_VALUE"""),"tfuel")</f>
        <v>tfuel</v>
      </c>
      <c r="C11914" s="4" t="str">
        <f>IFERROR(__xludf.DUMMYFUNCTION("""COMPUTED_VALUE"""),"Theta Fuel")</f>
        <v>Theta Fuel</v>
      </c>
    </row>
    <row r="11915">
      <c r="A11915" s="4" t="str">
        <f>IFERROR(__xludf.DUMMYFUNCTION("""COMPUTED_VALUE"""),"thetan-arena")</f>
        <v>thetan-arena</v>
      </c>
      <c r="B11915" s="4" t="str">
        <f>IFERROR(__xludf.DUMMYFUNCTION("""COMPUTED_VALUE"""),"thg")</f>
        <v>thg</v>
      </c>
      <c r="C11915" s="4" t="str">
        <f>IFERROR(__xludf.DUMMYFUNCTION("""COMPUTED_VALUE"""),"Thetan World")</f>
        <v>Thetan World</v>
      </c>
    </row>
    <row r="11916">
      <c r="A11916" s="4" t="str">
        <f>IFERROR(__xludf.DUMMYFUNCTION("""COMPUTED_VALUE"""),"thetanuts-finance")</f>
        <v>thetanuts-finance</v>
      </c>
      <c r="B11916" s="4" t="str">
        <f>IFERROR(__xludf.DUMMYFUNCTION("""COMPUTED_VALUE"""),"nuts")</f>
        <v>nuts</v>
      </c>
      <c r="C11916" s="4" t="str">
        <f>IFERROR(__xludf.DUMMYFUNCTION("""COMPUTED_VALUE"""),"Thetanuts Finance")</f>
        <v>Thetanuts Finance</v>
      </c>
    </row>
    <row r="11917">
      <c r="A11917" s="4" t="str">
        <f>IFERROR(__xludf.DUMMYFUNCTION("""COMPUTED_VALUE"""),"theta-token")</f>
        <v>theta-token</v>
      </c>
      <c r="B11917" s="4" t="str">
        <f>IFERROR(__xludf.DUMMYFUNCTION("""COMPUTED_VALUE"""),"theta")</f>
        <v>theta</v>
      </c>
      <c r="C11917" s="4" t="str">
        <f>IFERROR(__xludf.DUMMYFUNCTION("""COMPUTED_VALUE"""),"Theta Network")</f>
        <v>Theta Network</v>
      </c>
    </row>
    <row r="11918">
      <c r="A11918" s="4" t="str">
        <f>IFERROR(__xludf.DUMMYFUNCTION("""COMPUTED_VALUE"""),"the-theory-of-gravity")</f>
        <v>the-theory-of-gravity</v>
      </c>
      <c r="B11918" s="4" t="str">
        <f>IFERROR(__xludf.DUMMYFUNCTION("""COMPUTED_VALUE"""),"thog")</f>
        <v>thog</v>
      </c>
      <c r="C11918" s="4" t="str">
        <f>IFERROR(__xludf.DUMMYFUNCTION("""COMPUTED_VALUE"""),"The Theory of Gravity")</f>
        <v>The Theory of Gravity</v>
      </c>
    </row>
    <row r="11919">
      <c r="A11919" s="4" t="str">
        <f>IFERROR(__xludf.DUMMYFUNCTION("""COMPUTED_VALUE"""),"the-three-kingdoms")</f>
        <v>the-three-kingdoms</v>
      </c>
      <c r="B11919" s="4" t="str">
        <f>IFERROR(__xludf.DUMMYFUNCTION("""COMPUTED_VALUE"""),"ttk")</f>
        <v>ttk</v>
      </c>
      <c r="C11919" s="4" t="str">
        <f>IFERROR(__xludf.DUMMYFUNCTION("""COMPUTED_VALUE"""),"The Three Kingdoms")</f>
        <v>The Three Kingdoms</v>
      </c>
    </row>
    <row r="11920">
      <c r="A11920" s="4" t="str">
        <f>IFERROR(__xludf.DUMMYFUNCTION("""COMPUTED_VALUE"""),"the-tokenized-bitcoin")</f>
        <v>the-tokenized-bitcoin</v>
      </c>
      <c r="B11920" s="4" t="str">
        <f>IFERROR(__xludf.DUMMYFUNCTION("""COMPUTED_VALUE"""),"imbtc")</f>
        <v>imbtc</v>
      </c>
      <c r="C11920" s="4" t="str">
        <f>IFERROR(__xludf.DUMMYFUNCTION("""COMPUTED_VALUE"""),"The Tokenized Bitcoin")</f>
        <v>The Tokenized Bitcoin</v>
      </c>
    </row>
    <row r="11921">
      <c r="A11921" s="4" t="str">
        <f>IFERROR(__xludf.DUMMYFUNCTION("""COMPUTED_VALUE"""),"thetopspotonline")</f>
        <v>thetopspotonline</v>
      </c>
      <c r="B11921" s="4" t="str">
        <f>IFERROR(__xludf.DUMMYFUNCTION("""COMPUTED_VALUE"""),"spott")</f>
        <v>spott</v>
      </c>
      <c r="C11921" s="4" t="str">
        <f>IFERROR(__xludf.DUMMYFUNCTION("""COMPUTED_VALUE"""),"TheTopSpotOnline")</f>
        <v>TheTopSpotOnline</v>
      </c>
    </row>
    <row r="11922">
      <c r="A11922" s="4" t="str">
        <f>IFERROR(__xludf.DUMMYFUNCTION("""COMPUTED_VALUE"""),"the-unbound")</f>
        <v>the-unbound</v>
      </c>
      <c r="B11922" s="4" t="str">
        <f>IFERROR(__xludf.DUMMYFUNCTION("""COMPUTED_VALUE"""),"un")</f>
        <v>un</v>
      </c>
      <c r="C11922" s="4" t="str">
        <f>IFERROR(__xludf.DUMMYFUNCTION("""COMPUTED_VALUE"""),"Unbound")</f>
        <v>Unbound</v>
      </c>
    </row>
    <row r="11923">
      <c r="A11923" s="4" t="str">
        <f>IFERROR(__xludf.DUMMYFUNCTION("""COMPUTED_VALUE"""),"the-unfettered-souls")</f>
        <v>the-unfettered-souls</v>
      </c>
      <c r="B11923" s="4" t="str">
        <f>IFERROR(__xludf.DUMMYFUNCTION("""COMPUTED_VALUE"""),"souls")</f>
        <v>souls</v>
      </c>
      <c r="C11923" s="4" t="str">
        <f>IFERROR(__xludf.DUMMYFUNCTION("""COMPUTED_VALUE"""),"The Unfettered Ecosystem")</f>
        <v>The Unfettered Ecosystem</v>
      </c>
    </row>
    <row r="11924">
      <c r="A11924" s="4" t="str">
        <f>IFERROR(__xludf.DUMMYFUNCTION("""COMPUTED_VALUE"""),"the-virtua-kolect")</f>
        <v>the-virtua-kolect</v>
      </c>
      <c r="B11924" s="4" t="str">
        <f>IFERROR(__xludf.DUMMYFUNCTION("""COMPUTED_VALUE"""),"tvk")</f>
        <v>tvk</v>
      </c>
      <c r="C11924" s="4" t="str">
        <f>IFERROR(__xludf.DUMMYFUNCTION("""COMPUTED_VALUE"""),"Virtua")</f>
        <v>Virtua</v>
      </c>
    </row>
    <row r="11925">
      <c r="A11925" s="4" t="str">
        <f>IFERROR(__xludf.DUMMYFUNCTION("""COMPUTED_VALUE"""),"the-void")</f>
        <v>the-void</v>
      </c>
      <c r="B11925" s="4" t="str">
        <f>IFERROR(__xludf.DUMMYFUNCTION("""COMPUTED_VALUE"""),"void")</f>
        <v>void</v>
      </c>
      <c r="C11925" s="4" t="str">
        <f>IFERROR(__xludf.DUMMYFUNCTION("""COMPUTED_VALUE"""),"The Void")</f>
        <v>The Void</v>
      </c>
    </row>
    <row r="11926">
      <c r="A11926" s="4" t="str">
        <f>IFERROR(__xludf.DUMMYFUNCTION("""COMPUTED_VALUE"""),"the-winkyverse")</f>
        <v>the-winkyverse</v>
      </c>
      <c r="B11926" s="4" t="str">
        <f>IFERROR(__xludf.DUMMYFUNCTION("""COMPUTED_VALUE"""),"wnk")</f>
        <v>wnk</v>
      </c>
      <c r="C11926" s="4" t="str">
        <f>IFERROR(__xludf.DUMMYFUNCTION("""COMPUTED_VALUE"""),"Winkies")</f>
        <v>Winkies</v>
      </c>
    </row>
    <row r="11927">
      <c r="A11927" s="4" t="str">
        <f>IFERROR(__xludf.DUMMYFUNCTION("""COMPUTED_VALUE"""),"the-word")</f>
        <v>the-word</v>
      </c>
      <c r="B11927" s="4" t="str">
        <f>IFERROR(__xludf.DUMMYFUNCTION("""COMPUTED_VALUE"""),"twd")</f>
        <v>twd</v>
      </c>
      <c r="C11927" s="4" t="str">
        <f>IFERROR(__xludf.DUMMYFUNCTION("""COMPUTED_VALUE"""),"THE WORD")</f>
        <v>THE WORD</v>
      </c>
    </row>
    <row r="11928">
      <c r="A11928" s="4" t="str">
        <f>IFERROR(__xludf.DUMMYFUNCTION("""COMPUTED_VALUE"""),"the-worked-dev")</f>
        <v>the-worked-dev</v>
      </c>
      <c r="B11928" s="4" t="str">
        <f>IFERROR(__xludf.DUMMYFUNCTION("""COMPUTED_VALUE"""),"work")</f>
        <v>work</v>
      </c>
      <c r="C11928" s="4" t="str">
        <f>IFERROR(__xludf.DUMMYFUNCTION("""COMPUTED_VALUE"""),"The Worked.Dev")</f>
        <v>The Worked.Dev</v>
      </c>
    </row>
    <row r="11929">
      <c r="A11929" s="4" t="str">
        <f>IFERROR(__xludf.DUMMYFUNCTION("""COMPUTED_VALUE"""),"the-world-state")</f>
        <v>the-world-state</v>
      </c>
      <c r="B11929" s="4" t="str">
        <f>IFERROR(__xludf.DUMMYFUNCTION("""COMPUTED_VALUE"""),"w$c")</f>
        <v>w$c</v>
      </c>
      <c r="C11929" s="4" t="str">
        <f>IFERROR(__xludf.DUMMYFUNCTION("""COMPUTED_VALUE"""),"World$tateCoin")</f>
        <v>World$tateCoin</v>
      </c>
    </row>
    <row r="11930">
      <c r="A11930" s="4" t="str">
        <f>IFERROR(__xludf.DUMMYFUNCTION("""COMPUTED_VALUE"""),"the-xenobots-project")</f>
        <v>the-xenobots-project</v>
      </c>
      <c r="B11930" s="4" t="str">
        <f>IFERROR(__xludf.DUMMYFUNCTION("""COMPUTED_VALUE"""),"xeno")</f>
        <v>xeno</v>
      </c>
      <c r="C11930" s="4" t="str">
        <f>IFERROR(__xludf.DUMMYFUNCTION("""COMPUTED_VALUE"""),"The Xenobots Project")</f>
        <v>The Xenobots Project</v>
      </c>
    </row>
    <row r="11931">
      <c r="A11931" s="4" t="str">
        <f>IFERROR(__xludf.DUMMYFUNCTION("""COMPUTED_VALUE"""),"thing")</f>
        <v>thing</v>
      </c>
      <c r="B11931" s="4" t="str">
        <f>IFERROR(__xludf.DUMMYFUNCTION("""COMPUTED_VALUE"""),"thing")</f>
        <v>thing</v>
      </c>
      <c r="C11931" s="4" t="str">
        <f>IFERROR(__xludf.DUMMYFUNCTION("""COMPUTED_VALUE"""),"Thing")</f>
        <v>Thing</v>
      </c>
    </row>
    <row r="11932">
      <c r="A11932" s="4" t="str">
        <f>IFERROR(__xludf.DUMMYFUNCTION("""COMPUTED_VALUE"""),"this-is-fine")</f>
        <v>this-is-fine</v>
      </c>
      <c r="B11932" s="4" t="str">
        <f>IFERROR(__xludf.DUMMYFUNCTION("""COMPUTED_VALUE"""),"fine")</f>
        <v>fine</v>
      </c>
      <c r="C11932" s="4" t="str">
        <f>IFERROR(__xludf.DUMMYFUNCTION("""COMPUTED_VALUE"""),"This is Fine")</f>
        <v>This is Fine</v>
      </c>
    </row>
    <row r="11933">
      <c r="A11933" s="4" t="str">
        <f>IFERROR(__xludf.DUMMYFUNCTION("""COMPUTED_VALUE"""),"this-is-the-one")</f>
        <v>this-is-the-one</v>
      </c>
      <c r="B11933" s="4" t="str">
        <f>IFERROR(__xludf.DUMMYFUNCTION("""COMPUTED_VALUE"""),"theone")</f>
        <v>theone</v>
      </c>
      <c r="C11933" s="4" t="str">
        <f>IFERROR(__xludf.DUMMYFUNCTION("""COMPUTED_VALUE"""),"This Is The One")</f>
        <v>This Is The One</v>
      </c>
    </row>
    <row r="11934">
      <c r="A11934" s="4" t="str">
        <f>IFERROR(__xludf.DUMMYFUNCTION("""COMPUTED_VALUE"""),"tholana")</f>
        <v>tholana</v>
      </c>
      <c r="B11934" s="4" t="str">
        <f>IFERROR(__xludf.DUMMYFUNCTION("""COMPUTED_VALUE"""),"thol")</f>
        <v>thol</v>
      </c>
      <c r="C11934" s="4" t="str">
        <f>IFERROR(__xludf.DUMMYFUNCTION("""COMPUTED_VALUE"""),"Tholana")</f>
        <v>Tholana</v>
      </c>
    </row>
    <row r="11935">
      <c r="A11935" s="4" t="str">
        <f>IFERROR(__xludf.DUMMYFUNCTION("""COMPUTED_VALUE"""),"thol-token")</f>
        <v>thol-token</v>
      </c>
      <c r="B11935" s="4" t="str">
        <f>IFERROR(__xludf.DUMMYFUNCTION("""COMPUTED_VALUE"""),"thol")</f>
        <v>thol</v>
      </c>
      <c r="C11935" s="4" t="str">
        <f>IFERROR(__xludf.DUMMYFUNCTION("""COMPUTED_VALUE"""),"AngelBlock")</f>
        <v>AngelBlock</v>
      </c>
    </row>
    <row r="11936">
      <c r="A11936" s="4" t="str">
        <f>IFERROR(__xludf.DUMMYFUNCTION("""COMPUTED_VALUE"""),"thor")</f>
        <v>thor</v>
      </c>
      <c r="B11936" s="4" t="str">
        <f>IFERROR(__xludf.DUMMYFUNCTION("""COMPUTED_VALUE"""),"thor")</f>
        <v>thor</v>
      </c>
      <c r="C11936" s="4" t="str">
        <f>IFERROR(__xludf.DUMMYFUNCTION("""COMPUTED_VALUE"""),"ThorFi")</f>
        <v>ThorFi</v>
      </c>
    </row>
    <row r="11937">
      <c r="A11937" s="4" t="str">
        <f>IFERROR(__xludf.DUMMYFUNCTION("""COMPUTED_VALUE"""),"thorchain")</f>
        <v>thorchain</v>
      </c>
      <c r="B11937" s="4" t="str">
        <f>IFERROR(__xludf.DUMMYFUNCTION("""COMPUTED_VALUE"""),"rune")</f>
        <v>rune</v>
      </c>
      <c r="C11937" s="4" t="str">
        <f>IFERROR(__xludf.DUMMYFUNCTION("""COMPUTED_VALUE"""),"THORChain")</f>
        <v>THORChain</v>
      </c>
    </row>
    <row r="11938">
      <c r="A11938" s="4" t="str">
        <f>IFERROR(__xludf.DUMMYFUNCTION("""COMPUTED_VALUE"""),"thoreum-v2")</f>
        <v>thoreum-v2</v>
      </c>
      <c r="B11938" s="4" t="str">
        <f>IFERROR(__xludf.DUMMYFUNCTION("""COMPUTED_VALUE"""),"thoreum")</f>
        <v>thoreum</v>
      </c>
      <c r="C11938" s="4" t="str">
        <f>IFERROR(__xludf.DUMMYFUNCTION("""COMPUTED_VALUE"""),"Thoreum V3")</f>
        <v>Thoreum V3</v>
      </c>
    </row>
    <row r="11939">
      <c r="A11939" s="4" t="str">
        <f>IFERROR(__xludf.DUMMYFUNCTION("""COMPUTED_VALUE"""),"thorstarter")</f>
        <v>thorstarter</v>
      </c>
      <c r="B11939" s="4" t="str">
        <f>IFERROR(__xludf.DUMMYFUNCTION("""COMPUTED_VALUE"""),"xrune")</f>
        <v>xrune</v>
      </c>
      <c r="C11939" s="4" t="str">
        <f>IFERROR(__xludf.DUMMYFUNCTION("""COMPUTED_VALUE"""),"Thorstarter")</f>
        <v>Thorstarter</v>
      </c>
    </row>
    <row r="11940">
      <c r="A11940" s="4" t="str">
        <f>IFERROR(__xludf.DUMMYFUNCTION("""COMPUTED_VALUE"""),"thorswap")</f>
        <v>thorswap</v>
      </c>
      <c r="B11940" s="4" t="str">
        <f>IFERROR(__xludf.DUMMYFUNCTION("""COMPUTED_VALUE"""),"thor")</f>
        <v>thor</v>
      </c>
      <c r="C11940" s="4" t="str">
        <f>IFERROR(__xludf.DUMMYFUNCTION("""COMPUTED_VALUE"""),"THORSwap")</f>
        <v>THORSwap</v>
      </c>
    </row>
    <row r="11941">
      <c r="A11941" s="4" t="str">
        <f>IFERROR(__xludf.DUMMYFUNCTION("""COMPUTED_VALUE"""),"thorus")</f>
        <v>thorus</v>
      </c>
      <c r="B11941" s="4" t="str">
        <f>IFERROR(__xludf.DUMMYFUNCTION("""COMPUTED_VALUE"""),"tho")</f>
        <v>tho</v>
      </c>
      <c r="C11941" s="4" t="str">
        <f>IFERROR(__xludf.DUMMYFUNCTION("""COMPUTED_VALUE"""),"Thorus")</f>
        <v>Thorus</v>
      </c>
    </row>
    <row r="11942">
      <c r="A11942" s="4" t="str">
        <f>IFERROR(__xludf.DUMMYFUNCTION("""COMPUTED_VALUE"""),"thorwallet")</f>
        <v>thorwallet</v>
      </c>
      <c r="B11942" s="4" t="str">
        <f>IFERROR(__xludf.DUMMYFUNCTION("""COMPUTED_VALUE"""),"tgt")</f>
        <v>tgt</v>
      </c>
      <c r="C11942" s="4" t="str">
        <f>IFERROR(__xludf.DUMMYFUNCTION("""COMPUTED_VALUE"""),"THORWallet DEX")</f>
        <v>THORWallet DEX</v>
      </c>
    </row>
    <row r="11943">
      <c r="A11943" s="4" t="str">
        <f>IFERROR(__xludf.DUMMYFUNCTION("""COMPUTED_VALUE"""),"thought")</f>
        <v>thought</v>
      </c>
      <c r="B11943" s="4" t="str">
        <f>IFERROR(__xludf.DUMMYFUNCTION("""COMPUTED_VALUE"""),"tht")</f>
        <v>tht</v>
      </c>
      <c r="C11943" s="4" t="str">
        <f>IFERROR(__xludf.DUMMYFUNCTION("""COMPUTED_VALUE"""),"Thought")</f>
        <v>Thought</v>
      </c>
    </row>
    <row r="11944">
      <c r="A11944" s="4" t="str">
        <f>IFERROR(__xludf.DUMMYFUNCTION("""COMPUTED_VALUE"""),"threefold-token")</f>
        <v>threefold-token</v>
      </c>
      <c r="B11944" s="4" t="str">
        <f>IFERROR(__xludf.DUMMYFUNCTION("""COMPUTED_VALUE"""),"tft")</f>
        <v>tft</v>
      </c>
      <c r="C11944" s="4" t="str">
        <f>IFERROR(__xludf.DUMMYFUNCTION("""COMPUTED_VALUE"""),"ThreeFold")</f>
        <v>ThreeFold</v>
      </c>
    </row>
    <row r="11945">
      <c r="A11945" s="4" t="str">
        <f>IFERROR(__xludf.DUMMYFUNCTION("""COMPUTED_VALUE"""),"three-hundred-ai")</f>
        <v>three-hundred-ai</v>
      </c>
      <c r="B11945" s="4" t="str">
        <f>IFERROR(__xludf.DUMMYFUNCTION("""COMPUTED_VALUE"""),"thnd")</f>
        <v>thnd</v>
      </c>
      <c r="C11945" s="4" t="str">
        <f>IFERROR(__xludf.DUMMYFUNCTION("""COMPUTED_VALUE"""),"Three Hundred AI")</f>
        <v>Three Hundred AI</v>
      </c>
    </row>
    <row r="11946">
      <c r="A11946" s="4" t="str">
        <f>IFERROR(__xludf.DUMMYFUNCTION("""COMPUTED_VALUE"""),"threshold-network-token")</f>
        <v>threshold-network-token</v>
      </c>
      <c r="B11946" s="4" t="str">
        <f>IFERROR(__xludf.DUMMYFUNCTION("""COMPUTED_VALUE"""),"t")</f>
        <v>t</v>
      </c>
      <c r="C11946" s="4" t="str">
        <f>IFERROR(__xludf.DUMMYFUNCTION("""COMPUTED_VALUE"""),"Threshold Network")</f>
        <v>Threshold Network</v>
      </c>
    </row>
    <row r="11947">
      <c r="A11947" s="4" t="str">
        <f>IFERROR(__xludf.DUMMYFUNCTION("""COMPUTED_VALUE"""),"threshold-usd")</f>
        <v>threshold-usd</v>
      </c>
      <c r="B11947" s="4" t="str">
        <f>IFERROR(__xludf.DUMMYFUNCTION("""COMPUTED_VALUE"""),"thusd")</f>
        <v>thusd</v>
      </c>
      <c r="C11947" s="4" t="str">
        <f>IFERROR(__xludf.DUMMYFUNCTION("""COMPUTED_VALUE"""),"Threshold USD")</f>
        <v>Threshold USD</v>
      </c>
    </row>
    <row r="11948">
      <c r="A11948" s="4" t="str">
        <f>IFERROR(__xludf.DUMMYFUNCTION("""COMPUTED_VALUE"""),"throne")</f>
        <v>throne</v>
      </c>
      <c r="B11948" s="4" t="str">
        <f>IFERROR(__xludf.DUMMYFUNCTION("""COMPUTED_VALUE"""),"thn")</f>
        <v>thn</v>
      </c>
      <c r="C11948" s="4" t="str">
        <f>IFERROR(__xludf.DUMMYFUNCTION("""COMPUTED_VALUE"""),"Throne")</f>
        <v>Throne</v>
      </c>
    </row>
    <row r="11949">
      <c r="A11949" s="4" t="str">
        <f>IFERROR(__xludf.DUMMYFUNCTION("""COMPUTED_VALUE"""),"thrupenny")</f>
        <v>thrupenny</v>
      </c>
      <c r="B11949" s="4" t="str">
        <f>IFERROR(__xludf.DUMMYFUNCTION("""COMPUTED_VALUE"""),"tpy")</f>
        <v>tpy</v>
      </c>
      <c r="C11949" s="4" t="str">
        <f>IFERROR(__xludf.DUMMYFUNCTION("""COMPUTED_VALUE"""),"Thrupenny")</f>
        <v>Thrupenny</v>
      </c>
    </row>
    <row r="11950">
      <c r="A11950" s="4" t="str">
        <f>IFERROR(__xludf.DUMMYFUNCTION("""COMPUTED_VALUE"""),"thug-life")</f>
        <v>thug-life</v>
      </c>
      <c r="B11950" s="4" t="str">
        <f>IFERROR(__xludf.DUMMYFUNCTION("""COMPUTED_VALUE"""),"thug")</f>
        <v>thug</v>
      </c>
      <c r="C11950" s="4" t="str">
        <f>IFERROR(__xludf.DUMMYFUNCTION("""COMPUTED_VALUE"""),"Thug Life")</f>
        <v>Thug Life</v>
      </c>
    </row>
    <row r="11951">
      <c r="A11951" s="4" t="str">
        <f>IFERROR(__xludf.DUMMYFUNCTION("""COMPUTED_VALUE"""),"thundercore-bridged-busd-thundercore")</f>
        <v>thundercore-bridged-busd-thundercore</v>
      </c>
      <c r="B11951" s="4" t="str">
        <f>IFERROR(__xludf.DUMMYFUNCTION("""COMPUTED_VALUE"""),"busd")</f>
        <v>busd</v>
      </c>
      <c r="C11951" s="4" t="str">
        <f>IFERROR(__xludf.DUMMYFUNCTION("""COMPUTED_VALUE"""),"Thundercore Bridged BUSD (Thundercore)")</f>
        <v>Thundercore Bridged BUSD (Thundercore)</v>
      </c>
    </row>
    <row r="11952">
      <c r="A11952" s="4" t="str">
        <f>IFERROR(__xludf.DUMMYFUNCTION("""COMPUTED_VALUE"""),"thundercore-bridged-usdc-thundercore")</f>
        <v>thundercore-bridged-usdc-thundercore</v>
      </c>
      <c r="B11952" s="4" t="str">
        <f>IFERROR(__xludf.DUMMYFUNCTION("""COMPUTED_VALUE"""),"usdc")</f>
        <v>usdc</v>
      </c>
      <c r="C11952" s="4" t="str">
        <f>IFERROR(__xludf.DUMMYFUNCTION("""COMPUTED_VALUE"""),"Thundercore Bridged USDC (Thundercore)")</f>
        <v>Thundercore Bridged USDC (Thundercore)</v>
      </c>
    </row>
    <row r="11953">
      <c r="A11953" s="4" t="str">
        <f>IFERROR(__xludf.DUMMYFUNCTION("""COMPUTED_VALUE"""),"thundercore-bridged-usdt-thundercore")</f>
        <v>thundercore-bridged-usdt-thundercore</v>
      </c>
      <c r="B11953" s="4" t="str">
        <f>IFERROR(__xludf.DUMMYFUNCTION("""COMPUTED_VALUE"""),"usdt")</f>
        <v>usdt</v>
      </c>
      <c r="C11953" s="4" t="str">
        <f>IFERROR(__xludf.DUMMYFUNCTION("""COMPUTED_VALUE"""),"Thundercore Bridged USDT (Thundercore)")</f>
        <v>Thundercore Bridged USDT (Thundercore)</v>
      </c>
    </row>
    <row r="11954">
      <c r="A11954" s="4" t="str">
        <f>IFERROR(__xludf.DUMMYFUNCTION("""COMPUTED_VALUE"""),"thunderhead-staked-flip")</f>
        <v>thunderhead-staked-flip</v>
      </c>
      <c r="B11954" s="4" t="str">
        <f>IFERROR(__xludf.DUMMYFUNCTION("""COMPUTED_VALUE"""),"stflip")</f>
        <v>stflip</v>
      </c>
      <c r="C11954" s="4" t="str">
        <f>IFERROR(__xludf.DUMMYFUNCTION("""COMPUTED_VALUE"""),"Thunderhead Staked FLIP")</f>
        <v>Thunderhead Staked FLIP</v>
      </c>
    </row>
    <row r="11955">
      <c r="A11955" s="4" t="str">
        <f>IFERROR(__xludf.DUMMYFUNCTION("""COMPUTED_VALUE"""),"thunder-token")</f>
        <v>thunder-token</v>
      </c>
      <c r="B11955" s="4" t="str">
        <f>IFERROR(__xludf.DUMMYFUNCTION("""COMPUTED_VALUE"""),"tt")</f>
        <v>tt</v>
      </c>
      <c r="C11955" s="4" t="str">
        <f>IFERROR(__xludf.DUMMYFUNCTION("""COMPUTED_VALUE"""),"ThunderCore")</f>
        <v>ThunderCore</v>
      </c>
    </row>
    <row r="11956">
      <c r="A11956" s="4" t="str">
        <f>IFERROR(__xludf.DUMMYFUNCTION("""COMPUTED_VALUE"""),"thx-network")</f>
        <v>thx-network</v>
      </c>
      <c r="B11956" s="4" t="str">
        <f>IFERROR(__xludf.DUMMYFUNCTION("""COMPUTED_VALUE"""),"thx")</f>
        <v>thx</v>
      </c>
      <c r="C11956" s="4" t="str">
        <f>IFERROR(__xludf.DUMMYFUNCTION("""COMPUTED_VALUE"""),"THX Network")</f>
        <v>THX Network</v>
      </c>
    </row>
    <row r="11957">
      <c r="A11957" s="4" t="str">
        <f>IFERROR(__xludf.DUMMYFUNCTION("""COMPUTED_VALUE"""),"tia")</f>
        <v>tia</v>
      </c>
      <c r="B11957" s="4" t="str">
        <f>IFERROR(__xludf.DUMMYFUNCTION("""COMPUTED_VALUE"""),"tia")</f>
        <v>tia</v>
      </c>
      <c r="C11957" s="4" t="str">
        <f>IFERROR(__xludf.DUMMYFUNCTION("""COMPUTED_VALUE"""),"TIA")</f>
        <v>TIA</v>
      </c>
    </row>
    <row r="11958">
      <c r="A11958" s="4" t="str">
        <f>IFERROR(__xludf.DUMMYFUNCTION("""COMPUTED_VALUE"""),"tickerstm")</f>
        <v>tickerstm</v>
      </c>
      <c r="B11958" s="4" t="str">
        <f>IFERROR(__xludf.DUMMYFUNCTION("""COMPUTED_VALUE"""),"tickstm")</f>
        <v>tickstm</v>
      </c>
      <c r="C11958" s="4" t="str">
        <f>IFERROR(__xludf.DUMMYFUNCTION("""COMPUTED_VALUE"""),"tickerSTM")</f>
        <v>tickerSTM</v>
      </c>
    </row>
    <row r="11959">
      <c r="A11959" s="4" t="str">
        <f>IFERROR(__xludf.DUMMYFUNCTION("""COMPUTED_VALUE"""),"tidal-finance")</f>
        <v>tidal-finance</v>
      </c>
      <c r="B11959" s="4" t="str">
        <f>IFERROR(__xludf.DUMMYFUNCTION("""COMPUTED_VALUE"""),"tidal")</f>
        <v>tidal</v>
      </c>
      <c r="C11959" s="4" t="str">
        <f>IFERROR(__xludf.DUMMYFUNCTION("""COMPUTED_VALUE"""),"Tidal Finance")</f>
        <v>Tidal Finance</v>
      </c>
    </row>
    <row r="11960">
      <c r="A11960" s="4" t="str">
        <f>IFERROR(__xludf.DUMMYFUNCTION("""COMPUTED_VALUE"""),"tidalflats")</f>
        <v>tidalflats</v>
      </c>
      <c r="B11960" s="4" t="str">
        <f>IFERROR(__xludf.DUMMYFUNCTION("""COMPUTED_VALUE"""),"tide")</f>
        <v>tide</v>
      </c>
      <c r="C11960" s="4" t="str">
        <f>IFERROR(__xludf.DUMMYFUNCTION("""COMPUTED_VALUE"""),"Tidalflats")</f>
        <v>Tidalflats</v>
      </c>
    </row>
    <row r="11961">
      <c r="A11961" s="4" t="str">
        <f>IFERROR(__xludf.DUMMYFUNCTION("""COMPUTED_VALUE"""),"tidefi")</f>
        <v>tidefi</v>
      </c>
      <c r="B11961" s="4" t="str">
        <f>IFERROR(__xludf.DUMMYFUNCTION("""COMPUTED_VALUE"""),"tdfy")</f>
        <v>tdfy</v>
      </c>
      <c r="C11961" s="4" t="str">
        <f>IFERROR(__xludf.DUMMYFUNCTION("""COMPUTED_VALUE"""),"Tidefi")</f>
        <v>Tidefi</v>
      </c>
    </row>
    <row r="11962">
      <c r="A11962" s="4" t="str">
        <f>IFERROR(__xludf.DUMMYFUNCTION("""COMPUTED_VALUE"""),"tidex-token")</f>
        <v>tidex-token</v>
      </c>
      <c r="B11962" s="4" t="str">
        <f>IFERROR(__xludf.DUMMYFUNCTION("""COMPUTED_VALUE"""),"tdx")</f>
        <v>tdx</v>
      </c>
      <c r="C11962" s="4" t="str">
        <f>IFERROR(__xludf.DUMMYFUNCTION("""COMPUTED_VALUE"""),"Tidex")</f>
        <v>Tidex</v>
      </c>
    </row>
    <row r="11963">
      <c r="A11963" s="4" t="str">
        <f>IFERROR(__xludf.DUMMYFUNCTION("""COMPUTED_VALUE"""),"tierion")</f>
        <v>tierion</v>
      </c>
      <c r="B11963" s="4" t="str">
        <f>IFERROR(__xludf.DUMMYFUNCTION("""COMPUTED_VALUE"""),"tnt")</f>
        <v>tnt</v>
      </c>
      <c r="C11963" s="4" t="str">
        <f>IFERROR(__xludf.DUMMYFUNCTION("""COMPUTED_VALUE"""),"Tierion")</f>
        <v>Tierion</v>
      </c>
    </row>
    <row r="11964">
      <c r="A11964" s="4" t="str">
        <f>IFERROR(__xludf.DUMMYFUNCTION("""COMPUTED_VALUE"""),"tifi-token")</f>
        <v>tifi-token</v>
      </c>
      <c r="B11964" s="4" t="str">
        <f>IFERROR(__xludf.DUMMYFUNCTION("""COMPUTED_VALUE"""),"tifi")</f>
        <v>tifi</v>
      </c>
      <c r="C11964" s="4" t="str">
        <f>IFERROR(__xludf.DUMMYFUNCTION("""COMPUTED_VALUE"""),"TiFi")</f>
        <v>TiFi</v>
      </c>
    </row>
    <row r="11965">
      <c r="A11965" s="4" t="str">
        <f>IFERROR(__xludf.DUMMYFUNCTION("""COMPUTED_VALUE"""),"tif-protocol")</f>
        <v>tif-protocol</v>
      </c>
      <c r="B11965" s="4" t="str">
        <f>IFERROR(__xludf.DUMMYFUNCTION("""COMPUTED_VALUE"""),"tif")</f>
        <v>tif</v>
      </c>
      <c r="C11965" s="4" t="str">
        <f>IFERROR(__xludf.DUMMYFUNCTION("""COMPUTED_VALUE"""),"Tif Protocol")</f>
        <v>Tif Protocol</v>
      </c>
    </row>
    <row r="11966">
      <c r="A11966" s="4" t="str">
        <f>IFERROR(__xludf.DUMMYFUNCTION("""COMPUTED_VALUE"""),"tiger-king")</f>
        <v>tiger-king</v>
      </c>
      <c r="B11966" s="4" t="str">
        <f>IFERROR(__xludf.DUMMYFUNCTION("""COMPUTED_VALUE"""),"tking")</f>
        <v>tking</v>
      </c>
      <c r="C11966" s="4" t="str">
        <f>IFERROR(__xludf.DUMMYFUNCTION("""COMPUTED_VALUE"""),"Tiger King Coin")</f>
        <v>Tiger King Coin</v>
      </c>
    </row>
    <row r="11967">
      <c r="A11967" s="4" t="str">
        <f>IFERROR(__xludf.DUMMYFUNCTION("""COMPUTED_VALUE"""),"tiger-scrub-money-2")</f>
        <v>tiger-scrub-money-2</v>
      </c>
      <c r="B11967" s="4" t="str">
        <f>IFERROR(__xludf.DUMMYFUNCTION("""COMPUTED_VALUE"""),"tiger")</f>
        <v>tiger</v>
      </c>
      <c r="C11967" s="4" t="str">
        <f>IFERROR(__xludf.DUMMYFUNCTION("""COMPUTED_VALUE"""),"Tiger Scrub Money")</f>
        <v>Tiger Scrub Money</v>
      </c>
    </row>
    <row r="11968">
      <c r="A11968" s="4" t="str">
        <f>IFERROR(__xludf.DUMMYFUNCTION("""COMPUTED_VALUE"""),"tigra")</f>
        <v>tigra</v>
      </c>
      <c r="B11968" s="4" t="str">
        <f>IFERROR(__xludf.DUMMYFUNCTION("""COMPUTED_VALUE"""),"tigra")</f>
        <v>tigra</v>
      </c>
      <c r="C11968" s="4" t="str">
        <f>IFERROR(__xludf.DUMMYFUNCTION("""COMPUTED_VALUE"""),"Tigra")</f>
        <v>Tigra</v>
      </c>
    </row>
    <row r="11969">
      <c r="A11969" s="4" t="str">
        <f>IFERROR(__xludf.DUMMYFUNCTION("""COMPUTED_VALUE"""),"tigres-fan-token")</f>
        <v>tigres-fan-token</v>
      </c>
      <c r="B11969" s="4" t="str">
        <f>IFERROR(__xludf.DUMMYFUNCTION("""COMPUTED_VALUE"""),"tigres")</f>
        <v>tigres</v>
      </c>
      <c r="C11969" s="4" t="str">
        <f>IFERROR(__xludf.DUMMYFUNCTION("""COMPUTED_VALUE"""),"Tigres Fan Token")</f>
        <v>Tigres Fan Token</v>
      </c>
    </row>
    <row r="11970">
      <c r="A11970" s="4" t="str">
        <f>IFERROR(__xludf.DUMMYFUNCTION("""COMPUTED_VALUE"""),"tigris")</f>
        <v>tigris</v>
      </c>
      <c r="B11970" s="4" t="str">
        <f>IFERROR(__xludf.DUMMYFUNCTION("""COMPUTED_VALUE"""),"tig")</f>
        <v>tig</v>
      </c>
      <c r="C11970" s="4" t="str">
        <f>IFERROR(__xludf.DUMMYFUNCTION("""COMPUTED_VALUE"""),"Tigris")</f>
        <v>Tigris</v>
      </c>
    </row>
    <row r="11971">
      <c r="A11971" s="4" t="str">
        <f>IFERROR(__xludf.DUMMYFUNCTION("""COMPUTED_VALUE"""),"time-alliance-guild-time")</f>
        <v>time-alliance-guild-time</v>
      </c>
      <c r="B11971" s="4" t="str">
        <f>IFERROR(__xludf.DUMMYFUNCTION("""COMPUTED_VALUE"""),"time")</f>
        <v>time</v>
      </c>
      <c r="C11971" s="4" t="str">
        <f>IFERROR(__xludf.DUMMYFUNCTION("""COMPUTED_VALUE"""),"Time Alliance Guild Time")</f>
        <v>Time Alliance Guild Time</v>
      </c>
    </row>
    <row r="11972">
      <c r="A11972" s="4" t="str">
        <f>IFERROR(__xludf.DUMMYFUNCTION("""COMPUTED_VALUE"""),"timechain-swap-token")</f>
        <v>timechain-swap-token</v>
      </c>
      <c r="B11972" s="4" t="str">
        <f>IFERROR(__xludf.DUMMYFUNCTION("""COMPUTED_VALUE"""),"tcs")</f>
        <v>tcs</v>
      </c>
      <c r="C11972" s="4" t="str">
        <f>IFERROR(__xludf.DUMMYFUNCTION("""COMPUTED_VALUE"""),"Timechain Swap")</f>
        <v>Timechain Swap</v>
      </c>
    </row>
    <row r="11973">
      <c r="A11973" s="4" t="str">
        <f>IFERROR(__xludf.DUMMYFUNCTION("""COMPUTED_VALUE"""),"t-i-m-e-dividend")</f>
        <v>t-i-m-e-dividend</v>
      </c>
      <c r="B11973" s="4" t="str">
        <f>IFERROR(__xludf.DUMMYFUNCTION("""COMPUTED_VALUE"""),"time")</f>
        <v>time</v>
      </c>
      <c r="C11973" s="4" t="str">
        <f>IFERROR(__xludf.DUMMYFUNCTION("""COMPUTED_VALUE"""),"T.I.M.E. Dividend")</f>
        <v>T.I.M.E. Dividend</v>
      </c>
    </row>
    <row r="11974">
      <c r="A11974" s="4" t="str">
        <f>IFERROR(__xludf.DUMMYFUNCTION("""COMPUTED_VALUE"""),"timeleap-finance")</f>
        <v>timeleap-finance</v>
      </c>
      <c r="B11974" s="4" t="str">
        <f>IFERROR(__xludf.DUMMYFUNCTION("""COMPUTED_VALUE"""),"time")</f>
        <v>time</v>
      </c>
      <c r="C11974" s="4" t="str">
        <f>IFERROR(__xludf.DUMMYFUNCTION("""COMPUTED_VALUE"""),"Timeleap Finance")</f>
        <v>Timeleap Finance</v>
      </c>
    </row>
    <row r="11975">
      <c r="A11975" s="4" t="str">
        <f>IFERROR(__xludf.DUMMYFUNCTION("""COMPUTED_VALUE"""),"timeless")</f>
        <v>timeless</v>
      </c>
      <c r="B11975" s="4" t="str">
        <f>IFERROR(__xludf.DUMMYFUNCTION("""COMPUTED_VALUE"""),"lit")</f>
        <v>lit</v>
      </c>
      <c r="C11975" s="4" t="str">
        <f>IFERROR(__xludf.DUMMYFUNCTION("""COMPUTED_VALUE"""),"Timeless")</f>
        <v>Timeless</v>
      </c>
    </row>
    <row r="11976">
      <c r="A11976" s="4" t="str">
        <f>IFERROR(__xludf.DUMMYFUNCTION("""COMPUTED_VALUE"""),"timeseries-ai")</f>
        <v>timeseries-ai</v>
      </c>
      <c r="B11976" s="4" t="str">
        <f>IFERROR(__xludf.DUMMYFUNCTION("""COMPUTED_VALUE"""),"timeseries")</f>
        <v>timeseries</v>
      </c>
      <c r="C11976" s="4" t="str">
        <f>IFERROR(__xludf.DUMMYFUNCTION("""COMPUTED_VALUE"""),"Timeseries AI")</f>
        <v>Timeseries AI</v>
      </c>
    </row>
    <row r="11977">
      <c r="A11977" s="4" t="str">
        <f>IFERROR(__xludf.DUMMYFUNCTION("""COMPUTED_VALUE"""),"timespace")</f>
        <v>timespace</v>
      </c>
      <c r="B11977" s="4" t="str">
        <f>IFERROR(__xludf.DUMMYFUNCTION("""COMPUTED_VALUE"""),"πts")</f>
        <v>πts</v>
      </c>
      <c r="C11977" s="4" t="str">
        <f>IFERROR(__xludf.DUMMYFUNCTION("""COMPUTED_VALUE"""),"πTimeSpace")</f>
        <v>πTimeSpace</v>
      </c>
    </row>
    <row r="11978">
      <c r="A11978" s="4" t="str">
        <f>IFERROR(__xludf.DUMMYFUNCTION("""COMPUTED_VALUE"""),"timothy-dexter")</f>
        <v>timothy-dexter</v>
      </c>
      <c r="B11978" s="4" t="str">
        <f>IFERROR(__xludf.DUMMYFUNCTION("""COMPUTED_VALUE"""),"lord")</f>
        <v>lord</v>
      </c>
      <c r="C11978" s="4" t="str">
        <f>IFERROR(__xludf.DUMMYFUNCTION("""COMPUTED_VALUE"""),"Timothy Dexter")</f>
        <v>Timothy Dexter</v>
      </c>
    </row>
    <row r="11979">
      <c r="A11979" s="4" t="str">
        <f>IFERROR(__xludf.DUMMYFUNCTION("""COMPUTED_VALUE"""),"timtim-games")</f>
        <v>timtim-games</v>
      </c>
      <c r="B11979" s="4" t="str">
        <f>IFERROR(__xludf.DUMMYFUNCTION("""COMPUTED_VALUE"""),"tim")</f>
        <v>tim</v>
      </c>
      <c r="C11979" s="4" t="str">
        <f>IFERROR(__xludf.DUMMYFUNCTION("""COMPUTED_VALUE"""),"TIMTIM GAMES")</f>
        <v>TIMTIM GAMES</v>
      </c>
    </row>
    <row r="11980">
      <c r="A11980" s="4" t="str">
        <f>IFERROR(__xludf.DUMMYFUNCTION("""COMPUTED_VALUE"""),"tinfa")</f>
        <v>tinfa</v>
      </c>
      <c r="B11980" s="4" t="str">
        <f>IFERROR(__xludf.DUMMYFUNCTION("""COMPUTED_VALUE"""),"tinfa")</f>
        <v>tinfa</v>
      </c>
      <c r="C11980" s="4" t="str">
        <f>IFERROR(__xludf.DUMMYFUNCTION("""COMPUTED_VALUE"""),"TINFA")</f>
        <v>TINFA</v>
      </c>
    </row>
    <row r="11981">
      <c r="A11981" s="4" t="str">
        <f>IFERROR(__xludf.DUMMYFUNCTION("""COMPUTED_VALUE"""),"tinhatcat")</f>
        <v>tinhatcat</v>
      </c>
      <c r="B11981" s="4" t="str">
        <f>IFERROR(__xludf.DUMMYFUNCTION("""COMPUTED_VALUE"""),"thc")</f>
        <v>thc</v>
      </c>
      <c r="C11981" s="4" t="str">
        <f>IFERROR(__xludf.DUMMYFUNCTION("""COMPUTED_VALUE"""),"TinHatCat")</f>
        <v>TinHatCat</v>
      </c>
    </row>
    <row r="11982">
      <c r="A11982" s="4" t="str">
        <f>IFERROR(__xludf.DUMMYFUNCTION("""COMPUTED_VALUE"""),"tinkernet")</f>
        <v>tinkernet</v>
      </c>
      <c r="B11982" s="4" t="str">
        <f>IFERROR(__xludf.DUMMYFUNCTION("""COMPUTED_VALUE"""),"tnkr")</f>
        <v>tnkr</v>
      </c>
      <c r="C11982" s="4" t="str">
        <f>IFERROR(__xludf.DUMMYFUNCTION("""COMPUTED_VALUE"""),"Tinkernet")</f>
        <v>Tinkernet</v>
      </c>
    </row>
    <row r="11983">
      <c r="A11983" s="4" t="str">
        <f>IFERROR(__xludf.DUMMYFUNCTION("""COMPUTED_VALUE"""),"tiny-colony")</f>
        <v>tiny-colony</v>
      </c>
      <c r="B11983" s="4" t="str">
        <f>IFERROR(__xludf.DUMMYFUNCTION("""COMPUTED_VALUE"""),"tiny")</f>
        <v>tiny</v>
      </c>
      <c r="C11983" s="4" t="str">
        <f>IFERROR(__xludf.DUMMYFUNCTION("""COMPUTED_VALUE"""),"Tiny Colony")</f>
        <v>Tiny Colony</v>
      </c>
    </row>
    <row r="11984">
      <c r="A11984" s="4" t="str">
        <f>IFERROR(__xludf.DUMMYFUNCTION("""COMPUTED_VALUE"""),"tiny-era-shard")</f>
        <v>tiny-era-shard</v>
      </c>
      <c r="B11984" s="4" t="str">
        <f>IFERROR(__xludf.DUMMYFUNCTION("""COMPUTED_VALUE"""),"tes")</f>
        <v>tes</v>
      </c>
      <c r="C11984" s="4" t="str">
        <f>IFERROR(__xludf.DUMMYFUNCTION("""COMPUTED_VALUE"""),"Tiny Era Shard")</f>
        <v>Tiny Era Shard</v>
      </c>
    </row>
    <row r="11985">
      <c r="A11985" s="4" t="str">
        <f>IFERROR(__xludf.DUMMYFUNCTION("""COMPUTED_VALUE"""),"tipcoin")</f>
        <v>tipcoin</v>
      </c>
      <c r="B11985" s="4" t="str">
        <f>IFERROR(__xludf.DUMMYFUNCTION("""COMPUTED_VALUE"""),"tip")</f>
        <v>tip</v>
      </c>
      <c r="C11985" s="4" t="str">
        <f>IFERROR(__xludf.DUMMYFUNCTION("""COMPUTED_VALUE"""),"Tipcoin")</f>
        <v>Tipcoin</v>
      </c>
    </row>
    <row r="11986">
      <c r="A11986" s="4" t="str">
        <f>IFERROR(__xludf.DUMMYFUNCTION("""COMPUTED_VALUE"""),"tiperian")</f>
        <v>tiperian</v>
      </c>
      <c r="B11986" s="4" t="str">
        <f>IFERROR(__xludf.DUMMYFUNCTION("""COMPUTED_VALUE"""),"tip")</f>
        <v>tip</v>
      </c>
      <c r="C11986" s="4" t="str">
        <f>IFERROR(__xludf.DUMMYFUNCTION("""COMPUTED_VALUE"""),"Tiperian")</f>
        <v>Tiperian</v>
      </c>
    </row>
    <row r="11987">
      <c r="A11987" s="4" t="str">
        <f>IFERROR(__xludf.DUMMYFUNCTION("""COMPUTED_VALUE"""),"tipg")</f>
        <v>tipg</v>
      </c>
      <c r="B11987" s="4" t="str">
        <f>IFERROR(__xludf.DUMMYFUNCTION("""COMPUTED_VALUE"""),"tipg")</f>
        <v>tipg</v>
      </c>
      <c r="C11987" s="4" t="str">
        <f>IFERROR(__xludf.DUMMYFUNCTION("""COMPUTED_VALUE"""),"TIPG")</f>
        <v>TIPG</v>
      </c>
    </row>
    <row r="11988">
      <c r="A11988" s="4" t="str">
        <f>IFERROR(__xludf.DUMMYFUNCTION("""COMPUTED_VALUE"""),"tipja")</f>
        <v>tipja</v>
      </c>
      <c r="B11988" s="4" t="str">
        <f>IFERROR(__xludf.DUMMYFUNCTION("""COMPUTED_VALUE"""),"tipja")</f>
        <v>tipja</v>
      </c>
      <c r="C11988" s="4" t="str">
        <f>IFERROR(__xludf.DUMMYFUNCTION("""COMPUTED_VALUE"""),"Tipja")</f>
        <v>Tipja</v>
      </c>
    </row>
    <row r="11989">
      <c r="A11989" s="4" t="str">
        <f>IFERROR(__xludf.DUMMYFUNCTION("""COMPUTED_VALUE"""),"tipsycoin")</f>
        <v>tipsycoin</v>
      </c>
      <c r="B11989" s="4" t="str">
        <f>IFERROR(__xludf.DUMMYFUNCTION("""COMPUTED_VALUE"""),"$tipsy")</f>
        <v>$tipsy</v>
      </c>
      <c r="C11989" s="4" t="str">
        <f>IFERROR(__xludf.DUMMYFUNCTION("""COMPUTED_VALUE"""),"TipsyCoin")</f>
        <v>TipsyCoin</v>
      </c>
    </row>
    <row r="11990">
      <c r="A11990" s="4" t="str">
        <f>IFERROR(__xludf.DUMMYFUNCTION("""COMPUTED_VALUE"""),"tiraverse")</f>
        <v>tiraverse</v>
      </c>
      <c r="B11990" s="4" t="str">
        <f>IFERROR(__xludf.DUMMYFUNCTION("""COMPUTED_VALUE"""),"tvrs")</f>
        <v>tvrs</v>
      </c>
      <c r="C11990" s="4" t="str">
        <f>IFERROR(__xludf.DUMMYFUNCTION("""COMPUTED_VALUE"""),"TiraVerse")</f>
        <v>TiraVerse</v>
      </c>
    </row>
    <row r="11991">
      <c r="A11991" s="4" t="str">
        <f>IFERROR(__xludf.DUMMYFUNCTION("""COMPUTED_VALUE"""),"titanborn")</f>
        <v>titanborn</v>
      </c>
      <c r="B11991" s="4" t="str">
        <f>IFERROR(__xludf.DUMMYFUNCTION("""COMPUTED_VALUE"""),"titans")</f>
        <v>titans</v>
      </c>
      <c r="C11991" s="4" t="str">
        <f>IFERROR(__xludf.DUMMYFUNCTION("""COMPUTED_VALUE"""),"TitanBorn")</f>
        <v>TitanBorn</v>
      </c>
    </row>
    <row r="11992">
      <c r="A11992" s="4" t="str">
        <f>IFERROR(__xludf.DUMMYFUNCTION("""COMPUTED_VALUE"""),"titan-hunters")</f>
        <v>titan-hunters</v>
      </c>
      <c r="B11992" s="4" t="str">
        <f>IFERROR(__xludf.DUMMYFUNCTION("""COMPUTED_VALUE"""),"tita")</f>
        <v>tita</v>
      </c>
      <c r="C11992" s="4" t="str">
        <f>IFERROR(__xludf.DUMMYFUNCTION("""COMPUTED_VALUE"""),"Titan Hunters")</f>
        <v>Titan Hunters</v>
      </c>
    </row>
    <row r="11993">
      <c r="A11993" s="4" t="str">
        <f>IFERROR(__xludf.DUMMYFUNCTION("""COMPUTED_VALUE"""),"titanium22")</f>
        <v>titanium22</v>
      </c>
      <c r="B11993" s="4" t="str">
        <f>IFERROR(__xludf.DUMMYFUNCTION("""COMPUTED_VALUE"""),"ti")</f>
        <v>ti</v>
      </c>
      <c r="C11993" s="4" t="str">
        <f>IFERROR(__xludf.DUMMYFUNCTION("""COMPUTED_VALUE"""),"Titanium22")</f>
        <v>Titanium22</v>
      </c>
    </row>
    <row r="11994">
      <c r="A11994" s="4" t="str">
        <f>IFERROR(__xludf.DUMMYFUNCTION("""COMPUTED_VALUE"""),"titanswap")</f>
        <v>titanswap</v>
      </c>
      <c r="B11994" s="4" t="str">
        <f>IFERROR(__xludf.DUMMYFUNCTION("""COMPUTED_VALUE"""),"titan")</f>
        <v>titan</v>
      </c>
      <c r="C11994" s="4" t="str">
        <f>IFERROR(__xludf.DUMMYFUNCTION("""COMPUTED_VALUE"""),"TitanSwap")</f>
        <v>TitanSwap</v>
      </c>
    </row>
    <row r="11995">
      <c r="A11995" s="4" t="str">
        <f>IFERROR(__xludf.DUMMYFUNCTION("""COMPUTED_VALUE"""),"titan-trading-token")</f>
        <v>titan-trading-token</v>
      </c>
      <c r="B11995" s="4" t="str">
        <f>IFERROR(__xludf.DUMMYFUNCTION("""COMPUTED_VALUE"""),"tes")</f>
        <v>tes</v>
      </c>
      <c r="C11995" s="4" t="str">
        <f>IFERROR(__xludf.DUMMYFUNCTION("""COMPUTED_VALUE"""),"Titan Trading Token")</f>
        <v>Titan Trading Token</v>
      </c>
    </row>
    <row r="11996">
      <c r="A11996" s="4" t="str">
        <f>IFERROR(__xludf.DUMMYFUNCTION("""COMPUTED_VALUE"""),"titanx")</f>
        <v>titanx</v>
      </c>
      <c r="B11996" s="4" t="str">
        <f>IFERROR(__xludf.DUMMYFUNCTION("""COMPUTED_VALUE"""),"titanx")</f>
        <v>titanx</v>
      </c>
      <c r="C11996" s="4" t="str">
        <f>IFERROR(__xludf.DUMMYFUNCTION("""COMPUTED_VALUE"""),"TitanX")</f>
        <v>TitanX</v>
      </c>
    </row>
    <row r="11997">
      <c r="A11997" s="4" t="str">
        <f>IFERROR(__xludf.DUMMYFUNCTION("""COMPUTED_VALUE"""),"title-network")</f>
        <v>title-network</v>
      </c>
      <c r="B11997" s="4" t="str">
        <f>IFERROR(__xludf.DUMMYFUNCTION("""COMPUTED_VALUE"""),"tnet")</f>
        <v>tnet</v>
      </c>
      <c r="C11997" s="4" t="str">
        <f>IFERROR(__xludf.DUMMYFUNCTION("""COMPUTED_VALUE"""),"Bitcoin Clashic")</f>
        <v>Bitcoin Clashic</v>
      </c>
    </row>
    <row r="11998">
      <c r="A11998" s="4" t="str">
        <f>IFERROR(__xludf.DUMMYFUNCTION("""COMPUTED_VALUE"""),"tiusd")</f>
        <v>tiusd</v>
      </c>
      <c r="B11998" s="4" t="str">
        <f>IFERROR(__xludf.DUMMYFUNCTION("""COMPUTED_VALUE"""),"tiusd")</f>
        <v>tiusd</v>
      </c>
      <c r="C11998" s="4" t="str">
        <f>IFERROR(__xludf.DUMMYFUNCTION("""COMPUTED_VALUE"""),"TiUSD")</f>
        <v>TiUSD</v>
      </c>
    </row>
    <row r="11999">
      <c r="A11999" s="4" t="str">
        <f>IFERROR(__xludf.DUMMYFUNCTION("""COMPUTED_VALUE"""),"tlifecoin")</f>
        <v>tlifecoin</v>
      </c>
      <c r="B11999" s="4" t="str">
        <f>IFERROR(__xludf.DUMMYFUNCTION("""COMPUTED_VALUE"""),"tlife")</f>
        <v>tlife</v>
      </c>
      <c r="C11999" s="4" t="str">
        <f>IFERROR(__xludf.DUMMYFUNCTION("""COMPUTED_VALUE"""),"TLifeCoin")</f>
        <v>TLifeCoin</v>
      </c>
    </row>
    <row r="12000">
      <c r="A12000" s="4" t="str">
        <f>IFERROR(__xludf.DUMMYFUNCTION("""COMPUTED_VALUE"""),"tlsd-coin")</f>
        <v>tlsd-coin</v>
      </c>
      <c r="B12000" s="4" t="str">
        <f>IFERROR(__xludf.DUMMYFUNCTION("""COMPUTED_VALUE"""),"tlsd")</f>
        <v>tlsd</v>
      </c>
      <c r="C12000" s="4" t="str">
        <f>IFERROR(__xludf.DUMMYFUNCTION("""COMPUTED_VALUE"""),"TLSD Coin")</f>
        <v>TLSD Coin</v>
      </c>
    </row>
    <row r="12001">
      <c r="A12001" s="4" t="str">
        <f>IFERROR(__xludf.DUMMYFUNCTION("""COMPUTED_VALUE"""),"t-mac-dao")</f>
        <v>t-mac-dao</v>
      </c>
      <c r="B12001" s="4" t="str">
        <f>IFERROR(__xludf.DUMMYFUNCTION("""COMPUTED_VALUE"""),"tmg")</f>
        <v>tmg</v>
      </c>
      <c r="C12001" s="4" t="str">
        <f>IFERROR(__xludf.DUMMYFUNCTION("""COMPUTED_VALUE"""),"T-mac DAO")</f>
        <v>T-mac DAO</v>
      </c>
    </row>
    <row r="12002">
      <c r="A12002" s="4" t="str">
        <f>IFERROR(__xludf.DUMMYFUNCTION("""COMPUTED_VALUE"""),"tn100x")</f>
        <v>tn100x</v>
      </c>
      <c r="B12002" s="4" t="str">
        <f>IFERROR(__xludf.DUMMYFUNCTION("""COMPUTED_VALUE"""),"tn100x")</f>
        <v>tn100x</v>
      </c>
      <c r="C12002" s="4" t="str">
        <f>IFERROR(__xludf.DUMMYFUNCTION("""COMPUTED_VALUE"""),"TN100x")</f>
        <v>TN100x</v>
      </c>
    </row>
    <row r="12003">
      <c r="A12003" s="4" t="str">
        <f>IFERROR(__xludf.DUMMYFUNCTION("""COMPUTED_VALUE"""),"tnc-coin")</f>
        <v>tnc-coin</v>
      </c>
      <c r="B12003" s="4" t="str">
        <f>IFERROR(__xludf.DUMMYFUNCTION("""COMPUTED_VALUE"""),"tnc")</f>
        <v>tnc</v>
      </c>
      <c r="C12003" s="4" t="str">
        <f>IFERROR(__xludf.DUMMYFUNCTION("""COMPUTED_VALUE"""),"TNC Coin")</f>
        <v>TNC Coin</v>
      </c>
    </row>
    <row r="12004">
      <c r="A12004" s="4" t="str">
        <f>IFERROR(__xludf.DUMMYFUNCTION("""COMPUTED_VALUE"""),"toad")</f>
        <v>toad</v>
      </c>
      <c r="B12004" s="4" t="str">
        <f>IFERROR(__xludf.DUMMYFUNCTION("""COMPUTED_VALUE"""),"toad")</f>
        <v>toad</v>
      </c>
      <c r="C12004" s="4" t="str">
        <f>IFERROR(__xludf.DUMMYFUNCTION("""COMPUTED_VALUE"""),"TOAD")</f>
        <v>TOAD</v>
      </c>
    </row>
    <row r="12005">
      <c r="A12005" s="4" t="str">
        <f>IFERROR(__xludf.DUMMYFUNCTION("""COMPUTED_VALUE"""),"toadie-meme-coin")</f>
        <v>toadie-meme-coin</v>
      </c>
      <c r="B12005" s="4" t="str">
        <f>IFERROR(__xludf.DUMMYFUNCTION("""COMPUTED_VALUE"""),"toad")</f>
        <v>toad</v>
      </c>
      <c r="C12005" s="4" t="str">
        <f>IFERROR(__xludf.DUMMYFUNCTION("""COMPUTED_VALUE"""),"Toadie Meme Coin")</f>
        <v>Toadie Meme Coin</v>
      </c>
    </row>
    <row r="12006">
      <c r="A12006" s="4" t="str">
        <f>IFERROR(__xludf.DUMMYFUNCTION("""COMPUTED_VALUE"""),"toad-killer")</f>
        <v>toad-killer</v>
      </c>
      <c r="B12006" s="4" t="str">
        <f>IFERROR(__xludf.DUMMYFUNCTION("""COMPUTED_VALUE"""),"$toad")</f>
        <v>$toad</v>
      </c>
      <c r="C12006" s="4" t="str">
        <f>IFERROR(__xludf.DUMMYFUNCTION("""COMPUTED_VALUE"""),"Toad Killer")</f>
        <v>Toad Killer</v>
      </c>
    </row>
    <row r="12007">
      <c r="A12007" s="4" t="str">
        <f>IFERROR(__xludf.DUMMYFUNCTION("""COMPUTED_VALUE"""),"toby-toadgod")</f>
        <v>toby-toadgod</v>
      </c>
      <c r="B12007" s="4" t="str">
        <f>IFERROR(__xludf.DUMMYFUNCTION("""COMPUTED_VALUE"""),"toby")</f>
        <v>toby</v>
      </c>
      <c r="C12007" s="4" t="str">
        <f>IFERROR(__xludf.DUMMYFUNCTION("""COMPUTED_VALUE"""),"Toby ToadGod")</f>
        <v>Toby ToadGod</v>
      </c>
    </row>
    <row r="12008">
      <c r="A12008" s="4" t="str">
        <f>IFERROR(__xludf.DUMMYFUNCTION("""COMPUTED_VALUE"""),"tocen")</f>
        <v>tocen</v>
      </c>
      <c r="B12008" s="4" t="str">
        <f>IFERROR(__xludf.DUMMYFUNCTION("""COMPUTED_VALUE"""),"toce")</f>
        <v>toce</v>
      </c>
      <c r="C12008" s="4" t="str">
        <f>IFERROR(__xludf.DUMMYFUNCTION("""COMPUTED_VALUE"""),"Tocen")</f>
        <v>Tocen</v>
      </c>
    </row>
    <row r="12009">
      <c r="A12009" s="4" t="str">
        <f>IFERROR(__xludf.DUMMYFUNCTION("""COMPUTED_VALUE"""),"tochi-base")</f>
        <v>tochi-base</v>
      </c>
      <c r="B12009" s="4" t="str">
        <f>IFERROR(__xludf.DUMMYFUNCTION("""COMPUTED_VALUE"""),"tochi")</f>
        <v>tochi</v>
      </c>
      <c r="C12009" s="4" t="str">
        <f>IFERROR(__xludf.DUMMYFUNCTION("""COMPUTED_VALUE"""),"Tochi Base")</f>
        <v>Tochi Base</v>
      </c>
    </row>
    <row r="12010">
      <c r="A12010" s="4" t="str">
        <f>IFERROR(__xludf.DUMMYFUNCTION("""COMPUTED_VALUE"""),"toearnnow")</f>
        <v>toearnnow</v>
      </c>
      <c r="B12010" s="4" t="str">
        <f>IFERROR(__xludf.DUMMYFUNCTION("""COMPUTED_VALUE"""),"now")</f>
        <v>now</v>
      </c>
      <c r="C12010" s="4" t="str">
        <f>IFERROR(__xludf.DUMMYFUNCTION("""COMPUTED_VALUE"""),"ToEarnNow")</f>
        <v>ToEarnNow</v>
      </c>
    </row>
    <row r="12011">
      <c r="A12011" s="4" t="str">
        <f>IFERROR(__xludf.DUMMYFUNCTION("""COMPUTED_VALUE"""),"toge")</f>
        <v>toge</v>
      </c>
      <c r="B12011" s="4" t="str">
        <f>IFERROR(__xludf.DUMMYFUNCTION("""COMPUTED_VALUE"""),"toge")</f>
        <v>toge</v>
      </c>
      <c r="C12011" s="4" t="str">
        <f>IFERROR(__xludf.DUMMYFUNCTION("""COMPUTED_VALUE"""),"TOGE")</f>
        <v>TOGE</v>
      </c>
    </row>
    <row r="12012">
      <c r="A12012" s="4" t="str">
        <f>IFERROR(__xludf.DUMMYFUNCTION("""COMPUTED_VALUE"""),"toka-2")</f>
        <v>toka-2</v>
      </c>
      <c r="B12012" s="4" t="str">
        <f>IFERROR(__xludf.DUMMYFUNCTION("""COMPUTED_VALUE"""),"toka")</f>
        <v>toka</v>
      </c>
      <c r="C12012" s="4" t="str">
        <f>IFERROR(__xludf.DUMMYFUNCTION("""COMPUTED_VALUE"""),"TOKA")</f>
        <v>TOKA</v>
      </c>
    </row>
    <row r="12013">
      <c r="A12013" s="4" t="str">
        <f>IFERROR(__xludf.DUMMYFUNCTION("""COMPUTED_VALUE"""),"tokamak-network")</f>
        <v>tokamak-network</v>
      </c>
      <c r="B12013" s="4" t="str">
        <f>IFERROR(__xludf.DUMMYFUNCTION("""COMPUTED_VALUE"""),"ton")</f>
        <v>ton</v>
      </c>
      <c r="C12013" s="4" t="str">
        <f>IFERROR(__xludf.DUMMYFUNCTION("""COMPUTED_VALUE"""),"Tokamak Network")</f>
        <v>Tokamak Network</v>
      </c>
    </row>
    <row r="12014">
      <c r="A12014" s="4" t="str">
        <f>IFERROR(__xludf.DUMMYFUNCTION("""COMPUTED_VALUE"""),"tokemak")</f>
        <v>tokemak</v>
      </c>
      <c r="B12014" s="4" t="str">
        <f>IFERROR(__xludf.DUMMYFUNCTION("""COMPUTED_VALUE"""),"toke")</f>
        <v>toke</v>
      </c>
      <c r="C12014" s="4" t="str">
        <f>IFERROR(__xludf.DUMMYFUNCTION("""COMPUTED_VALUE"""),"Tokemak")</f>
        <v>Tokemak</v>
      </c>
    </row>
    <row r="12015">
      <c r="A12015" s="4" t="str">
        <f>IFERROR(__xludf.DUMMYFUNCTION("""COMPUTED_VALUE"""),"tokenbot")</f>
        <v>tokenbot</v>
      </c>
      <c r="B12015" s="4" t="str">
        <f>IFERROR(__xludf.DUMMYFUNCTION("""COMPUTED_VALUE"""),"tkb")</f>
        <v>tkb</v>
      </c>
      <c r="C12015" s="4" t="str">
        <f>IFERROR(__xludf.DUMMYFUNCTION("""COMPUTED_VALUE"""),"TokenBot")</f>
        <v>TokenBot</v>
      </c>
    </row>
    <row r="12016">
      <c r="A12016" s="4" t="str">
        <f>IFERROR(__xludf.DUMMYFUNCTION("""COMPUTED_VALUE"""),"tokencard")</f>
        <v>tokencard</v>
      </c>
      <c r="B12016" s="4" t="str">
        <f>IFERROR(__xludf.DUMMYFUNCTION("""COMPUTED_VALUE"""),"tkn")</f>
        <v>tkn</v>
      </c>
      <c r="C12016" s="4" t="str">
        <f>IFERROR(__xludf.DUMMYFUNCTION("""COMPUTED_VALUE"""),"Monolith")</f>
        <v>Monolith</v>
      </c>
    </row>
    <row r="12017">
      <c r="A12017" s="4" t="str">
        <f>IFERROR(__xludf.DUMMYFUNCTION("""COMPUTED_VALUE"""),"tokenclub")</f>
        <v>tokenclub</v>
      </c>
      <c r="B12017" s="4" t="str">
        <f>IFERROR(__xludf.DUMMYFUNCTION("""COMPUTED_VALUE"""),"tct")</f>
        <v>tct</v>
      </c>
      <c r="C12017" s="4" t="str">
        <f>IFERROR(__xludf.DUMMYFUNCTION("""COMPUTED_VALUE"""),"TokenClub")</f>
        <v>TokenClub</v>
      </c>
    </row>
    <row r="12018">
      <c r="A12018" s="4" t="str">
        <f>IFERROR(__xludf.DUMMYFUNCTION("""COMPUTED_VALUE"""),"token-dforce-usd")</f>
        <v>token-dforce-usd</v>
      </c>
      <c r="B12018" s="4" t="str">
        <f>IFERROR(__xludf.DUMMYFUNCTION("""COMPUTED_VALUE"""),"usx")</f>
        <v>usx</v>
      </c>
      <c r="C12018" s="4" t="str">
        <f>IFERROR(__xludf.DUMMYFUNCTION("""COMPUTED_VALUE"""),"dForce USD")</f>
        <v>dForce USD</v>
      </c>
    </row>
    <row r="12019">
      <c r="A12019" s="4" t="str">
        <f>IFERROR(__xludf.DUMMYFUNCTION("""COMPUTED_VALUE"""),"tokenfi")</f>
        <v>tokenfi</v>
      </c>
      <c r="B12019" s="4" t="str">
        <f>IFERROR(__xludf.DUMMYFUNCTION("""COMPUTED_VALUE"""),"token")</f>
        <v>token</v>
      </c>
      <c r="C12019" s="4" t="str">
        <f>IFERROR(__xludf.DUMMYFUNCTION("""COMPUTED_VALUE"""),"TokenFi")</f>
        <v>TokenFi</v>
      </c>
    </row>
    <row r="12020">
      <c r="A12020" s="4" t="str">
        <f>IFERROR(__xludf.DUMMYFUNCTION("""COMPUTED_VALUE"""),"token-in")</f>
        <v>token-in</v>
      </c>
      <c r="B12020" s="4" t="str">
        <f>IFERROR(__xludf.DUMMYFUNCTION("""COMPUTED_VALUE"""),"tin")</f>
        <v>tin</v>
      </c>
      <c r="C12020" s="4" t="str">
        <f>IFERROR(__xludf.DUMMYFUNCTION("""COMPUTED_VALUE"""),"Token IN")</f>
        <v>Token IN</v>
      </c>
    </row>
    <row r="12021">
      <c r="A12021" s="4" t="str">
        <f>IFERROR(__xludf.DUMMYFUNCTION("""COMPUTED_VALUE"""),"tokenize-xchange")</f>
        <v>tokenize-xchange</v>
      </c>
      <c r="B12021" s="4" t="str">
        <f>IFERROR(__xludf.DUMMYFUNCTION("""COMPUTED_VALUE"""),"tkx")</f>
        <v>tkx</v>
      </c>
      <c r="C12021" s="4" t="str">
        <f>IFERROR(__xludf.DUMMYFUNCTION("""COMPUTED_VALUE"""),"Tokenize Xchange")</f>
        <v>Tokenize Xchange</v>
      </c>
    </row>
    <row r="12022">
      <c r="A12022" s="4" t="str">
        <f>IFERROR(__xludf.DUMMYFUNCTION("""COMPUTED_VALUE"""),"tokenlon")</f>
        <v>tokenlon</v>
      </c>
      <c r="B12022" s="4" t="str">
        <f>IFERROR(__xludf.DUMMYFUNCTION("""COMPUTED_VALUE"""),"lon")</f>
        <v>lon</v>
      </c>
      <c r="C12022" s="4" t="str">
        <f>IFERROR(__xludf.DUMMYFUNCTION("""COMPUTED_VALUE"""),"Tokenlon")</f>
        <v>Tokenlon</v>
      </c>
    </row>
    <row r="12023">
      <c r="A12023" s="4" t="str">
        <f>IFERROR(__xludf.DUMMYFUNCTION("""COMPUTED_VALUE"""),"tokenomy")</f>
        <v>tokenomy</v>
      </c>
      <c r="B12023" s="4" t="str">
        <f>IFERROR(__xludf.DUMMYFUNCTION("""COMPUTED_VALUE"""),"ten")</f>
        <v>ten</v>
      </c>
      <c r="C12023" s="4" t="str">
        <f>IFERROR(__xludf.DUMMYFUNCTION("""COMPUTED_VALUE"""),"Tokenomy")</f>
        <v>Tokenomy</v>
      </c>
    </row>
    <row r="12024">
      <c r="A12024" s="4" t="str">
        <f>IFERROR(__xludf.DUMMYFUNCTION("""COMPUTED_VALUE"""),"tokenplace")</f>
        <v>tokenplace</v>
      </c>
      <c r="B12024" s="4" t="str">
        <f>IFERROR(__xludf.DUMMYFUNCTION("""COMPUTED_VALUE"""),"tok")</f>
        <v>tok</v>
      </c>
      <c r="C12024" s="4" t="str">
        <f>IFERROR(__xludf.DUMMYFUNCTION("""COMPUTED_VALUE"""),"Tokenplace")</f>
        <v>Tokenplace</v>
      </c>
    </row>
    <row r="12025">
      <c r="A12025" s="4" t="str">
        <f>IFERROR(__xludf.DUMMYFUNCTION("""COMPUTED_VALUE"""),"token-pocket")</f>
        <v>token-pocket</v>
      </c>
      <c r="B12025" s="4" t="str">
        <f>IFERROR(__xludf.DUMMYFUNCTION("""COMPUTED_VALUE"""),"tpt")</f>
        <v>tpt</v>
      </c>
      <c r="C12025" s="4" t="str">
        <f>IFERROR(__xludf.DUMMYFUNCTION("""COMPUTED_VALUE"""),"TokenPocket Token")</f>
        <v>TokenPocket Token</v>
      </c>
    </row>
    <row r="12026">
      <c r="A12026" s="4" t="str">
        <f>IFERROR(__xludf.DUMMYFUNCTION("""COMPUTED_VALUE"""),"token-sentry-bot")</f>
        <v>token-sentry-bot</v>
      </c>
      <c r="B12026" s="4" t="str">
        <f>IFERROR(__xludf.DUMMYFUNCTION("""COMPUTED_VALUE"""),"sentry")</f>
        <v>sentry</v>
      </c>
      <c r="C12026" s="4" t="str">
        <f>IFERROR(__xludf.DUMMYFUNCTION("""COMPUTED_VALUE"""),"Token Sentry Bot")</f>
        <v>Token Sentry Bot</v>
      </c>
    </row>
    <row r="12027">
      <c r="A12027" s="4" t="str">
        <f>IFERROR(__xludf.DUMMYFUNCTION("""COMPUTED_VALUE"""),"tokensight")</f>
        <v>tokensight</v>
      </c>
      <c r="B12027" s="4" t="str">
        <f>IFERROR(__xludf.DUMMYFUNCTION("""COMPUTED_VALUE"""),"tkst")</f>
        <v>tkst</v>
      </c>
      <c r="C12027" s="4" t="str">
        <f>IFERROR(__xludf.DUMMYFUNCTION("""COMPUTED_VALUE"""),"TokenSight")</f>
        <v>TokenSight</v>
      </c>
    </row>
    <row r="12028">
      <c r="A12028" s="4" t="str">
        <f>IFERROR(__xludf.DUMMYFUNCTION("""COMPUTED_VALUE"""),"token-teknoloji-a-s-euro")</f>
        <v>token-teknoloji-a-s-euro</v>
      </c>
      <c r="B12028" s="4" t="str">
        <f>IFERROR(__xludf.DUMMYFUNCTION("""COMPUTED_VALUE"""),"eurot")</f>
        <v>eurot</v>
      </c>
      <c r="C12028" s="4" t="str">
        <f>IFERROR(__xludf.DUMMYFUNCTION("""COMPUTED_VALUE"""),"Token Teknoloji A.Ş. EURO")</f>
        <v>Token Teknoloji A.Ş. EURO</v>
      </c>
    </row>
    <row r="12029">
      <c r="A12029" s="4" t="str">
        <f>IFERROR(__xludf.DUMMYFUNCTION("""COMPUTED_VALUE"""),"token-teknoloji-a-s-usd")</f>
        <v>token-teknoloji-a-s-usd</v>
      </c>
      <c r="B12029" s="4" t="str">
        <f>IFERROR(__xludf.DUMMYFUNCTION("""COMPUTED_VALUE"""),"usdot")</f>
        <v>usdot</v>
      </c>
      <c r="C12029" s="4" t="str">
        <f>IFERROR(__xludf.DUMMYFUNCTION("""COMPUTED_VALUE"""),"Token Teknoloji A.Ş. USD")</f>
        <v>Token Teknoloji A.Ş. USD</v>
      </c>
    </row>
    <row r="12030">
      <c r="A12030" s="4" t="str">
        <f>IFERROR(__xludf.DUMMYFUNCTION("""COMPUTED_VALUE"""),"tokenwatch")</f>
        <v>tokenwatch</v>
      </c>
      <c r="B12030" s="4" t="str">
        <f>IFERROR(__xludf.DUMMYFUNCTION("""COMPUTED_VALUE"""),"tokenwatch")</f>
        <v>tokenwatch</v>
      </c>
      <c r="C12030" s="4" t="str">
        <f>IFERROR(__xludf.DUMMYFUNCTION("""COMPUTED_VALUE"""),"TokenWatch")</f>
        <v>TokenWatch</v>
      </c>
    </row>
    <row r="12031">
      <c r="A12031" s="4" t="str">
        <f>IFERROR(__xludf.DUMMYFUNCTION("""COMPUTED_VALUE"""),"tokhit")</f>
        <v>tokhit</v>
      </c>
      <c r="B12031" s="4" t="str">
        <f>IFERROR(__xludf.DUMMYFUNCTION("""COMPUTED_VALUE"""),"hitt")</f>
        <v>hitt</v>
      </c>
      <c r="C12031" s="4" t="str">
        <f>IFERROR(__xludf.DUMMYFUNCTION("""COMPUTED_VALUE"""),"TOKHIT")</f>
        <v>TOKHIT</v>
      </c>
    </row>
    <row r="12032">
      <c r="A12032" s="4" t="str">
        <f>IFERROR(__xludf.DUMMYFUNCTION("""COMPUTED_VALUE"""),"toko")</f>
        <v>toko</v>
      </c>
      <c r="B12032" s="4" t="str">
        <f>IFERROR(__xludf.DUMMYFUNCTION("""COMPUTED_VALUE"""),"toko")</f>
        <v>toko</v>
      </c>
      <c r="C12032" s="4" t="str">
        <f>IFERROR(__xludf.DUMMYFUNCTION("""COMPUTED_VALUE"""),"Tokoin")</f>
        <v>Tokoin</v>
      </c>
    </row>
    <row r="12033">
      <c r="A12033" s="4" t="str">
        <f>IFERROR(__xludf.DUMMYFUNCTION("""COMPUTED_VALUE"""),"tokocrypto")</f>
        <v>tokocrypto</v>
      </c>
      <c r="B12033" s="4" t="str">
        <f>IFERROR(__xludf.DUMMYFUNCTION("""COMPUTED_VALUE"""),"tko")</f>
        <v>tko</v>
      </c>
      <c r="C12033" s="4" t="str">
        <f>IFERROR(__xludf.DUMMYFUNCTION("""COMPUTED_VALUE"""),"Tokocrypto")</f>
        <v>Tokocrypto</v>
      </c>
    </row>
    <row r="12034">
      <c r="A12034" s="4" t="str">
        <f>IFERROR(__xludf.DUMMYFUNCTION("""COMPUTED_VALUE"""),"tokpie")</f>
        <v>tokpie</v>
      </c>
      <c r="B12034" s="4" t="str">
        <f>IFERROR(__xludf.DUMMYFUNCTION("""COMPUTED_VALUE"""),"tkp")</f>
        <v>tkp</v>
      </c>
      <c r="C12034" s="4" t="str">
        <f>IFERROR(__xludf.DUMMYFUNCTION("""COMPUTED_VALUE"""),"TOKPIE")</f>
        <v>TOKPIE</v>
      </c>
    </row>
    <row r="12035">
      <c r="A12035" s="4" t="str">
        <f>IFERROR(__xludf.DUMMYFUNCTION("""COMPUTED_VALUE"""),"tokyo")</f>
        <v>tokyo</v>
      </c>
      <c r="B12035" s="4" t="str">
        <f>IFERROR(__xludf.DUMMYFUNCTION("""COMPUTED_VALUE"""),"tokc")</f>
        <v>tokc</v>
      </c>
      <c r="C12035" s="4" t="str">
        <f>IFERROR(__xludf.DUMMYFUNCTION("""COMPUTED_VALUE"""),"Tokyo Coin")</f>
        <v>Tokyo Coin</v>
      </c>
    </row>
    <row r="12036">
      <c r="A12036" s="4" t="str">
        <f>IFERROR(__xludf.DUMMYFUNCTION("""COMPUTED_VALUE"""),"tokyo-au")</f>
        <v>tokyo-au</v>
      </c>
      <c r="B12036" s="4" t="str">
        <f>IFERROR(__xludf.DUMMYFUNCTION("""COMPUTED_VALUE"""),"tokau")</f>
        <v>tokau</v>
      </c>
      <c r="C12036" s="4" t="str">
        <f>IFERROR(__xludf.DUMMYFUNCTION("""COMPUTED_VALUE"""),"Tokyo AU")</f>
        <v>Tokyo AU</v>
      </c>
    </row>
    <row r="12037">
      <c r="A12037" s="4" t="str">
        <f>IFERROR(__xludf.DUMMYFUNCTION("""COMPUTED_VALUE"""),"toly")</f>
        <v>toly</v>
      </c>
      <c r="B12037" s="4" t="str">
        <f>IFERROR(__xludf.DUMMYFUNCTION("""COMPUTED_VALUE"""),"toly")</f>
        <v>toly</v>
      </c>
      <c r="C12037" s="4" t="str">
        <f>IFERROR(__xludf.DUMMYFUNCTION("""COMPUTED_VALUE"""),"Toly")</f>
        <v>Toly</v>
      </c>
    </row>
    <row r="12038">
      <c r="A12038" s="4" t="str">
        <f>IFERROR(__xludf.DUMMYFUNCTION("""COMPUTED_VALUE"""),"toman-coin")</f>
        <v>toman-coin</v>
      </c>
      <c r="B12038" s="4" t="str">
        <f>IFERROR(__xludf.DUMMYFUNCTION("""COMPUTED_VALUE"""),"tmc")</f>
        <v>tmc</v>
      </c>
      <c r="C12038" s="4" t="str">
        <f>IFERROR(__xludf.DUMMYFUNCTION("""COMPUTED_VALUE"""),"Toman Coin")</f>
        <v>Toman Coin</v>
      </c>
    </row>
    <row r="12039">
      <c r="A12039" s="4" t="str">
        <f>IFERROR(__xludf.DUMMYFUNCTION("""COMPUTED_VALUE"""),"tomb")</f>
        <v>tomb</v>
      </c>
      <c r="B12039" s="4" t="str">
        <f>IFERROR(__xludf.DUMMYFUNCTION("""COMPUTED_VALUE"""),"tomb")</f>
        <v>tomb</v>
      </c>
      <c r="C12039" s="4" t="str">
        <f>IFERROR(__xludf.DUMMYFUNCTION("""COMPUTED_VALUE"""),"Tomb")</f>
        <v>Tomb</v>
      </c>
    </row>
    <row r="12040">
      <c r="A12040" s="4" t="str">
        <f>IFERROR(__xludf.DUMMYFUNCTION("""COMPUTED_VALUE"""),"tombili-the-fat-cat")</f>
        <v>tombili-the-fat-cat</v>
      </c>
      <c r="B12040" s="4" t="str">
        <f>IFERROR(__xludf.DUMMYFUNCTION("""COMPUTED_VALUE"""),"fatcat")</f>
        <v>fatcat</v>
      </c>
      <c r="C12040" s="4" t="str">
        <f>IFERROR(__xludf.DUMMYFUNCTION("""COMPUTED_VALUE"""),"Tombili the Fat Cat")</f>
        <v>Tombili the Fat Cat</v>
      </c>
    </row>
    <row r="12041">
      <c r="A12041" s="4" t="str">
        <f>IFERROR(__xludf.DUMMYFUNCTION("""COMPUTED_VALUE"""),"tombplus")</f>
        <v>tombplus</v>
      </c>
      <c r="B12041" s="4" t="str">
        <f>IFERROR(__xludf.DUMMYFUNCTION("""COMPUTED_VALUE"""),"tomb+")</f>
        <v>tomb+</v>
      </c>
      <c r="C12041" s="4" t="str">
        <f>IFERROR(__xludf.DUMMYFUNCTION("""COMPUTED_VALUE"""),"Tomb+")</f>
        <v>Tomb+</v>
      </c>
    </row>
    <row r="12042">
      <c r="A12042" s="4" t="str">
        <f>IFERROR(__xludf.DUMMYFUNCTION("""COMPUTED_VALUE"""),"tombplus-tshare-plus")</f>
        <v>tombplus-tshare-plus</v>
      </c>
      <c r="B12042" s="4" t="str">
        <f>IFERROR(__xludf.DUMMYFUNCTION("""COMPUTED_VALUE"""),"tshare+")</f>
        <v>tshare+</v>
      </c>
      <c r="C12042" s="4" t="str">
        <f>IFERROR(__xludf.DUMMYFUNCTION("""COMPUTED_VALUE"""),"TombPlus TSHARE+")</f>
        <v>TombPlus TSHARE+</v>
      </c>
    </row>
    <row r="12043">
      <c r="A12043" s="4" t="str">
        <f>IFERROR(__xludf.DUMMYFUNCTION("""COMPUTED_VALUE"""),"tomb-shares")</f>
        <v>tomb-shares</v>
      </c>
      <c r="B12043" s="4" t="str">
        <f>IFERROR(__xludf.DUMMYFUNCTION("""COMPUTED_VALUE"""),"tshare")</f>
        <v>tshare</v>
      </c>
      <c r="C12043" s="4" t="str">
        <f>IFERROR(__xludf.DUMMYFUNCTION("""COMPUTED_VALUE"""),"Tomb Shares")</f>
        <v>Tomb Shares</v>
      </c>
    </row>
    <row r="12044">
      <c r="A12044" s="4" t="str">
        <f>IFERROR(__xludf.DUMMYFUNCTION("""COMPUTED_VALUE"""),"tom-coin")</f>
        <v>tom-coin</v>
      </c>
      <c r="B12044" s="4" t="str">
        <f>IFERROR(__xludf.DUMMYFUNCTION("""COMPUTED_VALUE"""),"tmc")</f>
        <v>tmc</v>
      </c>
      <c r="C12044" s="4" t="str">
        <f>IFERROR(__xludf.DUMMYFUNCTION("""COMPUTED_VALUE"""),"Tom Coin")</f>
        <v>Tom Coin</v>
      </c>
    </row>
    <row r="12045">
      <c r="A12045" s="4" t="str">
        <f>IFERROR(__xludf.DUMMYFUNCTION("""COMPUTED_VALUE"""),"tom-finance")</f>
        <v>tom-finance</v>
      </c>
      <c r="B12045" s="4" t="str">
        <f>IFERROR(__xludf.DUMMYFUNCTION("""COMPUTED_VALUE"""),"tom")</f>
        <v>tom</v>
      </c>
      <c r="C12045" s="4" t="str">
        <f>IFERROR(__xludf.DUMMYFUNCTION("""COMPUTED_VALUE"""),"TOM Finance")</f>
        <v>TOM Finance</v>
      </c>
    </row>
    <row r="12046">
      <c r="A12046" s="4" t="str">
        <f>IFERROR(__xludf.DUMMYFUNCTION("""COMPUTED_VALUE"""),"tominet")</f>
        <v>tominet</v>
      </c>
      <c r="B12046" s="4" t="str">
        <f>IFERROR(__xludf.DUMMYFUNCTION("""COMPUTED_VALUE"""),"tomi")</f>
        <v>tomi</v>
      </c>
      <c r="C12046" s="4" t="str">
        <f>IFERROR(__xludf.DUMMYFUNCTION("""COMPUTED_VALUE"""),"tomiNet")</f>
        <v>tomiNet</v>
      </c>
    </row>
    <row r="12047">
      <c r="A12047" s="4" t="str">
        <f>IFERROR(__xludf.DUMMYFUNCTION("""COMPUTED_VALUE"""),"tomochain")</f>
        <v>tomochain</v>
      </c>
      <c r="B12047" s="4" t="str">
        <f>IFERROR(__xludf.DUMMYFUNCTION("""COMPUTED_VALUE"""),"vic")</f>
        <v>vic</v>
      </c>
      <c r="C12047" s="4" t="str">
        <f>IFERROR(__xludf.DUMMYFUNCTION("""COMPUTED_VALUE"""),"Viction")</f>
        <v>Viction</v>
      </c>
    </row>
    <row r="12048">
      <c r="A12048" s="4" t="str">
        <f>IFERROR(__xludf.DUMMYFUNCTION("""COMPUTED_VALUE"""),"tomoe")</f>
        <v>tomoe</v>
      </c>
      <c r="B12048" s="4" t="str">
        <f>IFERROR(__xludf.DUMMYFUNCTION("""COMPUTED_VALUE"""),"tomoe")</f>
        <v>tomoe</v>
      </c>
      <c r="C12048" s="4" t="str">
        <f>IFERROR(__xludf.DUMMYFUNCTION("""COMPUTED_VALUE"""),"TomoChain ERC-20")</f>
        <v>TomoChain ERC-20</v>
      </c>
    </row>
    <row r="12049">
      <c r="A12049" s="4" t="str">
        <f>IFERROR(__xludf.DUMMYFUNCTION("""COMPUTED_VALUE"""),"tomtomcoin")</f>
        <v>tomtomcoin</v>
      </c>
      <c r="B12049" s="4" t="str">
        <f>IFERROR(__xludf.DUMMYFUNCTION("""COMPUTED_VALUE"""),"toms")</f>
        <v>toms</v>
      </c>
      <c r="C12049" s="4" t="str">
        <f>IFERROR(__xludf.DUMMYFUNCTION("""COMPUTED_VALUE"""),"TomTomCoin")</f>
        <v>TomTomCoin</v>
      </c>
    </row>
    <row r="12050">
      <c r="A12050" s="4" t="str">
        <f>IFERROR(__xludf.DUMMYFUNCTION("""COMPUTED_VALUE"""),"ton-cats-jetton")</f>
        <v>ton-cats-jetton</v>
      </c>
      <c r="B12050" s="4" t="str">
        <f>IFERROR(__xludf.DUMMYFUNCTION("""COMPUTED_VALUE"""),"cats")</f>
        <v>cats</v>
      </c>
      <c r="C12050" s="4" t="str">
        <f>IFERROR(__xludf.DUMMYFUNCTION("""COMPUTED_VALUE"""),"TON Cats Jetton")</f>
        <v>TON Cats Jetton</v>
      </c>
    </row>
    <row r="12051">
      <c r="A12051" s="4" t="str">
        <f>IFERROR(__xludf.DUMMYFUNCTION("""COMPUTED_VALUE"""),"tonex")</f>
        <v>tonex</v>
      </c>
      <c r="B12051" s="4" t="str">
        <f>IFERROR(__xludf.DUMMYFUNCTION("""COMPUTED_VALUE"""),"tnx")</f>
        <v>tnx</v>
      </c>
      <c r="C12051" s="4" t="str">
        <f>IFERROR(__xludf.DUMMYFUNCTION("""COMPUTED_VALUE"""),"Tonex")</f>
        <v>Tonex</v>
      </c>
    </row>
    <row r="12052">
      <c r="A12052" s="4" t="str">
        <f>IFERROR(__xludf.DUMMYFUNCTION("""COMPUTED_VALUE"""),"ton-fish-memecoin")</f>
        <v>ton-fish-memecoin</v>
      </c>
      <c r="B12052" s="4" t="str">
        <f>IFERROR(__xludf.DUMMYFUNCTION("""COMPUTED_VALUE"""),"fish")</f>
        <v>fish</v>
      </c>
      <c r="C12052" s="4" t="str">
        <f>IFERROR(__xludf.DUMMYFUNCTION("""COMPUTED_VALUE"""),"TON FISH MEMECOIN")</f>
        <v>TON FISH MEMECOIN</v>
      </c>
    </row>
    <row r="12053">
      <c r="A12053" s="4" t="str">
        <f>IFERROR(__xludf.DUMMYFUNCTION("""COMPUTED_VALUE"""),"tongtong-coin")</f>
        <v>tongtong-coin</v>
      </c>
      <c r="B12053" s="4" t="str">
        <f>IFERROR(__xludf.DUMMYFUNCTION("""COMPUTED_VALUE"""),"ttc")</f>
        <v>ttc</v>
      </c>
      <c r="C12053" s="4" t="str">
        <f>IFERROR(__xludf.DUMMYFUNCTION("""COMPUTED_VALUE"""),"Tongtong Coin")</f>
        <v>Tongtong Coin</v>
      </c>
    </row>
    <row r="12054">
      <c r="A12054" s="4" t="str">
        <f>IFERROR(__xludf.DUMMYFUNCTION("""COMPUTED_VALUE"""),"tongue-cat")</f>
        <v>tongue-cat</v>
      </c>
      <c r="B12054" s="4" t="str">
        <f>IFERROR(__xludf.DUMMYFUNCTION("""COMPUTED_VALUE"""),"luis")</f>
        <v>luis</v>
      </c>
      <c r="C12054" s="4" t="str">
        <f>IFERROR(__xludf.DUMMYFUNCTION("""COMPUTED_VALUE"""),"Tongue Cat")</f>
        <v>Tongue Cat</v>
      </c>
    </row>
    <row r="12055">
      <c r="A12055" s="4" t="str">
        <f>IFERROR(__xludf.DUMMYFUNCTION("""COMPUTED_VALUE"""),"ton-inu")</f>
        <v>ton-inu</v>
      </c>
      <c r="B12055" s="4" t="str">
        <f>IFERROR(__xludf.DUMMYFUNCTION("""COMPUTED_VALUE"""),"tinu")</f>
        <v>tinu</v>
      </c>
      <c r="C12055" s="4" t="str">
        <f>IFERROR(__xludf.DUMMYFUNCTION("""COMPUTED_VALUE"""),"Ton Inu")</f>
        <v>Ton Inu</v>
      </c>
    </row>
    <row r="12056">
      <c r="A12056" s="4" t="str">
        <f>IFERROR(__xludf.DUMMYFUNCTION("""COMPUTED_VALUE"""),"tonk-inu")</f>
        <v>tonk-inu</v>
      </c>
      <c r="B12056" s="4" t="str">
        <f>IFERROR(__xludf.DUMMYFUNCTION("""COMPUTED_VALUE"""),"tonk")</f>
        <v>tonk</v>
      </c>
      <c r="C12056" s="4" t="str">
        <f>IFERROR(__xludf.DUMMYFUNCTION("""COMPUTED_VALUE"""),"Tonk Inu")</f>
        <v>Tonk Inu</v>
      </c>
    </row>
    <row r="12057">
      <c r="A12057" s="4" t="str">
        <f>IFERROR(__xludf.DUMMYFUNCTION("""COMPUTED_VALUE"""),"tonminer")</f>
        <v>tonminer</v>
      </c>
      <c r="B12057" s="4" t="str">
        <f>IFERROR(__xludf.DUMMYFUNCTION("""COMPUTED_VALUE"""),"1rus")</f>
        <v>1rus</v>
      </c>
      <c r="C12057" s="4" t="str">
        <f>IFERROR(__xludf.DUMMYFUNCTION("""COMPUTED_VALUE"""),"TonMiner")</f>
        <v>TonMiner</v>
      </c>
    </row>
    <row r="12058">
      <c r="A12058" s="4" t="str">
        <f>IFERROR(__xludf.DUMMYFUNCTION("""COMPUTED_VALUE"""),"tonnel-network")</f>
        <v>tonnel-network</v>
      </c>
      <c r="B12058" s="4" t="str">
        <f>IFERROR(__xludf.DUMMYFUNCTION("""COMPUTED_VALUE"""),"tonnel")</f>
        <v>tonnel</v>
      </c>
      <c r="C12058" s="4" t="str">
        <f>IFERROR(__xludf.DUMMYFUNCTION("""COMPUTED_VALUE"""),"TONNEL Network")</f>
        <v>TONNEL Network</v>
      </c>
    </row>
    <row r="12059">
      <c r="A12059" s="4" t="str">
        <f>IFERROR(__xludf.DUMMYFUNCTION("""COMPUTED_VALUE"""),"ton-raffles")</f>
        <v>ton-raffles</v>
      </c>
      <c r="B12059" s="4" t="str">
        <f>IFERROR(__xludf.DUMMYFUNCTION("""COMPUTED_VALUE"""),"raff")</f>
        <v>raff</v>
      </c>
      <c r="C12059" s="4" t="str">
        <f>IFERROR(__xludf.DUMMYFUNCTION("""COMPUTED_VALUE"""),"TON Raffles")</f>
        <v>TON Raffles</v>
      </c>
    </row>
    <row r="12060">
      <c r="A12060" s="4" t="str">
        <f>IFERROR(__xludf.DUMMYFUNCTION("""COMPUTED_VALUE"""),"ton-ship")</f>
        <v>ton-ship</v>
      </c>
      <c r="B12060" s="4" t="str">
        <f>IFERROR(__xludf.DUMMYFUNCTION("""COMPUTED_VALUE"""),"ship")</f>
        <v>ship</v>
      </c>
      <c r="C12060" s="4" t="str">
        <f>IFERROR(__xludf.DUMMYFUNCTION("""COMPUTED_VALUE"""),"Ton Ship")</f>
        <v>Ton Ship</v>
      </c>
    </row>
    <row r="12061">
      <c r="A12061" s="4" t="str">
        <f>IFERROR(__xludf.DUMMYFUNCTION("""COMPUTED_VALUE"""),"tonsniper")</f>
        <v>tonsniper</v>
      </c>
      <c r="B12061" s="4" t="str">
        <f>IFERROR(__xludf.DUMMYFUNCTION("""COMPUTED_VALUE"""),"tons")</f>
        <v>tons</v>
      </c>
      <c r="C12061" s="4" t="str">
        <f>IFERROR(__xludf.DUMMYFUNCTION("""COMPUTED_VALUE"""),"TONSniper")</f>
        <v>TONSniper</v>
      </c>
    </row>
    <row r="12062">
      <c r="A12062" s="4" t="str">
        <f>IFERROR(__xludf.DUMMYFUNCTION("""COMPUTED_VALUE"""),"tonstakers")</f>
        <v>tonstakers</v>
      </c>
      <c r="B12062" s="4" t="str">
        <f>IFERROR(__xludf.DUMMYFUNCTION("""COMPUTED_VALUE"""),"tston")</f>
        <v>tston</v>
      </c>
      <c r="C12062" s="4" t="str">
        <f>IFERROR(__xludf.DUMMYFUNCTION("""COMPUTED_VALUE"""),"Tonstakers")</f>
        <v>Tonstakers</v>
      </c>
    </row>
    <row r="12063">
      <c r="A12063" s="4" t="str">
        <f>IFERROR(__xludf.DUMMYFUNCTION("""COMPUTED_VALUE"""),"tonstarter")</f>
        <v>tonstarter</v>
      </c>
      <c r="B12063" s="4" t="str">
        <f>IFERROR(__xludf.DUMMYFUNCTION("""COMPUTED_VALUE"""),"tos")</f>
        <v>tos</v>
      </c>
      <c r="C12063" s="4" t="str">
        <f>IFERROR(__xludf.DUMMYFUNCTION("""COMPUTED_VALUE"""),"TONStarter")</f>
        <v>TONStarter</v>
      </c>
    </row>
    <row r="12064">
      <c r="A12064" s="4" t="str">
        <f>IFERROR(__xludf.DUMMYFUNCTION("""COMPUTED_VALUE"""),"tontoken")</f>
        <v>tontoken</v>
      </c>
      <c r="B12064" s="4" t="str">
        <f>IFERROR(__xludf.DUMMYFUNCTION("""COMPUTED_VALUE"""),"ton")</f>
        <v>ton</v>
      </c>
      <c r="C12064" s="4" t="str">
        <f>IFERROR(__xludf.DUMMYFUNCTION("""COMPUTED_VALUE"""),"TON Community")</f>
        <v>TON Community</v>
      </c>
    </row>
    <row r="12065">
      <c r="A12065" s="4" t="str">
        <f>IFERROR(__xludf.DUMMYFUNCTION("""COMPUTED_VALUE"""),"tonx")</f>
        <v>tonx</v>
      </c>
      <c r="B12065" s="4" t="str">
        <f>IFERROR(__xludf.DUMMYFUNCTION("""COMPUTED_VALUE"""),"tele")</f>
        <v>tele</v>
      </c>
      <c r="C12065" s="4" t="str">
        <f>IFERROR(__xludf.DUMMYFUNCTION("""COMPUTED_VALUE"""),"TonX")</f>
        <v>TonX</v>
      </c>
    </row>
    <row r="12066">
      <c r="A12066" s="4" t="str">
        <f>IFERROR(__xludf.DUMMYFUNCTION("""COMPUTED_VALUE"""),"tony-mcduck")</f>
        <v>tony-mcduck</v>
      </c>
      <c r="B12066" s="4" t="str">
        <f>IFERROR(__xludf.DUMMYFUNCTION("""COMPUTED_VALUE"""),"tony")</f>
        <v>tony</v>
      </c>
      <c r="C12066" s="4" t="str">
        <f>IFERROR(__xludf.DUMMYFUNCTION("""COMPUTED_VALUE"""),"Tony McDuck")</f>
        <v>Tony McDuck</v>
      </c>
    </row>
    <row r="12067">
      <c r="A12067" s="4" t="str">
        <f>IFERROR(__xludf.DUMMYFUNCTION("""COMPUTED_VALUE"""),"tony-the-duck")</f>
        <v>tony-the-duck</v>
      </c>
      <c r="B12067" s="4" t="str">
        <f>IFERROR(__xludf.DUMMYFUNCTION("""COMPUTED_VALUE"""),"tony")</f>
        <v>tony</v>
      </c>
      <c r="C12067" s="4" t="str">
        <f>IFERROR(__xludf.DUMMYFUNCTION("""COMPUTED_VALUE"""),"TONY THE DUCK")</f>
        <v>TONY THE DUCK</v>
      </c>
    </row>
    <row r="12068">
      <c r="A12068" s="4" t="str">
        <f>IFERROR(__xludf.DUMMYFUNCTION("""COMPUTED_VALUE"""),"tooker-kurlson")</f>
        <v>tooker-kurlson</v>
      </c>
      <c r="B12068" s="4" t="str">
        <f>IFERROR(__xludf.DUMMYFUNCTION("""COMPUTED_VALUE"""),"tooker")</f>
        <v>tooker</v>
      </c>
      <c r="C12068" s="4" t="str">
        <f>IFERROR(__xludf.DUMMYFUNCTION("""COMPUTED_VALUE"""),"tooker kurlson")</f>
        <v>tooker kurlson</v>
      </c>
    </row>
    <row r="12069">
      <c r="A12069" s="4" t="str">
        <f>IFERROR(__xludf.DUMMYFUNCTION("""COMPUTED_VALUE"""),"tools")</f>
        <v>tools</v>
      </c>
      <c r="B12069" s="4" t="str">
        <f>IFERROR(__xludf.DUMMYFUNCTION("""COMPUTED_VALUE"""),"tools")</f>
        <v>tools</v>
      </c>
      <c r="C12069" s="4" t="str">
        <f>IFERROR(__xludf.DUMMYFUNCTION("""COMPUTED_VALUE"""),"TOOLS")</f>
        <v>TOOLS</v>
      </c>
    </row>
    <row r="12070">
      <c r="A12070" s="4" t="str">
        <f>IFERROR(__xludf.DUMMYFUNCTION("""COMPUTED_VALUE"""),"tools-fi")</f>
        <v>tools-fi</v>
      </c>
      <c r="B12070" s="4" t="str">
        <f>IFERROR(__xludf.DUMMYFUNCTION("""COMPUTED_VALUE"""),"tools-fi")</f>
        <v>tools-fi</v>
      </c>
      <c r="C12070" s="4" t="str">
        <f>IFERROR(__xludf.DUMMYFUNCTION("""COMPUTED_VALUE"""),"Tools-Fi")</f>
        <v>Tools-Fi</v>
      </c>
    </row>
    <row r="12071">
      <c r="A12071" s="4" t="str">
        <f>IFERROR(__xludf.DUMMYFUNCTION("""COMPUTED_VALUE"""),"toon-of-meme")</f>
        <v>toon-of-meme</v>
      </c>
      <c r="B12071" s="4" t="str">
        <f>IFERROR(__xludf.DUMMYFUNCTION("""COMPUTED_VALUE"""),"tome")</f>
        <v>tome</v>
      </c>
      <c r="C12071" s="4" t="str">
        <f>IFERROR(__xludf.DUMMYFUNCTION("""COMPUTED_VALUE"""),"Toon Of Meme")</f>
        <v>Toon Of Meme</v>
      </c>
    </row>
    <row r="12072">
      <c r="A12072" s="4" t="str">
        <f>IFERROR(__xludf.DUMMYFUNCTION("""COMPUTED_VALUE"""),"topgoal")</f>
        <v>topgoal</v>
      </c>
      <c r="B12072" s="4" t="str">
        <f>IFERROR(__xludf.DUMMYFUNCTION("""COMPUTED_VALUE"""),"goal")</f>
        <v>goal</v>
      </c>
      <c r="C12072" s="4" t="str">
        <f>IFERROR(__xludf.DUMMYFUNCTION("""COMPUTED_VALUE"""),"TopGoal")</f>
        <v>TopGoal</v>
      </c>
    </row>
    <row r="12073">
      <c r="A12073" s="4" t="str">
        <f>IFERROR(__xludf.DUMMYFUNCTION("""COMPUTED_VALUE"""),"top-jeet")</f>
        <v>top-jeet</v>
      </c>
      <c r="B12073" s="4" t="str">
        <f>IFERROR(__xludf.DUMMYFUNCTION("""COMPUTED_VALUE"""),"topj")</f>
        <v>topj</v>
      </c>
      <c r="C12073" s="4" t="str">
        <f>IFERROR(__xludf.DUMMYFUNCTION("""COMPUTED_VALUE"""),"Top Jeet")</f>
        <v>Top Jeet</v>
      </c>
    </row>
    <row r="12074">
      <c r="A12074" s="4" t="str">
        <f>IFERROR(__xludf.DUMMYFUNCTION("""COMPUTED_VALUE"""),"topmanager")</f>
        <v>topmanager</v>
      </c>
      <c r="B12074" s="4" t="str">
        <f>IFERROR(__xludf.DUMMYFUNCTION("""COMPUTED_VALUE"""),"tmt")</f>
        <v>tmt</v>
      </c>
      <c r="C12074" s="4" t="str">
        <f>IFERROR(__xludf.DUMMYFUNCTION("""COMPUTED_VALUE"""),"TopManager")</f>
        <v>TopManager</v>
      </c>
    </row>
    <row r="12075">
      <c r="A12075" s="4" t="str">
        <f>IFERROR(__xludf.DUMMYFUNCTION("""COMPUTED_VALUE"""),"top-network")</f>
        <v>top-network</v>
      </c>
      <c r="B12075" s="4" t="str">
        <f>IFERROR(__xludf.DUMMYFUNCTION("""COMPUTED_VALUE"""),"top")</f>
        <v>top</v>
      </c>
      <c r="C12075" s="4" t="str">
        <f>IFERROR(__xludf.DUMMYFUNCTION("""COMPUTED_VALUE"""),"TOP Network")</f>
        <v>TOP Network</v>
      </c>
    </row>
    <row r="12076">
      <c r="A12076" s="4" t="str">
        <f>IFERROR(__xludf.DUMMYFUNCTION("""COMPUTED_VALUE"""),"topshelf-finance")</f>
        <v>topshelf-finance</v>
      </c>
      <c r="B12076" s="4" t="str">
        <f>IFERROR(__xludf.DUMMYFUNCTION("""COMPUTED_VALUE"""),"liqr")</f>
        <v>liqr</v>
      </c>
      <c r="C12076" s="4" t="str">
        <f>IFERROR(__xludf.DUMMYFUNCTION("""COMPUTED_VALUE"""),"Topshelf Finance")</f>
        <v>Topshelf Finance</v>
      </c>
    </row>
    <row r="12077">
      <c r="A12077" s="4" t="str">
        <f>IFERROR(__xludf.DUMMYFUNCTION("""COMPUTED_VALUE"""),"toptrade")</f>
        <v>toptrade</v>
      </c>
      <c r="B12077" s="4" t="str">
        <f>IFERROR(__xludf.DUMMYFUNCTION("""COMPUTED_VALUE"""),"ttt")</f>
        <v>ttt</v>
      </c>
      <c r="C12077" s="4" t="str">
        <f>IFERROR(__xludf.DUMMYFUNCTION("""COMPUTED_VALUE"""),"TopTrade")</f>
        <v>TopTrade</v>
      </c>
    </row>
    <row r="12078">
      <c r="A12078" s="4" t="str">
        <f>IFERROR(__xludf.DUMMYFUNCTION("""COMPUTED_VALUE"""),"tor")</f>
        <v>tor</v>
      </c>
      <c r="B12078" s="4" t="str">
        <f>IFERROR(__xludf.DUMMYFUNCTION("""COMPUTED_VALUE"""),"tor")</f>
        <v>tor</v>
      </c>
      <c r="C12078" s="4" t="str">
        <f>IFERROR(__xludf.DUMMYFUNCTION("""COMPUTED_VALUE"""),"TOR")</f>
        <v>TOR</v>
      </c>
    </row>
    <row r="12079">
      <c r="A12079" s="4" t="str">
        <f>IFERROR(__xludf.DUMMYFUNCTION("""COMPUTED_VALUE"""),"tora-inu")</f>
        <v>tora-inu</v>
      </c>
      <c r="B12079" s="4" t="str">
        <f>IFERROR(__xludf.DUMMYFUNCTION("""COMPUTED_VALUE"""),"tora")</f>
        <v>tora</v>
      </c>
      <c r="C12079" s="4" t="str">
        <f>IFERROR(__xludf.DUMMYFUNCTION("""COMPUTED_VALUE"""),"Tora Inu")</f>
        <v>Tora Inu</v>
      </c>
    </row>
    <row r="12080">
      <c r="A12080" s="4" t="str">
        <f>IFERROR(__xludf.DUMMYFUNCTION("""COMPUTED_VALUE"""),"torekko")</f>
        <v>torekko</v>
      </c>
      <c r="B12080" s="4" t="str">
        <f>IFERROR(__xludf.DUMMYFUNCTION("""COMPUTED_VALUE"""),"trk")</f>
        <v>trk</v>
      </c>
      <c r="C12080" s="4" t="str">
        <f>IFERROR(__xludf.DUMMYFUNCTION("""COMPUTED_VALUE"""),"Torekko")</f>
        <v>Torekko</v>
      </c>
    </row>
    <row r="12081">
      <c r="A12081" s="4" t="str">
        <f>IFERROR(__xludf.DUMMYFUNCTION("""COMPUTED_VALUE"""),"torg")</f>
        <v>torg</v>
      </c>
      <c r="B12081" s="4" t="str">
        <f>IFERROR(__xludf.DUMMYFUNCTION("""COMPUTED_VALUE"""),"torg")</f>
        <v>torg</v>
      </c>
      <c r="C12081" s="4" t="str">
        <f>IFERROR(__xludf.DUMMYFUNCTION("""COMPUTED_VALUE"""),"TORG")</f>
        <v>TORG</v>
      </c>
    </row>
    <row r="12082">
      <c r="A12082" s="4" t="str">
        <f>IFERROR(__xludf.DUMMYFUNCTION("""COMPUTED_VALUE"""),"tornado-ai")</f>
        <v>tornado-ai</v>
      </c>
      <c r="B12082" s="4" t="str">
        <f>IFERROR(__xludf.DUMMYFUNCTION("""COMPUTED_VALUE"""),"tornai")</f>
        <v>tornai</v>
      </c>
      <c r="C12082" s="4" t="str">
        <f>IFERROR(__xludf.DUMMYFUNCTION("""COMPUTED_VALUE"""),"Tornado AI")</f>
        <v>Tornado AI</v>
      </c>
    </row>
    <row r="12083">
      <c r="A12083" s="4" t="str">
        <f>IFERROR(__xludf.DUMMYFUNCTION("""COMPUTED_VALUE"""),"tornado-cash")</f>
        <v>tornado-cash</v>
      </c>
      <c r="B12083" s="4" t="str">
        <f>IFERROR(__xludf.DUMMYFUNCTION("""COMPUTED_VALUE"""),"torn")</f>
        <v>torn</v>
      </c>
      <c r="C12083" s="4" t="str">
        <f>IFERROR(__xludf.DUMMYFUNCTION("""COMPUTED_VALUE"""),"Tornado Cash")</f>
        <v>Tornado Cash</v>
      </c>
    </row>
    <row r="12084">
      <c r="A12084" s="4" t="str">
        <f>IFERROR(__xludf.DUMMYFUNCTION("""COMPUTED_VALUE"""),"toro")</f>
        <v>toro</v>
      </c>
      <c r="B12084" s="4" t="str">
        <f>IFERROR(__xludf.DUMMYFUNCTION("""COMPUTED_VALUE"""),"toro")</f>
        <v>toro</v>
      </c>
      <c r="C12084" s="4" t="str">
        <f>IFERROR(__xludf.DUMMYFUNCTION("""COMPUTED_VALUE"""),"TORO")</f>
        <v>TORO</v>
      </c>
    </row>
    <row r="12085">
      <c r="A12085" s="4" t="str">
        <f>IFERROR(__xludf.DUMMYFUNCTION("""COMPUTED_VALUE"""),"torque")</f>
        <v>torque</v>
      </c>
      <c r="B12085" s="4" t="str">
        <f>IFERROR(__xludf.DUMMYFUNCTION("""COMPUTED_VALUE"""),"torq")</f>
        <v>torq</v>
      </c>
      <c r="C12085" s="4" t="str">
        <f>IFERROR(__xludf.DUMMYFUNCTION("""COMPUTED_VALUE"""),"Torque")</f>
        <v>Torque</v>
      </c>
    </row>
    <row r="12086">
      <c r="A12086" s="4" t="str">
        <f>IFERROR(__xludf.DUMMYFUNCTION("""COMPUTED_VALUE"""),"tortol")</f>
        <v>tortol</v>
      </c>
      <c r="B12086" s="4" t="str">
        <f>IFERROR(__xludf.DUMMYFUNCTION("""COMPUTED_VALUE"""),"trtl")</f>
        <v>trtl</v>
      </c>
      <c r="C12086" s="4" t="str">
        <f>IFERROR(__xludf.DUMMYFUNCTION("""COMPUTED_VALUE"""),"Tortol")</f>
        <v>Tortol</v>
      </c>
    </row>
    <row r="12087">
      <c r="A12087" s="4" t="str">
        <f>IFERROR(__xludf.DUMMYFUNCTION("""COMPUTED_VALUE"""),"tortuga-staked-aptos")</f>
        <v>tortuga-staked-aptos</v>
      </c>
      <c r="B12087" s="4" t="str">
        <f>IFERROR(__xludf.DUMMYFUNCTION("""COMPUTED_VALUE"""),"tapt")</f>
        <v>tapt</v>
      </c>
      <c r="C12087" s="4" t="str">
        <f>IFERROR(__xludf.DUMMYFUNCTION("""COMPUTED_VALUE"""),"Tortuga Staked Aptos")</f>
        <v>Tortuga Staked Aptos</v>
      </c>
    </row>
    <row r="12088">
      <c r="A12088" s="4" t="str">
        <f>IFERROR(__xludf.DUMMYFUNCTION("""COMPUTED_VALUE"""),"torum")</f>
        <v>torum</v>
      </c>
      <c r="B12088" s="4" t="str">
        <f>IFERROR(__xludf.DUMMYFUNCTION("""COMPUTED_VALUE"""),"xtm")</f>
        <v>xtm</v>
      </c>
      <c r="C12088" s="4" t="str">
        <f>IFERROR(__xludf.DUMMYFUNCTION("""COMPUTED_VALUE"""),"Torum")</f>
        <v>Torum</v>
      </c>
    </row>
    <row r="12089">
      <c r="A12089" s="4" t="str">
        <f>IFERROR(__xludf.DUMMYFUNCTION("""COMPUTED_VALUE"""),"tosdis")</f>
        <v>tosdis</v>
      </c>
      <c r="B12089" s="4" t="str">
        <f>IFERROR(__xludf.DUMMYFUNCTION("""COMPUTED_VALUE"""),"dis")</f>
        <v>dis</v>
      </c>
      <c r="C12089" s="4" t="str">
        <f>IFERROR(__xludf.DUMMYFUNCTION("""COMPUTED_VALUE"""),"TosDis")</f>
        <v>TosDis</v>
      </c>
    </row>
    <row r="12090">
      <c r="A12090" s="4" t="str">
        <f>IFERROR(__xludf.DUMMYFUNCTION("""COMPUTED_VALUE"""),"toshi")</f>
        <v>toshi</v>
      </c>
      <c r="B12090" s="4" t="str">
        <f>IFERROR(__xludf.DUMMYFUNCTION("""COMPUTED_VALUE"""),"toshi")</f>
        <v>toshi</v>
      </c>
      <c r="C12090" s="4" t="str">
        <f>IFERROR(__xludf.DUMMYFUNCTION("""COMPUTED_VALUE"""),"Toshi")</f>
        <v>Toshi</v>
      </c>
    </row>
    <row r="12091">
      <c r="A12091" s="4" t="str">
        <f>IFERROR(__xludf.DUMMYFUNCTION("""COMPUTED_VALUE"""),"toshipad")</f>
        <v>toshipad</v>
      </c>
      <c r="B12091" s="4" t="str">
        <f>IFERROR(__xludf.DUMMYFUNCTION("""COMPUTED_VALUE"""),"tshx")</f>
        <v>tshx</v>
      </c>
      <c r="C12091" s="4" t="str">
        <f>IFERROR(__xludf.DUMMYFUNCTION("""COMPUTED_VALUE"""),"ToshiPad")</f>
        <v>ToshiPad</v>
      </c>
    </row>
    <row r="12092">
      <c r="A12092" s="4" t="str">
        <f>IFERROR(__xludf.DUMMYFUNCTION("""COMPUTED_VALUE"""),"toshi-tools")</f>
        <v>toshi-tools</v>
      </c>
      <c r="B12092" s="4" t="str">
        <f>IFERROR(__xludf.DUMMYFUNCTION("""COMPUTED_VALUE"""),"toshi")</f>
        <v>toshi</v>
      </c>
      <c r="C12092" s="4" t="str">
        <f>IFERROR(__xludf.DUMMYFUNCTION("""COMPUTED_VALUE"""),"Toshi Tools")</f>
        <v>Toshi Tools</v>
      </c>
    </row>
    <row r="12093">
      <c r="A12093" s="4" t="str">
        <f>IFERROR(__xludf.DUMMYFUNCTION("""COMPUTED_VALUE"""),"tosidrop")</f>
        <v>tosidrop</v>
      </c>
      <c r="B12093" s="4" t="str">
        <f>IFERROR(__xludf.DUMMYFUNCTION("""COMPUTED_VALUE"""),"ctosi")</f>
        <v>ctosi</v>
      </c>
      <c r="C12093" s="4" t="str">
        <f>IFERROR(__xludf.DUMMYFUNCTION("""COMPUTED_VALUE"""),"TosiDrop")</f>
        <v>TosiDrop</v>
      </c>
    </row>
    <row r="12094">
      <c r="A12094" s="4" t="str">
        <f>IFERROR(__xludf.DUMMYFUNCTION("""COMPUTED_VALUE"""),"to-the-moon-2")</f>
        <v>to-the-moon-2</v>
      </c>
      <c r="B12094" s="4" t="str">
        <f>IFERROR(__xludf.DUMMYFUNCTION("""COMPUTED_VALUE"""),"ttm")</f>
        <v>ttm</v>
      </c>
      <c r="C12094" s="4" t="str">
        <f>IFERROR(__xludf.DUMMYFUNCTION("""COMPUTED_VALUE"""),"To The Moon")</f>
        <v>To The Moon</v>
      </c>
    </row>
    <row r="12095">
      <c r="A12095" s="4" t="str">
        <f>IFERROR(__xludf.DUMMYFUNCTION("""COMPUTED_VALUE"""),"toto")</f>
        <v>toto</v>
      </c>
      <c r="B12095" s="4" t="str">
        <f>IFERROR(__xludf.DUMMYFUNCTION("""COMPUTED_VALUE"""),"toto")</f>
        <v>toto</v>
      </c>
      <c r="C12095" s="4" t="str">
        <f>IFERROR(__xludf.DUMMYFUNCTION("""COMPUTED_VALUE"""),"TOTO")</f>
        <v>TOTO</v>
      </c>
    </row>
    <row r="12096">
      <c r="A12096" s="4" t="str">
        <f>IFERROR(__xludf.DUMMYFUNCTION("""COMPUTED_VALUE"""),"totocat")</f>
        <v>totocat</v>
      </c>
      <c r="B12096" s="4" t="str">
        <f>IFERROR(__xludf.DUMMYFUNCTION("""COMPUTED_VALUE"""),"totocat")</f>
        <v>totocat</v>
      </c>
      <c r="C12096" s="4" t="str">
        <f>IFERROR(__xludf.DUMMYFUNCTION("""COMPUTED_VALUE"""),"Totocat")</f>
        <v>Totocat</v>
      </c>
    </row>
    <row r="12097">
      <c r="A12097" s="4" t="str">
        <f>IFERROR(__xludf.DUMMYFUNCTION("""COMPUTED_VALUE"""),"totoro-inu")</f>
        <v>totoro-inu</v>
      </c>
      <c r="B12097" s="4" t="str">
        <f>IFERROR(__xludf.DUMMYFUNCTION("""COMPUTED_VALUE"""),"totoro")</f>
        <v>totoro</v>
      </c>
      <c r="C12097" s="4" t="str">
        <f>IFERROR(__xludf.DUMMYFUNCTION("""COMPUTED_VALUE"""),"Totoro Inu")</f>
        <v>Totoro Inu</v>
      </c>
    </row>
    <row r="12098">
      <c r="A12098" s="4" t="str">
        <f>IFERROR(__xludf.DUMMYFUNCTION("""COMPUTED_VALUE"""),"tottenham-hotspur-fc-fan-token")</f>
        <v>tottenham-hotspur-fc-fan-token</v>
      </c>
      <c r="B12098" s="4" t="str">
        <f>IFERROR(__xludf.DUMMYFUNCTION("""COMPUTED_VALUE"""),"spurs")</f>
        <v>spurs</v>
      </c>
      <c r="C12098" s="4" t="str">
        <f>IFERROR(__xludf.DUMMYFUNCTION("""COMPUTED_VALUE"""),"Tottenham Hotspur FC Fan Token")</f>
        <v>Tottenham Hotspur FC Fan Token</v>
      </c>
    </row>
    <row r="12099">
      <c r="A12099" s="4" t="str">
        <f>IFERROR(__xludf.DUMMYFUNCTION("""COMPUTED_VALUE"""),"toucan-protocol-base-carbon-tonne")</f>
        <v>toucan-protocol-base-carbon-tonne</v>
      </c>
      <c r="B12099" s="4" t="str">
        <f>IFERROR(__xludf.DUMMYFUNCTION("""COMPUTED_VALUE"""),"bct")</f>
        <v>bct</v>
      </c>
      <c r="C12099" s="4" t="str">
        <f>IFERROR(__xludf.DUMMYFUNCTION("""COMPUTED_VALUE"""),"Toucan Protocol: Base Carbon Tonne")</f>
        <v>Toucan Protocol: Base Carbon Tonne</v>
      </c>
    </row>
    <row r="12100">
      <c r="A12100" s="4" t="str">
        <f>IFERROR(__xludf.DUMMYFUNCTION("""COMPUTED_VALUE"""),"toucan-protocol-nature-carbon-tonne")</f>
        <v>toucan-protocol-nature-carbon-tonne</v>
      </c>
      <c r="B12100" s="4" t="str">
        <f>IFERROR(__xludf.DUMMYFUNCTION("""COMPUTED_VALUE"""),"nct")</f>
        <v>nct</v>
      </c>
      <c r="C12100" s="4" t="str">
        <f>IFERROR(__xludf.DUMMYFUNCTION("""COMPUTED_VALUE"""),"Toucan Protocol: Nature Carbon Tonne")</f>
        <v>Toucan Protocol: Nature Carbon Tonne</v>
      </c>
    </row>
    <row r="12101">
      <c r="A12101" s="4" t="str">
        <f>IFERROR(__xludf.DUMMYFUNCTION("""COMPUTED_VALUE"""),"touchfan")</f>
        <v>touchfan</v>
      </c>
      <c r="B12101" s="4" t="str">
        <f>IFERROR(__xludf.DUMMYFUNCTION("""COMPUTED_VALUE"""),"tft")</f>
        <v>tft</v>
      </c>
      <c r="C12101" s="4" t="str">
        <f>IFERROR(__xludf.DUMMYFUNCTION("""COMPUTED_VALUE"""),"TouchFan")</f>
        <v>TouchFan</v>
      </c>
    </row>
    <row r="12102">
      <c r="A12102" s="4" t="str">
        <f>IFERROR(__xludf.DUMMYFUNCTION("""COMPUTED_VALUE"""),"toupee-tech")</f>
        <v>toupee-tech</v>
      </c>
      <c r="B12102" s="4" t="str">
        <f>IFERROR(__xludf.DUMMYFUNCTION("""COMPUTED_VALUE"""),"wig")</f>
        <v>wig</v>
      </c>
      <c r="C12102" s="4" t="str">
        <f>IFERROR(__xludf.DUMMYFUNCTION("""COMPUTED_VALUE"""),"Toupée Tech")</f>
        <v>Toupée Tech</v>
      </c>
    </row>
    <row r="12103">
      <c r="A12103" s="4" t="str">
        <f>IFERROR(__xludf.DUMMYFUNCTION("""COMPUTED_VALUE"""),"tourism-industry-metavers")</f>
        <v>tourism-industry-metavers</v>
      </c>
      <c r="B12103" s="4" t="str">
        <f>IFERROR(__xludf.DUMMYFUNCTION("""COMPUTED_VALUE"""),"tim")</f>
        <v>tim</v>
      </c>
      <c r="C12103" s="4" t="str">
        <f>IFERROR(__xludf.DUMMYFUNCTION("""COMPUTED_VALUE"""),"Tourism Industry Metavers")</f>
        <v>Tourism Industry Metavers</v>
      </c>
    </row>
    <row r="12104">
      <c r="A12104" s="4" t="str">
        <f>IFERROR(__xludf.DUMMYFUNCTION("""COMPUTED_VALUE"""),"tourismx")</f>
        <v>tourismx</v>
      </c>
      <c r="B12104" s="4" t="str">
        <f>IFERROR(__xludf.DUMMYFUNCTION("""COMPUTED_VALUE"""),"trmx")</f>
        <v>trmx</v>
      </c>
      <c r="C12104" s="4" t="str">
        <f>IFERROR(__xludf.DUMMYFUNCTION("""COMPUTED_VALUE"""),"TourismX")</f>
        <v>TourismX</v>
      </c>
    </row>
    <row r="12105">
      <c r="A12105" s="4" t="str">
        <f>IFERROR(__xludf.DUMMYFUNCTION("""COMPUTED_VALUE"""),"tourist-shiba-inu")</f>
        <v>tourist-shiba-inu</v>
      </c>
      <c r="B12105" s="4" t="str">
        <f>IFERROR(__xludf.DUMMYFUNCTION("""COMPUTED_VALUE"""),"tourists")</f>
        <v>tourists</v>
      </c>
      <c r="C12105" s="4" t="str">
        <f>IFERROR(__xludf.DUMMYFUNCTION("""COMPUTED_VALUE"""),"Tourist Shiba Inu")</f>
        <v>Tourist Shiba Inu</v>
      </c>
    </row>
    <row r="12106">
      <c r="A12106" s="4" t="str">
        <f>IFERROR(__xludf.DUMMYFUNCTION("""COMPUTED_VALUE"""),"tower")</f>
        <v>tower</v>
      </c>
      <c r="B12106" s="4" t="str">
        <f>IFERROR(__xludf.DUMMYFUNCTION("""COMPUTED_VALUE"""),"tower")</f>
        <v>tower</v>
      </c>
      <c r="C12106" s="4" t="str">
        <f>IFERROR(__xludf.DUMMYFUNCTION("""COMPUTED_VALUE"""),"Tower")</f>
        <v>Tower</v>
      </c>
    </row>
    <row r="12107">
      <c r="A12107" s="4" t="str">
        <f>IFERROR(__xludf.DUMMYFUNCTION("""COMPUTED_VALUE"""),"toxicdeer-finance")</f>
        <v>toxicdeer-finance</v>
      </c>
      <c r="B12107" s="4" t="str">
        <f>IFERROR(__xludf.DUMMYFUNCTION("""COMPUTED_VALUE"""),"deer")</f>
        <v>deer</v>
      </c>
      <c r="C12107" s="4" t="str">
        <f>IFERROR(__xludf.DUMMYFUNCTION("""COMPUTED_VALUE"""),"ToxicDeer Finance")</f>
        <v>ToxicDeer Finance</v>
      </c>
    </row>
    <row r="12108">
      <c r="A12108" s="4" t="str">
        <f>IFERROR(__xludf.DUMMYFUNCTION("""COMPUTED_VALUE"""),"toxicgarden-finance-seed")</f>
        <v>toxicgarden-finance-seed</v>
      </c>
      <c r="B12108" s="4" t="str">
        <f>IFERROR(__xludf.DUMMYFUNCTION("""COMPUTED_VALUE"""),"seed")</f>
        <v>seed</v>
      </c>
      <c r="C12108" s="4" t="str">
        <f>IFERROR(__xludf.DUMMYFUNCTION("""COMPUTED_VALUE"""),"ToxicGarden.finance SEED")</f>
        <v>ToxicGarden.finance SEED</v>
      </c>
    </row>
    <row r="12109">
      <c r="A12109" s="4" t="str">
        <f>IFERROR(__xludf.DUMMYFUNCTION("""COMPUTED_VALUE"""),"tplatinum")</f>
        <v>tplatinum</v>
      </c>
      <c r="B12109" s="4" t="str">
        <f>IFERROR(__xludf.DUMMYFUNCTION("""COMPUTED_VALUE"""),"txpt")</f>
        <v>txpt</v>
      </c>
      <c r="C12109" s="4" t="str">
        <f>IFERROR(__xludf.DUMMYFUNCTION("""COMPUTED_VALUE"""),"tPLATINUM")</f>
        <v>tPLATINUM</v>
      </c>
    </row>
    <row r="12110">
      <c r="A12110" s="4" t="str">
        <f>IFERROR(__xludf.DUMMYFUNCTION("""COMPUTED_VALUE"""),"tpro")</f>
        <v>tpro</v>
      </c>
      <c r="B12110" s="4" t="str">
        <f>IFERROR(__xludf.DUMMYFUNCTION("""COMPUTED_VALUE"""),"tpro")</f>
        <v>tpro</v>
      </c>
      <c r="C12110" s="4" t="str">
        <f>IFERROR(__xludf.DUMMYFUNCTION("""COMPUTED_VALUE"""),"TPRO Network")</f>
        <v>TPRO Network</v>
      </c>
    </row>
    <row r="12111">
      <c r="A12111" s="4" t="str">
        <f>IFERROR(__xludf.DUMMYFUNCTION("""COMPUTED_VALUE"""),"tr3zor")</f>
        <v>tr3zor</v>
      </c>
      <c r="B12111" s="4" t="str">
        <f>IFERROR(__xludf.DUMMYFUNCTION("""COMPUTED_VALUE"""),"tr3")</f>
        <v>tr3</v>
      </c>
      <c r="C12111" s="4" t="str">
        <f>IFERROR(__xludf.DUMMYFUNCTION("""COMPUTED_VALUE"""),"Tr3zor")</f>
        <v>Tr3zor</v>
      </c>
    </row>
    <row r="12112">
      <c r="A12112" s="4" t="str">
        <f>IFERROR(__xludf.DUMMYFUNCTION("""COMPUTED_VALUE"""),"tr8bit")</f>
        <v>tr8bit</v>
      </c>
      <c r="B12112" s="4" t="str">
        <f>IFERROR(__xludf.DUMMYFUNCTION("""COMPUTED_VALUE"""),"trb")</f>
        <v>trb</v>
      </c>
      <c r="C12112" s="4" t="str">
        <f>IFERROR(__xludf.DUMMYFUNCTION("""COMPUTED_VALUE"""),"Tr8bit")</f>
        <v>Tr8bit</v>
      </c>
    </row>
    <row r="12113">
      <c r="A12113" s="4" t="str">
        <f>IFERROR(__xludf.DUMMYFUNCTION("""COMPUTED_VALUE"""),"traaitt")</f>
        <v>traaitt</v>
      </c>
      <c r="B12113" s="4" t="str">
        <f>IFERROR(__xludf.DUMMYFUNCTION("""COMPUTED_VALUE"""),"xte")</f>
        <v>xte</v>
      </c>
      <c r="C12113" s="4" t="str">
        <f>IFERROR(__xludf.DUMMYFUNCTION("""COMPUTED_VALUE"""),"traaitt")</f>
        <v>traaitt</v>
      </c>
    </row>
    <row r="12114">
      <c r="A12114" s="4" t="str">
        <f>IFERROR(__xludf.DUMMYFUNCTION("""COMPUTED_VALUE"""),"trabzonspor-fan-token")</f>
        <v>trabzonspor-fan-token</v>
      </c>
      <c r="B12114" s="4" t="str">
        <f>IFERROR(__xludf.DUMMYFUNCTION("""COMPUTED_VALUE"""),"tra")</f>
        <v>tra</v>
      </c>
      <c r="C12114" s="4" t="str">
        <f>IFERROR(__xludf.DUMMYFUNCTION("""COMPUTED_VALUE"""),"Trabzonspor Fan Token")</f>
        <v>Trabzonspor Fan Token</v>
      </c>
    </row>
    <row r="12115">
      <c r="A12115" s="4" t="str">
        <f>IFERROR(__xludf.DUMMYFUNCTION("""COMPUTED_VALUE"""),"trac")</f>
        <v>trac</v>
      </c>
      <c r="B12115" s="4" t="str">
        <f>IFERROR(__xludf.DUMMYFUNCTION("""COMPUTED_VALUE"""),"trac")</f>
        <v>trac</v>
      </c>
      <c r="C12115" s="4" t="str">
        <f>IFERROR(__xludf.DUMMYFUNCTION("""COMPUTED_VALUE"""),"TRAC (Ordinals)")</f>
        <v>TRAC (Ordinals)</v>
      </c>
    </row>
    <row r="12116">
      <c r="A12116" s="4" t="str">
        <f>IFERROR(__xludf.DUMMYFUNCTION("""COMPUTED_VALUE"""),"trace-ai")</f>
        <v>trace-ai</v>
      </c>
      <c r="B12116" s="4" t="str">
        <f>IFERROR(__xludf.DUMMYFUNCTION("""COMPUTED_VALUE"""),"tai")</f>
        <v>tai</v>
      </c>
      <c r="C12116" s="4" t="str">
        <f>IFERROR(__xludf.DUMMYFUNCTION("""COMPUTED_VALUE"""),"Trace AI")</f>
        <v>Trace AI</v>
      </c>
    </row>
    <row r="12117">
      <c r="A12117" s="4" t="str">
        <f>IFERROR(__xludf.DUMMYFUNCTION("""COMPUTED_VALUE"""),"trace-network-labs")</f>
        <v>trace-network-labs</v>
      </c>
      <c r="B12117" s="4" t="str">
        <f>IFERROR(__xludf.DUMMYFUNCTION("""COMPUTED_VALUE"""),"trace")</f>
        <v>trace</v>
      </c>
      <c r="C12117" s="4" t="str">
        <f>IFERROR(__xludf.DUMMYFUNCTION("""COMPUTED_VALUE"""),"Trace Network Labs")</f>
        <v>Trace Network Labs</v>
      </c>
    </row>
    <row r="12118">
      <c r="A12118" s="4" t="str">
        <f>IFERROR(__xludf.DUMMYFUNCTION("""COMPUTED_VALUE"""),"tracer")</f>
        <v>tracer</v>
      </c>
      <c r="B12118" s="4" t="str">
        <f>IFERROR(__xludf.DUMMYFUNCTION("""COMPUTED_VALUE"""),"trc")</f>
        <v>trc</v>
      </c>
      <c r="C12118" s="4" t="str">
        <f>IFERROR(__xludf.DUMMYFUNCTION("""COMPUTED_VALUE"""),"Tracer")</f>
        <v>Tracer</v>
      </c>
    </row>
    <row r="12119">
      <c r="A12119" s="4" t="str">
        <f>IFERROR(__xludf.DUMMYFUNCTION("""COMPUTED_VALUE"""),"tracer-dao")</f>
        <v>tracer-dao</v>
      </c>
      <c r="B12119" s="4" t="str">
        <f>IFERROR(__xludf.DUMMYFUNCTION("""COMPUTED_VALUE"""),"tcr")</f>
        <v>tcr</v>
      </c>
      <c r="C12119" s="4" t="str">
        <f>IFERROR(__xludf.DUMMYFUNCTION("""COMPUTED_VALUE"""),"Tracer DAO")</f>
        <v>Tracer DAO</v>
      </c>
    </row>
    <row r="12120">
      <c r="A12120" s="4" t="str">
        <f>IFERROR(__xludf.DUMMYFUNCTION("""COMPUTED_VALUE"""),"tracker-ai")</f>
        <v>tracker-ai</v>
      </c>
      <c r="B12120" s="4" t="str">
        <f>IFERROR(__xludf.DUMMYFUNCTION("""COMPUTED_VALUE"""),"track")</f>
        <v>track</v>
      </c>
      <c r="C12120" s="4" t="str">
        <f>IFERROR(__xludf.DUMMYFUNCTION("""COMPUTED_VALUE"""),"Tracker AI")</f>
        <v>Tracker AI</v>
      </c>
    </row>
    <row r="12121">
      <c r="A12121" s="4" t="str">
        <f>IFERROR(__xludf.DUMMYFUNCTION("""COMPUTED_VALUE"""),"trackers-token")</f>
        <v>trackers-token</v>
      </c>
      <c r="B12121" s="4" t="str">
        <f>IFERROR(__xludf.DUMMYFUNCTION("""COMPUTED_VALUE"""),"trt")</f>
        <v>trt</v>
      </c>
      <c r="C12121" s="4" t="str">
        <f>IFERROR(__xludf.DUMMYFUNCTION("""COMPUTED_VALUE"""),"Trackers Token")</f>
        <v>Trackers Token</v>
      </c>
    </row>
    <row r="12122">
      <c r="A12122" s="4" t="str">
        <f>IFERROR(__xludf.DUMMYFUNCTION("""COMPUTED_VALUE"""),"trackr")</f>
        <v>trackr</v>
      </c>
      <c r="B12122" s="4" t="str">
        <f>IFERROR(__xludf.DUMMYFUNCTION("""COMPUTED_VALUE"""),"trackr")</f>
        <v>trackr</v>
      </c>
      <c r="C12122" s="4" t="str">
        <f>IFERROR(__xludf.DUMMYFUNCTION("""COMPUTED_VALUE"""),"Trackr")</f>
        <v>Trackr</v>
      </c>
    </row>
    <row r="12123">
      <c r="A12123" s="4" t="str">
        <f>IFERROR(__xludf.DUMMYFUNCTION("""COMPUTED_VALUE"""),"track-the-funds-bot")</f>
        <v>track-the-funds-bot</v>
      </c>
      <c r="B12123" s="4" t="str">
        <f>IFERROR(__xludf.DUMMYFUNCTION("""COMPUTED_VALUE"""),"ttf")</f>
        <v>ttf</v>
      </c>
      <c r="C12123" s="4" t="str">
        <f>IFERROR(__xludf.DUMMYFUNCTION("""COMPUTED_VALUE"""),"Track The Funds Bot")</f>
        <v>Track The Funds Bot</v>
      </c>
    </row>
    <row r="12124">
      <c r="A12124" s="4" t="str">
        <f>IFERROR(__xludf.DUMMYFUNCTION("""COMPUTED_VALUE"""),"trade-bionic")</f>
        <v>trade-bionic</v>
      </c>
      <c r="B12124" s="4" t="str">
        <f>IFERROR(__xludf.DUMMYFUNCTION("""COMPUTED_VALUE"""),"onic")</f>
        <v>onic</v>
      </c>
      <c r="C12124" s="4" t="str">
        <f>IFERROR(__xludf.DUMMYFUNCTION("""COMPUTED_VALUE"""),"Trade Bionic")</f>
        <v>Trade Bionic</v>
      </c>
    </row>
    <row r="12125">
      <c r="A12125" s="4" t="str">
        <f>IFERROR(__xludf.DUMMYFUNCTION("""COMPUTED_VALUE"""),"trade-genius-ai")</f>
        <v>trade-genius-ai</v>
      </c>
      <c r="B12125" s="4" t="str">
        <f>IFERROR(__xludf.DUMMYFUNCTION("""COMPUTED_VALUE"""),"aigenius")</f>
        <v>aigenius</v>
      </c>
      <c r="C12125" s="4" t="str">
        <f>IFERROR(__xludf.DUMMYFUNCTION("""COMPUTED_VALUE"""),"Trade Genius AI")</f>
        <v>Trade Genius AI</v>
      </c>
    </row>
    <row r="12126">
      <c r="A12126" s="4" t="str">
        <f>IFERROR(__xludf.DUMMYFUNCTION("""COMPUTED_VALUE"""),"trade-leaf")</f>
        <v>trade-leaf</v>
      </c>
      <c r="B12126" s="4" t="str">
        <f>IFERROR(__xludf.DUMMYFUNCTION("""COMPUTED_VALUE"""),"tlf")</f>
        <v>tlf</v>
      </c>
      <c r="C12126" s="4" t="str">
        <f>IFERROR(__xludf.DUMMYFUNCTION("""COMPUTED_VALUE"""),"Tradeleaf")</f>
        <v>Tradeleaf</v>
      </c>
    </row>
    <row r="12127">
      <c r="A12127" s="4" t="str">
        <f>IFERROR(__xludf.DUMMYFUNCTION("""COMPUTED_VALUE"""),"trademaster-ninja")</f>
        <v>trademaster-ninja</v>
      </c>
      <c r="B12127" s="4" t="str">
        <f>IFERROR(__xludf.DUMMYFUNCTION("""COMPUTED_VALUE"""),"trdm")</f>
        <v>trdm</v>
      </c>
      <c r="C12127" s="4" t="str">
        <f>IFERROR(__xludf.DUMMYFUNCTION("""COMPUTED_VALUE"""),"TradeMaster.ninja")</f>
        <v>TradeMaster.ninja</v>
      </c>
    </row>
    <row r="12128">
      <c r="A12128" s="4" t="str">
        <f>IFERROR(__xludf.DUMMYFUNCTION("""COMPUTED_VALUE"""),"traderdao-proof-of-trade")</f>
        <v>traderdao-proof-of-trade</v>
      </c>
      <c r="B12128" s="4" t="str">
        <f>IFERROR(__xludf.DUMMYFUNCTION("""COMPUTED_VALUE"""),"pot")</f>
        <v>pot</v>
      </c>
      <c r="C12128" s="4" t="str">
        <f>IFERROR(__xludf.DUMMYFUNCTION("""COMPUTED_VALUE"""),"TraderDAO Proof Of Trade")</f>
        <v>TraderDAO Proof Of Trade</v>
      </c>
    </row>
    <row r="12129">
      <c r="A12129" s="4" t="str">
        <f>IFERROR(__xludf.DUMMYFUNCTION("""COMPUTED_VALUE"""),"traders-coin")</f>
        <v>traders-coin</v>
      </c>
      <c r="B12129" s="4" t="str">
        <f>IFERROR(__xludf.DUMMYFUNCTION("""COMPUTED_VALUE"""),"trdc")</f>
        <v>trdc</v>
      </c>
      <c r="C12129" s="4" t="str">
        <f>IFERROR(__xludf.DUMMYFUNCTION("""COMPUTED_VALUE"""),"Traders Coin")</f>
        <v>Traders Coin</v>
      </c>
    </row>
    <row r="12130">
      <c r="A12130" s="4" t="str">
        <f>IFERROR(__xludf.DUMMYFUNCTION("""COMPUTED_VALUE"""),"traders-wallet")</f>
        <v>traders-wallet</v>
      </c>
      <c r="B12130" s="4" t="str">
        <f>IFERROR(__xludf.DUMMYFUNCTION("""COMPUTED_VALUE"""),"trw")</f>
        <v>trw</v>
      </c>
      <c r="C12130" s="4" t="str">
        <f>IFERROR(__xludf.DUMMYFUNCTION("""COMPUTED_VALUE"""),"Traders Wallet")</f>
        <v>Traders Wallet</v>
      </c>
    </row>
    <row r="12131">
      <c r="A12131" s="4" t="str">
        <f>IFERROR(__xludf.DUMMYFUNCTION("""COMPUTED_VALUE"""),"traderx")</f>
        <v>traderx</v>
      </c>
      <c r="B12131" s="4" t="str">
        <f>IFERROR(__xludf.DUMMYFUNCTION("""COMPUTED_VALUE"""),"$tx")</f>
        <v>$tx</v>
      </c>
      <c r="C12131" s="4" t="str">
        <f>IFERROR(__xludf.DUMMYFUNCTION("""COMPUTED_VALUE"""),"TraderX")</f>
        <v>TraderX</v>
      </c>
    </row>
    <row r="12132">
      <c r="A12132" s="4" t="str">
        <f>IFERROR(__xludf.DUMMYFUNCTION("""COMPUTED_VALUE"""),"tradestars")</f>
        <v>tradestars</v>
      </c>
      <c r="B12132" s="4" t="str">
        <f>IFERROR(__xludf.DUMMYFUNCTION("""COMPUTED_VALUE"""),"tsx")</f>
        <v>tsx</v>
      </c>
      <c r="C12132" s="4" t="str">
        <f>IFERROR(__xludf.DUMMYFUNCTION("""COMPUTED_VALUE"""),"TradeStars")</f>
        <v>TradeStars</v>
      </c>
    </row>
    <row r="12133">
      <c r="A12133" s="4" t="str">
        <f>IFERROR(__xludf.DUMMYFUNCTION("""COMPUTED_VALUE"""),"trade-tech-ai")</f>
        <v>trade-tech-ai</v>
      </c>
      <c r="B12133" s="4" t="str">
        <f>IFERROR(__xludf.DUMMYFUNCTION("""COMPUTED_VALUE"""),"ttai")</f>
        <v>ttai</v>
      </c>
      <c r="C12133" s="4" t="str">
        <f>IFERROR(__xludf.DUMMYFUNCTION("""COMPUTED_VALUE"""),"Trade Tech AI")</f>
        <v>Trade Tech AI</v>
      </c>
    </row>
    <row r="12134">
      <c r="A12134" s="4" t="str">
        <f>IFERROR(__xludf.DUMMYFUNCTION("""COMPUTED_VALUE"""),"tradetomato")</f>
        <v>tradetomato</v>
      </c>
      <c r="B12134" s="4" t="str">
        <f>IFERROR(__xludf.DUMMYFUNCTION("""COMPUTED_VALUE"""),"ttm")</f>
        <v>ttm</v>
      </c>
      <c r="C12134" s="4" t="str">
        <f>IFERROR(__xludf.DUMMYFUNCTION("""COMPUTED_VALUE"""),"Tradetomato")</f>
        <v>Tradetomato</v>
      </c>
    </row>
    <row r="12135">
      <c r="A12135" s="4" t="str">
        <f>IFERROR(__xludf.DUMMYFUNCTION("""COMPUTED_VALUE"""),"tradex-ai")</f>
        <v>tradex-ai</v>
      </c>
      <c r="B12135" s="4" t="str">
        <f>IFERROR(__xludf.DUMMYFUNCTION("""COMPUTED_VALUE"""),"tradex")</f>
        <v>tradex</v>
      </c>
      <c r="C12135" s="4" t="str">
        <f>IFERROR(__xludf.DUMMYFUNCTION("""COMPUTED_VALUE"""),"TradeX AI")</f>
        <v>TradeX AI</v>
      </c>
    </row>
    <row r="12136">
      <c r="A12136" s="4" t="str">
        <f>IFERROR(__xludf.DUMMYFUNCTION("""COMPUTED_VALUE"""),"tradfi-bro")</f>
        <v>tradfi-bro</v>
      </c>
      <c r="B12136" s="4" t="str">
        <f>IFERROR(__xludf.DUMMYFUNCTION("""COMPUTED_VALUE"""),"cfa")</f>
        <v>cfa</v>
      </c>
      <c r="C12136" s="4" t="str">
        <f>IFERROR(__xludf.DUMMYFUNCTION("""COMPUTED_VALUE"""),"Tradfi Bro")</f>
        <v>Tradfi Bro</v>
      </c>
    </row>
    <row r="12137">
      <c r="A12137" s="4" t="str">
        <f>IFERROR(__xludf.DUMMYFUNCTION("""COMPUTED_VALUE"""),"tradix")</f>
        <v>tradix</v>
      </c>
      <c r="B12137" s="4" t="str">
        <f>IFERROR(__xludf.DUMMYFUNCTION("""COMPUTED_VALUE"""),"tx")</f>
        <v>tx</v>
      </c>
      <c r="C12137" s="4" t="str">
        <f>IFERROR(__xludf.DUMMYFUNCTION("""COMPUTED_VALUE"""),"Tradix")</f>
        <v>Tradix</v>
      </c>
    </row>
    <row r="12138">
      <c r="A12138" s="4" t="str">
        <f>IFERROR(__xludf.DUMMYFUNCTION("""COMPUTED_VALUE"""),"trailblaze")</f>
        <v>trailblaze</v>
      </c>
      <c r="B12138" s="4" t="str">
        <f>IFERROR(__xludf.DUMMYFUNCTION("""COMPUTED_VALUE"""),"blaze")</f>
        <v>blaze</v>
      </c>
      <c r="C12138" s="4" t="str">
        <f>IFERROR(__xludf.DUMMYFUNCTION("""COMPUTED_VALUE"""),"Trailblaze")</f>
        <v>Trailblaze</v>
      </c>
    </row>
    <row r="12139">
      <c r="A12139" s="4" t="str">
        <f>IFERROR(__xludf.DUMMYFUNCTION("""COMPUTED_VALUE"""),"tranche-finance")</f>
        <v>tranche-finance</v>
      </c>
      <c r="B12139" s="4" t="str">
        <f>IFERROR(__xludf.DUMMYFUNCTION("""COMPUTED_VALUE"""),"slice")</f>
        <v>slice</v>
      </c>
      <c r="C12139" s="4" t="str">
        <f>IFERROR(__xludf.DUMMYFUNCTION("""COMPUTED_VALUE"""),"Tranche Finance")</f>
        <v>Tranche Finance</v>
      </c>
    </row>
    <row r="12140">
      <c r="A12140" s="4" t="str">
        <f>IFERROR(__xludf.DUMMYFUNCTION("""COMPUTED_VALUE"""),"tranchess")</f>
        <v>tranchess</v>
      </c>
      <c r="B12140" s="4" t="str">
        <f>IFERROR(__xludf.DUMMYFUNCTION("""COMPUTED_VALUE"""),"chess")</f>
        <v>chess</v>
      </c>
      <c r="C12140" s="4" t="str">
        <f>IFERROR(__xludf.DUMMYFUNCTION("""COMPUTED_VALUE"""),"Tranchess")</f>
        <v>Tranchess</v>
      </c>
    </row>
    <row r="12141">
      <c r="A12141" s="4" t="str">
        <f>IFERROR(__xludf.DUMMYFUNCTION("""COMPUTED_VALUE"""),"tranquil-finance")</f>
        <v>tranquil-finance</v>
      </c>
      <c r="B12141" s="4" t="str">
        <f>IFERROR(__xludf.DUMMYFUNCTION("""COMPUTED_VALUE"""),"tranq")</f>
        <v>tranq</v>
      </c>
      <c r="C12141" s="4" t="str">
        <f>IFERROR(__xludf.DUMMYFUNCTION("""COMPUTED_VALUE"""),"Tranquil Finance")</f>
        <v>Tranquil Finance</v>
      </c>
    </row>
    <row r="12142">
      <c r="A12142" s="4" t="str">
        <f>IFERROR(__xludf.DUMMYFUNCTION("""COMPUTED_VALUE"""),"tranquility-city")</f>
        <v>tranquility-city</v>
      </c>
      <c r="B12142" s="4" t="str">
        <f>IFERROR(__xludf.DUMMYFUNCTION("""COMPUTED_VALUE"""),"lumen")</f>
        <v>lumen</v>
      </c>
      <c r="C12142" s="4" t="str">
        <f>IFERROR(__xludf.DUMMYFUNCTION("""COMPUTED_VALUE"""),"Tranquility City")</f>
        <v>Tranquility City</v>
      </c>
    </row>
    <row r="12143">
      <c r="A12143" s="4" t="str">
        <f>IFERROR(__xludf.DUMMYFUNCTION("""COMPUTED_VALUE"""),"tranquil-staked-one")</f>
        <v>tranquil-staked-one</v>
      </c>
      <c r="B12143" s="4" t="str">
        <f>IFERROR(__xludf.DUMMYFUNCTION("""COMPUTED_VALUE"""),"stone")</f>
        <v>stone</v>
      </c>
      <c r="C12143" s="4" t="str">
        <f>IFERROR(__xludf.DUMMYFUNCTION("""COMPUTED_VALUE"""),"Tranquil Staked ONE")</f>
        <v>Tranquil Staked ONE</v>
      </c>
    </row>
    <row r="12144">
      <c r="A12144" s="4" t="str">
        <f>IFERROR(__xludf.DUMMYFUNCTION("""COMPUTED_VALUE"""),"transactra-finance")</f>
        <v>transactra-finance</v>
      </c>
      <c r="B12144" s="4" t="str">
        <f>IFERROR(__xludf.DUMMYFUNCTION("""COMPUTED_VALUE"""),"trsct")</f>
        <v>trsct</v>
      </c>
      <c r="C12144" s="4" t="str">
        <f>IFERROR(__xludf.DUMMYFUNCTION("""COMPUTED_VALUE"""),"Transactra Finance")</f>
        <v>Transactra Finance</v>
      </c>
    </row>
    <row r="12145">
      <c r="A12145" s="4" t="str">
        <f>IFERROR(__xludf.DUMMYFUNCTION("""COMPUTED_VALUE"""),"transhuman-coin")</f>
        <v>transhuman-coin</v>
      </c>
      <c r="B12145" s="4" t="str">
        <f>IFERROR(__xludf.DUMMYFUNCTION("""COMPUTED_VALUE"""),"thc")</f>
        <v>thc</v>
      </c>
      <c r="C12145" s="4" t="str">
        <f>IFERROR(__xludf.DUMMYFUNCTION("""COMPUTED_VALUE"""),"Transhuman Coin")</f>
        <v>Transhuman Coin</v>
      </c>
    </row>
    <row r="12146">
      <c r="A12146" s="4" t="str">
        <f>IFERROR(__xludf.DUMMYFUNCTION("""COMPUTED_VALUE"""),"trava-finance")</f>
        <v>trava-finance</v>
      </c>
      <c r="B12146" s="4" t="str">
        <f>IFERROR(__xludf.DUMMYFUNCTION("""COMPUTED_VALUE"""),"trava")</f>
        <v>trava</v>
      </c>
      <c r="C12146" s="4" t="str">
        <f>IFERROR(__xludf.DUMMYFUNCTION("""COMPUTED_VALUE"""),"Trava Finance")</f>
        <v>Trava Finance</v>
      </c>
    </row>
    <row r="12147">
      <c r="A12147" s="4" t="str">
        <f>IFERROR(__xludf.DUMMYFUNCTION("""COMPUTED_VALUE"""),"travelers-token")</f>
        <v>travelers-token</v>
      </c>
      <c r="B12147" s="4" t="str">
        <f>IFERROR(__xludf.DUMMYFUNCTION("""COMPUTED_VALUE"""),"trv")</f>
        <v>trv</v>
      </c>
      <c r="C12147" s="4" t="str">
        <f>IFERROR(__xludf.DUMMYFUNCTION("""COMPUTED_VALUE"""),"Travelers Token")</f>
        <v>Travelers Token</v>
      </c>
    </row>
    <row r="12148">
      <c r="A12148" s="4" t="str">
        <f>IFERROR(__xludf.DUMMYFUNCTION("""COMPUTED_VALUE"""),"traverse-labs")</f>
        <v>traverse-labs</v>
      </c>
      <c r="B12148" s="4" t="str">
        <f>IFERROR(__xludf.DUMMYFUNCTION("""COMPUTED_VALUE"""),"trvs")</f>
        <v>trvs</v>
      </c>
      <c r="C12148" s="4" t="str">
        <f>IFERROR(__xludf.DUMMYFUNCTION("""COMPUTED_VALUE"""),"Traverse Labs")</f>
        <v>Traverse Labs</v>
      </c>
    </row>
    <row r="12149">
      <c r="A12149" s="4" t="str">
        <f>IFERROR(__xludf.DUMMYFUNCTION("""COMPUTED_VALUE"""),"trax")</f>
        <v>trax</v>
      </c>
      <c r="B12149" s="4" t="str">
        <f>IFERROR(__xludf.DUMMYFUNCTION("""COMPUTED_VALUE"""),"trax")</f>
        <v>trax</v>
      </c>
      <c r="C12149" s="4" t="str">
        <f>IFERROR(__xludf.DUMMYFUNCTION("""COMPUTED_VALUE"""),"TRAX")</f>
        <v>TRAX</v>
      </c>
    </row>
    <row r="12150">
      <c r="A12150" s="4" t="str">
        <f>IFERROR(__xludf.DUMMYFUNCTION("""COMPUTED_VALUE"""),"traxx")</f>
        <v>traxx</v>
      </c>
      <c r="B12150" s="4" t="str">
        <f>IFERROR(__xludf.DUMMYFUNCTION("""COMPUTED_VALUE"""),"traxx")</f>
        <v>traxx</v>
      </c>
      <c r="C12150" s="4" t="str">
        <f>IFERROR(__xludf.DUMMYFUNCTION("""COMPUTED_VALUE"""),"Traxx")</f>
        <v>Traxx</v>
      </c>
    </row>
    <row r="12151">
      <c r="A12151" s="4" t="str">
        <f>IFERROR(__xludf.DUMMYFUNCTION("""COMPUTED_VALUE"""),"treasure-labs-loot")</f>
        <v>treasure-labs-loot</v>
      </c>
      <c r="B12151" s="4" t="str">
        <f>IFERROR(__xludf.DUMMYFUNCTION("""COMPUTED_VALUE"""),"loot")</f>
        <v>loot</v>
      </c>
      <c r="C12151" s="4" t="str">
        <f>IFERROR(__xludf.DUMMYFUNCTION("""COMPUTED_VALUE"""),"Treasure Labs LOOT")</f>
        <v>Treasure Labs LOOT</v>
      </c>
    </row>
    <row r="12152">
      <c r="A12152" s="4" t="str">
        <f>IFERROR(__xludf.DUMMYFUNCTION("""COMPUTED_VALUE"""),"treasuretv")</f>
        <v>treasuretv</v>
      </c>
      <c r="B12152" s="4" t="str">
        <f>IFERROR(__xludf.DUMMYFUNCTION("""COMPUTED_VALUE"""),"usdtv")</f>
        <v>usdtv</v>
      </c>
      <c r="C12152" s="4" t="str">
        <f>IFERROR(__xludf.DUMMYFUNCTION("""COMPUTED_VALUE"""),"TreasureTV")</f>
        <v>TreasureTV</v>
      </c>
    </row>
    <row r="12153">
      <c r="A12153" s="4" t="str">
        <f>IFERROR(__xludf.DUMMYFUNCTION("""COMPUTED_VALUE"""),"treasure-under-sea")</f>
        <v>treasure-under-sea</v>
      </c>
      <c r="B12153" s="4" t="str">
        <f>IFERROR(__xludf.DUMMYFUNCTION("""COMPUTED_VALUE"""),"tus")</f>
        <v>tus</v>
      </c>
      <c r="C12153" s="4" t="str">
        <f>IFERROR(__xludf.DUMMYFUNCTION("""COMPUTED_VALUE"""),"Treasure Under Sea")</f>
        <v>Treasure Under Sea</v>
      </c>
    </row>
    <row r="12154">
      <c r="A12154" s="4" t="str">
        <f>IFERROR(__xludf.DUMMYFUNCTION("""COMPUTED_VALUE"""),"treasury-bond-eth-tokenized-stock-defichain")</f>
        <v>treasury-bond-eth-tokenized-stock-defichain</v>
      </c>
      <c r="B12154" s="4" t="str">
        <f>IFERROR(__xludf.DUMMYFUNCTION("""COMPUTED_VALUE"""),"dtlt")</f>
        <v>dtlt</v>
      </c>
      <c r="C12154" s="4" t="str">
        <f>IFERROR(__xludf.DUMMYFUNCTION("""COMPUTED_VALUE"""),"iShares 20+ Year Treasury Bond ETF Defichain")</f>
        <v>iShares 20+ Year Treasury Bond ETF Defichain</v>
      </c>
    </row>
    <row r="12155">
      <c r="A12155" s="4" t="str">
        <f>IFERROR(__xludf.DUMMYFUNCTION("""COMPUTED_VALUE"""),"treat")</f>
        <v>treat</v>
      </c>
      <c r="B12155" s="4" t="str">
        <f>IFERROR(__xludf.DUMMYFUNCTION("""COMPUTED_VALUE"""),"treat")</f>
        <v>treat</v>
      </c>
      <c r="C12155" s="4" t="str">
        <f>IFERROR(__xludf.DUMMYFUNCTION("""COMPUTED_VALUE"""),"Treat")</f>
        <v>Treat</v>
      </c>
    </row>
    <row r="12156">
      <c r="A12156" s="4" t="str">
        <f>IFERROR(__xludf.DUMMYFUNCTION("""COMPUTED_VALUE"""),"treatdao-v2")</f>
        <v>treatdao-v2</v>
      </c>
      <c r="B12156" s="4" t="str">
        <f>IFERROR(__xludf.DUMMYFUNCTION("""COMPUTED_VALUE"""),"treat")</f>
        <v>treat</v>
      </c>
      <c r="C12156" s="4" t="str">
        <f>IFERROR(__xludf.DUMMYFUNCTION("""COMPUTED_VALUE"""),"TreatDAO")</f>
        <v>TreatDAO</v>
      </c>
    </row>
    <row r="12157">
      <c r="A12157" s="4" t="str">
        <f>IFERROR(__xludf.DUMMYFUNCTION("""COMPUTED_VALUE"""),"treat-token")</f>
        <v>treat-token</v>
      </c>
      <c r="B12157" s="4" t="str">
        <f>IFERROR(__xludf.DUMMYFUNCTION("""COMPUTED_VALUE"""),"treat")</f>
        <v>treat</v>
      </c>
      <c r="C12157" s="4" t="str">
        <f>IFERROR(__xludf.DUMMYFUNCTION("""COMPUTED_VALUE"""),"Treat Token")</f>
        <v>Treat Token</v>
      </c>
    </row>
    <row r="12158">
      <c r="A12158" s="4" t="str">
        <f>IFERROR(__xludf.DUMMYFUNCTION("""COMPUTED_VALUE"""),"treeb")</f>
        <v>treeb</v>
      </c>
      <c r="B12158" s="4" t="str">
        <f>IFERROR(__xludf.DUMMYFUNCTION("""COMPUTED_VALUE"""),"treeb")</f>
        <v>treeb</v>
      </c>
      <c r="C12158" s="4" t="str">
        <f>IFERROR(__xludf.DUMMYFUNCTION("""COMPUTED_VALUE"""),"Retreeb")</f>
        <v>Retreeb</v>
      </c>
    </row>
    <row r="12159">
      <c r="A12159" s="4" t="str">
        <f>IFERROR(__xludf.DUMMYFUNCTION("""COMPUTED_VALUE"""),"tree-capital")</f>
        <v>tree-capital</v>
      </c>
      <c r="B12159" s="4" t="str">
        <f>IFERROR(__xludf.DUMMYFUNCTION("""COMPUTED_VALUE"""),"tree")</f>
        <v>tree</v>
      </c>
      <c r="C12159" s="4" t="str">
        <f>IFERROR(__xludf.DUMMYFUNCTION("""COMPUTED_VALUE"""),"Tree")</f>
        <v>Tree</v>
      </c>
    </row>
    <row r="12160">
      <c r="A12160" s="4" t="str">
        <f>IFERROR(__xludf.DUMMYFUNCTION("""COMPUTED_VALUE"""),"treecle")</f>
        <v>treecle</v>
      </c>
      <c r="B12160" s="4" t="str">
        <f>IFERROR(__xludf.DUMMYFUNCTION("""COMPUTED_VALUE"""),"trcl")</f>
        <v>trcl</v>
      </c>
      <c r="C12160" s="4" t="str">
        <f>IFERROR(__xludf.DUMMYFUNCTION("""COMPUTED_VALUE"""),"Treecle")</f>
        <v>Treecle</v>
      </c>
    </row>
    <row r="12161">
      <c r="A12161" s="4" t="str">
        <f>IFERROR(__xludf.DUMMYFUNCTION("""COMPUTED_VALUE"""),"treemeister")</f>
        <v>treemeister</v>
      </c>
      <c r="B12161" s="4" t="str">
        <f>IFERROR(__xludf.DUMMYFUNCTION("""COMPUTED_VALUE"""),"tree")</f>
        <v>tree</v>
      </c>
      <c r="C12161" s="4" t="str">
        <f>IFERROR(__xludf.DUMMYFUNCTION("""COMPUTED_VALUE"""),"Treemeister")</f>
        <v>Treemeister</v>
      </c>
    </row>
    <row r="12162">
      <c r="A12162" s="4" t="str">
        <f>IFERROR(__xludf.DUMMYFUNCTION("""COMPUTED_VALUE"""),"trellis")</f>
        <v>trellis</v>
      </c>
      <c r="B12162" s="4" t="str">
        <f>IFERROR(__xludf.DUMMYFUNCTION("""COMPUTED_VALUE"""),"treis")</f>
        <v>treis</v>
      </c>
      <c r="C12162" s="4" t="str">
        <f>IFERROR(__xludf.DUMMYFUNCTION("""COMPUTED_VALUE"""),"Trellis")</f>
        <v>Trellis</v>
      </c>
    </row>
    <row r="12163">
      <c r="A12163" s="4" t="str">
        <f>IFERROR(__xludf.DUMMYFUNCTION("""COMPUTED_VALUE"""),"tren")</f>
        <v>tren</v>
      </c>
      <c r="B12163" s="4" t="str">
        <f>IFERROR(__xludf.DUMMYFUNCTION("""COMPUTED_VALUE"""),"tren")</f>
        <v>tren</v>
      </c>
      <c r="C12163" s="4" t="str">
        <f>IFERROR(__xludf.DUMMYFUNCTION("""COMPUTED_VALUE"""),"TREN")</f>
        <v>TREN</v>
      </c>
    </row>
    <row r="12164">
      <c r="A12164" s="4" t="str">
        <f>IFERROR(__xludf.DUMMYFUNCTION("""COMPUTED_VALUE"""),"trendappend")</f>
        <v>trendappend</v>
      </c>
      <c r="B12164" s="4" t="str">
        <f>IFERROR(__xludf.DUMMYFUNCTION("""COMPUTED_VALUE"""),"trnd")</f>
        <v>trnd</v>
      </c>
      <c r="C12164" s="4" t="str">
        <f>IFERROR(__xludf.DUMMYFUNCTION("""COMPUTED_VALUE"""),"TrendAppend")</f>
        <v>TrendAppend</v>
      </c>
    </row>
    <row r="12165">
      <c r="A12165" s="4" t="str">
        <f>IFERROR(__xludf.DUMMYFUNCTION("""COMPUTED_VALUE"""),"trendguru")</f>
        <v>trendguru</v>
      </c>
      <c r="B12165" s="4" t="str">
        <f>IFERROR(__xludf.DUMMYFUNCTION("""COMPUTED_VALUE"""),"trendguru")</f>
        <v>trendguru</v>
      </c>
      <c r="C12165" s="4" t="str">
        <f>IFERROR(__xludf.DUMMYFUNCTION("""COMPUTED_VALUE"""),"TrendGuru")</f>
        <v>TrendGuru</v>
      </c>
    </row>
    <row r="12166">
      <c r="A12166" s="4" t="str">
        <f>IFERROR(__xludf.DUMMYFUNCTION("""COMPUTED_VALUE"""),"trendingtool")</f>
        <v>trendingtool</v>
      </c>
      <c r="B12166" s="4" t="str">
        <f>IFERROR(__xludf.DUMMYFUNCTION("""COMPUTED_VALUE"""),"tt")</f>
        <v>tt</v>
      </c>
      <c r="C12166" s="4" t="str">
        <f>IFERROR(__xludf.DUMMYFUNCTION("""COMPUTED_VALUE"""),"TrendingTool")</f>
        <v>TrendingTool</v>
      </c>
    </row>
    <row r="12167">
      <c r="A12167" s="4" t="str">
        <f>IFERROR(__xludf.DUMMYFUNCTION("""COMPUTED_VALUE"""),"trendingtool-io")</f>
        <v>trendingtool-io</v>
      </c>
      <c r="B12167" s="4" t="str">
        <f>IFERROR(__xludf.DUMMYFUNCTION("""COMPUTED_VALUE"""),"smm")</f>
        <v>smm</v>
      </c>
      <c r="C12167" s="5" t="str">
        <f>IFERROR(__xludf.DUMMYFUNCTION("""COMPUTED_VALUE"""),"TrendingTool.io")</f>
        <v>TrendingTool.io</v>
      </c>
    </row>
    <row r="12168">
      <c r="A12168" s="4" t="str">
        <f>IFERROR(__xludf.DUMMYFUNCTION("""COMPUTED_VALUE"""),"trendsy")</f>
        <v>trendsy</v>
      </c>
      <c r="B12168" s="4" t="str">
        <f>IFERROR(__xludf.DUMMYFUNCTION("""COMPUTED_VALUE"""),"trndz")</f>
        <v>trndz</v>
      </c>
      <c r="C12168" s="4" t="str">
        <f>IFERROR(__xludf.DUMMYFUNCTION("""COMPUTED_VALUE"""),"Trendsy")</f>
        <v>Trendsy</v>
      </c>
    </row>
    <row r="12169">
      <c r="A12169" s="4" t="str">
        <f>IFERROR(__xludf.DUMMYFUNCTION("""COMPUTED_VALUE"""),"trend-x")</f>
        <v>trend-x</v>
      </c>
      <c r="B12169" s="4" t="str">
        <f>IFERROR(__xludf.DUMMYFUNCTION("""COMPUTED_VALUE"""),"trendx")</f>
        <v>trendx</v>
      </c>
      <c r="C12169" s="4" t="str">
        <f>IFERROR(__xludf.DUMMYFUNCTION("""COMPUTED_VALUE"""),"Trend X")</f>
        <v>Trend X</v>
      </c>
    </row>
    <row r="12170">
      <c r="A12170" s="4" t="str">
        <f>IFERROR(__xludf.DUMMYFUNCTION("""COMPUTED_VALUE"""),"trepe")</f>
        <v>trepe</v>
      </c>
      <c r="B12170" s="4" t="str">
        <f>IFERROR(__xludf.DUMMYFUNCTION("""COMPUTED_VALUE"""),"$trepe")</f>
        <v>$trepe</v>
      </c>
      <c r="C12170" s="4" t="str">
        <f>IFERROR(__xludf.DUMMYFUNCTION("""COMPUTED_VALUE"""),"Trepe")</f>
        <v>Trepe</v>
      </c>
    </row>
    <row r="12171">
      <c r="A12171" s="4" t="str">
        <f>IFERROR(__xludf.DUMMYFUNCTION("""COMPUTED_VALUE"""),"tres-chain")</f>
        <v>tres-chain</v>
      </c>
      <c r="B12171" s="4" t="str">
        <f>IFERROR(__xludf.DUMMYFUNCTION("""COMPUTED_VALUE"""),"tres")</f>
        <v>tres</v>
      </c>
      <c r="C12171" s="4" t="str">
        <f>IFERROR(__xludf.DUMMYFUNCTION("""COMPUTED_VALUE"""),"Tres Chain")</f>
        <v>Tres Chain</v>
      </c>
    </row>
    <row r="12172">
      <c r="A12172" s="4" t="str">
        <f>IFERROR(__xludf.DUMMYFUNCTION("""COMPUTED_VALUE"""),"trestle")</f>
        <v>trestle</v>
      </c>
      <c r="B12172" s="4" t="str">
        <f>IFERROR(__xludf.DUMMYFUNCTION("""COMPUTED_VALUE"""),"trestle")</f>
        <v>trestle</v>
      </c>
      <c r="C12172" s="4" t="str">
        <f>IFERROR(__xludf.DUMMYFUNCTION("""COMPUTED_VALUE"""),"TRESTLE")</f>
        <v>TRESTLE</v>
      </c>
    </row>
    <row r="12173">
      <c r="A12173" s="4" t="str">
        <f>IFERROR(__xludf.DUMMYFUNCTION("""COMPUTED_VALUE"""),"trestle-wrapped-tia")</f>
        <v>trestle-wrapped-tia</v>
      </c>
      <c r="B12173" s="4" t="str">
        <f>IFERROR(__xludf.DUMMYFUNCTION("""COMPUTED_VALUE"""),"wtia")</f>
        <v>wtia</v>
      </c>
      <c r="C12173" s="4" t="str">
        <f>IFERROR(__xludf.DUMMYFUNCTION("""COMPUTED_VALUE"""),"Trestle Wrapped TIA")</f>
        <v>Trestle Wrapped TIA</v>
      </c>
    </row>
    <row r="12174">
      <c r="A12174" s="4" t="str">
        <f>IFERROR(__xludf.DUMMYFUNCTION("""COMPUTED_VALUE"""),"trex20")</f>
        <v>trex20</v>
      </c>
      <c r="B12174" s="4" t="str">
        <f>IFERROR(__xludf.DUMMYFUNCTION("""COMPUTED_VALUE"""),"tx20")</f>
        <v>tx20</v>
      </c>
      <c r="C12174" s="4" t="str">
        <f>IFERROR(__xludf.DUMMYFUNCTION("""COMPUTED_VALUE"""),"Trex20")</f>
        <v>Trex20</v>
      </c>
    </row>
    <row r="12175">
      <c r="A12175" s="4" t="str">
        <f>IFERROR(__xludf.DUMMYFUNCTION("""COMPUTED_VALUE"""),"trezarcoin")</f>
        <v>trezarcoin</v>
      </c>
      <c r="B12175" s="4" t="str">
        <f>IFERROR(__xludf.DUMMYFUNCTION("""COMPUTED_VALUE"""),"tzc")</f>
        <v>tzc</v>
      </c>
      <c r="C12175" s="4" t="str">
        <f>IFERROR(__xludf.DUMMYFUNCTION("""COMPUTED_VALUE"""),"TrezarCoin")</f>
        <v>TrezarCoin</v>
      </c>
    </row>
    <row r="12176">
      <c r="A12176" s="4" t="str">
        <f>IFERROR(__xludf.DUMMYFUNCTION("""COMPUTED_VALUE"""),"triall")</f>
        <v>triall</v>
      </c>
      <c r="B12176" s="4" t="str">
        <f>IFERROR(__xludf.DUMMYFUNCTION("""COMPUTED_VALUE"""),"trl")</f>
        <v>trl</v>
      </c>
      <c r="C12176" s="4" t="str">
        <f>IFERROR(__xludf.DUMMYFUNCTION("""COMPUTED_VALUE"""),"Triall")</f>
        <v>Triall</v>
      </c>
    </row>
    <row r="12177">
      <c r="A12177" s="4" t="str">
        <f>IFERROR(__xludf.DUMMYFUNCTION("""COMPUTED_VALUE"""),"trias-token")</f>
        <v>trias-token</v>
      </c>
      <c r="B12177" s="4" t="str">
        <f>IFERROR(__xludf.DUMMYFUNCTION("""COMPUTED_VALUE"""),"trias")</f>
        <v>trias</v>
      </c>
      <c r="C12177" s="4" t="str">
        <f>IFERROR(__xludf.DUMMYFUNCTION("""COMPUTED_VALUE"""),"TriasLab")</f>
        <v>TriasLab</v>
      </c>
    </row>
    <row r="12178">
      <c r="A12178" s="4" t="str">
        <f>IFERROR(__xludf.DUMMYFUNCTION("""COMPUTED_VALUE"""),"tribal-token")</f>
        <v>tribal-token</v>
      </c>
      <c r="B12178" s="4" t="str">
        <f>IFERROR(__xludf.DUMMYFUNCTION("""COMPUTED_VALUE"""),"tribl")</f>
        <v>tribl</v>
      </c>
      <c r="C12178" s="4" t="str">
        <f>IFERROR(__xludf.DUMMYFUNCTION("""COMPUTED_VALUE"""),"Tribal Token")</f>
        <v>Tribal Token</v>
      </c>
    </row>
    <row r="12179">
      <c r="A12179" s="4" t="str">
        <f>IFERROR(__xludf.DUMMYFUNCTION("""COMPUTED_VALUE"""),"tribe-2")</f>
        <v>tribe-2</v>
      </c>
      <c r="B12179" s="4" t="str">
        <f>IFERROR(__xludf.DUMMYFUNCTION("""COMPUTED_VALUE"""),"tribe")</f>
        <v>tribe</v>
      </c>
      <c r="C12179" s="4" t="str">
        <f>IFERROR(__xludf.DUMMYFUNCTION("""COMPUTED_VALUE"""),"Tribe")</f>
        <v>Tribe</v>
      </c>
    </row>
    <row r="12180">
      <c r="A12180" s="4" t="str">
        <f>IFERROR(__xludf.DUMMYFUNCTION("""COMPUTED_VALUE"""),"tribeone")</f>
        <v>tribeone</v>
      </c>
      <c r="B12180" s="4" t="str">
        <f>IFERROR(__xludf.DUMMYFUNCTION("""COMPUTED_VALUE"""),"haka")</f>
        <v>haka</v>
      </c>
      <c r="C12180" s="4" t="str">
        <f>IFERROR(__xludf.DUMMYFUNCTION("""COMPUTED_VALUE"""),"TribeOne")</f>
        <v>TribeOne</v>
      </c>
    </row>
    <row r="12181">
      <c r="A12181" s="4" t="str">
        <f>IFERROR(__xludf.DUMMYFUNCTION("""COMPUTED_VALUE"""),"tribe-token")</f>
        <v>tribe-token</v>
      </c>
      <c r="B12181" s="4" t="str">
        <f>IFERROR(__xludf.DUMMYFUNCTION("""COMPUTED_VALUE"""),"tribex")</f>
        <v>tribex</v>
      </c>
      <c r="C12181" s="4" t="str">
        <f>IFERROR(__xludf.DUMMYFUNCTION("""COMPUTED_VALUE"""),"Tribe Token")</f>
        <v>Tribe Token</v>
      </c>
    </row>
    <row r="12182">
      <c r="A12182" s="4" t="str">
        <f>IFERROR(__xludf.DUMMYFUNCTION("""COMPUTED_VALUE"""),"tribe-token-2")</f>
        <v>tribe-token-2</v>
      </c>
      <c r="B12182" s="4" t="str">
        <f>IFERROR(__xludf.DUMMYFUNCTION("""COMPUTED_VALUE"""),"tribe")</f>
        <v>tribe</v>
      </c>
      <c r="C12182" s="4" t="str">
        <f>IFERROR(__xludf.DUMMYFUNCTION("""COMPUTED_VALUE"""),"Tribe Token")</f>
        <v>Tribe Token</v>
      </c>
    </row>
    <row r="12183">
      <c r="A12183" s="4" t="str">
        <f>IFERROR(__xludf.DUMMYFUNCTION("""COMPUTED_VALUE"""),"trice")</f>
        <v>trice</v>
      </c>
      <c r="B12183" s="4" t="str">
        <f>IFERROR(__xludf.DUMMYFUNCTION("""COMPUTED_VALUE"""),"tri")</f>
        <v>tri</v>
      </c>
      <c r="C12183" s="4" t="str">
        <f>IFERROR(__xludf.DUMMYFUNCTION("""COMPUTED_VALUE"""),"Trice")</f>
        <v>Trice</v>
      </c>
    </row>
    <row r="12184">
      <c r="A12184" s="4" t="str">
        <f>IFERROR(__xludf.DUMMYFUNCTION("""COMPUTED_VALUE"""),"tridentdao")</f>
        <v>tridentdao</v>
      </c>
      <c r="B12184" s="4" t="str">
        <f>IFERROR(__xludf.DUMMYFUNCTION("""COMPUTED_VALUE"""),"psi")</f>
        <v>psi</v>
      </c>
      <c r="C12184" s="4" t="str">
        <f>IFERROR(__xludf.DUMMYFUNCTION("""COMPUTED_VALUE"""),"TridentDAO")</f>
        <v>TridentDAO</v>
      </c>
    </row>
    <row r="12185">
      <c r="A12185" s="4" t="str">
        <f>IFERROR(__xludf.DUMMYFUNCTION("""COMPUTED_VALUE"""),"triipmiles")</f>
        <v>triipmiles</v>
      </c>
      <c r="B12185" s="4" t="str">
        <f>IFERROR(__xludf.DUMMYFUNCTION("""COMPUTED_VALUE"""),"tiim")</f>
        <v>tiim</v>
      </c>
      <c r="C12185" s="4" t="str">
        <f>IFERROR(__xludf.DUMMYFUNCTION("""COMPUTED_VALUE"""),"TriipMiles")</f>
        <v>TriipMiles</v>
      </c>
    </row>
    <row r="12186">
      <c r="A12186" s="4" t="str">
        <f>IFERROR(__xludf.DUMMYFUNCTION("""COMPUTED_VALUE"""),"trillant")</f>
        <v>trillant</v>
      </c>
      <c r="B12186" s="4" t="str">
        <f>IFERROR(__xludf.DUMMYFUNCTION("""COMPUTED_VALUE"""),"tril")</f>
        <v>tril</v>
      </c>
      <c r="C12186" s="4" t="str">
        <f>IFERROR(__xludf.DUMMYFUNCTION("""COMPUTED_VALUE"""),"TRILLANT")</f>
        <v>TRILLANT</v>
      </c>
    </row>
    <row r="12187">
      <c r="A12187" s="4" t="str">
        <f>IFERROR(__xludf.DUMMYFUNCTION("""COMPUTED_VALUE"""),"trillioner")</f>
        <v>trillioner</v>
      </c>
      <c r="B12187" s="4" t="str">
        <f>IFERROR(__xludf.DUMMYFUNCTION("""COMPUTED_VALUE"""),"tlc")</f>
        <v>tlc</v>
      </c>
      <c r="C12187" s="4" t="str">
        <f>IFERROR(__xludf.DUMMYFUNCTION("""COMPUTED_VALUE"""),"Trillioner")</f>
        <v>Trillioner</v>
      </c>
    </row>
    <row r="12188">
      <c r="A12188" s="4" t="str">
        <f>IFERROR(__xludf.DUMMYFUNCTION("""COMPUTED_VALUE"""),"trimbex")</f>
        <v>trimbex</v>
      </c>
      <c r="B12188" s="4" t="str">
        <f>IFERROR(__xludf.DUMMYFUNCTION("""COMPUTED_VALUE"""),"trim")</f>
        <v>trim</v>
      </c>
      <c r="C12188" s="4" t="str">
        <f>IFERROR(__xludf.DUMMYFUNCTION("""COMPUTED_VALUE"""),"TRIMBEX")</f>
        <v>TRIMBEX</v>
      </c>
    </row>
    <row r="12189">
      <c r="A12189" s="4" t="str">
        <f>IFERROR(__xludf.DUMMYFUNCTION("""COMPUTED_VALUE"""),"trinique")</f>
        <v>trinique</v>
      </c>
      <c r="B12189" s="4" t="str">
        <f>IFERROR(__xludf.DUMMYFUNCTION("""COMPUTED_VALUE"""),"tnq")</f>
        <v>tnq</v>
      </c>
      <c r="C12189" s="4" t="str">
        <f>IFERROR(__xludf.DUMMYFUNCTION("""COMPUTED_VALUE"""),"Trinique")</f>
        <v>Trinique</v>
      </c>
    </row>
    <row r="12190">
      <c r="A12190" s="4" t="str">
        <f>IFERROR(__xludf.DUMMYFUNCTION("""COMPUTED_VALUE"""),"trinity-network-credit")</f>
        <v>trinity-network-credit</v>
      </c>
      <c r="B12190" s="4" t="str">
        <f>IFERROR(__xludf.DUMMYFUNCTION("""COMPUTED_VALUE"""),"tnc")</f>
        <v>tnc</v>
      </c>
      <c r="C12190" s="4" t="str">
        <f>IFERROR(__xludf.DUMMYFUNCTION("""COMPUTED_VALUE"""),"Trinity Network Credit")</f>
        <v>Trinity Network Credit</v>
      </c>
    </row>
    <row r="12191">
      <c r="A12191" s="4" t="str">
        <f>IFERROR(__xludf.DUMMYFUNCTION("""COMPUTED_VALUE"""),"triple")</f>
        <v>triple</v>
      </c>
      <c r="B12191" s="4" t="str">
        <f>IFERROR(__xludf.DUMMYFUNCTION("""COMPUTED_VALUE"""),"triple")</f>
        <v>triple</v>
      </c>
      <c r="C12191" s="4" t="str">
        <f>IFERROR(__xludf.DUMMYFUNCTION("""COMPUTED_VALUE"""),"TRIPLE")</f>
        <v>TRIPLE</v>
      </c>
    </row>
    <row r="12192">
      <c r="A12192" s="4" t="str">
        <f>IFERROR(__xludf.DUMMYFUNCTION("""COMPUTED_VALUE"""),"trisolaris")</f>
        <v>trisolaris</v>
      </c>
      <c r="B12192" s="4" t="str">
        <f>IFERROR(__xludf.DUMMYFUNCTION("""COMPUTED_VALUE"""),"tri")</f>
        <v>tri</v>
      </c>
      <c r="C12192" s="4" t="str">
        <f>IFERROR(__xludf.DUMMYFUNCTION("""COMPUTED_VALUE"""),"Trisolaris")</f>
        <v>Trisolaris</v>
      </c>
    </row>
    <row r="12193">
      <c r="A12193" s="4" t="str">
        <f>IFERROR(__xludf.DUMMYFUNCTION("""COMPUTED_VALUE"""),"triton")</f>
        <v>triton</v>
      </c>
      <c r="B12193" s="4" t="str">
        <f>IFERROR(__xludf.DUMMYFUNCTION("""COMPUTED_VALUE"""),"xeq")</f>
        <v>xeq</v>
      </c>
      <c r="C12193" s="4" t="str">
        <f>IFERROR(__xludf.DUMMYFUNCTION("""COMPUTED_VALUE"""),"Equilibria")</f>
        <v>Equilibria</v>
      </c>
    </row>
    <row r="12194">
      <c r="A12194" s="4" t="str">
        <f>IFERROR(__xludf.DUMMYFUNCTION("""COMPUTED_VALUE"""),"trivian")</f>
        <v>trivian</v>
      </c>
      <c r="B12194" s="4" t="str">
        <f>IFERROR(__xludf.DUMMYFUNCTION("""COMPUTED_VALUE"""),"trivia")</f>
        <v>trivia</v>
      </c>
      <c r="C12194" s="4" t="str">
        <f>IFERROR(__xludf.DUMMYFUNCTION("""COMPUTED_VALUE"""),"Trivians")</f>
        <v>Trivians</v>
      </c>
    </row>
    <row r="12195">
      <c r="A12195" s="4" t="str">
        <f>IFERROR(__xludf.DUMMYFUNCTION("""COMPUTED_VALUE"""),"trolite")</f>
        <v>trolite</v>
      </c>
      <c r="B12195" s="4" t="str">
        <f>IFERROR(__xludf.DUMMYFUNCTION("""COMPUTED_VALUE"""),"trl")</f>
        <v>trl</v>
      </c>
      <c r="C12195" s="4" t="str">
        <f>IFERROR(__xludf.DUMMYFUNCTION("""COMPUTED_VALUE"""),"Trolite")</f>
        <v>Trolite</v>
      </c>
    </row>
    <row r="12196">
      <c r="A12196" s="4" t="str">
        <f>IFERROR(__xludf.DUMMYFUNCTION("""COMPUTED_VALUE"""),"troll")</f>
        <v>troll</v>
      </c>
      <c r="B12196" s="4" t="str">
        <f>IFERROR(__xludf.DUMMYFUNCTION("""COMPUTED_VALUE"""),"troll")</f>
        <v>troll</v>
      </c>
      <c r="C12196" s="4" t="str">
        <f>IFERROR(__xludf.DUMMYFUNCTION("""COMPUTED_VALUE"""),"Troll")</f>
        <v>Troll</v>
      </c>
    </row>
    <row r="12197">
      <c r="A12197" s="4" t="str">
        <f>IFERROR(__xludf.DUMMYFUNCTION("""COMPUTED_VALUE"""),"troll-2-0")</f>
        <v>troll-2-0</v>
      </c>
      <c r="B12197" s="4" t="str">
        <f>IFERROR(__xludf.DUMMYFUNCTION("""COMPUTED_VALUE"""),"troll 2.0")</f>
        <v>troll 2.0</v>
      </c>
      <c r="C12197" s="4" t="str">
        <f>IFERROR(__xludf.DUMMYFUNCTION("""COMPUTED_VALUE"""),"TROLL 2.0")</f>
        <v>TROLL 2.0</v>
      </c>
    </row>
    <row r="12198">
      <c r="A12198" s="4" t="str">
        <f>IFERROR(__xludf.DUMMYFUNCTION("""COMPUTED_VALUE"""),"trollbox")</f>
        <v>trollbox</v>
      </c>
      <c r="B12198" s="4" t="str">
        <f>IFERROR(__xludf.DUMMYFUNCTION("""COMPUTED_VALUE"""),"tox")</f>
        <v>tox</v>
      </c>
      <c r="C12198" s="4" t="str">
        <f>IFERROR(__xludf.DUMMYFUNCTION("""COMPUTED_VALUE"""),"trollbox")</f>
        <v>trollbox</v>
      </c>
    </row>
    <row r="12199">
      <c r="A12199" s="4" t="str">
        <f>IFERROR(__xludf.DUMMYFUNCTION("""COMPUTED_VALUE"""),"trollcoin-2")</f>
        <v>trollcoin-2</v>
      </c>
      <c r="B12199" s="4" t="str">
        <f>IFERROR(__xludf.DUMMYFUNCTION("""COMPUTED_VALUE"""),"troll")</f>
        <v>troll</v>
      </c>
      <c r="C12199" s="4" t="str">
        <f>IFERROR(__xludf.DUMMYFUNCTION("""COMPUTED_VALUE"""),"TrollCoin")</f>
        <v>TrollCoin</v>
      </c>
    </row>
    <row r="12200">
      <c r="A12200" s="4" t="str">
        <f>IFERROR(__xludf.DUMMYFUNCTION("""COMPUTED_VALUE"""),"troll-face")</f>
        <v>troll-face</v>
      </c>
      <c r="B12200" s="4" t="str">
        <f>IFERROR(__xludf.DUMMYFUNCTION("""COMPUTED_VALUE"""),"troll")</f>
        <v>troll</v>
      </c>
      <c r="C12200" s="4" t="str">
        <f>IFERROR(__xludf.DUMMYFUNCTION("""COMPUTED_VALUE"""),"Troll Face")</f>
        <v>Troll Face</v>
      </c>
    </row>
    <row r="12201">
      <c r="A12201" s="4" t="str">
        <f>IFERROR(__xludf.DUMMYFUNCTION("""COMPUTED_VALUE"""),"troll-inu")</f>
        <v>troll-inu</v>
      </c>
      <c r="B12201" s="4" t="str">
        <f>IFERROR(__xludf.DUMMYFUNCTION("""COMPUTED_VALUE"""),"trollinu")</f>
        <v>trollinu</v>
      </c>
      <c r="C12201" s="4" t="str">
        <f>IFERROR(__xludf.DUMMYFUNCTION("""COMPUTED_VALUE"""),"Troll Inu")</f>
        <v>Troll Inu</v>
      </c>
    </row>
    <row r="12202">
      <c r="A12202" s="4" t="str">
        <f>IFERROR(__xludf.DUMMYFUNCTION("""COMPUTED_VALUE"""),"trollmuskwifhat")</f>
        <v>trollmuskwifhat</v>
      </c>
      <c r="B12202" s="4" t="str">
        <f>IFERROR(__xludf.DUMMYFUNCTION("""COMPUTED_VALUE"""),"troll")</f>
        <v>troll</v>
      </c>
      <c r="C12202" s="4" t="str">
        <f>IFERROR(__xludf.DUMMYFUNCTION("""COMPUTED_VALUE"""),"TrollMuskWifHat")</f>
        <v>TrollMuskWifHat</v>
      </c>
    </row>
    <row r="12203">
      <c r="A12203" s="4" t="str">
        <f>IFERROR(__xludf.DUMMYFUNCTION("""COMPUTED_VALUE"""),"tron")</f>
        <v>tron</v>
      </c>
      <c r="B12203" s="4" t="str">
        <f>IFERROR(__xludf.DUMMYFUNCTION("""COMPUTED_VALUE"""),"trx")</f>
        <v>trx</v>
      </c>
      <c r="C12203" s="4" t="str">
        <f>IFERROR(__xludf.DUMMYFUNCTION("""COMPUTED_VALUE"""),"TRON")</f>
        <v>TRON</v>
      </c>
    </row>
    <row r="12204">
      <c r="A12204" s="4" t="str">
        <f>IFERROR(__xludf.DUMMYFUNCTION("""COMPUTED_VALUE"""),"tronai")</f>
        <v>tronai</v>
      </c>
      <c r="B12204" s="4" t="str">
        <f>IFERROR(__xludf.DUMMYFUNCTION("""COMPUTED_VALUE"""),"tai")</f>
        <v>tai</v>
      </c>
      <c r="C12204" s="4" t="str">
        <f>IFERROR(__xludf.DUMMYFUNCTION("""COMPUTED_VALUE"""),"TronAI")</f>
        <v>TronAI</v>
      </c>
    </row>
    <row r="12205">
      <c r="A12205" s="4" t="str">
        <f>IFERROR(__xludf.DUMMYFUNCTION("""COMPUTED_VALUE"""),"tronbetlive")</f>
        <v>tronbetlive</v>
      </c>
      <c r="B12205" s="4" t="str">
        <f>IFERROR(__xludf.DUMMYFUNCTION("""COMPUTED_VALUE"""),"live")</f>
        <v>live</v>
      </c>
      <c r="C12205" s="4" t="str">
        <f>IFERROR(__xludf.DUMMYFUNCTION("""COMPUTED_VALUE"""),"TRONbetLive")</f>
        <v>TRONbetLive</v>
      </c>
    </row>
    <row r="12206">
      <c r="A12206" s="4" t="str">
        <f>IFERROR(__xludf.DUMMYFUNCTION("""COMPUTED_VALUE"""),"tron-bsc")</f>
        <v>tron-bsc</v>
      </c>
      <c r="B12206" s="4" t="str">
        <f>IFERROR(__xludf.DUMMYFUNCTION("""COMPUTED_VALUE"""),"trx")</f>
        <v>trx</v>
      </c>
      <c r="C12206" s="4" t="str">
        <f>IFERROR(__xludf.DUMMYFUNCTION("""COMPUTED_VALUE"""),"TRON (BSC)")</f>
        <v>TRON (BSC)</v>
      </c>
    </row>
    <row r="12207">
      <c r="A12207" s="4" t="str">
        <f>IFERROR(__xludf.DUMMYFUNCTION("""COMPUTED_VALUE"""),"tronclassic")</f>
        <v>tronclassic</v>
      </c>
      <c r="B12207" s="4" t="str">
        <f>IFERROR(__xludf.DUMMYFUNCTION("""COMPUTED_VALUE"""),"trxc")</f>
        <v>trxc</v>
      </c>
      <c r="C12207" s="4" t="str">
        <f>IFERROR(__xludf.DUMMYFUNCTION("""COMPUTED_VALUE"""),"TronClassic")</f>
        <v>TronClassic</v>
      </c>
    </row>
    <row r="12208">
      <c r="A12208" s="4" t="str">
        <f>IFERROR(__xludf.DUMMYFUNCTION("""COMPUTED_VALUE"""),"troneuroperewardcoin")</f>
        <v>troneuroperewardcoin</v>
      </c>
      <c r="B12208" s="4" t="str">
        <f>IFERROR(__xludf.DUMMYFUNCTION("""COMPUTED_VALUE"""),"terc")</f>
        <v>terc</v>
      </c>
      <c r="C12208" s="4" t="str">
        <f>IFERROR(__xludf.DUMMYFUNCTION("""COMPUTED_VALUE"""),"TronEuropeRewardCoin")</f>
        <v>TronEuropeRewardCoin</v>
      </c>
    </row>
    <row r="12209">
      <c r="A12209" s="4" t="str">
        <f>IFERROR(__xludf.DUMMYFUNCTION("""COMPUTED_VALUE"""),"tronpad")</f>
        <v>tronpad</v>
      </c>
      <c r="B12209" s="4" t="str">
        <f>IFERROR(__xludf.DUMMYFUNCTION("""COMPUTED_VALUE"""),"tronpad")</f>
        <v>tronpad</v>
      </c>
      <c r="C12209" s="4" t="str">
        <f>IFERROR(__xludf.DUMMYFUNCTION("""COMPUTED_VALUE"""),"TRONPAD")</f>
        <v>TRONPAD</v>
      </c>
    </row>
    <row r="12210">
      <c r="A12210" s="4" t="str">
        <f>IFERROR(__xludf.DUMMYFUNCTION("""COMPUTED_VALUE"""),"troves")</f>
        <v>troves</v>
      </c>
      <c r="B12210" s="4" t="str">
        <f>IFERROR(__xludf.DUMMYFUNCTION("""COMPUTED_VALUE"""),"troves")</f>
        <v>troves</v>
      </c>
      <c r="C12210" s="4" t="str">
        <f>IFERROR(__xludf.DUMMYFUNCTION("""COMPUTED_VALUE"""),"Troves")</f>
        <v>Troves</v>
      </c>
    </row>
    <row r="12211">
      <c r="A12211" s="4" t="str">
        <f>IFERROR(__xludf.DUMMYFUNCTION("""COMPUTED_VALUE"""),"troy")</f>
        <v>troy</v>
      </c>
      <c r="B12211" s="4" t="str">
        <f>IFERROR(__xludf.DUMMYFUNCTION("""COMPUTED_VALUE"""),"troy")</f>
        <v>troy</v>
      </c>
      <c r="C12211" s="4" t="str">
        <f>IFERROR(__xludf.DUMMYFUNCTION("""COMPUTED_VALUE"""),"TROY")</f>
        <v>TROY</v>
      </c>
    </row>
    <row r="12212">
      <c r="A12212" s="4" t="str">
        <f>IFERROR(__xludf.DUMMYFUNCTION("""COMPUTED_VALUE"""),"trrxitte")</f>
        <v>trrxitte</v>
      </c>
      <c r="B12212" s="4" t="str">
        <f>IFERROR(__xludf.DUMMYFUNCTION("""COMPUTED_VALUE"""),"trrxitte")</f>
        <v>trrxitte</v>
      </c>
      <c r="C12212" s="4" t="str">
        <f>IFERROR(__xludf.DUMMYFUNCTION("""COMPUTED_VALUE"""),"TRRXITTE International")</f>
        <v>TRRXITTE International</v>
      </c>
    </row>
    <row r="12213">
      <c r="A12213" s="4" t="str">
        <f>IFERROR(__xludf.DUMMYFUNCTION("""COMPUTED_VALUE"""),"trubadger")</f>
        <v>trubadger</v>
      </c>
      <c r="B12213" s="4" t="str">
        <f>IFERROR(__xludf.DUMMYFUNCTION("""COMPUTED_VALUE"""),"trubgr")</f>
        <v>trubgr</v>
      </c>
      <c r="C12213" s="4" t="str">
        <f>IFERROR(__xludf.DUMMYFUNCTION("""COMPUTED_VALUE"""),"TruBadger")</f>
        <v>TruBadger</v>
      </c>
    </row>
    <row r="12214">
      <c r="A12214" s="4" t="str">
        <f>IFERROR(__xludf.DUMMYFUNCTION("""COMPUTED_VALUE"""),"truck")</f>
        <v>truck</v>
      </c>
      <c r="B12214" s="4" t="str">
        <f>IFERROR(__xludf.DUMMYFUNCTION("""COMPUTED_VALUE"""),"truck")</f>
        <v>truck</v>
      </c>
      <c r="C12214" s="4" t="str">
        <f>IFERROR(__xludf.DUMMYFUNCTION("""COMPUTED_VALUE"""),"Truck")</f>
        <v>Truck</v>
      </c>
    </row>
    <row r="12215">
      <c r="A12215" s="4" t="str">
        <f>IFERROR(__xludf.DUMMYFUNCTION("""COMPUTED_VALUE"""),"truebit-protocol")</f>
        <v>truebit-protocol</v>
      </c>
      <c r="B12215" s="4" t="str">
        <f>IFERROR(__xludf.DUMMYFUNCTION("""COMPUTED_VALUE"""),"tru")</f>
        <v>tru</v>
      </c>
      <c r="C12215" s="4" t="str">
        <f>IFERROR(__xludf.DUMMYFUNCTION("""COMPUTED_VALUE"""),"Truebit Protocol")</f>
        <v>Truebit Protocol</v>
      </c>
    </row>
    <row r="12216">
      <c r="A12216" s="4" t="str">
        <f>IFERROR(__xludf.DUMMYFUNCTION("""COMPUTED_VALUE"""),"truecnh")</f>
        <v>truecnh</v>
      </c>
      <c r="B12216" s="4" t="str">
        <f>IFERROR(__xludf.DUMMYFUNCTION("""COMPUTED_VALUE"""),"tcnh")</f>
        <v>tcnh</v>
      </c>
      <c r="C12216" s="4" t="str">
        <f>IFERROR(__xludf.DUMMYFUNCTION("""COMPUTED_VALUE"""),"TrueCNH")</f>
        <v>TrueCNH</v>
      </c>
    </row>
    <row r="12217">
      <c r="A12217" s="4" t="str">
        <f>IFERROR(__xludf.DUMMYFUNCTION("""COMPUTED_VALUE"""),"truefeedbackchain")</f>
        <v>truefeedbackchain</v>
      </c>
      <c r="B12217" s="4" t="str">
        <f>IFERROR(__xludf.DUMMYFUNCTION("""COMPUTED_VALUE"""),"tfbx")</f>
        <v>tfbx</v>
      </c>
      <c r="C12217" s="4" t="str">
        <f>IFERROR(__xludf.DUMMYFUNCTION("""COMPUTED_VALUE"""),"Truefeedback")</f>
        <v>Truefeedback</v>
      </c>
    </row>
    <row r="12218">
      <c r="A12218" s="4" t="str">
        <f>IFERROR(__xludf.DUMMYFUNCTION("""COMPUTED_VALUE"""),"truefi")</f>
        <v>truefi</v>
      </c>
      <c r="B12218" s="4" t="str">
        <f>IFERROR(__xludf.DUMMYFUNCTION("""COMPUTED_VALUE"""),"tru")</f>
        <v>tru</v>
      </c>
      <c r="C12218" s="4" t="str">
        <f>IFERROR(__xludf.DUMMYFUNCTION("""COMPUTED_VALUE"""),"TrueFi")</f>
        <v>TrueFi</v>
      </c>
    </row>
    <row r="12219">
      <c r="A12219" s="4" t="str">
        <f>IFERROR(__xludf.DUMMYFUNCTION("""COMPUTED_VALUE"""),"true-pnl")</f>
        <v>true-pnl</v>
      </c>
      <c r="B12219" s="4" t="str">
        <f>IFERROR(__xludf.DUMMYFUNCTION("""COMPUTED_VALUE"""),"pnl")</f>
        <v>pnl</v>
      </c>
      <c r="C12219" s="4" t="str">
        <f>IFERROR(__xludf.DUMMYFUNCTION("""COMPUTED_VALUE"""),"True PNL")</f>
        <v>True PNL</v>
      </c>
    </row>
    <row r="12220">
      <c r="A12220" s="4" t="str">
        <f>IFERROR(__xludf.DUMMYFUNCTION("""COMPUTED_VALUE"""),"true-usd")</f>
        <v>true-usd</v>
      </c>
      <c r="B12220" s="4" t="str">
        <f>IFERROR(__xludf.DUMMYFUNCTION("""COMPUTED_VALUE"""),"tusd")</f>
        <v>tusd</v>
      </c>
      <c r="C12220" s="4" t="str">
        <f>IFERROR(__xludf.DUMMYFUNCTION("""COMPUTED_VALUE"""),"TrueUSD")</f>
        <v>TrueUSD</v>
      </c>
    </row>
    <row r="12221">
      <c r="A12221" s="4" t="str">
        <f>IFERROR(__xludf.DUMMYFUNCTION("""COMPUTED_VALUE"""),"trufin-staked-matic")</f>
        <v>trufin-staked-matic</v>
      </c>
      <c r="B12221" s="4" t="str">
        <f>IFERROR(__xludf.DUMMYFUNCTION("""COMPUTED_VALUE"""),"trumatic")</f>
        <v>trumatic</v>
      </c>
      <c r="C12221" s="4" t="str">
        <f>IFERROR(__xludf.DUMMYFUNCTION("""COMPUTED_VALUE"""),"TruFin Staked MATIC")</f>
        <v>TruFin Staked MATIC</v>
      </c>
    </row>
    <row r="12222">
      <c r="A12222" s="4" t="str">
        <f>IFERROR(__xludf.DUMMYFUNCTION("""COMPUTED_VALUE"""),"truflation")</f>
        <v>truflation</v>
      </c>
      <c r="B12222" s="4" t="str">
        <f>IFERROR(__xludf.DUMMYFUNCTION("""COMPUTED_VALUE"""),"truf")</f>
        <v>truf</v>
      </c>
      <c r="C12222" s="4" t="str">
        <f>IFERROR(__xludf.DUMMYFUNCTION("""COMPUTED_VALUE"""),"Truflation")</f>
        <v>Truflation</v>
      </c>
    </row>
    <row r="12223">
      <c r="A12223" s="4" t="str">
        <f>IFERROR(__xludf.DUMMYFUNCTION("""COMPUTED_VALUE"""),"trumatic-matic-stable-pool")</f>
        <v>trumatic-matic-stable-pool</v>
      </c>
      <c r="B12223" s="4" t="str">
        <f>IFERROR(__xludf.DUMMYFUNCTION("""COMPUTED_VALUE"""),"trumatic-matic")</f>
        <v>trumatic-matic</v>
      </c>
      <c r="C12223" s="4" t="str">
        <f>IFERROR(__xludf.DUMMYFUNCTION("""COMPUTED_VALUE"""),"TruMATIC-MATIC Stable Pool")</f>
        <v>TruMATIC-MATIC Stable Pool</v>
      </c>
    </row>
    <row r="12224">
      <c r="A12224" s="4" t="str">
        <f>IFERROR(__xludf.DUMMYFUNCTION("""COMPUTED_VALUE"""),"trump-cards-fraction-token")</f>
        <v>trump-cards-fraction-token</v>
      </c>
      <c r="B12224" s="4" t="str">
        <f>IFERROR(__xludf.DUMMYFUNCTION("""COMPUTED_VALUE"""),"itrump")</f>
        <v>itrump</v>
      </c>
      <c r="C12224" s="4" t="str">
        <f>IFERROR(__xludf.DUMMYFUNCTION("""COMPUTED_VALUE"""),"Trump Cards Fraction Token")</f>
        <v>Trump Cards Fraction Token</v>
      </c>
    </row>
    <row r="12225">
      <c r="A12225" s="4" t="str">
        <f>IFERROR(__xludf.DUMMYFUNCTION("""COMPUTED_VALUE"""),"trumpcoin-709b1637-4ceb-4e9e-878d-2b137bee017d")</f>
        <v>trumpcoin-709b1637-4ceb-4e9e-878d-2b137bee017d</v>
      </c>
      <c r="B12225" s="4" t="str">
        <f>IFERROR(__xludf.DUMMYFUNCTION("""COMPUTED_VALUE"""),"dtc")</f>
        <v>dtc</v>
      </c>
      <c r="C12225" s="4" t="str">
        <f>IFERROR(__xludf.DUMMYFUNCTION("""COMPUTED_VALUE"""),"TrumpCoin")</f>
        <v>TrumpCoin</v>
      </c>
    </row>
    <row r="12226">
      <c r="A12226" s="4" t="str">
        <f>IFERROR(__xludf.DUMMYFUNCTION("""COMPUTED_VALUE"""),"trust-ai")</f>
        <v>trust-ai</v>
      </c>
      <c r="B12226" s="4" t="str">
        <f>IFERROR(__xludf.DUMMYFUNCTION("""COMPUTED_VALUE"""),"trt")</f>
        <v>trt</v>
      </c>
      <c r="C12226" s="4" t="str">
        <f>IFERROR(__xludf.DUMMYFUNCTION("""COMPUTED_VALUE"""),"TRUST AI")</f>
        <v>TRUST AI</v>
      </c>
    </row>
    <row r="12227">
      <c r="A12227" s="4" t="str">
        <f>IFERROR(__xludf.DUMMYFUNCTION("""COMPUTED_VALUE"""),"trustbase")</f>
        <v>trustbase</v>
      </c>
      <c r="B12227" s="4" t="str">
        <f>IFERROR(__xludf.DUMMYFUNCTION("""COMPUTED_VALUE"""),"tbe")</f>
        <v>tbe</v>
      </c>
      <c r="C12227" s="4" t="str">
        <f>IFERROR(__xludf.DUMMYFUNCTION("""COMPUTED_VALUE"""),"TrustBase")</f>
        <v>TrustBase</v>
      </c>
    </row>
    <row r="12228">
      <c r="A12228" s="4" t="str">
        <f>IFERROR(__xludf.DUMMYFUNCTION("""COMPUTED_VALUE"""),"trustbit-finance")</f>
        <v>trustbit-finance</v>
      </c>
      <c r="B12228" s="4" t="str">
        <f>IFERROR(__xludf.DUMMYFUNCTION("""COMPUTED_VALUE"""),"trs")</f>
        <v>trs</v>
      </c>
      <c r="C12228" s="4" t="str">
        <f>IFERROR(__xludf.DUMMYFUNCTION("""COMPUTED_VALUE"""),"TrustBit Finance")</f>
        <v>TrustBit Finance</v>
      </c>
    </row>
    <row r="12229">
      <c r="A12229" s="4" t="str">
        <f>IFERROR(__xludf.DUMMYFUNCTION("""COMPUTED_VALUE"""),"trustfi-network-token")</f>
        <v>trustfi-network-token</v>
      </c>
      <c r="B12229" s="4" t="str">
        <f>IFERROR(__xludf.DUMMYFUNCTION("""COMPUTED_VALUE"""),"tfi")</f>
        <v>tfi</v>
      </c>
      <c r="C12229" s="4" t="str">
        <f>IFERROR(__xludf.DUMMYFUNCTION("""COMPUTED_VALUE"""),"TrustFi Network")</f>
        <v>TrustFi Network</v>
      </c>
    </row>
    <row r="12230">
      <c r="A12230" s="4" t="str">
        <f>IFERROR(__xludf.DUMMYFUNCTION("""COMPUTED_VALUE"""),"trustnft")</f>
        <v>trustnft</v>
      </c>
      <c r="B12230" s="4" t="str">
        <f>IFERROR(__xludf.DUMMYFUNCTION("""COMPUTED_VALUE"""),"trustnft")</f>
        <v>trustnft</v>
      </c>
      <c r="C12230" s="4" t="str">
        <f>IFERROR(__xludf.DUMMYFUNCTION("""COMPUTED_VALUE"""),"TrustNFT")</f>
        <v>TrustNFT</v>
      </c>
    </row>
    <row r="12231">
      <c r="A12231" s="4" t="str">
        <f>IFERROR(__xludf.DUMMYFUNCTION("""COMPUTED_VALUE"""),"trustpad-2-0")</f>
        <v>trustpad-2-0</v>
      </c>
      <c r="B12231" s="4" t="str">
        <f>IFERROR(__xludf.DUMMYFUNCTION("""COMPUTED_VALUE"""),"tpad")</f>
        <v>tpad</v>
      </c>
      <c r="C12231" s="4" t="str">
        <f>IFERROR(__xludf.DUMMYFUNCTION("""COMPUTED_VALUE"""),"TrustPad")</f>
        <v>TrustPad</v>
      </c>
    </row>
    <row r="12232">
      <c r="A12232" s="4" t="str">
        <f>IFERROR(__xludf.DUMMYFUNCTION("""COMPUTED_VALUE"""),"trustswap")</f>
        <v>trustswap</v>
      </c>
      <c r="B12232" s="4" t="str">
        <f>IFERROR(__xludf.DUMMYFUNCTION("""COMPUTED_VALUE"""),"swap")</f>
        <v>swap</v>
      </c>
      <c r="C12232" s="4" t="str">
        <f>IFERROR(__xludf.DUMMYFUNCTION("""COMPUTED_VALUE"""),"TrustSwap")</f>
        <v>TrustSwap</v>
      </c>
    </row>
    <row r="12233">
      <c r="A12233" s="4" t="str">
        <f>IFERROR(__xludf.DUMMYFUNCTION("""COMPUTED_VALUE"""),"trust-trading-group")</f>
        <v>trust-trading-group</v>
      </c>
      <c r="B12233" s="4" t="str">
        <f>IFERROR(__xludf.DUMMYFUNCTION("""COMPUTED_VALUE"""),"ttg")</f>
        <v>ttg</v>
      </c>
      <c r="C12233" s="4" t="str">
        <f>IFERROR(__xludf.DUMMYFUNCTION("""COMPUTED_VALUE"""),"Trust Trading Group")</f>
        <v>Trust Trading Group</v>
      </c>
    </row>
    <row r="12234">
      <c r="A12234" s="4" t="str">
        <f>IFERROR(__xludf.DUMMYFUNCTION("""COMPUTED_VALUE"""),"trust-wallet-token")</f>
        <v>trust-wallet-token</v>
      </c>
      <c r="B12234" s="4" t="str">
        <f>IFERROR(__xludf.DUMMYFUNCTION("""COMPUTED_VALUE"""),"twt")</f>
        <v>twt</v>
      </c>
      <c r="C12234" s="4" t="str">
        <f>IFERROR(__xludf.DUMMYFUNCTION("""COMPUTED_VALUE"""),"Trust Wallet")</f>
        <v>Trust Wallet</v>
      </c>
    </row>
    <row r="12235">
      <c r="A12235" s="4" t="str">
        <f>IFERROR(__xludf.DUMMYFUNCTION("""COMPUTED_VALUE"""),"truthgpt")</f>
        <v>truthgpt</v>
      </c>
      <c r="B12235" s="4" t="str">
        <f>IFERROR(__xludf.DUMMYFUNCTION("""COMPUTED_VALUE"""),"truth")</f>
        <v>truth</v>
      </c>
      <c r="C12235" s="4" t="str">
        <f>IFERROR(__xludf.DUMMYFUNCTION("""COMPUTED_VALUE"""),"TruthGPT")</f>
        <v>TruthGPT</v>
      </c>
    </row>
    <row r="12236">
      <c r="A12236" s="4" t="str">
        <f>IFERROR(__xludf.DUMMYFUNCTION("""COMPUTED_VALUE"""),"truthgpt-bsc")</f>
        <v>truthgpt-bsc</v>
      </c>
      <c r="B12236" s="4" t="str">
        <f>IFERROR(__xludf.DUMMYFUNCTION("""COMPUTED_VALUE"""),"truth")</f>
        <v>truth</v>
      </c>
      <c r="C12236" s="4" t="str">
        <f>IFERROR(__xludf.DUMMYFUNCTION("""COMPUTED_VALUE"""),"TruthGPT (BSC)")</f>
        <v>TruthGPT (BSC)</v>
      </c>
    </row>
    <row r="12237">
      <c r="A12237" s="4" t="str">
        <f>IFERROR(__xludf.DUMMYFUNCTION("""COMPUTED_VALUE"""),"truthgpt-eth")</f>
        <v>truthgpt-eth</v>
      </c>
      <c r="B12237" s="4" t="str">
        <f>IFERROR(__xludf.DUMMYFUNCTION("""COMPUTED_VALUE"""),"truth")</f>
        <v>truth</v>
      </c>
      <c r="C12237" s="4" t="str">
        <f>IFERROR(__xludf.DUMMYFUNCTION("""COMPUTED_VALUE"""),"TruthGPT (ETH)")</f>
        <v>TruthGPT (ETH)</v>
      </c>
    </row>
    <row r="12238">
      <c r="A12238" s="4" t="str">
        <f>IFERROR(__xludf.DUMMYFUNCTION("""COMPUTED_VALUE"""),"truth-pay")</f>
        <v>truth-pay</v>
      </c>
      <c r="B12238" s="4" t="str">
        <f>IFERROR(__xludf.DUMMYFUNCTION("""COMPUTED_VALUE"""),"trp")</f>
        <v>trp</v>
      </c>
      <c r="C12238" s="4" t="str">
        <f>IFERROR(__xludf.DUMMYFUNCTION("""COMPUTED_VALUE"""),"Truth Pay")</f>
        <v>Truth Pay</v>
      </c>
    </row>
    <row r="12239">
      <c r="A12239" s="4" t="str">
        <f>IFERROR(__xludf.DUMMYFUNCTION("""COMPUTED_VALUE"""),"truth-seekers")</f>
        <v>truth-seekers</v>
      </c>
      <c r="B12239" s="4" t="str">
        <f>IFERROR(__xludf.DUMMYFUNCTION("""COMPUTED_VALUE"""),"truth")</f>
        <v>truth</v>
      </c>
      <c r="C12239" s="4" t="str">
        <f>IFERROR(__xludf.DUMMYFUNCTION("""COMPUTED_VALUE"""),"Truth Seekers")</f>
        <v>Truth Seekers</v>
      </c>
    </row>
    <row r="12240">
      <c r="A12240" s="4" t="str">
        <f>IFERROR(__xludf.DUMMYFUNCTION("""COMPUTED_VALUE"""),"trxi-tron")</f>
        <v>trxi-tron</v>
      </c>
      <c r="B12240" s="4" t="str">
        <f>IFERROR(__xludf.DUMMYFUNCTION("""COMPUTED_VALUE"""),"trxi")</f>
        <v>trxi</v>
      </c>
      <c r="C12240" s="4" t="str">
        <f>IFERROR(__xludf.DUMMYFUNCTION("""COMPUTED_VALUE"""),"TRXI (Tron)")</f>
        <v>TRXI (Tron)</v>
      </c>
    </row>
    <row r="12241">
      <c r="A12241" s="4" t="str">
        <f>IFERROR(__xludf.DUMMYFUNCTION("""COMPUTED_VALUE"""),"tryc")</f>
        <v>tryc</v>
      </c>
      <c r="B12241" s="4" t="str">
        <f>IFERROR(__xludf.DUMMYFUNCTION("""COMPUTED_VALUE"""),"tryc")</f>
        <v>tryc</v>
      </c>
      <c r="C12241" s="4" t="str">
        <f>IFERROR(__xludf.DUMMYFUNCTION("""COMPUTED_VALUE"""),"TRYC")</f>
        <v>TRYC</v>
      </c>
    </row>
    <row r="12242">
      <c r="A12242" s="4" t="str">
        <f>IFERROR(__xludf.DUMMYFUNCTION("""COMPUTED_VALUE"""),"tryhards")</f>
        <v>tryhards</v>
      </c>
      <c r="B12242" s="4" t="str">
        <f>IFERROR(__xludf.DUMMYFUNCTION("""COMPUTED_VALUE"""),"try")</f>
        <v>try</v>
      </c>
      <c r="C12242" s="4" t="str">
        <f>IFERROR(__xludf.DUMMYFUNCTION("""COMPUTED_VALUE"""),"TryHards")</f>
        <v>TryHards</v>
      </c>
    </row>
    <row r="12243">
      <c r="A12243" s="4" t="str">
        <f>IFERROR(__xludf.DUMMYFUNCTION("""COMPUTED_VALUE"""),"tsilver")</f>
        <v>tsilver</v>
      </c>
      <c r="B12243" s="4" t="str">
        <f>IFERROR(__xludf.DUMMYFUNCTION("""COMPUTED_VALUE"""),"txag")</f>
        <v>txag</v>
      </c>
      <c r="C12243" s="4" t="str">
        <f>IFERROR(__xludf.DUMMYFUNCTION("""COMPUTED_VALUE"""),"tSILVER")</f>
        <v>tSILVER</v>
      </c>
    </row>
    <row r="12244">
      <c r="A12244" s="4" t="str">
        <f>IFERROR(__xludf.DUMMYFUNCTION("""COMPUTED_VALUE"""),"tsubasa-utilitiy-token")</f>
        <v>tsubasa-utilitiy-token</v>
      </c>
      <c r="B12244" s="4" t="str">
        <f>IFERROR(__xludf.DUMMYFUNCTION("""COMPUTED_VALUE"""),"tsubasaut")</f>
        <v>tsubasaut</v>
      </c>
      <c r="C12244" s="4" t="str">
        <f>IFERROR(__xludf.DUMMYFUNCTION("""COMPUTED_VALUE"""),"TSUBASA Utilitiy Token")</f>
        <v>TSUBASA Utilitiy Token</v>
      </c>
    </row>
    <row r="12245">
      <c r="A12245" s="4" t="str">
        <f>IFERROR(__xludf.DUMMYFUNCTION("""COMPUTED_VALUE"""),"tsuki-inu")</f>
        <v>tsuki-inu</v>
      </c>
      <c r="B12245" s="4" t="str">
        <f>IFERROR(__xludf.DUMMYFUNCTION("""COMPUTED_VALUE"""),"tkinu")</f>
        <v>tkinu</v>
      </c>
      <c r="C12245" s="4" t="str">
        <f>IFERROR(__xludf.DUMMYFUNCTION("""COMPUTED_VALUE"""),"Tsuki Inu")</f>
        <v>Tsuki Inu</v>
      </c>
    </row>
    <row r="12246">
      <c r="A12246" s="4" t="str">
        <f>IFERROR(__xludf.DUMMYFUNCTION("""COMPUTED_VALUE"""),"ttcoin")</f>
        <v>ttcoin</v>
      </c>
      <c r="B12246" s="4" t="str">
        <f>IFERROR(__xludf.DUMMYFUNCTION("""COMPUTED_VALUE"""),"tc")</f>
        <v>tc</v>
      </c>
      <c r="C12246" s="4" t="str">
        <f>IFERROR(__xludf.DUMMYFUNCTION("""COMPUTED_VALUE"""),"TTcoin")</f>
        <v>TTcoin</v>
      </c>
    </row>
    <row r="12247">
      <c r="A12247" s="4" t="str">
        <f>IFERROR(__xludf.DUMMYFUNCTION("""COMPUTED_VALUE"""),"ttc-protocol")</f>
        <v>ttc-protocol</v>
      </c>
      <c r="B12247" s="4" t="str">
        <f>IFERROR(__xludf.DUMMYFUNCTION("""COMPUTED_VALUE"""),"maro")</f>
        <v>maro</v>
      </c>
      <c r="C12247" s="4" t="str">
        <f>IFERROR(__xludf.DUMMYFUNCTION("""COMPUTED_VALUE"""),"Maro")</f>
        <v>Maro</v>
      </c>
    </row>
    <row r="12248">
      <c r="A12248" s="4" t="str">
        <f>IFERROR(__xludf.DUMMYFUNCTION("""COMPUTED_VALUE"""),"tucker-carlson")</f>
        <v>tucker-carlson</v>
      </c>
      <c r="B12248" s="4" t="str">
        <f>IFERROR(__xludf.DUMMYFUNCTION("""COMPUTED_VALUE"""),"tucker")</f>
        <v>tucker</v>
      </c>
      <c r="C12248" s="4" t="str">
        <f>IFERROR(__xludf.DUMMYFUNCTION("""COMPUTED_VALUE"""),"TUCKER CARLSON")</f>
        <v>TUCKER CARLSON</v>
      </c>
    </row>
    <row r="12249">
      <c r="A12249" s="4" t="str">
        <f>IFERROR(__xludf.DUMMYFUNCTION("""COMPUTED_VALUE"""),"tudabirds")</f>
        <v>tudabirds</v>
      </c>
      <c r="B12249" s="4" t="str">
        <f>IFERROR(__xludf.DUMMYFUNCTION("""COMPUTED_VALUE"""),"burd")</f>
        <v>burd</v>
      </c>
      <c r="C12249" s="4" t="str">
        <f>IFERROR(__xludf.DUMMYFUNCTION("""COMPUTED_VALUE"""),"tudaBirds")</f>
        <v>tudaBirds</v>
      </c>
    </row>
    <row r="12250">
      <c r="A12250" s="4" t="str">
        <f>IFERROR(__xludf.DUMMYFUNCTION("""COMPUTED_VALUE"""),"tuf-token")</f>
        <v>tuf-token</v>
      </c>
      <c r="B12250" s="4" t="str">
        <f>IFERROR(__xludf.DUMMYFUNCTION("""COMPUTED_VALUE"""),"tuf")</f>
        <v>tuf</v>
      </c>
      <c r="C12250" s="4" t="str">
        <f>IFERROR(__xludf.DUMMYFUNCTION("""COMPUTED_VALUE"""),"TUF Token")</f>
        <v>TUF Token</v>
      </c>
    </row>
    <row r="12251">
      <c r="A12251" s="4" t="str">
        <f>IFERROR(__xludf.DUMMYFUNCTION("""COMPUTED_VALUE"""),"tunachain")</f>
        <v>tunachain</v>
      </c>
      <c r="B12251" s="4" t="str">
        <f>IFERROR(__xludf.DUMMYFUNCTION("""COMPUTED_VALUE"""),"tuna")</f>
        <v>tuna</v>
      </c>
      <c r="C12251" s="4" t="str">
        <f>IFERROR(__xludf.DUMMYFUNCTION("""COMPUTED_VALUE"""),"Tunachain")</f>
        <v>Tunachain</v>
      </c>
    </row>
    <row r="12252">
      <c r="A12252" s="4" t="str">
        <f>IFERROR(__xludf.DUMMYFUNCTION("""COMPUTED_VALUE"""),"tune-fm")</f>
        <v>tune-fm</v>
      </c>
      <c r="B12252" s="4" t="str">
        <f>IFERROR(__xludf.DUMMYFUNCTION("""COMPUTED_VALUE"""),"jam")</f>
        <v>jam</v>
      </c>
      <c r="C12252" s="5" t="str">
        <f>IFERROR(__xludf.DUMMYFUNCTION("""COMPUTED_VALUE"""),"Tune.Fm")</f>
        <v>Tune.Fm</v>
      </c>
    </row>
    <row r="12253">
      <c r="A12253" s="4" t="str">
        <f>IFERROR(__xludf.DUMMYFUNCTION("""COMPUTED_VALUE"""),"tupelothedog")</f>
        <v>tupelothedog</v>
      </c>
      <c r="B12253" s="4" t="str">
        <f>IFERROR(__xludf.DUMMYFUNCTION("""COMPUTED_VALUE"""),"tupelo")</f>
        <v>tupelo</v>
      </c>
      <c r="C12253" s="4" t="str">
        <f>IFERROR(__xludf.DUMMYFUNCTION("""COMPUTED_VALUE"""),"tupelothedog")</f>
        <v>tupelothedog</v>
      </c>
    </row>
    <row r="12254">
      <c r="A12254" s="4" t="str">
        <f>IFERROR(__xludf.DUMMYFUNCTION("""COMPUTED_VALUE"""),"turan-network")</f>
        <v>turan-network</v>
      </c>
      <c r="B12254" s="4" t="str">
        <f>IFERROR(__xludf.DUMMYFUNCTION("""COMPUTED_VALUE"""),"trn")</f>
        <v>trn</v>
      </c>
      <c r="C12254" s="4" t="str">
        <f>IFERROR(__xludf.DUMMYFUNCTION("""COMPUTED_VALUE"""),"Turan Network")</f>
        <v>Turan Network</v>
      </c>
    </row>
    <row r="12255">
      <c r="A12255" s="4" t="str">
        <f>IFERROR(__xludf.DUMMYFUNCTION("""COMPUTED_VALUE"""),"turbo")</f>
        <v>turbo</v>
      </c>
      <c r="B12255" s="4" t="str">
        <f>IFERROR(__xludf.DUMMYFUNCTION("""COMPUTED_VALUE"""),"turbo")</f>
        <v>turbo</v>
      </c>
      <c r="C12255" s="4" t="str">
        <f>IFERROR(__xludf.DUMMYFUNCTION("""COMPUTED_VALUE"""),"Turbo")</f>
        <v>Turbo</v>
      </c>
    </row>
    <row r="12256">
      <c r="A12256" s="4" t="str">
        <f>IFERROR(__xludf.DUMMYFUNCTION("""COMPUTED_VALUE"""),"turbobot")</f>
        <v>turbobot</v>
      </c>
      <c r="B12256" s="4" t="str">
        <f>IFERROR(__xludf.DUMMYFUNCTION("""COMPUTED_VALUE"""),"turbo")</f>
        <v>turbo</v>
      </c>
      <c r="C12256" s="4" t="str">
        <f>IFERROR(__xludf.DUMMYFUNCTION("""COMPUTED_VALUE"""),"TurboBot")</f>
        <v>TurboBot</v>
      </c>
    </row>
    <row r="12257">
      <c r="A12257" s="4" t="str">
        <f>IFERROR(__xludf.DUMMYFUNCTION("""COMPUTED_VALUE"""),"turbodex")</f>
        <v>turbodex</v>
      </c>
      <c r="B12257" s="4" t="str">
        <f>IFERROR(__xludf.DUMMYFUNCTION("""COMPUTED_VALUE"""),"turbo")</f>
        <v>turbo</v>
      </c>
      <c r="C12257" s="4" t="str">
        <f>IFERROR(__xludf.DUMMYFUNCTION("""COMPUTED_VALUE"""),"TurboDEX")</f>
        <v>TurboDEX</v>
      </c>
    </row>
    <row r="12258">
      <c r="A12258" s="4" t="str">
        <f>IFERROR(__xludf.DUMMYFUNCTION("""COMPUTED_VALUE"""),"turbomoon")</f>
        <v>turbomoon</v>
      </c>
      <c r="B12258" s="4" t="str">
        <f>IFERROR(__xludf.DUMMYFUNCTION("""COMPUTED_VALUE"""),"tmoon")</f>
        <v>tmoon</v>
      </c>
      <c r="C12258" s="4" t="str">
        <f>IFERROR(__xludf.DUMMYFUNCTION("""COMPUTED_VALUE"""),"TurboMoon")</f>
        <v>TurboMoon</v>
      </c>
    </row>
    <row r="12259">
      <c r="A12259" s="4" t="str">
        <f>IFERROR(__xludf.DUMMYFUNCTION("""COMPUTED_VALUE"""),"turbos-finance")</f>
        <v>turbos-finance</v>
      </c>
      <c r="B12259" s="4" t="str">
        <f>IFERROR(__xludf.DUMMYFUNCTION("""COMPUTED_VALUE"""),"turbos")</f>
        <v>turbos</v>
      </c>
      <c r="C12259" s="4" t="str">
        <f>IFERROR(__xludf.DUMMYFUNCTION("""COMPUTED_VALUE"""),"Turbos Finance")</f>
        <v>Turbos Finance</v>
      </c>
    </row>
    <row r="12260">
      <c r="A12260" s="4" t="str">
        <f>IFERROR(__xludf.DUMMYFUNCTION("""COMPUTED_VALUE"""),"turbo-wallet")</f>
        <v>turbo-wallet</v>
      </c>
      <c r="B12260" s="4" t="str">
        <f>IFERROR(__xludf.DUMMYFUNCTION("""COMPUTED_VALUE"""),"turbo")</f>
        <v>turbo</v>
      </c>
      <c r="C12260" s="4" t="str">
        <f>IFERROR(__xludf.DUMMYFUNCTION("""COMPUTED_VALUE"""),"Turbo Wallet")</f>
        <v>Turbo Wallet</v>
      </c>
    </row>
    <row r="12261">
      <c r="A12261" s="4" t="str">
        <f>IFERROR(__xludf.DUMMYFUNCTION("""COMPUTED_VALUE"""),"turex")</f>
        <v>turex</v>
      </c>
      <c r="B12261" s="4" t="str">
        <f>IFERROR(__xludf.DUMMYFUNCTION("""COMPUTED_VALUE"""),"tur")</f>
        <v>tur</v>
      </c>
      <c r="C12261" s="4" t="str">
        <f>IFERROR(__xludf.DUMMYFUNCTION("""COMPUTED_VALUE"""),"Turex")</f>
        <v>Turex</v>
      </c>
    </row>
    <row r="12262">
      <c r="A12262" s="4" t="str">
        <f>IFERROR(__xludf.DUMMYFUNCTION("""COMPUTED_VALUE"""),"turing-network")</f>
        <v>turing-network</v>
      </c>
      <c r="B12262" s="4" t="str">
        <f>IFERROR(__xludf.DUMMYFUNCTION("""COMPUTED_VALUE"""),"tur")</f>
        <v>tur</v>
      </c>
      <c r="C12262" s="4" t="str">
        <f>IFERROR(__xludf.DUMMYFUNCTION("""COMPUTED_VALUE"""),"Turing Network")</f>
        <v>Turing Network</v>
      </c>
    </row>
    <row r="12263">
      <c r="A12263" s="4" t="str">
        <f>IFERROR(__xludf.DUMMYFUNCTION("""COMPUTED_VALUE"""),"turkiye-basketbol-federasyonu-token")</f>
        <v>turkiye-basketbol-federasyonu-token</v>
      </c>
      <c r="B12263" s="4" t="str">
        <f>IFERROR(__xludf.DUMMYFUNCTION("""COMPUTED_VALUE"""),"tbft")</f>
        <v>tbft</v>
      </c>
      <c r="C12263" s="4" t="str">
        <f>IFERROR(__xludf.DUMMYFUNCTION("""COMPUTED_VALUE"""),"Türkiye Basketbol Federasyonu Fan Token")</f>
        <v>Türkiye Basketbol Federasyonu Fan Token</v>
      </c>
    </row>
    <row r="12264">
      <c r="A12264" s="4" t="str">
        <f>IFERROR(__xludf.DUMMYFUNCTION("""COMPUTED_VALUE"""),"turkiye-motosiklet-federasyonu-fan-token")</f>
        <v>turkiye-motosiklet-federasyonu-fan-token</v>
      </c>
      <c r="B12264" s="4" t="str">
        <f>IFERROR(__xludf.DUMMYFUNCTION("""COMPUTED_VALUE"""),"tmft")</f>
        <v>tmft</v>
      </c>
      <c r="C12264" s="4" t="str">
        <f>IFERROR(__xludf.DUMMYFUNCTION("""COMPUTED_VALUE"""),"Türkiye Motosiklet Federasyonu Fan Token")</f>
        <v>Türkiye Motosiklet Federasyonu Fan Token</v>
      </c>
    </row>
    <row r="12265">
      <c r="A12265" s="4" t="str">
        <f>IFERROR(__xludf.DUMMYFUNCTION("""COMPUTED_VALUE"""),"turk-shiba")</f>
        <v>turk-shiba</v>
      </c>
      <c r="B12265" s="4" t="str">
        <f>IFERROR(__xludf.DUMMYFUNCTION("""COMPUTED_VALUE"""),"tushi")</f>
        <v>tushi</v>
      </c>
      <c r="C12265" s="4" t="str">
        <f>IFERROR(__xludf.DUMMYFUNCTION("""COMPUTED_VALUE"""),"Turk Shiba")</f>
        <v>Turk Shiba</v>
      </c>
    </row>
    <row r="12266">
      <c r="A12266" s="4" t="str">
        <f>IFERROR(__xludf.DUMMYFUNCTION("""COMPUTED_VALUE"""),"turnup-lfg")</f>
        <v>turnup-lfg</v>
      </c>
      <c r="B12266" s="4" t="str">
        <f>IFERROR(__xludf.DUMMYFUNCTION("""COMPUTED_VALUE"""),"lfg")</f>
        <v>lfg</v>
      </c>
      <c r="C12266" s="4" t="str">
        <f>IFERROR(__xludf.DUMMYFUNCTION("""COMPUTED_VALUE"""),"TurnUp $LFG")</f>
        <v>TurnUp $LFG</v>
      </c>
    </row>
    <row r="12267">
      <c r="A12267" s="4" t="str">
        <f>IFERROR(__xludf.DUMMYFUNCTION("""COMPUTED_VALUE"""),"turtlecoin")</f>
        <v>turtlecoin</v>
      </c>
      <c r="B12267" s="4" t="str">
        <f>IFERROR(__xludf.DUMMYFUNCTION("""COMPUTED_VALUE"""),"trtl")</f>
        <v>trtl</v>
      </c>
      <c r="C12267" s="4" t="str">
        <f>IFERROR(__xludf.DUMMYFUNCTION("""COMPUTED_VALUE"""),"TurtleCoin")</f>
        <v>TurtleCoin</v>
      </c>
    </row>
    <row r="12268">
      <c r="A12268" s="4" t="str">
        <f>IFERROR(__xludf.DUMMYFUNCTION("""COMPUTED_VALUE"""),"turtsat")</f>
        <v>turtsat</v>
      </c>
      <c r="B12268" s="4" t="str">
        <f>IFERROR(__xludf.DUMMYFUNCTION("""COMPUTED_VALUE"""),"turt")</f>
        <v>turt</v>
      </c>
      <c r="C12268" s="4" t="str">
        <f>IFERROR(__xludf.DUMMYFUNCTION("""COMPUTED_VALUE"""),"TurtSat")</f>
        <v>TurtSat</v>
      </c>
    </row>
    <row r="12269">
      <c r="A12269" s="4" t="str">
        <f>IFERROR(__xludf.DUMMYFUNCTION("""COMPUTED_VALUE"""),"tusd-yvault")</f>
        <v>tusd-yvault</v>
      </c>
      <c r="B12269" s="4" t="str">
        <f>IFERROR(__xludf.DUMMYFUNCTION("""COMPUTED_VALUE"""),"yvtusd")</f>
        <v>yvtusd</v>
      </c>
      <c r="C12269" s="4" t="str">
        <f>IFERROR(__xludf.DUMMYFUNCTION("""COMPUTED_VALUE"""),"TUSD yVault")</f>
        <v>TUSD yVault</v>
      </c>
    </row>
    <row r="12270">
      <c r="A12270" s="4" t="str">
        <f>IFERROR(__xludf.DUMMYFUNCTION("""COMPUTED_VALUE"""),"tutela")</f>
        <v>tutela</v>
      </c>
      <c r="B12270" s="4" t="str">
        <f>IFERROR(__xludf.DUMMYFUNCTION("""COMPUTED_VALUE"""),"tutl")</f>
        <v>tutl</v>
      </c>
      <c r="C12270" s="4" t="str">
        <f>IFERROR(__xludf.DUMMYFUNCTION("""COMPUTED_VALUE"""),"Tutela")</f>
        <v>Tutela</v>
      </c>
    </row>
    <row r="12271">
      <c r="A12271" s="4" t="str">
        <f>IFERROR(__xludf.DUMMYFUNCTION("""COMPUTED_VALUE"""),"tutellus")</f>
        <v>tutellus</v>
      </c>
      <c r="B12271" s="4" t="str">
        <f>IFERROR(__xludf.DUMMYFUNCTION("""COMPUTED_VALUE"""),"tut")</f>
        <v>tut</v>
      </c>
      <c r="C12271" s="4" t="str">
        <f>IFERROR(__xludf.DUMMYFUNCTION("""COMPUTED_VALUE"""),"Tutellus")</f>
        <v>Tutellus</v>
      </c>
    </row>
    <row r="12272">
      <c r="A12272" s="4" t="str">
        <f>IFERROR(__xludf.DUMMYFUNCTION("""COMPUTED_VALUE"""),"tweety")</f>
        <v>tweety</v>
      </c>
      <c r="B12272" s="4" t="str">
        <f>IFERROR(__xludf.DUMMYFUNCTION("""COMPUTED_VALUE"""),"tweety")</f>
        <v>tweety</v>
      </c>
      <c r="C12272" s="4" t="str">
        <f>IFERROR(__xludf.DUMMYFUNCTION("""COMPUTED_VALUE"""),"Tweety")</f>
        <v>Tweety</v>
      </c>
    </row>
    <row r="12273">
      <c r="A12273" s="4" t="str">
        <f>IFERROR(__xludf.DUMMYFUNCTION("""COMPUTED_VALUE"""),"twelve-legions")</f>
        <v>twelve-legions</v>
      </c>
      <c r="B12273" s="4" t="str">
        <f>IFERROR(__xludf.DUMMYFUNCTION("""COMPUTED_VALUE"""),"ctl")</f>
        <v>ctl</v>
      </c>
      <c r="C12273" s="4" t="str">
        <f>IFERROR(__xludf.DUMMYFUNCTION("""COMPUTED_VALUE"""),"Twelve Legions")</f>
        <v>Twelve Legions</v>
      </c>
    </row>
    <row r="12274">
      <c r="A12274" s="4" t="str">
        <f>IFERROR(__xludf.DUMMYFUNCTION("""COMPUTED_VALUE"""),"twelve-zodiac")</f>
        <v>twelve-zodiac</v>
      </c>
      <c r="B12274" s="4" t="str">
        <f>IFERROR(__xludf.DUMMYFUNCTION("""COMPUTED_VALUE"""),"twelve")</f>
        <v>twelve</v>
      </c>
      <c r="C12274" s="4" t="str">
        <f>IFERROR(__xludf.DUMMYFUNCTION("""COMPUTED_VALUE"""),"Twelve Zodiac")</f>
        <v>Twelve Zodiac</v>
      </c>
    </row>
    <row r="12275">
      <c r="A12275" s="4" t="str">
        <f>IFERROR(__xludf.DUMMYFUNCTION("""COMPUTED_VALUE"""),"twinby")</f>
        <v>twinby</v>
      </c>
      <c r="B12275" s="4" t="str">
        <f>IFERROR(__xludf.DUMMYFUNCTION("""COMPUTED_VALUE"""),"twb")</f>
        <v>twb</v>
      </c>
      <c r="C12275" s="4" t="str">
        <f>IFERROR(__xludf.DUMMYFUNCTION("""COMPUTED_VALUE"""),"Twinby")</f>
        <v>Twinby</v>
      </c>
    </row>
    <row r="12276">
      <c r="A12276" s="4" t="str">
        <f>IFERROR(__xludf.DUMMYFUNCTION("""COMPUTED_VALUE"""),"twitter-ceo-floki")</f>
        <v>twitter-ceo-floki</v>
      </c>
      <c r="B12276" s="4" t="str">
        <f>IFERROR(__xludf.DUMMYFUNCTION("""COMPUTED_VALUE"""),"flokiceo")</f>
        <v>flokiceo</v>
      </c>
      <c r="C12276" s="4" t="str">
        <f>IFERROR(__xludf.DUMMYFUNCTION("""COMPUTED_VALUE"""),"Twitter CEO Floki")</f>
        <v>Twitter CEO Floki</v>
      </c>
    </row>
    <row r="12277">
      <c r="A12277" s="4" t="str">
        <f>IFERROR(__xludf.DUMMYFUNCTION("""COMPUTED_VALUE"""),"twotalkingcats")</f>
        <v>twotalkingcats</v>
      </c>
      <c r="B12277" s="4" t="str">
        <f>IFERROR(__xludf.DUMMYFUNCTION("""COMPUTED_VALUE"""),"twocat")</f>
        <v>twocat</v>
      </c>
      <c r="C12277" s="4" t="str">
        <f>IFERROR(__xludf.DUMMYFUNCTION("""COMPUTED_VALUE"""),"TwoTalkingCats")</f>
        <v>TwoTalkingCats</v>
      </c>
    </row>
    <row r="12278">
      <c r="A12278" s="4" t="str">
        <f>IFERROR(__xludf.DUMMYFUNCTION("""COMPUTED_VALUE"""),"twtr-fun")</f>
        <v>twtr-fun</v>
      </c>
      <c r="B12278" s="4" t="str">
        <f>IFERROR(__xludf.DUMMYFUNCTION("""COMPUTED_VALUE"""),"twtr")</f>
        <v>twtr</v>
      </c>
      <c r="C12278" s="4" t="str">
        <f>IFERROR(__xludf.DUMMYFUNCTION("""COMPUTED_VALUE"""),"TWTR.fun")</f>
        <v>TWTR.fun</v>
      </c>
    </row>
    <row r="12279">
      <c r="A12279" s="4" t="str">
        <f>IFERROR(__xludf.DUMMYFUNCTION("""COMPUTED_VALUE"""),"txa")</f>
        <v>txa</v>
      </c>
      <c r="B12279" s="4" t="str">
        <f>IFERROR(__xludf.DUMMYFUNCTION("""COMPUTED_VALUE"""),"txa")</f>
        <v>txa</v>
      </c>
      <c r="C12279" s="4" t="str">
        <f>IFERROR(__xludf.DUMMYFUNCTION("""COMPUTED_VALUE"""),"TXA")</f>
        <v>TXA</v>
      </c>
    </row>
    <row r="12280">
      <c r="A12280" s="4" t="str">
        <f>IFERROR(__xludf.DUMMYFUNCTION("""COMPUTED_VALUE"""),"txn-club")</f>
        <v>txn-club</v>
      </c>
      <c r="B12280" s="4" t="str">
        <f>IFERROR(__xludf.DUMMYFUNCTION("""COMPUTED_VALUE"""),"txn")</f>
        <v>txn</v>
      </c>
      <c r="C12280" s="4" t="str">
        <f>IFERROR(__xludf.DUMMYFUNCTION("""COMPUTED_VALUE"""),"TXN Club")</f>
        <v>TXN Club</v>
      </c>
    </row>
    <row r="12281">
      <c r="A12281" s="4" t="str">
        <f>IFERROR(__xludf.DUMMYFUNCTION("""COMPUTED_VALUE"""),"txswap")</f>
        <v>txswap</v>
      </c>
      <c r="B12281" s="4" t="str">
        <f>IFERROR(__xludf.DUMMYFUNCTION("""COMPUTED_VALUE"""),"txt")</f>
        <v>txt</v>
      </c>
      <c r="C12281" s="4" t="str">
        <f>IFERROR(__xludf.DUMMYFUNCTION("""COMPUTED_VALUE"""),"TXSwap")</f>
        <v>TXSwap</v>
      </c>
    </row>
    <row r="12282">
      <c r="A12282" s="4" t="str">
        <f>IFERROR(__xludf.DUMMYFUNCTION("""COMPUTED_VALUE"""),"txworx")</f>
        <v>txworx</v>
      </c>
      <c r="B12282" s="4" t="str">
        <f>IFERROR(__xludf.DUMMYFUNCTION("""COMPUTED_VALUE"""),"tx")</f>
        <v>tx</v>
      </c>
      <c r="C12282" s="4" t="str">
        <f>IFERROR(__xludf.DUMMYFUNCTION("""COMPUTED_VALUE"""),"TxWorx")</f>
        <v>TxWorx</v>
      </c>
    </row>
    <row r="12283">
      <c r="A12283" s="4" t="str">
        <f>IFERROR(__xludf.DUMMYFUNCTION("""COMPUTED_VALUE"""),"tyche-protocol")</f>
        <v>tyche-protocol</v>
      </c>
      <c r="B12283" s="4" t="str">
        <f>IFERROR(__xludf.DUMMYFUNCTION("""COMPUTED_VALUE"""),"tyche")</f>
        <v>tyche</v>
      </c>
      <c r="C12283" s="4" t="str">
        <f>IFERROR(__xludf.DUMMYFUNCTION("""COMPUTED_VALUE"""),"Tyche Protocol")</f>
        <v>Tyche Protocol</v>
      </c>
    </row>
    <row r="12284">
      <c r="A12284" s="4" t="str">
        <f>IFERROR(__xludf.DUMMYFUNCTION("""COMPUTED_VALUE"""),"tycoon")</f>
        <v>tycoon</v>
      </c>
      <c r="B12284" s="4" t="str">
        <f>IFERROR(__xludf.DUMMYFUNCTION("""COMPUTED_VALUE"""),"tyc")</f>
        <v>tyc</v>
      </c>
      <c r="C12284" s="4" t="str">
        <f>IFERROR(__xludf.DUMMYFUNCTION("""COMPUTED_VALUE"""),"Tycoon")</f>
        <v>Tycoon</v>
      </c>
    </row>
    <row r="12285">
      <c r="A12285" s="4" t="str">
        <f>IFERROR(__xludf.DUMMYFUNCTION("""COMPUTED_VALUE"""),"tyo-ghoul")</f>
        <v>tyo-ghoul</v>
      </c>
      <c r="B12285" s="4" t="str">
        <f>IFERROR(__xludf.DUMMYFUNCTION("""COMPUTED_VALUE"""),"tyo ghoul")</f>
        <v>tyo ghoul</v>
      </c>
      <c r="C12285" s="4" t="str">
        <f>IFERROR(__xludf.DUMMYFUNCTION("""COMPUTED_VALUE"""),"TYO Ghoul")</f>
        <v>TYO Ghoul</v>
      </c>
    </row>
    <row r="12286">
      <c r="A12286" s="4" t="str">
        <f>IFERROR(__xludf.DUMMYFUNCTION("""COMPUTED_VALUE"""),"typeai")</f>
        <v>typeai</v>
      </c>
      <c r="B12286" s="4" t="str">
        <f>IFERROR(__xludf.DUMMYFUNCTION("""COMPUTED_VALUE"""),"type")</f>
        <v>type</v>
      </c>
      <c r="C12286" s="4" t="str">
        <f>IFERROR(__xludf.DUMMYFUNCTION("""COMPUTED_VALUE"""),"TypeAI")</f>
        <v>TypeAI</v>
      </c>
    </row>
    <row r="12287">
      <c r="A12287" s="4" t="str">
        <f>IFERROR(__xludf.DUMMYFUNCTION("""COMPUTED_VALUE"""),"typeit")</f>
        <v>typeit</v>
      </c>
      <c r="B12287" s="4" t="str">
        <f>IFERROR(__xludf.DUMMYFUNCTION("""COMPUTED_VALUE"""),"type")</f>
        <v>type</v>
      </c>
      <c r="C12287" s="4" t="str">
        <f>IFERROR(__xludf.DUMMYFUNCTION("""COMPUTED_VALUE"""),"TypeIt")</f>
        <v>TypeIt</v>
      </c>
    </row>
    <row r="12288">
      <c r="A12288" s="4" t="str">
        <f>IFERROR(__xludf.DUMMYFUNCTION("""COMPUTED_VALUE"""),"typerium")</f>
        <v>typerium</v>
      </c>
      <c r="B12288" s="4" t="str">
        <f>IFERROR(__xludf.DUMMYFUNCTION("""COMPUTED_VALUE"""),"type")</f>
        <v>type</v>
      </c>
      <c r="C12288" s="4" t="str">
        <f>IFERROR(__xludf.DUMMYFUNCTION("""COMPUTED_VALUE"""),"Typerium")</f>
        <v>Typerium</v>
      </c>
    </row>
    <row r="12289">
      <c r="A12289" s="4" t="str">
        <f>IFERROR(__xludf.DUMMYFUNCTION("""COMPUTED_VALUE"""),"tyrel-derpden")</f>
        <v>tyrel-derpden</v>
      </c>
      <c r="B12289" s="4" t="str">
        <f>IFERROR(__xludf.DUMMYFUNCTION("""COMPUTED_VALUE"""),"tyrel")</f>
        <v>tyrel</v>
      </c>
      <c r="C12289" s="4" t="str">
        <f>IFERROR(__xludf.DUMMYFUNCTION("""COMPUTED_VALUE"""),"Tyrel Derpden")</f>
        <v>Tyrel Derpden</v>
      </c>
    </row>
    <row r="12290">
      <c r="A12290" s="4" t="str">
        <f>IFERROR(__xludf.DUMMYFUNCTION("""COMPUTED_VALUE"""),"tyrh")</f>
        <v>tyrh</v>
      </c>
      <c r="B12290" s="4" t="str">
        <f>IFERROR(__xludf.DUMMYFUNCTION("""COMPUTED_VALUE"""),"tyrh")</f>
        <v>tyrh</v>
      </c>
      <c r="C12290" s="4" t="str">
        <f>IFERROR(__xludf.DUMMYFUNCTION("""COMPUTED_VALUE"""),"TYRH")</f>
        <v>TYRH</v>
      </c>
    </row>
    <row r="12291">
      <c r="A12291" s="4" t="str">
        <f>IFERROR(__xludf.DUMMYFUNCTION("""COMPUTED_VALUE"""),"tyrion-finance")</f>
        <v>tyrion-finance</v>
      </c>
      <c r="B12291" s="4" t="str">
        <f>IFERROR(__xludf.DUMMYFUNCTION("""COMPUTED_VALUE"""),"$tyrion")</f>
        <v>$tyrion</v>
      </c>
      <c r="C12291" s="4" t="str">
        <f>IFERROR(__xludf.DUMMYFUNCTION("""COMPUTED_VALUE"""),"Tyrion.finance")</f>
        <v>Tyrion.finance</v>
      </c>
    </row>
    <row r="12292">
      <c r="A12292" s="4" t="str">
        <f>IFERROR(__xludf.DUMMYFUNCTION("""COMPUTED_VALUE"""),"tyz-token")</f>
        <v>tyz-token</v>
      </c>
      <c r="B12292" s="4" t="str">
        <f>IFERROR(__xludf.DUMMYFUNCTION("""COMPUTED_VALUE"""),"tyz")</f>
        <v>tyz</v>
      </c>
      <c r="C12292" s="4" t="str">
        <f>IFERROR(__xludf.DUMMYFUNCTION("""COMPUTED_VALUE"""),"TYZ Token")</f>
        <v>TYZ Token</v>
      </c>
    </row>
    <row r="12293">
      <c r="A12293" s="4" t="str">
        <f>IFERROR(__xludf.DUMMYFUNCTION("""COMPUTED_VALUE"""),"tzbtc")</f>
        <v>tzbtc</v>
      </c>
      <c r="B12293" s="4" t="str">
        <f>IFERROR(__xludf.DUMMYFUNCTION("""COMPUTED_VALUE"""),"tzbtc")</f>
        <v>tzbtc</v>
      </c>
      <c r="C12293" s="4" t="str">
        <f>IFERROR(__xludf.DUMMYFUNCTION("""COMPUTED_VALUE"""),"tzBTC")</f>
        <v>tzBTC</v>
      </c>
    </row>
    <row r="12294">
      <c r="A12294" s="4" t="str">
        <f>IFERROR(__xludf.DUMMYFUNCTION("""COMPUTED_VALUE"""),"ubd-network")</f>
        <v>ubd-network</v>
      </c>
      <c r="B12294" s="4" t="str">
        <f>IFERROR(__xludf.DUMMYFUNCTION("""COMPUTED_VALUE"""),"ubdn")</f>
        <v>ubdn</v>
      </c>
      <c r="C12294" s="4" t="str">
        <f>IFERROR(__xludf.DUMMYFUNCTION("""COMPUTED_VALUE"""),"UBD Network")</f>
        <v>UBD Network</v>
      </c>
    </row>
    <row r="12295">
      <c r="A12295" s="4" t="str">
        <f>IFERROR(__xludf.DUMMYFUNCTION("""COMPUTED_VALUE"""),"ubeswap")</f>
        <v>ubeswap</v>
      </c>
      <c r="B12295" s="4" t="str">
        <f>IFERROR(__xludf.DUMMYFUNCTION("""COMPUTED_VALUE"""),"ube")</f>
        <v>ube</v>
      </c>
      <c r="C12295" s="4" t="str">
        <f>IFERROR(__xludf.DUMMYFUNCTION("""COMPUTED_VALUE"""),"Ubeswap")</f>
        <v>Ubeswap</v>
      </c>
    </row>
    <row r="12296">
      <c r="A12296" s="4" t="str">
        <f>IFERROR(__xludf.DUMMYFUNCTION("""COMPUTED_VALUE"""),"ubiq")</f>
        <v>ubiq</v>
      </c>
      <c r="B12296" s="4" t="str">
        <f>IFERROR(__xludf.DUMMYFUNCTION("""COMPUTED_VALUE"""),"ubq")</f>
        <v>ubq</v>
      </c>
      <c r="C12296" s="4" t="str">
        <f>IFERROR(__xludf.DUMMYFUNCTION("""COMPUTED_VALUE"""),"Ubiq")</f>
        <v>Ubiq</v>
      </c>
    </row>
    <row r="12297">
      <c r="A12297" s="4" t="str">
        <f>IFERROR(__xludf.DUMMYFUNCTION("""COMPUTED_VALUE"""),"ubit")</f>
        <v>ubit</v>
      </c>
      <c r="B12297" s="4" t="str">
        <f>IFERROR(__xludf.DUMMYFUNCTION("""COMPUTED_VALUE"""),"ubit")</f>
        <v>ubit</v>
      </c>
      <c r="C12297" s="4" t="str">
        <f>IFERROR(__xludf.DUMMYFUNCTION("""COMPUTED_VALUE"""),"UBIT")</f>
        <v>UBIT</v>
      </c>
    </row>
    <row r="12298">
      <c r="A12298" s="4" t="str">
        <f>IFERROR(__xludf.DUMMYFUNCTION("""COMPUTED_VALUE"""),"ubix-network")</f>
        <v>ubix-network</v>
      </c>
      <c r="B12298" s="4" t="str">
        <f>IFERROR(__xludf.DUMMYFUNCTION("""COMPUTED_VALUE"""),"ubx")</f>
        <v>ubx</v>
      </c>
      <c r="C12298" s="4" t="str">
        <f>IFERROR(__xludf.DUMMYFUNCTION("""COMPUTED_VALUE"""),"UBIX Network")</f>
        <v>UBIX Network</v>
      </c>
    </row>
    <row r="12299">
      <c r="A12299" s="4" t="str">
        <f>IFERROR(__xludf.DUMMYFUNCTION("""COMPUTED_VALUE"""),"ubxs-token")</f>
        <v>ubxs-token</v>
      </c>
      <c r="B12299" s="4" t="str">
        <f>IFERROR(__xludf.DUMMYFUNCTION("""COMPUTED_VALUE"""),"ubxs")</f>
        <v>ubxs</v>
      </c>
      <c r="C12299" s="4" t="str">
        <f>IFERROR(__xludf.DUMMYFUNCTION("""COMPUTED_VALUE"""),"UBXS")</f>
        <v>UBXS</v>
      </c>
    </row>
    <row r="12300">
      <c r="A12300" s="4" t="str">
        <f>IFERROR(__xludf.DUMMYFUNCTION("""COMPUTED_VALUE"""),"uca")</f>
        <v>uca</v>
      </c>
      <c r="B12300" s="4" t="str">
        <f>IFERROR(__xludf.DUMMYFUNCTION("""COMPUTED_VALUE"""),"uca")</f>
        <v>uca</v>
      </c>
      <c r="C12300" s="4" t="str">
        <f>IFERROR(__xludf.DUMMYFUNCTION("""COMPUTED_VALUE"""),"UCA Coin")</f>
        <v>UCA Coin</v>
      </c>
    </row>
    <row r="12301">
      <c r="A12301" s="4" t="str">
        <f>IFERROR(__xludf.DUMMYFUNCTION("""COMPUTED_VALUE"""),"ucash")</f>
        <v>ucash</v>
      </c>
      <c r="B12301" s="4" t="str">
        <f>IFERROR(__xludf.DUMMYFUNCTION("""COMPUTED_VALUE"""),"ucash")</f>
        <v>ucash</v>
      </c>
      <c r="C12301" s="4" t="str">
        <f>IFERROR(__xludf.DUMMYFUNCTION("""COMPUTED_VALUE"""),"U.CASH")</f>
        <v>U.CASH</v>
      </c>
    </row>
    <row r="12302">
      <c r="A12302" s="4" t="str">
        <f>IFERROR(__xludf.DUMMYFUNCTION("""COMPUTED_VALUE"""),"ucon")</f>
        <v>ucon</v>
      </c>
      <c r="B12302" s="4" t="str">
        <f>IFERROR(__xludf.DUMMYFUNCTION("""COMPUTED_VALUE"""),"ucon")</f>
        <v>ucon</v>
      </c>
      <c r="C12302" s="4" t="str">
        <f>IFERROR(__xludf.DUMMYFUNCTION("""COMPUTED_VALUE"""),"YouCoin")</f>
        <v>YouCoin</v>
      </c>
    </row>
    <row r="12303">
      <c r="A12303" s="4" t="str">
        <f>IFERROR(__xludf.DUMMYFUNCTION("""COMPUTED_VALUE"""),"ucon-social")</f>
        <v>ucon-social</v>
      </c>
      <c r="B12303" s="4" t="str">
        <f>IFERROR(__xludf.DUMMYFUNCTION("""COMPUTED_VALUE"""),"ucon")</f>
        <v>ucon</v>
      </c>
      <c r="C12303" s="4" t="str">
        <f>IFERROR(__xludf.DUMMYFUNCTION("""COMPUTED_VALUE"""),"Ucon Social")</f>
        <v>Ucon Social</v>
      </c>
    </row>
    <row r="12304">
      <c r="A12304" s="4" t="str">
        <f>IFERROR(__xludf.DUMMYFUNCTION("""COMPUTED_VALUE"""),"ucrowdme")</f>
        <v>ucrowdme</v>
      </c>
      <c r="B12304" s="4" t="str">
        <f>IFERROR(__xludf.DUMMYFUNCTION("""COMPUTED_VALUE"""),"ucm")</f>
        <v>ucm</v>
      </c>
      <c r="C12304" s="4" t="str">
        <f>IFERROR(__xludf.DUMMYFUNCTION("""COMPUTED_VALUE"""),"UCROWDME")</f>
        <v>UCROWDME</v>
      </c>
    </row>
    <row r="12305">
      <c r="A12305" s="4" t="str">
        <f>IFERROR(__xludf.DUMMYFUNCTION("""COMPUTED_VALUE"""),"ucx")</f>
        <v>ucx</v>
      </c>
      <c r="B12305" s="4" t="str">
        <f>IFERROR(__xludf.DUMMYFUNCTION("""COMPUTED_VALUE"""),"ucx")</f>
        <v>ucx</v>
      </c>
      <c r="C12305" s="4" t="str">
        <f>IFERROR(__xludf.DUMMYFUNCTION("""COMPUTED_VALUE"""),"UCX")</f>
        <v>UCX</v>
      </c>
    </row>
    <row r="12306">
      <c r="A12306" s="4" t="str">
        <f>IFERROR(__xludf.DUMMYFUNCTION("""COMPUTED_VALUE"""),"udder-chaos-milk")</f>
        <v>udder-chaos-milk</v>
      </c>
      <c r="B12306" s="4" t="str">
        <f>IFERROR(__xludf.DUMMYFUNCTION("""COMPUTED_VALUE"""),"milk")</f>
        <v>milk</v>
      </c>
      <c r="C12306" s="4" t="str">
        <f>IFERROR(__xludf.DUMMYFUNCTION("""COMPUTED_VALUE"""),"MILK")</f>
        <v>MILK</v>
      </c>
    </row>
    <row r="12307">
      <c r="A12307" s="4" t="str">
        <f>IFERROR(__xludf.DUMMYFUNCTION("""COMPUTED_VALUE"""),"udinese-calcio-fan-token")</f>
        <v>udinese-calcio-fan-token</v>
      </c>
      <c r="B12307" s="4" t="str">
        <f>IFERROR(__xludf.DUMMYFUNCTION("""COMPUTED_VALUE"""),"udi")</f>
        <v>udi</v>
      </c>
      <c r="C12307" s="4" t="str">
        <f>IFERROR(__xludf.DUMMYFUNCTION("""COMPUTED_VALUE"""),"Udinese Calcio Fan Token")</f>
        <v>Udinese Calcio Fan Token</v>
      </c>
    </row>
    <row r="12308">
      <c r="A12308" s="4" t="str">
        <f>IFERROR(__xludf.DUMMYFUNCTION("""COMPUTED_VALUE"""),"uerii")</f>
        <v>uerii</v>
      </c>
      <c r="B12308" s="4" t="str">
        <f>IFERROR(__xludf.DUMMYFUNCTION("""COMPUTED_VALUE"""),"uerii")</f>
        <v>uerii</v>
      </c>
      <c r="C12308" s="4" t="str">
        <f>IFERROR(__xludf.DUMMYFUNCTION("""COMPUTED_VALUE"""),"UERII")</f>
        <v>UERII</v>
      </c>
    </row>
    <row r="12309">
      <c r="A12309" s="4" t="str">
        <f>IFERROR(__xludf.DUMMYFUNCTION("""COMPUTED_VALUE"""),"ufc-fan-token")</f>
        <v>ufc-fan-token</v>
      </c>
      <c r="B12309" s="4" t="str">
        <f>IFERROR(__xludf.DUMMYFUNCTION("""COMPUTED_VALUE"""),"ufc")</f>
        <v>ufc</v>
      </c>
      <c r="C12309" s="4" t="str">
        <f>IFERROR(__xludf.DUMMYFUNCTION("""COMPUTED_VALUE"""),"UFC Fan Token")</f>
        <v>UFC Fan Token</v>
      </c>
    </row>
    <row r="12310">
      <c r="A12310" s="4" t="str">
        <f>IFERROR(__xludf.DUMMYFUNCTION("""COMPUTED_VALUE"""),"ufocoin")</f>
        <v>ufocoin</v>
      </c>
      <c r="B12310" s="4" t="str">
        <f>IFERROR(__xludf.DUMMYFUNCTION("""COMPUTED_VALUE"""),"ufo")</f>
        <v>ufo</v>
      </c>
      <c r="C12310" s="4" t="str">
        <f>IFERROR(__xludf.DUMMYFUNCTION("""COMPUTED_VALUE"""),"Uniform Fiscal Object")</f>
        <v>Uniform Fiscal Object</v>
      </c>
    </row>
    <row r="12311">
      <c r="A12311" s="4" t="str">
        <f>IFERROR(__xludf.DUMMYFUNCTION("""COMPUTED_VALUE"""),"ufo-gaming")</f>
        <v>ufo-gaming</v>
      </c>
      <c r="B12311" s="4" t="str">
        <f>IFERROR(__xludf.DUMMYFUNCTION("""COMPUTED_VALUE"""),"ufo")</f>
        <v>ufo</v>
      </c>
      <c r="C12311" s="4" t="str">
        <f>IFERROR(__xludf.DUMMYFUNCTION("""COMPUTED_VALUE"""),"UFO Gaming")</f>
        <v>UFO Gaming</v>
      </c>
    </row>
    <row r="12312">
      <c r="A12312" s="4" t="str">
        <f>IFERROR(__xludf.DUMMYFUNCTION("""COMPUTED_VALUE"""),"uforika")</f>
        <v>uforika</v>
      </c>
      <c r="B12312" s="4" t="str">
        <f>IFERROR(__xludf.DUMMYFUNCTION("""COMPUTED_VALUE"""),"fora")</f>
        <v>fora</v>
      </c>
      <c r="C12312" s="4" t="str">
        <f>IFERROR(__xludf.DUMMYFUNCTION("""COMPUTED_VALUE"""),"UFORIKA")</f>
        <v>UFORIKA</v>
      </c>
    </row>
    <row r="12313">
      <c r="A12313" s="4" t="str">
        <f>IFERROR(__xludf.DUMMYFUNCTION("""COMPUTED_VALUE"""),"ugold-inc")</f>
        <v>ugold-inc</v>
      </c>
      <c r="B12313" s="4" t="str">
        <f>IFERROR(__xludf.DUMMYFUNCTION("""COMPUTED_VALUE"""),"ugold")</f>
        <v>ugold</v>
      </c>
      <c r="C12313" s="4" t="str">
        <f>IFERROR(__xludf.DUMMYFUNCTION("""COMPUTED_VALUE"""),"UGOLD Inc.")</f>
        <v>UGOLD Inc.</v>
      </c>
    </row>
    <row r="12314">
      <c r="A12314" s="4" t="str">
        <f>IFERROR(__xludf.DUMMYFUNCTION("""COMPUTED_VALUE"""),"uhive")</f>
        <v>uhive</v>
      </c>
      <c r="B12314" s="4" t="str">
        <f>IFERROR(__xludf.DUMMYFUNCTION("""COMPUTED_VALUE"""),"hve2")</f>
        <v>hve2</v>
      </c>
      <c r="C12314" s="4" t="str">
        <f>IFERROR(__xludf.DUMMYFUNCTION("""COMPUTED_VALUE"""),"Uhive")</f>
        <v>Uhive</v>
      </c>
    </row>
    <row r="12315">
      <c r="A12315" s="4" t="str">
        <f>IFERROR(__xludf.DUMMYFUNCTION("""COMPUTED_VALUE"""),"ulanco")</f>
        <v>ulanco</v>
      </c>
      <c r="B12315" s="4" t="str">
        <f>IFERROR(__xludf.DUMMYFUNCTION("""COMPUTED_VALUE"""),"uac")</f>
        <v>uac</v>
      </c>
      <c r="C12315" s="4" t="str">
        <f>IFERROR(__xludf.DUMMYFUNCTION("""COMPUTED_VALUE"""),"Ulanco")</f>
        <v>Ulanco</v>
      </c>
    </row>
    <row r="12316">
      <c r="A12316" s="4" t="str">
        <f>IFERROR(__xludf.DUMMYFUNCTION("""COMPUTED_VALUE"""),"ulord")</f>
        <v>ulord</v>
      </c>
      <c r="B12316" s="4" t="str">
        <f>IFERROR(__xludf.DUMMYFUNCTION("""COMPUTED_VALUE"""),"ut")</f>
        <v>ut</v>
      </c>
      <c r="C12316" s="4" t="str">
        <f>IFERROR(__xludf.DUMMYFUNCTION("""COMPUTED_VALUE"""),"Ulord")</f>
        <v>Ulord</v>
      </c>
    </row>
    <row r="12317">
      <c r="A12317" s="4" t="str">
        <f>IFERROR(__xludf.DUMMYFUNCTION("""COMPUTED_VALUE"""),"ultima")</f>
        <v>ultima</v>
      </c>
      <c r="B12317" s="4" t="str">
        <f>IFERROR(__xludf.DUMMYFUNCTION("""COMPUTED_VALUE"""),"ultima")</f>
        <v>ultima</v>
      </c>
      <c r="C12317" s="4" t="str">
        <f>IFERROR(__xludf.DUMMYFUNCTION("""COMPUTED_VALUE"""),"Ultima")</f>
        <v>Ultima</v>
      </c>
    </row>
    <row r="12318">
      <c r="A12318" s="4" t="str">
        <f>IFERROR(__xludf.DUMMYFUNCTION("""COMPUTED_VALUE"""),"ultra")</f>
        <v>ultra</v>
      </c>
      <c r="B12318" s="4" t="str">
        <f>IFERROR(__xludf.DUMMYFUNCTION("""COMPUTED_VALUE"""),"uos")</f>
        <v>uos</v>
      </c>
      <c r="C12318" s="4" t="str">
        <f>IFERROR(__xludf.DUMMYFUNCTION("""COMPUTED_VALUE"""),"Ultra")</f>
        <v>Ultra</v>
      </c>
    </row>
    <row r="12319">
      <c r="A12319" s="4" t="str">
        <f>IFERROR(__xludf.DUMMYFUNCTION("""COMPUTED_VALUE"""),"ultra-2")</f>
        <v>ultra-2</v>
      </c>
      <c r="B12319" s="4" t="str">
        <f>IFERROR(__xludf.DUMMYFUNCTION("""COMPUTED_VALUE"""),"ultra")</f>
        <v>ultra</v>
      </c>
      <c r="C12319" s="4" t="str">
        <f>IFERROR(__xludf.DUMMYFUNCTION("""COMPUTED_VALUE"""),"ULTRA")</f>
        <v>ULTRA</v>
      </c>
    </row>
    <row r="12320">
      <c r="A12320" s="4" t="str">
        <f>IFERROR(__xludf.DUMMYFUNCTION("""COMPUTED_VALUE"""),"ultra-clear")</f>
        <v>ultra-clear</v>
      </c>
      <c r="B12320" s="4" t="str">
        <f>IFERROR(__xludf.DUMMYFUNCTION("""COMPUTED_VALUE"""),"ucr")</f>
        <v>ucr</v>
      </c>
      <c r="C12320" s="4" t="str">
        <f>IFERROR(__xludf.DUMMYFUNCTION("""COMPUTED_VALUE"""),"Ultra Clear")</f>
        <v>Ultra Clear</v>
      </c>
    </row>
    <row r="12321">
      <c r="A12321" s="4" t="str">
        <f>IFERROR(__xludf.DUMMYFUNCTION("""COMPUTED_VALUE"""),"ultragate")</f>
        <v>ultragate</v>
      </c>
      <c r="B12321" s="4" t="str">
        <f>IFERROR(__xludf.DUMMYFUNCTION("""COMPUTED_VALUE"""),"ulg")</f>
        <v>ulg</v>
      </c>
      <c r="C12321" s="4" t="str">
        <f>IFERROR(__xludf.DUMMYFUNCTION("""COMPUTED_VALUE"""),"Ultragate")</f>
        <v>Ultragate</v>
      </c>
    </row>
    <row r="12322">
      <c r="A12322" s="4" t="str">
        <f>IFERROR(__xludf.DUMMYFUNCTION("""COMPUTED_VALUE"""),"ultrain")</f>
        <v>ultrain</v>
      </c>
      <c r="B12322" s="4" t="str">
        <f>IFERROR(__xludf.DUMMYFUNCTION("""COMPUTED_VALUE"""),"ugas")</f>
        <v>ugas</v>
      </c>
      <c r="C12322" s="4" t="str">
        <f>IFERROR(__xludf.DUMMYFUNCTION("""COMPUTED_VALUE"""),"Ultrain")</f>
        <v>Ultrain</v>
      </c>
    </row>
    <row r="12323">
      <c r="A12323" s="4" t="str">
        <f>IFERROR(__xludf.DUMMYFUNCTION("""COMPUTED_VALUE"""),"ultramoc")</f>
        <v>ultramoc</v>
      </c>
      <c r="B12323" s="4" t="str">
        <f>IFERROR(__xludf.DUMMYFUNCTION("""COMPUTED_VALUE"""),"umc")</f>
        <v>umc</v>
      </c>
      <c r="C12323" s="4" t="str">
        <f>IFERROR(__xludf.DUMMYFUNCTION("""COMPUTED_VALUE"""),"Ultramoc")</f>
        <v>Ultramoc</v>
      </c>
    </row>
    <row r="12324">
      <c r="A12324" s="4" t="str">
        <f>IFERROR(__xludf.DUMMYFUNCTION("""COMPUTED_VALUE"""),"ultra-nft")</f>
        <v>ultra-nft</v>
      </c>
      <c r="B12324" s="4" t="str">
        <f>IFERROR(__xludf.DUMMYFUNCTION("""COMPUTED_VALUE"""),"unft")</f>
        <v>unft</v>
      </c>
      <c r="C12324" s="4" t="str">
        <f>IFERROR(__xludf.DUMMYFUNCTION("""COMPUTED_VALUE"""),"Ultra NFT")</f>
        <v>Ultra NFT</v>
      </c>
    </row>
    <row r="12325">
      <c r="A12325" s="4" t="str">
        <f>IFERROR(__xludf.DUMMYFUNCTION("""COMPUTED_VALUE"""),"ultranote-infinity-bsc")</f>
        <v>ultranote-infinity-bsc</v>
      </c>
      <c r="B12325" s="4" t="str">
        <f>IFERROR(__xludf.DUMMYFUNCTION("""COMPUTED_VALUE"""),"bxuni")</f>
        <v>bxuni</v>
      </c>
      <c r="C12325" s="4" t="str">
        <f>IFERROR(__xludf.DUMMYFUNCTION("""COMPUTED_VALUE"""),"UltraNote Infinity (BSC)")</f>
        <v>UltraNote Infinity (BSC)</v>
      </c>
    </row>
    <row r="12326">
      <c r="A12326" s="4" t="str">
        <f>IFERROR(__xludf.DUMMYFUNCTION("""COMPUTED_VALUE"""),"ultrapro")</f>
        <v>ultrapro</v>
      </c>
      <c r="B12326" s="4" t="str">
        <f>IFERROR(__xludf.DUMMYFUNCTION("""COMPUTED_VALUE"""),"upro")</f>
        <v>upro</v>
      </c>
      <c r="C12326" s="4" t="str">
        <f>IFERROR(__xludf.DUMMYFUNCTION("""COMPUTED_VALUE"""),"Ultrapro")</f>
        <v>Ultrapro</v>
      </c>
    </row>
    <row r="12327">
      <c r="A12327" s="4" t="str">
        <f>IFERROR(__xludf.DUMMYFUNCTION("""COMPUTED_VALUE"""),"ultrasafe")</f>
        <v>ultrasafe</v>
      </c>
      <c r="B12327" s="4" t="str">
        <f>IFERROR(__xludf.DUMMYFUNCTION("""COMPUTED_VALUE"""),"ultra")</f>
        <v>ultra</v>
      </c>
      <c r="C12327" s="4" t="str">
        <f>IFERROR(__xludf.DUMMYFUNCTION("""COMPUTED_VALUE"""),"UltraSafe")</f>
        <v>UltraSafe</v>
      </c>
    </row>
    <row r="12328">
      <c r="A12328" s="4" t="str">
        <f>IFERROR(__xludf.DUMMYFUNCTION("""COMPUTED_VALUE"""),"ultron")</f>
        <v>ultron</v>
      </c>
      <c r="B12328" s="4" t="str">
        <f>IFERROR(__xludf.DUMMYFUNCTION("""COMPUTED_VALUE"""),"ulx")</f>
        <v>ulx</v>
      </c>
      <c r="C12328" s="4" t="str">
        <f>IFERROR(__xludf.DUMMYFUNCTION("""COMPUTED_VALUE"""),"ULTRON")</f>
        <v>ULTRON</v>
      </c>
    </row>
    <row r="12329">
      <c r="A12329" s="4" t="str">
        <f>IFERROR(__xludf.DUMMYFUNCTION("""COMPUTED_VALUE"""),"ultron-vault")</f>
        <v>ultron-vault</v>
      </c>
      <c r="B12329" s="4" t="str">
        <f>IFERROR(__xludf.DUMMYFUNCTION("""COMPUTED_VALUE"""),"ultron")</f>
        <v>ultron</v>
      </c>
      <c r="C12329" s="4" t="str">
        <f>IFERROR(__xludf.DUMMYFUNCTION("""COMPUTED_VALUE"""),"Ultron Vault")</f>
        <v>Ultron Vault</v>
      </c>
    </row>
    <row r="12330">
      <c r="A12330" s="4" t="str">
        <f>IFERROR(__xludf.DUMMYFUNCTION("""COMPUTED_VALUE"""),"uma")</f>
        <v>uma</v>
      </c>
      <c r="B12330" s="4" t="str">
        <f>IFERROR(__xludf.DUMMYFUNCTION("""COMPUTED_VALUE"""),"uma")</f>
        <v>uma</v>
      </c>
      <c r="C12330" s="4" t="str">
        <f>IFERROR(__xludf.DUMMYFUNCTION("""COMPUTED_VALUE"""),"UMA")</f>
        <v>UMA</v>
      </c>
    </row>
    <row r="12331">
      <c r="A12331" s="4" t="str">
        <f>IFERROR(__xludf.DUMMYFUNCTION("""COMPUTED_VALUE"""),"umami-finance")</f>
        <v>umami-finance</v>
      </c>
      <c r="B12331" s="4" t="str">
        <f>IFERROR(__xludf.DUMMYFUNCTION("""COMPUTED_VALUE"""),"umami")</f>
        <v>umami</v>
      </c>
      <c r="C12331" s="4" t="str">
        <f>IFERROR(__xludf.DUMMYFUNCTION("""COMPUTED_VALUE"""),"Umami")</f>
        <v>Umami</v>
      </c>
    </row>
    <row r="12332">
      <c r="A12332" s="4" t="str">
        <f>IFERROR(__xludf.DUMMYFUNCTION("""COMPUTED_VALUE"""),"umareum")</f>
        <v>umareum</v>
      </c>
      <c r="B12332" s="4" t="str">
        <f>IFERROR(__xludf.DUMMYFUNCTION("""COMPUTED_VALUE"""),"umareum")</f>
        <v>umareum</v>
      </c>
      <c r="C12332" s="4" t="str">
        <f>IFERROR(__xludf.DUMMYFUNCTION("""COMPUTED_VALUE"""),"UMAREUM")</f>
        <v>UMAREUM</v>
      </c>
    </row>
    <row r="12333">
      <c r="A12333" s="4" t="str">
        <f>IFERROR(__xludf.DUMMYFUNCTION("""COMPUTED_VALUE"""),"umbrella-network")</f>
        <v>umbrella-network</v>
      </c>
      <c r="B12333" s="4" t="str">
        <f>IFERROR(__xludf.DUMMYFUNCTION("""COMPUTED_VALUE"""),"umb")</f>
        <v>umb</v>
      </c>
      <c r="C12333" s="4" t="str">
        <f>IFERROR(__xludf.DUMMYFUNCTION("""COMPUTED_VALUE"""),"Umbrella Network")</f>
        <v>Umbrella Network</v>
      </c>
    </row>
    <row r="12334">
      <c r="A12334" s="4" t="str">
        <f>IFERROR(__xludf.DUMMYFUNCTION("""COMPUTED_VALUE"""),"umee")</f>
        <v>umee</v>
      </c>
      <c r="B12334" s="4" t="str">
        <f>IFERROR(__xludf.DUMMYFUNCTION("""COMPUTED_VALUE"""),"ux")</f>
        <v>ux</v>
      </c>
      <c r="C12334" s="4" t="str">
        <f>IFERROR(__xludf.DUMMYFUNCTION("""COMPUTED_VALUE"""),"UX Chain")</f>
        <v>UX Chain</v>
      </c>
    </row>
    <row r="12335">
      <c r="A12335" s="4" t="str">
        <f>IFERROR(__xludf.DUMMYFUNCTION("""COMPUTED_VALUE"""),"umi-digital")</f>
        <v>umi-digital</v>
      </c>
      <c r="B12335" s="4" t="str">
        <f>IFERROR(__xludf.DUMMYFUNCTION("""COMPUTED_VALUE"""),"umi")</f>
        <v>umi</v>
      </c>
      <c r="C12335" s="4" t="str">
        <f>IFERROR(__xludf.DUMMYFUNCTION("""COMPUTED_VALUE"""),"Umi Digital")</f>
        <v>Umi Digital</v>
      </c>
    </row>
    <row r="12336">
      <c r="A12336" s="4" t="str">
        <f>IFERROR(__xludf.DUMMYFUNCTION("""COMPUTED_VALUE"""),"umi-s-friends-unity")</f>
        <v>umi-s-friends-unity</v>
      </c>
      <c r="B12336" s="4" t="str">
        <f>IFERROR(__xludf.DUMMYFUNCTION("""COMPUTED_VALUE"""),"unt")</f>
        <v>unt</v>
      </c>
      <c r="C12336" s="4" t="str">
        <f>IFERROR(__xludf.DUMMYFUNCTION("""COMPUTED_VALUE"""),"Umi's Friends Unity")</f>
        <v>Umi's Friends Unity</v>
      </c>
    </row>
    <row r="12337">
      <c r="A12337" s="4" t="str">
        <f>IFERROR(__xludf.DUMMYFUNCTION("""COMPUTED_VALUE"""),"umma-token")</f>
        <v>umma-token</v>
      </c>
      <c r="B12337" s="4" t="str">
        <f>IFERROR(__xludf.DUMMYFUNCTION("""COMPUTED_VALUE"""),"umma")</f>
        <v>umma</v>
      </c>
      <c r="C12337" s="4" t="str">
        <f>IFERROR(__xludf.DUMMYFUNCTION("""COMPUTED_VALUE"""),"Umma Token")</f>
        <v>Umma Token</v>
      </c>
    </row>
    <row r="12338">
      <c r="A12338" s="4" t="str">
        <f>IFERROR(__xludf.DUMMYFUNCTION("""COMPUTED_VALUE"""),"unagii-dai")</f>
        <v>unagii-dai</v>
      </c>
      <c r="B12338" s="4" t="str">
        <f>IFERROR(__xludf.DUMMYFUNCTION("""COMPUTED_VALUE"""),"udai")</f>
        <v>udai</v>
      </c>
      <c r="C12338" s="4" t="str">
        <f>IFERROR(__xludf.DUMMYFUNCTION("""COMPUTED_VALUE"""),"Unagii Dai")</f>
        <v>Unagii Dai</v>
      </c>
    </row>
    <row r="12339">
      <c r="A12339" s="4" t="str">
        <f>IFERROR(__xludf.DUMMYFUNCTION("""COMPUTED_VALUE"""),"unagii-eth")</f>
        <v>unagii-eth</v>
      </c>
      <c r="B12339" s="4" t="str">
        <f>IFERROR(__xludf.DUMMYFUNCTION("""COMPUTED_VALUE"""),"ueth")</f>
        <v>ueth</v>
      </c>
      <c r="C12339" s="4" t="str">
        <f>IFERROR(__xludf.DUMMYFUNCTION("""COMPUTED_VALUE"""),"Unagii ETH")</f>
        <v>Unagii ETH</v>
      </c>
    </row>
    <row r="12340">
      <c r="A12340" s="4" t="str">
        <f>IFERROR(__xludf.DUMMYFUNCTION("""COMPUTED_VALUE"""),"unagii-tether-usd")</f>
        <v>unagii-tether-usd</v>
      </c>
      <c r="B12340" s="4" t="str">
        <f>IFERROR(__xludf.DUMMYFUNCTION("""COMPUTED_VALUE"""),"uusdt")</f>
        <v>uusdt</v>
      </c>
      <c r="C12340" s="4" t="str">
        <f>IFERROR(__xludf.DUMMYFUNCTION("""COMPUTED_VALUE"""),"Unagii Tether USD")</f>
        <v>Unagii Tether USD</v>
      </c>
    </row>
    <row r="12341">
      <c r="A12341" s="4" t="str">
        <f>IFERROR(__xludf.DUMMYFUNCTION("""COMPUTED_VALUE"""),"unagii-usd-coin")</f>
        <v>unagii-usd-coin</v>
      </c>
      <c r="B12341" s="4" t="str">
        <f>IFERROR(__xludf.DUMMYFUNCTION("""COMPUTED_VALUE"""),"uusdc")</f>
        <v>uusdc</v>
      </c>
      <c r="C12341" s="4" t="str">
        <f>IFERROR(__xludf.DUMMYFUNCTION("""COMPUTED_VALUE"""),"Unagii USD Coin")</f>
        <v>Unagii USD Coin</v>
      </c>
    </row>
    <row r="12342">
      <c r="A12342" s="4" t="str">
        <f>IFERROR(__xludf.DUMMYFUNCTION("""COMPUTED_VALUE"""),"unagii-wrapped-bitcoin")</f>
        <v>unagii-wrapped-bitcoin</v>
      </c>
      <c r="B12342" s="4" t="str">
        <f>IFERROR(__xludf.DUMMYFUNCTION("""COMPUTED_VALUE"""),"uwbtc")</f>
        <v>uwbtc</v>
      </c>
      <c r="C12342" s="4" t="str">
        <f>IFERROR(__xludf.DUMMYFUNCTION("""COMPUTED_VALUE"""),"Unagii Wrapped Bitcoin")</f>
        <v>Unagii Wrapped Bitcoin</v>
      </c>
    </row>
    <row r="12343">
      <c r="A12343" s="4" t="str">
        <f>IFERROR(__xludf.DUMMYFUNCTION("""COMPUTED_VALUE"""),"unagi-token")</f>
        <v>unagi-token</v>
      </c>
      <c r="B12343" s="4" t="str">
        <f>IFERROR(__xludf.DUMMYFUNCTION("""COMPUTED_VALUE"""),"una")</f>
        <v>una</v>
      </c>
      <c r="C12343" s="4" t="str">
        <f>IFERROR(__xludf.DUMMYFUNCTION("""COMPUTED_VALUE"""),"Unagi Token")</f>
        <v>Unagi Token</v>
      </c>
    </row>
    <row r="12344">
      <c r="A12344" s="4" t="str">
        <f>IFERROR(__xludf.DUMMYFUNCTION("""COMPUTED_VALUE"""),"unbanked")</f>
        <v>unbanked</v>
      </c>
      <c r="B12344" s="4" t="str">
        <f>IFERROR(__xludf.DUMMYFUNCTION("""COMPUTED_VALUE"""),"unbnk")</f>
        <v>unbnk</v>
      </c>
      <c r="C12344" s="4" t="str">
        <f>IFERROR(__xludf.DUMMYFUNCTION("""COMPUTED_VALUE"""),"Unbanked")</f>
        <v>Unbanked</v>
      </c>
    </row>
    <row r="12345">
      <c r="A12345" s="4" t="str">
        <f>IFERROR(__xludf.DUMMYFUNCTION("""COMPUTED_VALUE"""),"unbound-finance")</f>
        <v>unbound-finance</v>
      </c>
      <c r="B12345" s="4" t="str">
        <f>IFERROR(__xludf.DUMMYFUNCTION("""COMPUTED_VALUE"""),"unb")</f>
        <v>unb</v>
      </c>
      <c r="C12345" s="4" t="str">
        <f>IFERROR(__xludf.DUMMYFUNCTION("""COMPUTED_VALUE"""),"Unbound Finance")</f>
        <v>Unbound Finance</v>
      </c>
    </row>
    <row r="12346">
      <c r="A12346" s="4" t="str">
        <f>IFERROR(__xludf.DUMMYFUNCTION("""COMPUTED_VALUE"""),"uncharted-lands-x")</f>
        <v>uncharted-lands-x</v>
      </c>
      <c r="B12346" s="4" t="str">
        <f>IFERROR(__xludf.DUMMYFUNCTION("""COMPUTED_VALUE"""),"uclx")</f>
        <v>uclx</v>
      </c>
      <c r="C12346" s="4" t="str">
        <f>IFERROR(__xludf.DUMMYFUNCTION("""COMPUTED_VALUE"""),"Uncharted Lands X")</f>
        <v>Uncharted Lands X</v>
      </c>
    </row>
    <row r="12347">
      <c r="A12347" s="4" t="str">
        <f>IFERROR(__xludf.DUMMYFUNCTION("""COMPUTED_VALUE"""),"unclemine")</f>
        <v>unclemine</v>
      </c>
      <c r="B12347" s="4" t="str">
        <f>IFERROR(__xludf.DUMMYFUNCTION("""COMPUTED_VALUE"""),"um")</f>
        <v>um</v>
      </c>
      <c r="C12347" s="4" t="str">
        <f>IFERROR(__xludf.DUMMYFUNCTION("""COMPUTED_VALUE"""),"UncleMine")</f>
        <v>UncleMine</v>
      </c>
    </row>
    <row r="12348">
      <c r="A12348" s="4" t="str">
        <f>IFERROR(__xludf.DUMMYFUNCTION("""COMPUTED_VALUE"""),"undead-blocks")</f>
        <v>undead-blocks</v>
      </c>
      <c r="B12348" s="4" t="str">
        <f>IFERROR(__xludf.DUMMYFUNCTION("""COMPUTED_VALUE"""),"undead")</f>
        <v>undead</v>
      </c>
      <c r="C12348" s="4" t="str">
        <f>IFERROR(__xludf.DUMMYFUNCTION("""COMPUTED_VALUE"""),"Undead Blocks")</f>
        <v>Undead Blocks</v>
      </c>
    </row>
    <row r="12349">
      <c r="A12349" s="4" t="str">
        <f>IFERROR(__xludf.DUMMYFUNCTION("""COMPUTED_VALUE"""),"undeads-games")</f>
        <v>undeads-games</v>
      </c>
      <c r="B12349" s="4" t="str">
        <f>IFERROR(__xludf.DUMMYFUNCTION("""COMPUTED_VALUE"""),"uds")</f>
        <v>uds</v>
      </c>
      <c r="C12349" s="4" t="str">
        <f>IFERROR(__xludf.DUMMYFUNCTION("""COMPUTED_VALUE"""),"Undeads Games")</f>
        <v>Undeads Games</v>
      </c>
    </row>
    <row r="12350">
      <c r="A12350" s="4" t="str">
        <f>IFERROR(__xludf.DUMMYFUNCTION("""COMPUTED_VALUE"""),"underworld")</f>
        <v>underworld</v>
      </c>
      <c r="B12350" s="4" t="str">
        <f>IFERROR(__xludf.DUMMYFUNCTION("""COMPUTED_VALUE"""),"udw")</f>
        <v>udw</v>
      </c>
      <c r="C12350" s="4" t="str">
        <f>IFERROR(__xludf.DUMMYFUNCTION("""COMPUTED_VALUE"""),"Underworld")</f>
        <v>Underworld</v>
      </c>
    </row>
    <row r="12351">
      <c r="A12351" s="4" t="str">
        <f>IFERROR(__xludf.DUMMYFUNCTION("""COMPUTED_VALUE"""),"u-network")</f>
        <v>u-network</v>
      </c>
      <c r="B12351" s="4" t="str">
        <f>IFERROR(__xludf.DUMMYFUNCTION("""COMPUTED_VALUE"""),"uuu")</f>
        <v>uuu</v>
      </c>
      <c r="C12351" s="4" t="str">
        <f>IFERROR(__xludf.DUMMYFUNCTION("""COMPUTED_VALUE"""),"U Network")</f>
        <v>U Network</v>
      </c>
    </row>
    <row r="12352">
      <c r="A12352" s="4" t="str">
        <f>IFERROR(__xludf.DUMMYFUNCTION("""COMPUTED_VALUE"""),"unfederalreserve")</f>
        <v>unfederalreserve</v>
      </c>
      <c r="B12352" s="4" t="str">
        <f>IFERROR(__xludf.DUMMYFUNCTION("""COMPUTED_VALUE"""),"ersdl")</f>
        <v>ersdl</v>
      </c>
      <c r="C12352" s="4" t="str">
        <f>IFERROR(__xludf.DUMMYFUNCTION("""COMPUTED_VALUE"""),"Residual Token")</f>
        <v>Residual Token</v>
      </c>
    </row>
    <row r="12353">
      <c r="A12353" s="4" t="str">
        <f>IFERROR(__xludf.DUMMYFUNCTION("""COMPUTED_VALUE"""),"unibets-ai-2")</f>
        <v>unibets-ai-2</v>
      </c>
      <c r="B12353" s="4" t="str">
        <f>IFERROR(__xludf.DUMMYFUNCTION("""COMPUTED_VALUE"""),"$bets")</f>
        <v>$bets</v>
      </c>
      <c r="C12353" s="5" t="str">
        <f>IFERROR(__xludf.DUMMYFUNCTION("""COMPUTED_VALUE"""),"Unibets.AI")</f>
        <v>Unibets.AI</v>
      </c>
    </row>
    <row r="12354">
      <c r="A12354" s="4" t="str">
        <f>IFERROR(__xludf.DUMMYFUNCTION("""COMPUTED_VALUE"""),"unibot")</f>
        <v>unibot</v>
      </c>
      <c r="B12354" s="4" t="str">
        <f>IFERROR(__xludf.DUMMYFUNCTION("""COMPUTED_VALUE"""),"unibot")</f>
        <v>unibot</v>
      </c>
      <c r="C12354" s="4" t="str">
        <f>IFERROR(__xludf.DUMMYFUNCTION("""COMPUTED_VALUE"""),"Unibot")</f>
        <v>Unibot</v>
      </c>
    </row>
    <row r="12355">
      <c r="A12355" s="4" t="str">
        <f>IFERROR(__xludf.DUMMYFUNCTION("""COMPUTED_VALUE"""),"unibright")</f>
        <v>unibright</v>
      </c>
      <c r="B12355" s="4" t="str">
        <f>IFERROR(__xludf.DUMMYFUNCTION("""COMPUTED_VALUE"""),"ubt")</f>
        <v>ubt</v>
      </c>
      <c r="C12355" s="4" t="str">
        <f>IFERROR(__xludf.DUMMYFUNCTION("""COMPUTED_VALUE"""),"Unibright")</f>
        <v>Unibright</v>
      </c>
    </row>
    <row r="12356">
      <c r="A12356" s="4" t="str">
        <f>IFERROR(__xludf.DUMMYFUNCTION("""COMPUTED_VALUE"""),"unice")</f>
        <v>unice</v>
      </c>
      <c r="B12356" s="4" t="str">
        <f>IFERROR(__xludf.DUMMYFUNCTION("""COMPUTED_VALUE"""),"unice")</f>
        <v>unice</v>
      </c>
      <c r="C12356" s="4" t="str">
        <f>IFERROR(__xludf.DUMMYFUNCTION("""COMPUTED_VALUE"""),"UNICE")</f>
        <v>UNICE</v>
      </c>
    </row>
    <row r="12357">
      <c r="A12357" s="4" t="str">
        <f>IFERROR(__xludf.DUMMYFUNCTION("""COMPUTED_VALUE"""),"unicorn-2")</f>
        <v>unicorn-2</v>
      </c>
      <c r="B12357" s="4" t="str">
        <f>IFERROR(__xludf.DUMMYFUNCTION("""COMPUTED_VALUE"""),"unicorn")</f>
        <v>unicorn</v>
      </c>
      <c r="C12357" s="4" t="str">
        <f>IFERROR(__xludf.DUMMYFUNCTION("""COMPUTED_VALUE"""),"UNICORN")</f>
        <v>UNICORN</v>
      </c>
    </row>
    <row r="12358">
      <c r="A12358" s="4" t="str">
        <f>IFERROR(__xludf.DUMMYFUNCTION("""COMPUTED_VALUE"""),"unicorn-metaverse")</f>
        <v>unicorn-metaverse</v>
      </c>
      <c r="B12358" s="4" t="str">
        <f>IFERROR(__xludf.DUMMYFUNCTION("""COMPUTED_VALUE"""),"universe")</f>
        <v>universe</v>
      </c>
      <c r="C12358" s="4" t="str">
        <f>IFERROR(__xludf.DUMMYFUNCTION("""COMPUTED_VALUE"""),"Unicorn Metaverse")</f>
        <v>Unicorn Metaverse</v>
      </c>
    </row>
    <row r="12359">
      <c r="A12359" s="4" t="str">
        <f>IFERROR(__xludf.DUMMYFUNCTION("""COMPUTED_VALUE"""),"unicorn-milk")</f>
        <v>unicorn-milk</v>
      </c>
      <c r="B12359" s="4" t="str">
        <f>IFERROR(__xludf.DUMMYFUNCTION("""COMPUTED_VALUE"""),"unim")</f>
        <v>unim</v>
      </c>
      <c r="C12359" s="4" t="str">
        <f>IFERROR(__xludf.DUMMYFUNCTION("""COMPUTED_VALUE"""),"Unicorn Milk")</f>
        <v>Unicorn Milk</v>
      </c>
    </row>
    <row r="12360">
      <c r="A12360" s="4" t="str">
        <f>IFERROR(__xludf.DUMMYFUNCTION("""COMPUTED_VALUE"""),"unicorn-token")</f>
        <v>unicorn-token</v>
      </c>
      <c r="B12360" s="4" t="str">
        <f>IFERROR(__xludf.DUMMYFUNCTION("""COMPUTED_VALUE"""),"uni")</f>
        <v>uni</v>
      </c>
      <c r="C12360" s="4" t="str">
        <f>IFERROR(__xludf.DUMMYFUNCTION("""COMPUTED_VALUE"""),"UNICORN")</f>
        <v>UNICORN</v>
      </c>
    </row>
    <row r="12361">
      <c r="A12361" s="4" t="str">
        <f>IFERROR(__xludf.DUMMYFUNCTION("""COMPUTED_VALUE"""),"unicorn-ultra")</f>
        <v>unicorn-ultra</v>
      </c>
      <c r="B12361" s="4" t="str">
        <f>IFERROR(__xludf.DUMMYFUNCTION("""COMPUTED_VALUE"""),"u2u")</f>
        <v>u2u</v>
      </c>
      <c r="C12361" s="4" t="str">
        <f>IFERROR(__xludf.DUMMYFUNCTION("""COMPUTED_VALUE"""),"Unicorn Ultra")</f>
        <v>Unicorn Ultra</v>
      </c>
    </row>
    <row r="12362">
      <c r="A12362" s="4" t="str">
        <f>IFERROR(__xludf.DUMMYFUNCTION("""COMPUTED_VALUE"""),"unicrypt-2")</f>
        <v>unicrypt-2</v>
      </c>
      <c r="B12362" s="4" t="str">
        <f>IFERROR(__xludf.DUMMYFUNCTION("""COMPUTED_VALUE"""),"uncx")</f>
        <v>uncx</v>
      </c>
      <c r="C12362" s="4" t="str">
        <f>IFERROR(__xludf.DUMMYFUNCTION("""COMPUTED_VALUE"""),"UNCX Network")</f>
        <v>UNCX Network</v>
      </c>
    </row>
    <row r="12363">
      <c r="A12363" s="4" t="str">
        <f>IFERROR(__xludf.DUMMYFUNCTION("""COMPUTED_VALUE"""),"unidef")</f>
        <v>unidef</v>
      </c>
      <c r="B12363" s="4" t="str">
        <f>IFERROR(__xludf.DUMMYFUNCTION("""COMPUTED_VALUE"""),"u")</f>
        <v>u</v>
      </c>
      <c r="C12363" s="4" t="str">
        <f>IFERROR(__xludf.DUMMYFUNCTION("""COMPUTED_VALUE"""),"Unidef")</f>
        <v>Unidef</v>
      </c>
    </row>
    <row r="12364">
      <c r="A12364" s="4" t="str">
        <f>IFERROR(__xludf.DUMMYFUNCTION("""COMPUTED_VALUE"""),"unidex")</f>
        <v>unidex</v>
      </c>
      <c r="B12364" s="4" t="str">
        <f>IFERROR(__xludf.DUMMYFUNCTION("""COMPUTED_VALUE"""),"unidx")</f>
        <v>unidx</v>
      </c>
      <c r="C12364" s="4" t="str">
        <f>IFERROR(__xludf.DUMMYFUNCTION("""COMPUTED_VALUE"""),"UniDex")</f>
        <v>UniDex</v>
      </c>
    </row>
    <row r="12365">
      <c r="A12365" s="4" t="str">
        <f>IFERROR(__xludf.DUMMYFUNCTION("""COMPUTED_VALUE"""),"unidexai")</f>
        <v>unidexai</v>
      </c>
      <c r="B12365" s="4" t="str">
        <f>IFERROR(__xludf.DUMMYFUNCTION("""COMPUTED_VALUE"""),"udx")</f>
        <v>udx</v>
      </c>
      <c r="C12365" s="4" t="str">
        <f>IFERROR(__xludf.DUMMYFUNCTION("""COMPUTED_VALUE"""),"UniDexAI")</f>
        <v>UniDexAI</v>
      </c>
    </row>
    <row r="12366">
      <c r="A12366" s="4" t="str">
        <f>IFERROR(__xludf.DUMMYFUNCTION("""COMPUTED_VALUE"""),"unido-ep")</f>
        <v>unido-ep</v>
      </c>
      <c r="B12366" s="4" t="str">
        <f>IFERROR(__xludf.DUMMYFUNCTION("""COMPUTED_VALUE"""),"udo")</f>
        <v>udo</v>
      </c>
      <c r="C12366" s="4" t="str">
        <f>IFERROR(__xludf.DUMMYFUNCTION("""COMPUTED_VALUE"""),"Unido")</f>
        <v>Unido</v>
      </c>
    </row>
    <row r="12367">
      <c r="A12367" s="4" t="str">
        <f>IFERROR(__xludf.DUMMYFUNCTION("""COMPUTED_VALUE"""),"unielon")</f>
        <v>unielon</v>
      </c>
      <c r="B12367" s="4" t="str">
        <f>IFERROR(__xludf.DUMMYFUNCTION("""COMPUTED_VALUE"""),"unix")</f>
        <v>unix</v>
      </c>
      <c r="C12367" s="4" t="str">
        <f>IFERROR(__xludf.DUMMYFUNCTION("""COMPUTED_VALUE"""),"Unielon (DRC-20)")</f>
        <v>Unielon (DRC-20)</v>
      </c>
    </row>
    <row r="12368">
      <c r="A12368" s="4" t="str">
        <f>IFERROR(__xludf.DUMMYFUNCTION("""COMPUTED_VALUE"""),"unifarm")</f>
        <v>unifarm</v>
      </c>
      <c r="B12368" s="4" t="str">
        <f>IFERROR(__xludf.DUMMYFUNCTION("""COMPUTED_VALUE"""),"ufarm")</f>
        <v>ufarm</v>
      </c>
      <c r="C12368" s="4" t="str">
        <f>IFERROR(__xludf.DUMMYFUNCTION("""COMPUTED_VALUE"""),"UniFarm")</f>
        <v>UniFarm</v>
      </c>
    </row>
    <row r="12369">
      <c r="A12369" s="4" t="str">
        <f>IFERROR(__xludf.DUMMYFUNCTION("""COMPUTED_VALUE"""),"unifees")</f>
        <v>unifees</v>
      </c>
      <c r="B12369" s="4" t="str">
        <f>IFERROR(__xludf.DUMMYFUNCTION("""COMPUTED_VALUE"""),"fees")</f>
        <v>fees</v>
      </c>
      <c r="C12369" s="4" t="str">
        <f>IFERROR(__xludf.DUMMYFUNCTION("""COMPUTED_VALUE"""),"Unifees")</f>
        <v>Unifees</v>
      </c>
    </row>
    <row r="12370">
      <c r="A12370" s="4" t="str">
        <f>IFERROR(__xludf.DUMMYFUNCTION("""COMPUTED_VALUE"""),"unifi")</f>
        <v>unifi</v>
      </c>
      <c r="B12370" s="4" t="str">
        <f>IFERROR(__xludf.DUMMYFUNCTION("""COMPUTED_VALUE"""),"unifi")</f>
        <v>unifi</v>
      </c>
      <c r="C12370" s="4" t="str">
        <f>IFERROR(__xludf.DUMMYFUNCTION("""COMPUTED_VALUE"""),"Covenants")</f>
        <v>Covenants</v>
      </c>
    </row>
    <row r="12371">
      <c r="A12371" s="4" t="str">
        <f>IFERROR(__xludf.DUMMYFUNCTION("""COMPUTED_VALUE"""),"unification")</f>
        <v>unification</v>
      </c>
      <c r="B12371" s="4" t="str">
        <f>IFERROR(__xludf.DUMMYFUNCTION("""COMPUTED_VALUE"""),"fund")</f>
        <v>fund</v>
      </c>
      <c r="C12371" s="4" t="str">
        <f>IFERROR(__xludf.DUMMYFUNCTION("""COMPUTED_VALUE"""),"Unification")</f>
        <v>Unification</v>
      </c>
    </row>
    <row r="12372">
      <c r="A12372" s="4" t="str">
        <f>IFERROR(__xludf.DUMMYFUNCTION("""COMPUTED_VALUE"""),"unifi-protocol-dao")</f>
        <v>unifi-protocol-dao</v>
      </c>
      <c r="B12372" s="4" t="str">
        <f>IFERROR(__xludf.DUMMYFUNCTION("""COMPUTED_VALUE"""),"unfi")</f>
        <v>unfi</v>
      </c>
      <c r="C12372" s="4" t="str">
        <f>IFERROR(__xludf.DUMMYFUNCTION("""COMPUTED_VALUE"""),"Unifi Protocol DAO")</f>
        <v>Unifi Protocol DAO</v>
      </c>
    </row>
    <row r="12373">
      <c r="A12373" s="4" t="str">
        <f>IFERROR(__xludf.DUMMYFUNCTION("""COMPUTED_VALUE"""),"unigraph-ordinals")</f>
        <v>unigraph-ordinals</v>
      </c>
      <c r="B12373" s="4" t="str">
        <f>IFERROR(__xludf.DUMMYFUNCTION("""COMPUTED_VALUE"""),"grph")</f>
        <v>grph</v>
      </c>
      <c r="C12373" s="4" t="str">
        <f>IFERROR(__xludf.DUMMYFUNCTION("""COMPUTED_VALUE"""),"Unigraph (Ordinals)")</f>
        <v>Unigraph (Ordinals)</v>
      </c>
    </row>
    <row r="12374">
      <c r="A12374" s="4" t="str">
        <f>IFERROR(__xludf.DUMMYFUNCTION("""COMPUTED_VALUE"""),"unilab-network")</f>
        <v>unilab-network</v>
      </c>
      <c r="B12374" s="4" t="str">
        <f>IFERROR(__xludf.DUMMYFUNCTION("""COMPUTED_VALUE"""),"ulab")</f>
        <v>ulab</v>
      </c>
      <c r="C12374" s="4" t="str">
        <f>IFERROR(__xludf.DUMMYFUNCTION("""COMPUTED_VALUE"""),"Unilab")</f>
        <v>Unilab</v>
      </c>
    </row>
    <row r="12375">
      <c r="A12375" s="4" t="str">
        <f>IFERROR(__xludf.DUMMYFUNCTION("""COMPUTED_VALUE"""),"unilapse")</f>
        <v>unilapse</v>
      </c>
      <c r="B12375" s="4" t="str">
        <f>IFERROR(__xludf.DUMMYFUNCTION("""COMPUTED_VALUE"""),"uni")</f>
        <v>uni</v>
      </c>
      <c r="C12375" s="4" t="str">
        <f>IFERROR(__xludf.DUMMYFUNCTION("""COMPUTED_VALUE"""),"UNILAPSE")</f>
        <v>UNILAPSE</v>
      </c>
    </row>
    <row r="12376">
      <c r="A12376" s="4" t="str">
        <f>IFERROR(__xludf.DUMMYFUNCTION("""COMPUTED_VALUE"""),"unilayer")</f>
        <v>unilayer</v>
      </c>
      <c r="B12376" s="4" t="str">
        <f>IFERROR(__xludf.DUMMYFUNCTION("""COMPUTED_VALUE"""),"layer")</f>
        <v>layer</v>
      </c>
      <c r="C12376" s="4" t="str">
        <f>IFERROR(__xludf.DUMMYFUNCTION("""COMPUTED_VALUE"""),"UniLayer")</f>
        <v>UniLayer</v>
      </c>
    </row>
    <row r="12377">
      <c r="A12377" s="4" t="str">
        <f>IFERROR(__xludf.DUMMYFUNCTION("""COMPUTED_VALUE"""),"union-finance")</f>
        <v>union-finance</v>
      </c>
      <c r="B12377" s="4" t="str">
        <f>IFERROR(__xludf.DUMMYFUNCTION("""COMPUTED_VALUE"""),"union")</f>
        <v>union</v>
      </c>
      <c r="C12377" s="4" t="str">
        <f>IFERROR(__xludf.DUMMYFUNCTION("""COMPUTED_VALUE"""),"Union Finance")</f>
        <v>Union Finance</v>
      </c>
    </row>
    <row r="12378">
      <c r="A12378" s="4" t="str">
        <f>IFERROR(__xludf.DUMMYFUNCTION("""COMPUTED_VALUE"""),"union-protocol-governance-token")</f>
        <v>union-protocol-governance-token</v>
      </c>
      <c r="B12378" s="4" t="str">
        <f>IFERROR(__xludf.DUMMYFUNCTION("""COMPUTED_VALUE"""),"unn")</f>
        <v>unn</v>
      </c>
      <c r="C12378" s="4" t="str">
        <f>IFERROR(__xludf.DUMMYFUNCTION("""COMPUTED_VALUE"""),"UNION Protocol Governance")</f>
        <v>UNION Protocol Governance</v>
      </c>
    </row>
    <row r="12379">
      <c r="A12379" s="4" t="str">
        <f>IFERROR(__xludf.DUMMYFUNCTION("""COMPUTED_VALUE"""),"unipoly")</f>
        <v>unipoly</v>
      </c>
      <c r="B12379" s="4" t="str">
        <f>IFERROR(__xludf.DUMMYFUNCTION("""COMPUTED_VALUE"""),"unp")</f>
        <v>unp</v>
      </c>
      <c r="C12379" s="4" t="str">
        <f>IFERROR(__xludf.DUMMYFUNCTION("""COMPUTED_VALUE"""),"Unipoly")</f>
        <v>Unipoly</v>
      </c>
    </row>
    <row r="12380">
      <c r="A12380" s="4" t="str">
        <f>IFERROR(__xludf.DUMMYFUNCTION("""COMPUTED_VALUE"""),"unipower")</f>
        <v>unipower</v>
      </c>
      <c r="B12380" s="4" t="str">
        <f>IFERROR(__xludf.DUMMYFUNCTION("""COMPUTED_VALUE"""),"power")</f>
        <v>power</v>
      </c>
      <c r="C12380" s="4" t="str">
        <f>IFERROR(__xludf.DUMMYFUNCTION("""COMPUTED_VALUE"""),"UniPower")</f>
        <v>UniPower</v>
      </c>
    </row>
    <row r="12381">
      <c r="A12381" s="4" t="str">
        <f>IFERROR(__xludf.DUMMYFUNCTION("""COMPUTED_VALUE"""),"uniq-digital-coin")</f>
        <v>uniq-digital-coin</v>
      </c>
      <c r="B12381" s="4" t="str">
        <f>IFERROR(__xludf.DUMMYFUNCTION("""COMPUTED_VALUE"""),"udc")</f>
        <v>udc</v>
      </c>
      <c r="C12381" s="4" t="str">
        <f>IFERROR(__xludf.DUMMYFUNCTION("""COMPUTED_VALUE"""),"Uniq Digital Coin")</f>
        <v>Uniq Digital Coin</v>
      </c>
    </row>
    <row r="12382">
      <c r="A12382" s="4" t="str">
        <f>IFERROR(__xludf.DUMMYFUNCTION("""COMPUTED_VALUE"""),"unique-network")</f>
        <v>unique-network</v>
      </c>
      <c r="B12382" s="4" t="str">
        <f>IFERROR(__xludf.DUMMYFUNCTION("""COMPUTED_VALUE"""),"unq")</f>
        <v>unq</v>
      </c>
      <c r="C12382" s="4" t="str">
        <f>IFERROR(__xludf.DUMMYFUNCTION("""COMPUTED_VALUE"""),"Unique Network")</f>
        <v>Unique Network</v>
      </c>
    </row>
    <row r="12383">
      <c r="A12383" s="4" t="str">
        <f>IFERROR(__xludf.DUMMYFUNCTION("""COMPUTED_VALUE"""),"unique-one")</f>
        <v>unique-one</v>
      </c>
      <c r="B12383" s="4" t="str">
        <f>IFERROR(__xludf.DUMMYFUNCTION("""COMPUTED_VALUE"""),"rare")</f>
        <v>rare</v>
      </c>
      <c r="C12383" s="4" t="str">
        <f>IFERROR(__xludf.DUMMYFUNCTION("""COMPUTED_VALUE"""),"Unique One")</f>
        <v>Unique One</v>
      </c>
    </row>
    <row r="12384">
      <c r="A12384" s="4" t="str">
        <f>IFERROR(__xludf.DUMMYFUNCTION("""COMPUTED_VALUE"""),"unique-utility-token")</f>
        <v>unique-utility-token</v>
      </c>
      <c r="B12384" s="4" t="str">
        <f>IFERROR(__xludf.DUMMYFUNCTION("""COMPUTED_VALUE"""),"unqt")</f>
        <v>unqt</v>
      </c>
      <c r="C12384" s="4" t="str">
        <f>IFERROR(__xludf.DUMMYFUNCTION("""COMPUTED_VALUE"""),"Unique Utility")</f>
        <v>Unique Utility</v>
      </c>
    </row>
    <row r="12385">
      <c r="A12385" s="4" t="str">
        <f>IFERROR(__xludf.DUMMYFUNCTION("""COMPUTED_VALUE"""),"unisocks")</f>
        <v>unisocks</v>
      </c>
      <c r="B12385" s="4" t="str">
        <f>IFERROR(__xludf.DUMMYFUNCTION("""COMPUTED_VALUE"""),"socks")</f>
        <v>socks</v>
      </c>
      <c r="C12385" s="4" t="str">
        <f>IFERROR(__xludf.DUMMYFUNCTION("""COMPUTED_VALUE"""),"Unisocks")</f>
        <v>Unisocks</v>
      </c>
    </row>
    <row r="12386">
      <c r="A12386" s="4" t="str">
        <f>IFERROR(__xludf.DUMMYFUNCTION("""COMPUTED_VALUE"""),"unistake")</f>
        <v>unistake</v>
      </c>
      <c r="B12386" s="4" t="str">
        <f>IFERROR(__xludf.DUMMYFUNCTION("""COMPUTED_VALUE"""),"unistake")</f>
        <v>unistake</v>
      </c>
      <c r="C12386" s="4" t="str">
        <f>IFERROR(__xludf.DUMMYFUNCTION("""COMPUTED_VALUE"""),"Unistake")</f>
        <v>Unistake</v>
      </c>
    </row>
    <row r="12387">
      <c r="A12387" s="4" t="str">
        <f>IFERROR(__xludf.DUMMYFUNCTION("""COMPUTED_VALUE"""),"uniswap")</f>
        <v>uniswap</v>
      </c>
      <c r="B12387" s="4" t="str">
        <f>IFERROR(__xludf.DUMMYFUNCTION("""COMPUTED_VALUE"""),"uni")</f>
        <v>uni</v>
      </c>
      <c r="C12387" s="4" t="str">
        <f>IFERROR(__xludf.DUMMYFUNCTION("""COMPUTED_VALUE"""),"Uniswap")</f>
        <v>Uniswap</v>
      </c>
    </row>
    <row r="12388">
      <c r="A12388" s="4" t="str">
        <f>IFERROR(__xludf.DUMMYFUNCTION("""COMPUTED_VALUE"""),"uniswap-wormhole")</f>
        <v>uniswap-wormhole</v>
      </c>
      <c r="B12388" s="4" t="str">
        <f>IFERROR(__xludf.DUMMYFUNCTION("""COMPUTED_VALUE"""),"uni")</f>
        <v>uni</v>
      </c>
      <c r="C12388" s="4" t="str">
        <f>IFERROR(__xludf.DUMMYFUNCTION("""COMPUTED_VALUE"""),"Uniswap (Wormhole)")</f>
        <v>Uniswap (Wormhole)</v>
      </c>
    </row>
    <row r="12389">
      <c r="A12389" s="4" t="str">
        <f>IFERROR(__xludf.DUMMYFUNCTION("""COMPUTED_VALUE"""),"unitao")</f>
        <v>unitao</v>
      </c>
      <c r="B12389" s="4" t="str">
        <f>IFERROR(__xludf.DUMMYFUNCTION("""COMPUTED_VALUE"""),"unitao")</f>
        <v>unitao</v>
      </c>
      <c r="C12389" s="4" t="str">
        <f>IFERROR(__xludf.DUMMYFUNCTION("""COMPUTED_VALUE"""),"UNITAO")</f>
        <v>UNITAO</v>
      </c>
    </row>
    <row r="12390">
      <c r="A12390" s="4" t="str">
        <f>IFERROR(__xludf.DUMMYFUNCTION("""COMPUTED_VALUE"""),"unit-dao")</f>
        <v>unit-dao</v>
      </c>
      <c r="B12390" s="4" t="str">
        <f>IFERROR(__xludf.DUMMYFUNCTION("""COMPUTED_VALUE"""),"un")</f>
        <v>un</v>
      </c>
      <c r="C12390" s="4" t="str">
        <f>IFERROR(__xludf.DUMMYFUNCTION("""COMPUTED_VALUE"""),"UNIT DAO")</f>
        <v>UNIT DAO</v>
      </c>
    </row>
    <row r="12391">
      <c r="A12391" s="4" t="str">
        <f>IFERROR(__xludf.DUMMYFUNCTION("""COMPUTED_VALUE"""),"unitedcrowd")</f>
        <v>unitedcrowd</v>
      </c>
      <c r="B12391" s="4" t="str">
        <f>IFERROR(__xludf.DUMMYFUNCTION("""COMPUTED_VALUE"""),"uct")</f>
        <v>uct</v>
      </c>
      <c r="C12391" s="4" t="str">
        <f>IFERROR(__xludf.DUMMYFUNCTION("""COMPUTED_VALUE"""),"UnitedCrowd")</f>
        <v>UnitedCrowd</v>
      </c>
    </row>
    <row r="12392">
      <c r="A12392" s="4" t="str">
        <f>IFERROR(__xludf.DUMMYFUNCTION("""COMPUTED_VALUE"""),"united-emirates-of-fun")</f>
        <v>united-emirates-of-fun</v>
      </c>
      <c r="B12392" s="4" t="str">
        <f>IFERROR(__xludf.DUMMYFUNCTION("""COMPUTED_VALUE"""),"$uefn")</f>
        <v>$uefn</v>
      </c>
      <c r="C12392" s="4" t="str">
        <f>IFERROR(__xludf.DUMMYFUNCTION("""COMPUTED_VALUE"""),"United Emirates Of Fun")</f>
        <v>United Emirates Of Fun</v>
      </c>
    </row>
    <row r="12393">
      <c r="A12393" s="4" t="str">
        <f>IFERROR(__xludf.DUMMYFUNCTION("""COMPUTED_VALUE"""),"united-states-property-coin")</f>
        <v>united-states-property-coin</v>
      </c>
      <c r="B12393" s="4" t="str">
        <f>IFERROR(__xludf.DUMMYFUNCTION("""COMPUTED_VALUE"""),"usp")</f>
        <v>usp</v>
      </c>
      <c r="C12393" s="4" t="str">
        <f>IFERROR(__xludf.DUMMYFUNCTION("""COMPUTED_VALUE"""),"USP Token")</f>
        <v>USP Token</v>
      </c>
    </row>
    <row r="12394">
      <c r="A12394" s="4" t="str">
        <f>IFERROR(__xludf.DUMMYFUNCTION("""COMPUTED_VALUE"""),"united-token")</f>
        <v>united-token</v>
      </c>
      <c r="B12394" s="4" t="str">
        <f>IFERROR(__xludf.DUMMYFUNCTION("""COMPUTED_VALUE"""),"uted")</f>
        <v>uted</v>
      </c>
      <c r="C12394" s="4" t="str">
        <f>IFERROR(__xludf.DUMMYFUNCTION("""COMPUTED_VALUE"""),"United")</f>
        <v>United</v>
      </c>
    </row>
    <row r="12395">
      <c r="A12395" s="4" t="str">
        <f>IFERROR(__xludf.DUMMYFUNCTION("""COMPUTED_VALUE"""),"uni-terminal")</f>
        <v>uni-terminal</v>
      </c>
      <c r="B12395" s="4" t="str">
        <f>IFERROR(__xludf.DUMMYFUNCTION("""COMPUTED_VALUE"""),"unit")</f>
        <v>unit</v>
      </c>
      <c r="C12395" s="4" t="str">
        <f>IFERROR(__xludf.DUMMYFUNCTION("""COMPUTED_VALUE"""),"Uni Terminal")</f>
        <v>Uni Terminal</v>
      </c>
    </row>
    <row r="12396">
      <c r="A12396" s="4" t="str">
        <f>IFERROR(__xludf.DUMMYFUNCTION("""COMPUTED_VALUE"""),"uni-the-wonder-dog")</f>
        <v>uni-the-wonder-dog</v>
      </c>
      <c r="B12396" s="4" t="str">
        <f>IFERROR(__xludf.DUMMYFUNCTION("""COMPUTED_VALUE"""),"uni")</f>
        <v>uni</v>
      </c>
      <c r="C12396" s="4" t="str">
        <f>IFERROR(__xludf.DUMMYFUNCTION("""COMPUTED_VALUE"""),"Uni the Wonder Dog")</f>
        <v>Uni the Wonder Dog</v>
      </c>
    </row>
    <row r="12397">
      <c r="A12397" s="4" t="str">
        <f>IFERROR(__xludf.DUMMYFUNCTION("""COMPUTED_VALUE"""),"unit-protocol-duck")</f>
        <v>unit-protocol-duck</v>
      </c>
      <c r="B12397" s="4" t="str">
        <f>IFERROR(__xludf.DUMMYFUNCTION("""COMPUTED_VALUE"""),"duck")</f>
        <v>duck</v>
      </c>
      <c r="C12397" s="4" t="str">
        <f>IFERROR(__xludf.DUMMYFUNCTION("""COMPUTED_VALUE"""),"Unit Protocol")</f>
        <v>Unit Protocol</v>
      </c>
    </row>
    <row r="12398">
      <c r="A12398" s="4" t="str">
        <f>IFERROR(__xludf.DUMMYFUNCTION("""COMPUTED_VALUE"""),"unitrade")</f>
        <v>unitrade</v>
      </c>
      <c r="B12398" s="4" t="str">
        <f>IFERROR(__xludf.DUMMYFUNCTION("""COMPUTED_VALUE"""),"trade")</f>
        <v>trade</v>
      </c>
      <c r="C12398" s="4" t="str">
        <f>IFERROR(__xludf.DUMMYFUNCTION("""COMPUTED_VALUE"""),"Unitrade")</f>
        <v>Unitrade</v>
      </c>
    </row>
    <row r="12399">
      <c r="A12399" s="4" t="str">
        <f>IFERROR(__xludf.DUMMYFUNCTION("""COMPUTED_VALUE"""),"units-limited-supply")</f>
        <v>units-limited-supply</v>
      </c>
      <c r="B12399" s="4" t="str">
        <f>IFERROR(__xludf.DUMMYFUNCTION("""COMPUTED_VALUE"""),"uls")</f>
        <v>uls</v>
      </c>
      <c r="C12399" s="4" t="str">
        <f>IFERROR(__xludf.DUMMYFUNCTION("""COMPUTED_VALUE"""),"UNITS LIMITED SUPPLY")</f>
        <v>UNITS LIMITED SUPPLY</v>
      </c>
    </row>
    <row r="12400">
      <c r="A12400" s="4" t="str">
        <f>IFERROR(__xludf.DUMMYFUNCTION("""COMPUTED_VALUE"""),"unitus")</f>
        <v>unitus</v>
      </c>
      <c r="B12400" s="4" t="str">
        <f>IFERROR(__xludf.DUMMYFUNCTION("""COMPUTED_VALUE"""),"uis")</f>
        <v>uis</v>
      </c>
      <c r="C12400" s="4" t="str">
        <f>IFERROR(__xludf.DUMMYFUNCTION("""COMPUTED_VALUE"""),"Unitus")</f>
        <v>Unitus</v>
      </c>
    </row>
    <row r="12401">
      <c r="A12401" s="4" t="str">
        <f>IFERROR(__xludf.DUMMYFUNCTION("""COMPUTED_VALUE"""),"unitus-2")</f>
        <v>unitus-2</v>
      </c>
      <c r="B12401" s="4" t="str">
        <f>IFERROR(__xludf.DUMMYFUNCTION("""COMPUTED_VALUE"""),"uts")</f>
        <v>uts</v>
      </c>
      <c r="C12401" s="4" t="str">
        <f>IFERROR(__xludf.DUMMYFUNCTION("""COMPUTED_VALUE"""),"Unitus")</f>
        <v>Unitus</v>
      </c>
    </row>
    <row r="12402">
      <c r="A12402" s="4" t="str">
        <f>IFERROR(__xludf.DUMMYFUNCTION("""COMPUTED_VALUE"""),"unitybot")</f>
        <v>unitybot</v>
      </c>
      <c r="B12402" s="4" t="str">
        <f>IFERROR(__xludf.DUMMYFUNCTION("""COMPUTED_VALUE"""),"unitybot")</f>
        <v>unitybot</v>
      </c>
      <c r="C12402" s="4" t="str">
        <f>IFERROR(__xludf.DUMMYFUNCTION("""COMPUTED_VALUE"""),"UnityBot")</f>
        <v>UnityBot</v>
      </c>
    </row>
    <row r="12403">
      <c r="A12403" s="4" t="str">
        <f>IFERROR(__xludf.DUMMYFUNCTION("""COMPUTED_VALUE"""),"unitycore")</f>
        <v>unitycore</v>
      </c>
      <c r="B12403" s="4" t="str">
        <f>IFERROR(__xludf.DUMMYFUNCTION("""COMPUTED_VALUE"""),"ucore")</f>
        <v>ucore</v>
      </c>
      <c r="C12403" s="4" t="str">
        <f>IFERROR(__xludf.DUMMYFUNCTION("""COMPUTED_VALUE"""),"UnityCore")</f>
        <v>UnityCore</v>
      </c>
    </row>
    <row r="12404">
      <c r="A12404" s="4" t="str">
        <f>IFERROR(__xludf.DUMMYFUNCTION("""COMPUTED_VALUE"""),"unitymeta-token")</f>
        <v>unitymeta-token</v>
      </c>
      <c r="B12404" s="4" t="str">
        <f>IFERROR(__xludf.DUMMYFUNCTION("""COMPUTED_VALUE"""),"umt")</f>
        <v>umt</v>
      </c>
      <c r="C12404" s="4" t="str">
        <f>IFERROR(__xludf.DUMMYFUNCTION("""COMPUTED_VALUE"""),"UnityMeta Token")</f>
        <v>UnityMeta Token</v>
      </c>
    </row>
    <row r="12405">
      <c r="A12405" s="4" t="str">
        <f>IFERROR(__xludf.DUMMYFUNCTION("""COMPUTED_VALUE"""),"unity-network")</f>
        <v>unity-network</v>
      </c>
      <c r="B12405" s="4" t="str">
        <f>IFERROR(__xludf.DUMMYFUNCTION("""COMPUTED_VALUE"""),"unt")</f>
        <v>unt</v>
      </c>
      <c r="C12405" s="4" t="str">
        <f>IFERROR(__xludf.DUMMYFUNCTION("""COMPUTED_VALUE"""),"Unity Network")</f>
        <v>Unity Network</v>
      </c>
    </row>
    <row r="12406">
      <c r="A12406" s="4" t="str">
        <f>IFERROR(__xludf.DUMMYFUNCTION("""COMPUTED_VALUE"""),"unityventures")</f>
        <v>unityventures</v>
      </c>
      <c r="B12406" s="4" t="str">
        <f>IFERROR(__xludf.DUMMYFUNCTION("""COMPUTED_VALUE"""),"uv")</f>
        <v>uv</v>
      </c>
      <c r="C12406" s="4" t="str">
        <f>IFERROR(__xludf.DUMMYFUNCTION("""COMPUTED_VALUE"""),"Unityventures")</f>
        <v>Unityventures</v>
      </c>
    </row>
    <row r="12407">
      <c r="A12407" s="4" t="str">
        <f>IFERROR(__xludf.DUMMYFUNCTION("""COMPUTED_VALUE"""),"unium")</f>
        <v>unium</v>
      </c>
      <c r="B12407" s="4" t="str">
        <f>IFERROR(__xludf.DUMMYFUNCTION("""COMPUTED_VALUE"""),"unm")</f>
        <v>unm</v>
      </c>
      <c r="C12407" s="4" t="str">
        <f>IFERROR(__xludf.DUMMYFUNCTION("""COMPUTED_VALUE"""),"UNIUM")</f>
        <v>UNIUM</v>
      </c>
    </row>
    <row r="12408">
      <c r="A12408" s="4" t="str">
        <f>IFERROR(__xludf.DUMMYFUNCTION("""COMPUTED_VALUE"""),"universal-basic-income")</f>
        <v>universal-basic-income</v>
      </c>
      <c r="B12408" s="4" t="str">
        <f>IFERROR(__xludf.DUMMYFUNCTION("""COMPUTED_VALUE"""),"ubi")</f>
        <v>ubi</v>
      </c>
      <c r="C12408" s="4" t="str">
        <f>IFERROR(__xludf.DUMMYFUNCTION("""COMPUTED_VALUE"""),"Universal Basic Income")</f>
        <v>Universal Basic Income</v>
      </c>
    </row>
    <row r="12409">
      <c r="A12409" s="4" t="str">
        <f>IFERROR(__xludf.DUMMYFUNCTION("""COMPUTED_VALUE"""),"universal-contact")</f>
        <v>universal-contact</v>
      </c>
      <c r="B12409" s="4" t="str">
        <f>IFERROR(__xludf.DUMMYFUNCTION("""COMPUTED_VALUE"""),"cwf")</f>
        <v>cwf</v>
      </c>
      <c r="C12409" s="4" t="str">
        <f>IFERROR(__xludf.DUMMYFUNCTION("""COMPUTED_VALUE"""),"Universal Contact")</f>
        <v>Universal Contact</v>
      </c>
    </row>
    <row r="12410">
      <c r="A12410" s="4" t="str">
        <f>IFERROR(__xludf.DUMMYFUNCTION("""COMPUTED_VALUE"""),"universal-eth")</f>
        <v>universal-eth</v>
      </c>
      <c r="B12410" s="4" t="str">
        <f>IFERROR(__xludf.DUMMYFUNCTION("""COMPUTED_VALUE"""),"unieth")</f>
        <v>unieth</v>
      </c>
      <c r="C12410" s="4" t="str">
        <f>IFERROR(__xludf.DUMMYFUNCTION("""COMPUTED_VALUE"""),"Universal ETH")</f>
        <v>Universal ETH</v>
      </c>
    </row>
    <row r="12411">
      <c r="A12411" s="4" t="str">
        <f>IFERROR(__xludf.DUMMYFUNCTION("""COMPUTED_VALUE"""),"universal-liquidity-union")</f>
        <v>universal-liquidity-union</v>
      </c>
      <c r="B12411" s="4" t="str">
        <f>IFERROR(__xludf.DUMMYFUNCTION("""COMPUTED_VALUE"""),"ulu")</f>
        <v>ulu</v>
      </c>
      <c r="C12411" s="4" t="str">
        <f>IFERROR(__xludf.DUMMYFUNCTION("""COMPUTED_VALUE"""),"Universal Liquidity Union")</f>
        <v>Universal Liquidity Union</v>
      </c>
    </row>
    <row r="12412">
      <c r="A12412" s="4" t="str">
        <f>IFERROR(__xludf.DUMMYFUNCTION("""COMPUTED_VALUE"""),"universe-xyz")</f>
        <v>universe-xyz</v>
      </c>
      <c r="B12412" s="4" t="str">
        <f>IFERROR(__xludf.DUMMYFUNCTION("""COMPUTED_VALUE"""),"xyz")</f>
        <v>xyz</v>
      </c>
      <c r="C12412" s="4" t="str">
        <f>IFERROR(__xludf.DUMMYFUNCTION("""COMPUTED_VALUE"""),"Universe.XYZ")</f>
        <v>Universe.XYZ</v>
      </c>
    </row>
    <row r="12413">
      <c r="A12413" s="4" t="str">
        <f>IFERROR(__xludf.DUMMYFUNCTION("""COMPUTED_VALUE"""),"universidad-de-chile-fan-token")</f>
        <v>universidad-de-chile-fan-token</v>
      </c>
      <c r="B12413" s="4" t="str">
        <f>IFERROR(__xludf.DUMMYFUNCTION("""COMPUTED_VALUE"""),"uch")</f>
        <v>uch</v>
      </c>
      <c r="C12413" s="4" t="str">
        <f>IFERROR(__xludf.DUMMYFUNCTION("""COMPUTED_VALUE"""),"Universidad de Chile Fan Token")</f>
        <v>Universidad de Chile Fan Token</v>
      </c>
    </row>
    <row r="12414">
      <c r="A12414" s="4" t="str">
        <f>IFERROR(__xludf.DUMMYFUNCTION("""COMPUTED_VALUE"""),"uniwhale")</f>
        <v>uniwhale</v>
      </c>
      <c r="B12414" s="4" t="str">
        <f>IFERROR(__xludf.DUMMYFUNCTION("""COMPUTED_VALUE"""),"unw")</f>
        <v>unw</v>
      </c>
      <c r="C12414" s="4" t="str">
        <f>IFERROR(__xludf.DUMMYFUNCTION("""COMPUTED_VALUE"""),"Uniwhale")</f>
        <v>Uniwhale</v>
      </c>
    </row>
    <row r="12415">
      <c r="A12415" s="4" t="str">
        <f>IFERROR(__xludf.DUMMYFUNCTION("""COMPUTED_VALUE"""),"uniwswap")</f>
        <v>uniwswap</v>
      </c>
      <c r="B12415" s="4" t="str">
        <f>IFERROR(__xludf.DUMMYFUNCTION("""COMPUTED_VALUE"""),"uniw")</f>
        <v>uniw</v>
      </c>
      <c r="C12415" s="4" t="str">
        <f>IFERROR(__xludf.DUMMYFUNCTION("""COMPUTED_VALUE"""),"UniWswap")</f>
        <v>UniWswap</v>
      </c>
    </row>
    <row r="12416">
      <c r="A12416" s="4" t="str">
        <f>IFERROR(__xludf.DUMMYFUNCTION("""COMPUTED_VALUE"""),"unix")</f>
        <v>unix</v>
      </c>
      <c r="B12416" s="4" t="str">
        <f>IFERROR(__xludf.DUMMYFUNCTION("""COMPUTED_VALUE"""),"unix")</f>
        <v>unix</v>
      </c>
      <c r="C12416" s="4" t="str">
        <f>IFERROR(__xludf.DUMMYFUNCTION("""COMPUTED_VALUE"""),"UniX")</f>
        <v>UniX</v>
      </c>
    </row>
    <row r="12417">
      <c r="A12417" s="4" t="str">
        <f>IFERROR(__xludf.DUMMYFUNCTION("""COMPUTED_VALUE"""),"uni-yvault")</f>
        <v>uni-yvault</v>
      </c>
      <c r="B12417" s="4" t="str">
        <f>IFERROR(__xludf.DUMMYFUNCTION("""COMPUTED_VALUE"""),"yvuni")</f>
        <v>yvuni</v>
      </c>
      <c r="C12417" s="4" t="str">
        <f>IFERROR(__xludf.DUMMYFUNCTION("""COMPUTED_VALUE"""),"UNI yVault")</f>
        <v>UNI yVault</v>
      </c>
    </row>
    <row r="12418">
      <c r="A12418" s="4" t="str">
        <f>IFERROR(__xludf.DUMMYFUNCTION("""COMPUTED_VALUE"""),"unizen")</f>
        <v>unizen</v>
      </c>
      <c r="B12418" s="4" t="str">
        <f>IFERROR(__xludf.DUMMYFUNCTION("""COMPUTED_VALUE"""),"zcx")</f>
        <v>zcx</v>
      </c>
      <c r="C12418" s="4" t="str">
        <f>IFERROR(__xludf.DUMMYFUNCTION("""COMPUTED_VALUE"""),"Unizen")</f>
        <v>Unizen</v>
      </c>
    </row>
    <row r="12419">
      <c r="A12419" s="4" t="str">
        <f>IFERROR(__xludf.DUMMYFUNCTION("""COMPUTED_VALUE"""),"unleashclub")</f>
        <v>unleashclub</v>
      </c>
      <c r="B12419" s="4" t="str">
        <f>IFERROR(__xludf.DUMMYFUNCTION("""COMPUTED_VALUE"""),"unleash")</f>
        <v>unleash</v>
      </c>
      <c r="C12419" s="4" t="str">
        <f>IFERROR(__xludf.DUMMYFUNCTION("""COMPUTED_VALUE"""),"UnleashClub")</f>
        <v>UnleashClub</v>
      </c>
    </row>
    <row r="12420">
      <c r="A12420" s="4" t="str">
        <f>IFERROR(__xludf.DUMMYFUNCTION("""COMPUTED_VALUE"""),"unlend-finance")</f>
        <v>unlend-finance</v>
      </c>
      <c r="B12420" s="4" t="str">
        <f>IFERROR(__xludf.DUMMYFUNCTION("""COMPUTED_VALUE"""),"uft")</f>
        <v>uft</v>
      </c>
      <c r="C12420" s="4" t="str">
        <f>IFERROR(__xludf.DUMMYFUNCTION("""COMPUTED_VALUE"""),"UniLend Finance")</f>
        <v>UniLend Finance</v>
      </c>
    </row>
    <row r="12421">
      <c r="A12421" s="4" t="str">
        <f>IFERROR(__xludf.DUMMYFUNCTION("""COMPUTED_VALUE"""),"unlimited-network-token")</f>
        <v>unlimited-network-token</v>
      </c>
      <c r="B12421" s="4" t="str">
        <f>IFERROR(__xludf.DUMMYFUNCTION("""COMPUTED_VALUE"""),"uwu")</f>
        <v>uwu</v>
      </c>
      <c r="C12421" s="4" t="str">
        <f>IFERROR(__xludf.DUMMYFUNCTION("""COMPUTED_VALUE"""),"Unlimited Network Token")</f>
        <v>Unlimited Network Token</v>
      </c>
    </row>
    <row r="12422">
      <c r="A12422" s="4" t="str">
        <f>IFERROR(__xludf.DUMMYFUNCTION("""COMPUTED_VALUE"""),"unlock")</f>
        <v>unlock</v>
      </c>
      <c r="B12422" s="4" t="str">
        <f>IFERROR(__xludf.DUMMYFUNCTION("""COMPUTED_VALUE"""),"unlock")</f>
        <v>unlock</v>
      </c>
      <c r="C12422" s="4" t="str">
        <f>IFERROR(__xludf.DUMMYFUNCTION("""COMPUTED_VALUE"""),"UNLOCK")</f>
        <v>UNLOCK</v>
      </c>
    </row>
    <row r="12423">
      <c r="A12423" s="4" t="str">
        <f>IFERROR(__xludf.DUMMYFUNCTION("""COMPUTED_VALUE"""),"unlock-maverick")</f>
        <v>unlock-maverick</v>
      </c>
      <c r="B12423" s="4" t="str">
        <f>IFERROR(__xludf.DUMMYFUNCTION("""COMPUTED_VALUE"""),"unkmav")</f>
        <v>unkmav</v>
      </c>
      <c r="C12423" s="4" t="str">
        <f>IFERROR(__xludf.DUMMYFUNCTION("""COMPUTED_VALUE"""),"Unlock Maverick")</f>
        <v>Unlock Maverick</v>
      </c>
    </row>
    <row r="12424">
      <c r="A12424" s="4" t="str">
        <f>IFERROR(__xludf.DUMMYFUNCTION("""COMPUTED_VALUE"""),"unlock-protocol")</f>
        <v>unlock-protocol</v>
      </c>
      <c r="B12424" s="4" t="str">
        <f>IFERROR(__xludf.DUMMYFUNCTION("""COMPUTED_VALUE"""),"udt")</f>
        <v>udt</v>
      </c>
      <c r="C12424" s="4" t="str">
        <f>IFERROR(__xludf.DUMMYFUNCTION("""COMPUTED_VALUE"""),"Unlock Protocol")</f>
        <v>Unlock Protocol</v>
      </c>
    </row>
    <row r="12425">
      <c r="A12425" s="4" t="str">
        <f>IFERROR(__xludf.DUMMYFUNCTION("""COMPUTED_VALUE"""),"unlucky")</f>
        <v>unlucky</v>
      </c>
      <c r="B12425" s="4" t="str">
        <f>IFERROR(__xludf.DUMMYFUNCTION("""COMPUTED_VALUE"""),"unlucky")</f>
        <v>unlucky</v>
      </c>
      <c r="C12425" s="4" t="str">
        <f>IFERROR(__xludf.DUMMYFUNCTION("""COMPUTED_VALUE"""),"UNLUCKY")</f>
        <v>UNLUCKY</v>
      </c>
    </row>
    <row r="12426">
      <c r="A12426" s="4" t="str">
        <f>IFERROR(__xludf.DUMMYFUNCTION("""COMPUTED_VALUE"""),"unmarshal")</f>
        <v>unmarshal</v>
      </c>
      <c r="B12426" s="4" t="str">
        <f>IFERROR(__xludf.DUMMYFUNCTION("""COMPUTED_VALUE"""),"marsh")</f>
        <v>marsh</v>
      </c>
      <c r="C12426" s="4" t="str">
        <f>IFERROR(__xludf.DUMMYFUNCTION("""COMPUTED_VALUE"""),"Unmarshal")</f>
        <v>Unmarshal</v>
      </c>
    </row>
    <row r="12427">
      <c r="A12427" s="4" t="str">
        <f>IFERROR(__xludf.DUMMYFUNCTION("""COMPUTED_VALUE"""),"unobtanium")</f>
        <v>unobtanium</v>
      </c>
      <c r="B12427" s="4" t="str">
        <f>IFERROR(__xludf.DUMMYFUNCTION("""COMPUTED_VALUE"""),"uno")</f>
        <v>uno</v>
      </c>
      <c r="C12427" s="4" t="str">
        <f>IFERROR(__xludf.DUMMYFUNCTION("""COMPUTED_VALUE"""),"Unobtanium")</f>
        <v>Unobtanium</v>
      </c>
    </row>
    <row r="12428">
      <c r="A12428" s="4" t="str">
        <f>IFERROR(__xludf.DUMMYFUNCTION("""COMPUTED_VALUE"""),"unobtanium-tezos")</f>
        <v>unobtanium-tezos</v>
      </c>
      <c r="B12428" s="4" t="str">
        <f>IFERROR(__xludf.DUMMYFUNCTION("""COMPUTED_VALUE"""),"uno")</f>
        <v>uno</v>
      </c>
      <c r="C12428" s="4" t="str">
        <f>IFERROR(__xludf.DUMMYFUNCTION("""COMPUTED_VALUE"""),"Unobtanium Tezos")</f>
        <v>Unobtanium Tezos</v>
      </c>
    </row>
    <row r="12429">
      <c r="A12429" s="4" t="str">
        <f>IFERROR(__xludf.DUMMYFUNCTION("""COMPUTED_VALUE"""),"unodex")</f>
        <v>unodex</v>
      </c>
      <c r="B12429" s="4" t="str">
        <f>IFERROR(__xludf.DUMMYFUNCTION("""COMPUTED_VALUE"""),"undx")</f>
        <v>undx</v>
      </c>
      <c r="C12429" s="4" t="str">
        <f>IFERROR(__xludf.DUMMYFUNCTION("""COMPUTED_VALUE"""),"UNODEX")</f>
        <v>UNODEX</v>
      </c>
    </row>
    <row r="12430">
      <c r="A12430" s="4" t="str">
        <f>IFERROR(__xludf.DUMMYFUNCTION("""COMPUTED_VALUE"""),"uno-re")</f>
        <v>uno-re</v>
      </c>
      <c r="B12430" s="4" t="str">
        <f>IFERROR(__xludf.DUMMYFUNCTION("""COMPUTED_VALUE"""),"uno")</f>
        <v>uno</v>
      </c>
      <c r="C12430" s="4" t="str">
        <f>IFERROR(__xludf.DUMMYFUNCTION("""COMPUTED_VALUE"""),"Uno Re")</f>
        <v>Uno Re</v>
      </c>
    </row>
    <row r="12431">
      <c r="A12431" s="4" t="str">
        <f>IFERROR(__xludf.DUMMYFUNCTION("""COMPUTED_VALUE"""),"unq")</f>
        <v>unq</v>
      </c>
      <c r="B12431" s="4" t="str">
        <f>IFERROR(__xludf.DUMMYFUNCTION("""COMPUTED_VALUE"""),"unq")</f>
        <v>unq</v>
      </c>
      <c r="C12431" s="4" t="str">
        <f>IFERROR(__xludf.DUMMYFUNCTION("""COMPUTED_VALUE"""),"Unique Venture clubs")</f>
        <v>Unique Venture clubs</v>
      </c>
    </row>
    <row r="12432">
      <c r="A12432" s="4" t="str">
        <f>IFERROR(__xludf.DUMMYFUNCTION("""COMPUTED_VALUE"""),"unreal-finance")</f>
        <v>unreal-finance</v>
      </c>
      <c r="B12432" s="4" t="str">
        <f>IFERROR(__xludf.DUMMYFUNCTION("""COMPUTED_VALUE"""),"ugt")</f>
        <v>ugt</v>
      </c>
      <c r="C12432" s="4" t="str">
        <f>IFERROR(__xludf.DUMMYFUNCTION("""COMPUTED_VALUE"""),"Unreal Finance")</f>
        <v>Unreal Finance</v>
      </c>
    </row>
    <row r="12433">
      <c r="A12433" s="4" t="str">
        <f>IFERROR(__xludf.DUMMYFUNCTION("""COMPUTED_VALUE"""),"unsheth")</f>
        <v>unsheth</v>
      </c>
      <c r="B12433" s="4" t="str">
        <f>IFERROR(__xludf.DUMMYFUNCTION("""COMPUTED_VALUE"""),"ush")</f>
        <v>ush</v>
      </c>
      <c r="C12433" s="4" t="str">
        <f>IFERROR(__xludf.DUMMYFUNCTION("""COMPUTED_VALUE"""),"unshETHing_Token")</f>
        <v>unshETHing_Token</v>
      </c>
    </row>
    <row r="12434">
      <c r="A12434" s="4" t="str">
        <f>IFERROR(__xludf.DUMMYFUNCTION("""COMPUTED_VALUE"""),"unsheth-unsheth")</f>
        <v>unsheth-unsheth</v>
      </c>
      <c r="B12434" s="4" t="str">
        <f>IFERROR(__xludf.DUMMYFUNCTION("""COMPUTED_VALUE"""),"unsheth")</f>
        <v>unsheth</v>
      </c>
      <c r="C12434" s="4" t="str">
        <f>IFERROR(__xludf.DUMMYFUNCTION("""COMPUTED_VALUE"""),"unshETH Ether")</f>
        <v>unshETH Ether</v>
      </c>
    </row>
    <row r="12435">
      <c r="A12435" s="4" t="str">
        <f>IFERROR(__xludf.DUMMYFUNCTION("""COMPUTED_VALUE"""),"unstake-fi")</f>
        <v>unstake-fi</v>
      </c>
      <c r="B12435" s="4" t="str">
        <f>IFERROR(__xludf.DUMMYFUNCTION("""COMPUTED_VALUE"""),"nstk")</f>
        <v>nstk</v>
      </c>
      <c r="C12435" s="4" t="str">
        <f>IFERROR(__xludf.DUMMYFUNCTION("""COMPUTED_VALUE"""),"Unstake")</f>
        <v>Unstake</v>
      </c>
    </row>
    <row r="12436">
      <c r="A12436" s="4" t="str">
        <f>IFERROR(__xludf.DUMMYFUNCTION("""COMPUTED_VALUE"""),"uns-token")</f>
        <v>uns-token</v>
      </c>
      <c r="B12436" s="4" t="str">
        <f>IFERROR(__xludf.DUMMYFUNCTION("""COMPUTED_VALUE"""),"uns")</f>
        <v>uns</v>
      </c>
      <c r="C12436" s="4" t="str">
        <f>IFERROR(__xludf.DUMMYFUNCTION("""COMPUTED_VALUE"""),"UNS Token")</f>
        <v>UNS Token</v>
      </c>
    </row>
    <row r="12437">
      <c r="A12437" s="4" t="str">
        <f>IFERROR(__xludf.DUMMYFUNCTION("""COMPUTED_VALUE"""),"unstoppable-defi")</f>
        <v>unstoppable-defi</v>
      </c>
      <c r="B12437" s="4" t="str">
        <f>IFERROR(__xludf.DUMMYFUNCTION("""COMPUTED_VALUE"""),"und")</f>
        <v>und</v>
      </c>
      <c r="C12437" s="4" t="str">
        <f>IFERROR(__xludf.DUMMYFUNCTION("""COMPUTED_VALUE"""),"Unstoppable DeFi")</f>
        <v>Unstoppable DeFi</v>
      </c>
    </row>
    <row r="12438">
      <c r="A12438" s="4" t="str">
        <f>IFERROR(__xludf.DUMMYFUNCTION("""COMPUTED_VALUE"""),"unvaxxed-sperm")</f>
        <v>unvaxxed-sperm</v>
      </c>
      <c r="B12438" s="4" t="str">
        <f>IFERROR(__xludf.DUMMYFUNCTION("""COMPUTED_VALUE"""),"nubtc")</f>
        <v>nubtc</v>
      </c>
      <c r="C12438" s="4" t="str">
        <f>IFERROR(__xludf.DUMMYFUNCTION("""COMPUTED_VALUE"""),"Unvaxxed Sperm")</f>
        <v>Unvaxxed Sperm</v>
      </c>
    </row>
    <row r="12439">
      <c r="A12439" s="4" t="str">
        <f>IFERROR(__xludf.DUMMYFUNCTION("""COMPUTED_VALUE"""),"unvest")</f>
        <v>unvest</v>
      </c>
      <c r="B12439" s="4" t="str">
        <f>IFERROR(__xludf.DUMMYFUNCTION("""COMPUTED_VALUE"""),"unv")</f>
        <v>unv</v>
      </c>
      <c r="C12439" s="4" t="str">
        <f>IFERROR(__xludf.DUMMYFUNCTION("""COMPUTED_VALUE"""),"Unvest")</f>
        <v>Unvest</v>
      </c>
    </row>
    <row r="12440">
      <c r="A12440" s="4" t="str">
        <f>IFERROR(__xludf.DUMMYFUNCTION("""COMPUTED_VALUE"""),"unwa")</f>
        <v>unwa</v>
      </c>
      <c r="B12440" s="4" t="str">
        <f>IFERROR(__xludf.DUMMYFUNCTION("""COMPUTED_VALUE"""),"unwa")</f>
        <v>unwa</v>
      </c>
      <c r="C12440" s="4" t="str">
        <f>IFERROR(__xludf.DUMMYFUNCTION("""COMPUTED_VALUE"""),"unwa")</f>
        <v>unwa</v>
      </c>
    </row>
    <row r="12441">
      <c r="A12441" s="4" t="str">
        <f>IFERROR(__xludf.DUMMYFUNCTION("""COMPUTED_VALUE"""),"up")</f>
        <v>up</v>
      </c>
      <c r="B12441" s="4" t="str">
        <f>IFERROR(__xludf.DUMMYFUNCTION("""COMPUTED_VALUE"""),"up")</f>
        <v>up</v>
      </c>
      <c r="C12441" s="4" t="str">
        <f>IFERROR(__xludf.DUMMYFUNCTION("""COMPUTED_VALUE"""),"UP")</f>
        <v>UP</v>
      </c>
    </row>
    <row r="12442">
      <c r="A12442" s="4" t="str">
        <f>IFERROR(__xludf.DUMMYFUNCTION("""COMPUTED_VALUE"""),"upbots")</f>
        <v>upbots</v>
      </c>
      <c r="B12442" s="4" t="str">
        <f>IFERROR(__xludf.DUMMYFUNCTION("""COMPUTED_VALUE"""),"ubxn")</f>
        <v>ubxn</v>
      </c>
      <c r="C12442" s="4" t="str">
        <f>IFERROR(__xludf.DUMMYFUNCTION("""COMPUTED_VALUE"""),"UpBots")</f>
        <v>UpBots</v>
      </c>
    </row>
    <row r="12443">
      <c r="A12443" s="4" t="str">
        <f>IFERROR(__xludf.DUMMYFUNCTION("""COMPUTED_VALUE"""),"upcx")</f>
        <v>upcx</v>
      </c>
      <c r="B12443" s="4" t="str">
        <f>IFERROR(__xludf.DUMMYFUNCTION("""COMPUTED_VALUE"""),"upc")</f>
        <v>upc</v>
      </c>
      <c r="C12443" s="4" t="str">
        <f>IFERROR(__xludf.DUMMYFUNCTION("""COMPUTED_VALUE"""),"UPCX")</f>
        <v>UPCX</v>
      </c>
    </row>
    <row r="12444">
      <c r="A12444" s="4" t="str">
        <f>IFERROR(__xludf.DUMMYFUNCTION("""COMPUTED_VALUE"""),"updog")</f>
        <v>updog</v>
      </c>
      <c r="B12444" s="4" t="str">
        <f>IFERROR(__xludf.DUMMYFUNCTION("""COMPUTED_VALUE"""),"updog")</f>
        <v>updog</v>
      </c>
      <c r="C12444" s="4" t="str">
        <f>IFERROR(__xludf.DUMMYFUNCTION("""COMPUTED_VALUE"""),"UpDog")</f>
        <v>UpDog</v>
      </c>
    </row>
    <row r="12445">
      <c r="A12445" s="4" t="str">
        <f>IFERROR(__xludf.DUMMYFUNCTION("""COMPUTED_VALUE"""),"upfi-network")</f>
        <v>upfi-network</v>
      </c>
      <c r="B12445" s="4" t="str">
        <f>IFERROR(__xludf.DUMMYFUNCTION("""COMPUTED_VALUE"""),"ups")</f>
        <v>ups</v>
      </c>
      <c r="C12445" s="4" t="str">
        <f>IFERROR(__xludf.DUMMYFUNCTION("""COMPUTED_VALUE"""),"UPFI Network")</f>
        <v>UPFI Network</v>
      </c>
    </row>
    <row r="12446">
      <c r="A12446" s="4" t="str">
        <f>IFERROR(__xludf.DUMMYFUNCTION("""COMPUTED_VALUE"""),"upfire")</f>
        <v>upfire</v>
      </c>
      <c r="B12446" s="4" t="str">
        <f>IFERROR(__xludf.DUMMYFUNCTION("""COMPUTED_VALUE"""),"upr")</f>
        <v>upr</v>
      </c>
      <c r="C12446" s="4" t="str">
        <f>IFERROR(__xludf.DUMMYFUNCTION("""COMPUTED_VALUE"""),"Upfire")</f>
        <v>Upfire</v>
      </c>
    </row>
    <row r="12447">
      <c r="A12447" s="4" t="str">
        <f>IFERROR(__xludf.DUMMYFUNCTION("""COMPUTED_VALUE"""),"upfront-protocol")</f>
        <v>upfront-protocol</v>
      </c>
      <c r="B12447" s="4" t="str">
        <f>IFERROR(__xludf.DUMMYFUNCTION("""COMPUTED_VALUE"""),"up")</f>
        <v>up</v>
      </c>
      <c r="C12447" s="4" t="str">
        <f>IFERROR(__xludf.DUMMYFUNCTION("""COMPUTED_VALUE"""),"Upfront Protocol")</f>
        <v>Upfront Protocol</v>
      </c>
    </row>
    <row r="12448">
      <c r="A12448" s="4" t="str">
        <f>IFERROR(__xludf.DUMMYFUNCTION("""COMPUTED_VALUE"""),"uplexa")</f>
        <v>uplexa</v>
      </c>
      <c r="B12448" s="4" t="str">
        <f>IFERROR(__xludf.DUMMYFUNCTION("""COMPUTED_VALUE"""),"upx")</f>
        <v>upx</v>
      </c>
      <c r="C12448" s="4" t="str">
        <f>IFERROR(__xludf.DUMMYFUNCTION("""COMPUTED_VALUE"""),"uPlexa")</f>
        <v>uPlexa</v>
      </c>
    </row>
    <row r="12449">
      <c r="A12449" s="4" t="str">
        <f>IFERROR(__xludf.DUMMYFUNCTION("""COMPUTED_VALUE"""),"uplift")</f>
        <v>uplift</v>
      </c>
      <c r="B12449" s="4" t="str">
        <f>IFERROR(__xludf.DUMMYFUNCTION("""COMPUTED_VALUE"""),"lift")</f>
        <v>lift</v>
      </c>
      <c r="C12449" s="4" t="str">
        <f>IFERROR(__xludf.DUMMYFUNCTION("""COMPUTED_VALUE"""),"Uplift")</f>
        <v>Uplift</v>
      </c>
    </row>
    <row r="12450">
      <c r="A12450" s="4" t="str">
        <f>IFERROR(__xludf.DUMMYFUNCTION("""COMPUTED_VALUE"""),"uponly-token")</f>
        <v>uponly-token</v>
      </c>
      <c r="B12450" s="4" t="str">
        <f>IFERROR(__xludf.DUMMYFUNCTION("""COMPUTED_VALUE"""),"upo")</f>
        <v>upo</v>
      </c>
      <c r="C12450" s="4" t="str">
        <f>IFERROR(__xludf.DUMMYFUNCTION("""COMPUTED_VALUE"""),"UpOnly")</f>
        <v>UpOnly</v>
      </c>
    </row>
    <row r="12451">
      <c r="A12451" s="4" t="str">
        <f>IFERROR(__xludf.DUMMYFUNCTION("""COMPUTED_VALUE"""),"u-protocol")</f>
        <v>u-protocol</v>
      </c>
      <c r="B12451" s="4" t="str">
        <f>IFERROR(__xludf.DUMMYFUNCTION("""COMPUTED_VALUE"""),"you")</f>
        <v>you</v>
      </c>
      <c r="C12451" s="4" t="str">
        <f>IFERROR(__xludf.DUMMYFUNCTION("""COMPUTED_VALUE"""),"U Protocol")</f>
        <v>U Protocol</v>
      </c>
    </row>
    <row r="12452">
      <c r="A12452" s="4" t="str">
        <f>IFERROR(__xludf.DUMMYFUNCTION("""COMPUTED_VALUE"""),"upsidedowncat")</f>
        <v>upsidedowncat</v>
      </c>
      <c r="B12452" s="4" t="str">
        <f>IFERROR(__xludf.DUMMYFUNCTION("""COMPUTED_VALUE"""),"usdc")</f>
        <v>usdc</v>
      </c>
      <c r="C12452" s="4" t="str">
        <f>IFERROR(__xludf.DUMMYFUNCTION("""COMPUTED_VALUE"""),"UpSideDownCat")</f>
        <v>UpSideDownCat</v>
      </c>
    </row>
    <row r="12453">
      <c r="A12453" s="4" t="str">
        <f>IFERROR(__xludf.DUMMYFUNCTION("""COMPUTED_VALUE"""),"upsorber")</f>
        <v>upsorber</v>
      </c>
      <c r="B12453" s="4" t="str">
        <f>IFERROR(__xludf.DUMMYFUNCTION("""COMPUTED_VALUE"""),"up")</f>
        <v>up</v>
      </c>
      <c r="C12453" s="4" t="str">
        <f>IFERROR(__xludf.DUMMYFUNCTION("""COMPUTED_VALUE"""),"Upsorber")</f>
        <v>Upsorber</v>
      </c>
    </row>
    <row r="12454">
      <c r="A12454" s="4" t="str">
        <f>IFERROR(__xludf.DUMMYFUNCTION("""COMPUTED_VALUE"""),"upstabletoken")</f>
        <v>upstabletoken</v>
      </c>
      <c r="B12454" s="4" t="str">
        <f>IFERROR(__xludf.DUMMYFUNCTION("""COMPUTED_VALUE"""),"ustx")</f>
        <v>ustx</v>
      </c>
      <c r="C12454" s="4" t="str">
        <f>IFERROR(__xludf.DUMMYFUNCTION("""COMPUTED_VALUE"""),"UpStable")</f>
        <v>UpStable</v>
      </c>
    </row>
    <row r="12455">
      <c r="A12455" s="4" t="str">
        <f>IFERROR(__xludf.DUMMYFUNCTION("""COMPUTED_VALUE"""),"up-token-2")</f>
        <v>up-token-2</v>
      </c>
      <c r="B12455" s="4" t="str">
        <f>IFERROR(__xludf.DUMMYFUNCTION("""COMPUTED_VALUE"""),"up")</f>
        <v>up</v>
      </c>
      <c r="C12455" s="4" t="str">
        <f>IFERROR(__xludf.DUMMYFUNCTION("""COMPUTED_VALUE"""),"uP Token")</f>
        <v>uP Token</v>
      </c>
    </row>
    <row r="12456">
      <c r="A12456" s="4" t="str">
        <f>IFERROR(__xludf.DUMMYFUNCTION("""COMPUTED_VALUE"""),"uptos")</f>
        <v>uptos</v>
      </c>
      <c r="B12456" s="4" t="str">
        <f>IFERROR(__xludf.DUMMYFUNCTION("""COMPUTED_VALUE"""),"uptos")</f>
        <v>uptos</v>
      </c>
      <c r="C12456" s="4" t="str">
        <f>IFERROR(__xludf.DUMMYFUNCTION("""COMPUTED_VALUE"""),"UPTOS")</f>
        <v>UPTOS</v>
      </c>
    </row>
    <row r="12457">
      <c r="A12457" s="4" t="str">
        <f>IFERROR(__xludf.DUMMYFUNCTION("""COMPUTED_VALUE"""),"upup-token")</f>
        <v>upup-token</v>
      </c>
      <c r="B12457" s="4" t="str">
        <f>IFERROR(__xludf.DUMMYFUNCTION("""COMPUTED_VALUE"""),"upup")</f>
        <v>upup</v>
      </c>
      <c r="C12457" s="4" t="str">
        <f>IFERROR(__xludf.DUMMYFUNCTION("""COMPUTED_VALUE"""),"UPUP TOKEN")</f>
        <v>UPUP TOKEN</v>
      </c>
    </row>
    <row r="12458">
      <c r="A12458" s="4" t="str">
        <f>IFERROR(__xludf.DUMMYFUNCTION("""COMPUTED_VALUE"""),"upx")</f>
        <v>upx</v>
      </c>
      <c r="B12458" s="4" t="str">
        <f>IFERROR(__xludf.DUMMYFUNCTION("""COMPUTED_VALUE"""),"upx")</f>
        <v>upx</v>
      </c>
      <c r="C12458" s="4" t="str">
        <f>IFERROR(__xludf.DUMMYFUNCTION("""COMPUTED_VALUE"""),"uPX")</f>
        <v>uPX</v>
      </c>
    </row>
    <row r="12459">
      <c r="A12459" s="4" t="str">
        <f>IFERROR(__xludf.DUMMYFUNCTION("""COMPUTED_VALUE"""),"uquid-coin")</f>
        <v>uquid-coin</v>
      </c>
      <c r="B12459" s="4" t="str">
        <f>IFERROR(__xludf.DUMMYFUNCTION("""COMPUTED_VALUE"""),"uqc")</f>
        <v>uqc</v>
      </c>
      <c r="C12459" s="4" t="str">
        <f>IFERROR(__xludf.DUMMYFUNCTION("""COMPUTED_VALUE"""),"Uquid Coin")</f>
        <v>Uquid Coin</v>
      </c>
    </row>
    <row r="12460">
      <c r="A12460" s="4" t="str">
        <f>IFERROR(__xludf.DUMMYFUNCTION("""COMPUTED_VALUE"""),"ura-dex")</f>
        <v>ura-dex</v>
      </c>
      <c r="B12460" s="4" t="str">
        <f>IFERROR(__xludf.DUMMYFUNCTION("""COMPUTED_VALUE"""),"ura")</f>
        <v>ura</v>
      </c>
      <c r="C12460" s="4" t="str">
        <f>IFERROR(__xludf.DUMMYFUNCTION("""COMPUTED_VALUE"""),"Ura")</f>
        <v>Ura</v>
      </c>
    </row>
    <row r="12461">
      <c r="A12461" s="4" t="str">
        <f>IFERROR(__xludf.DUMMYFUNCTION("""COMPUTED_VALUE"""),"uramaki")</f>
        <v>uramaki</v>
      </c>
      <c r="B12461" s="4" t="str">
        <f>IFERROR(__xludf.DUMMYFUNCTION("""COMPUTED_VALUE"""),"maki")</f>
        <v>maki</v>
      </c>
      <c r="C12461" s="4" t="str">
        <f>IFERROR(__xludf.DUMMYFUNCTION("""COMPUTED_VALUE"""),"Uramaki")</f>
        <v>Uramaki</v>
      </c>
    </row>
    <row r="12462">
      <c r="A12462" s="4" t="str">
        <f>IFERROR(__xludf.DUMMYFUNCTION("""COMPUTED_VALUE"""),"uranium3o8")</f>
        <v>uranium3o8</v>
      </c>
      <c r="B12462" s="4" t="str">
        <f>IFERROR(__xludf.DUMMYFUNCTION("""COMPUTED_VALUE"""),"u")</f>
        <v>u</v>
      </c>
      <c r="C12462" s="4" t="str">
        <f>IFERROR(__xludf.DUMMYFUNCTION("""COMPUTED_VALUE"""),"Uranium3o8")</f>
        <v>Uranium3o8</v>
      </c>
    </row>
    <row r="12463">
      <c r="A12463" s="4" t="str">
        <f>IFERROR(__xludf.DUMMYFUNCTION("""COMPUTED_VALUE"""),"uraniumx")</f>
        <v>uraniumx</v>
      </c>
      <c r="B12463" s="4" t="str">
        <f>IFERROR(__xludf.DUMMYFUNCTION("""COMPUTED_VALUE"""),"urx")</f>
        <v>urx</v>
      </c>
      <c r="C12463" s="4" t="str">
        <f>IFERROR(__xludf.DUMMYFUNCTION("""COMPUTED_VALUE"""),"UraniumX")</f>
        <v>UraniumX</v>
      </c>
    </row>
    <row r="12464">
      <c r="A12464" s="4" t="str">
        <f>IFERROR(__xludf.DUMMYFUNCTION("""COMPUTED_VALUE"""),"uranus-sol")</f>
        <v>uranus-sol</v>
      </c>
      <c r="B12464" s="4" t="str">
        <f>IFERROR(__xludf.DUMMYFUNCTION("""COMPUTED_VALUE"""),"anus")</f>
        <v>anus</v>
      </c>
      <c r="C12464" s="4" t="str">
        <f>IFERROR(__xludf.DUMMYFUNCTION("""COMPUTED_VALUE"""),"URANUS (SOL)")</f>
        <v>URANUS (SOL)</v>
      </c>
    </row>
    <row r="12465">
      <c r="A12465" s="4" t="str">
        <f>IFERROR(__xludf.DUMMYFUNCTION("""COMPUTED_VALUE"""),"urdex-finance")</f>
        <v>urdex-finance</v>
      </c>
      <c r="B12465" s="4" t="str">
        <f>IFERROR(__xludf.DUMMYFUNCTION("""COMPUTED_VALUE"""),"urd")</f>
        <v>urd</v>
      </c>
      <c r="C12465" s="4" t="str">
        <f>IFERROR(__xludf.DUMMYFUNCTION("""COMPUTED_VALUE"""),"UrDEX Finance")</f>
        <v>UrDEX Finance</v>
      </c>
    </row>
    <row r="12466">
      <c r="A12466" s="4" t="str">
        <f>IFERROR(__xludf.DUMMYFUNCTION("""COMPUTED_VALUE"""),"ureeqa")</f>
        <v>ureeqa</v>
      </c>
      <c r="B12466" s="4" t="str">
        <f>IFERROR(__xludf.DUMMYFUNCTION("""COMPUTED_VALUE"""),"urqa")</f>
        <v>urqa</v>
      </c>
      <c r="C12466" s="4" t="str">
        <f>IFERROR(__xludf.DUMMYFUNCTION("""COMPUTED_VALUE"""),"UREEQA")</f>
        <v>UREEQA</v>
      </c>
    </row>
    <row r="12467">
      <c r="A12467" s="4" t="str">
        <f>IFERROR(__xludf.DUMMYFUNCTION("""COMPUTED_VALUE"""),"urmom")</f>
        <v>urmom</v>
      </c>
      <c r="B12467" s="4" t="str">
        <f>IFERROR(__xludf.DUMMYFUNCTION("""COMPUTED_VALUE"""),"urmom")</f>
        <v>urmom</v>
      </c>
      <c r="C12467" s="4" t="str">
        <f>IFERROR(__xludf.DUMMYFUNCTION("""COMPUTED_VALUE"""),"URMOM")</f>
        <v>URMOM</v>
      </c>
    </row>
    <row r="12468">
      <c r="A12468" s="4" t="str">
        <f>IFERROR(__xludf.DUMMYFUNCTION("""COMPUTED_VALUE"""),"urubit")</f>
        <v>urubit</v>
      </c>
      <c r="B12468" s="4" t="str">
        <f>IFERROR(__xludf.DUMMYFUNCTION("""COMPUTED_VALUE"""),"urub")</f>
        <v>urub</v>
      </c>
      <c r="C12468" s="4" t="str">
        <f>IFERROR(__xludf.DUMMYFUNCTION("""COMPUTED_VALUE"""),"Urubit")</f>
        <v>Urubit</v>
      </c>
    </row>
    <row r="12469">
      <c r="A12469" s="4" t="str">
        <f>IFERROR(__xludf.DUMMYFUNCTION("""COMPUTED_VALUE"""),"urus-token")</f>
        <v>urus-token</v>
      </c>
      <c r="B12469" s="4" t="str">
        <f>IFERROR(__xludf.DUMMYFUNCTION("""COMPUTED_VALUE"""),"urus")</f>
        <v>urus</v>
      </c>
      <c r="C12469" s="4" t="str">
        <f>IFERROR(__xludf.DUMMYFUNCTION("""COMPUTED_VALUE"""),"Aurox")</f>
        <v>Aurox</v>
      </c>
    </row>
    <row r="12470">
      <c r="A12470" s="4" t="str">
        <f>IFERROR(__xludf.DUMMYFUNCTION("""COMPUTED_VALUE"""),"usc-2")</f>
        <v>usc-2</v>
      </c>
      <c r="B12470" s="4" t="str">
        <f>IFERROR(__xludf.DUMMYFUNCTION("""COMPUTED_VALUE"""),"usc")</f>
        <v>usc</v>
      </c>
      <c r="C12470" s="4" t="str">
        <f>IFERROR(__xludf.DUMMYFUNCTION("""COMPUTED_VALUE"""),"USC")</f>
        <v>USC</v>
      </c>
    </row>
    <row r="12471">
      <c r="A12471" s="4" t="str">
        <f>IFERROR(__xludf.DUMMYFUNCTION("""COMPUTED_VALUE"""),"usd")</f>
        <v>usd</v>
      </c>
      <c r="B12471" s="4" t="str">
        <f>IFERROR(__xludf.DUMMYFUNCTION("""COMPUTED_VALUE"""),"usd+")</f>
        <v>usd+</v>
      </c>
      <c r="C12471" s="4" t="str">
        <f>IFERROR(__xludf.DUMMYFUNCTION("""COMPUTED_VALUE"""),"Overnight.fi USD+")</f>
        <v>Overnight.fi USD+</v>
      </c>
    </row>
    <row r="12472">
      <c r="A12472" s="4" t="str">
        <f>IFERROR(__xludf.DUMMYFUNCTION("""COMPUTED_VALUE"""),"usdb")</f>
        <v>usdb</v>
      </c>
      <c r="B12472" s="4" t="str">
        <f>IFERROR(__xludf.DUMMYFUNCTION("""COMPUTED_VALUE"""),"usdb")</f>
        <v>usdb</v>
      </c>
      <c r="C12472" s="4" t="str">
        <f>IFERROR(__xludf.DUMMYFUNCTION("""COMPUTED_VALUE"""),"USDB")</f>
        <v>USDB</v>
      </c>
    </row>
    <row r="12473">
      <c r="A12473" s="4" t="str">
        <f>IFERROR(__xludf.DUMMYFUNCTION("""COMPUTED_VALUE"""),"usd-balance")</f>
        <v>usd-balance</v>
      </c>
      <c r="B12473" s="4" t="str">
        <f>IFERROR(__xludf.DUMMYFUNCTION("""COMPUTED_VALUE"""),"usdb")</f>
        <v>usdb</v>
      </c>
      <c r="C12473" s="4" t="str">
        <f>IFERROR(__xludf.DUMMYFUNCTION("""COMPUTED_VALUE"""),"USD Balance")</f>
        <v>USD Balance</v>
      </c>
    </row>
    <row r="12474">
      <c r="A12474" s="4" t="str">
        <f>IFERROR(__xludf.DUMMYFUNCTION("""COMPUTED_VALUE"""),"usd-coin")</f>
        <v>usd-coin</v>
      </c>
      <c r="B12474" s="4" t="str">
        <f>IFERROR(__xludf.DUMMYFUNCTION("""COMPUTED_VALUE"""),"usdc")</f>
        <v>usdc</v>
      </c>
      <c r="C12474" s="4" t="str">
        <f>IFERROR(__xludf.DUMMYFUNCTION("""COMPUTED_VALUE"""),"USDC")</f>
        <v>USDC</v>
      </c>
    </row>
    <row r="12475">
      <c r="A12475" s="4" t="str">
        <f>IFERROR(__xludf.DUMMYFUNCTION("""COMPUTED_VALUE"""),"usd-coin-avalanche-bridged-usdc-e")</f>
        <v>usd-coin-avalanche-bridged-usdc-e</v>
      </c>
      <c r="B12475" s="4" t="str">
        <f>IFERROR(__xludf.DUMMYFUNCTION("""COMPUTED_VALUE"""),"usdc.e")</f>
        <v>usdc.e</v>
      </c>
      <c r="C12475" s="4" t="str">
        <f>IFERROR(__xludf.DUMMYFUNCTION("""COMPUTED_VALUE"""),"Avalanche Bridged USDC (Avalanche)")</f>
        <v>Avalanche Bridged USDC (Avalanche)</v>
      </c>
    </row>
    <row r="12476">
      <c r="A12476" s="4" t="str">
        <f>IFERROR(__xludf.DUMMYFUNCTION("""COMPUTED_VALUE"""),"usd-coin-celer")</f>
        <v>usd-coin-celer</v>
      </c>
      <c r="B12476" s="4" t="str">
        <f>IFERROR(__xludf.DUMMYFUNCTION("""COMPUTED_VALUE"""),"ceusdc")</f>
        <v>ceusdc</v>
      </c>
      <c r="C12476" s="4" t="str">
        <f>IFERROR(__xludf.DUMMYFUNCTION("""COMPUTED_VALUE"""),"Bridged USD Coin (Celer)")</f>
        <v>Bridged USD Coin (Celer)</v>
      </c>
    </row>
    <row r="12477">
      <c r="A12477" s="4" t="str">
        <f>IFERROR(__xludf.DUMMYFUNCTION("""COMPUTED_VALUE"""),"usd-coin-ethereum-bridged")</f>
        <v>usd-coin-ethereum-bridged</v>
      </c>
      <c r="B12477" s="4" t="str">
        <f>IFERROR(__xludf.DUMMYFUNCTION("""COMPUTED_VALUE"""),"usdc.e")</f>
        <v>usdc.e</v>
      </c>
      <c r="C12477" s="4" t="str">
        <f>IFERROR(__xludf.DUMMYFUNCTION("""COMPUTED_VALUE"""),"Bridged USDC (Arbitrum)")</f>
        <v>Bridged USDC (Arbitrum)</v>
      </c>
    </row>
    <row r="12478">
      <c r="A12478" s="4" t="str">
        <f>IFERROR(__xludf.DUMMYFUNCTION("""COMPUTED_VALUE"""),"usd-coin-nomad")</f>
        <v>usd-coin-nomad</v>
      </c>
      <c r="B12478" s="4" t="str">
        <f>IFERROR(__xludf.DUMMYFUNCTION("""COMPUTED_VALUE"""),"nomadusdc")</f>
        <v>nomadusdc</v>
      </c>
      <c r="C12478" s="4" t="str">
        <f>IFERROR(__xludf.DUMMYFUNCTION("""COMPUTED_VALUE"""),"USD Coin - Nomad")</f>
        <v>USD Coin - Nomad</v>
      </c>
    </row>
    <row r="12479">
      <c r="A12479" s="4" t="str">
        <f>IFERROR(__xludf.DUMMYFUNCTION("""COMPUTED_VALUE"""),"usd-coin-plenty-bridge")</f>
        <v>usd-coin-plenty-bridge</v>
      </c>
      <c r="B12479" s="4" t="str">
        <f>IFERROR(__xludf.DUMMYFUNCTION("""COMPUTED_VALUE"""),"usdc.e")</f>
        <v>usdc.e</v>
      </c>
      <c r="C12479" s="4" t="str">
        <f>IFERROR(__xludf.DUMMYFUNCTION("""COMPUTED_VALUE"""),"Bridged USDC (Plenty Bridge)")</f>
        <v>Bridged USDC (Plenty Bridge)</v>
      </c>
    </row>
    <row r="12480">
      <c r="A12480" s="4" t="str">
        <f>IFERROR(__xludf.DUMMYFUNCTION("""COMPUTED_VALUE"""),"usd-coin-pos-wormhole")</f>
        <v>usd-coin-pos-wormhole</v>
      </c>
      <c r="B12480" s="4" t="str">
        <f>IFERROR(__xludf.DUMMYFUNCTION("""COMPUTED_VALUE"""),"usdcpo")</f>
        <v>usdcpo</v>
      </c>
      <c r="C12480" s="4" t="str">
        <f>IFERROR(__xludf.DUMMYFUNCTION("""COMPUTED_VALUE"""),"Bridged USD Coin (Wormhole POS)")</f>
        <v>Bridged USD Coin (Wormhole POS)</v>
      </c>
    </row>
    <row r="12481">
      <c r="A12481" s="4" t="str">
        <f>IFERROR(__xludf.DUMMYFUNCTION("""COMPUTED_VALUE"""),"usd-coin-pulsechain")</f>
        <v>usd-coin-pulsechain</v>
      </c>
      <c r="B12481" s="4" t="str">
        <f>IFERROR(__xludf.DUMMYFUNCTION("""COMPUTED_VALUE"""),"usdc")</f>
        <v>usdc</v>
      </c>
      <c r="C12481" s="4" t="str">
        <f>IFERROR(__xludf.DUMMYFUNCTION("""COMPUTED_VALUE"""),"Bridged USD Coin (PulseChain)")</f>
        <v>Bridged USD Coin (PulseChain)</v>
      </c>
    </row>
    <row r="12482">
      <c r="A12482" s="4" t="str">
        <f>IFERROR(__xludf.DUMMYFUNCTION("""COMPUTED_VALUE"""),"usd-coin-wormhole-arb")</f>
        <v>usd-coin-wormhole-arb</v>
      </c>
      <c r="B12482" s="4" t="str">
        <f>IFERROR(__xludf.DUMMYFUNCTION("""COMPUTED_VALUE"""),"usdcarb")</f>
        <v>usdcarb</v>
      </c>
      <c r="C12482" s="4" t="str">
        <f>IFERROR(__xludf.DUMMYFUNCTION("""COMPUTED_VALUE"""),"Bridged USD Coin (Wormhole Arbitrum)")</f>
        <v>Bridged USD Coin (Wormhole Arbitrum)</v>
      </c>
    </row>
    <row r="12483">
      <c r="A12483" s="4" t="str">
        <f>IFERROR(__xludf.DUMMYFUNCTION("""COMPUTED_VALUE"""),"usd-coin-wormhole-bnb")</f>
        <v>usd-coin-wormhole-bnb</v>
      </c>
      <c r="B12483" s="4" t="str">
        <f>IFERROR(__xludf.DUMMYFUNCTION("""COMPUTED_VALUE"""),"usdcbnb")</f>
        <v>usdcbnb</v>
      </c>
      <c r="C12483" s="4" t="str">
        <f>IFERROR(__xludf.DUMMYFUNCTION("""COMPUTED_VALUE"""),"Bridged USD Coin (Wormhole BNB)")</f>
        <v>Bridged USD Coin (Wormhole BNB)</v>
      </c>
    </row>
    <row r="12484">
      <c r="A12484" s="4" t="str">
        <f>IFERROR(__xludf.DUMMYFUNCTION("""COMPUTED_VALUE"""),"usd-coin-wormhole-from-ethereum")</f>
        <v>usd-coin-wormhole-from-ethereum</v>
      </c>
      <c r="B12484" s="4" t="str">
        <f>IFERROR(__xludf.DUMMYFUNCTION("""COMPUTED_VALUE"""),"usdcet")</f>
        <v>usdcet</v>
      </c>
      <c r="C12484" s="4" t="str">
        <f>IFERROR(__xludf.DUMMYFUNCTION("""COMPUTED_VALUE"""),"Bridged USD Coin (Wormhole Ethereum)")</f>
        <v>Bridged USD Coin (Wormhole Ethereum)</v>
      </c>
    </row>
    <row r="12485">
      <c r="A12485" s="4" t="str">
        <f>IFERROR(__xludf.DUMMYFUNCTION("""COMPUTED_VALUE"""),"usdc-plus-overnight")</f>
        <v>usdc-plus-overnight</v>
      </c>
      <c r="B12485" s="4" t="str">
        <f>IFERROR(__xludf.DUMMYFUNCTION("""COMPUTED_VALUE"""),"usdc+")</f>
        <v>usdc+</v>
      </c>
      <c r="C12485" s="4" t="str">
        <f>IFERROR(__xludf.DUMMYFUNCTION("""COMPUTED_VALUE"""),"Overnight.fi USDC+")</f>
        <v>Overnight.fi USDC+</v>
      </c>
    </row>
    <row r="12486">
      <c r="A12486" s="4" t="str">
        <f>IFERROR(__xludf.DUMMYFUNCTION("""COMPUTED_VALUE"""),"usdc-rainbow-bridge")</f>
        <v>usdc-rainbow-bridge</v>
      </c>
      <c r="B12486" s="4" t="str">
        <f>IFERROR(__xludf.DUMMYFUNCTION("""COMPUTED_VALUE"""),"usdc.e")</f>
        <v>usdc.e</v>
      </c>
      <c r="C12486" s="4" t="str">
        <f>IFERROR(__xludf.DUMMYFUNCTION("""COMPUTED_VALUE"""),"Bridged USDC (Rainbow Bridge)")</f>
        <v>Bridged USDC (Rainbow Bridge)</v>
      </c>
    </row>
    <row r="12487">
      <c r="A12487" s="4" t="str">
        <f>IFERROR(__xludf.DUMMYFUNCTION("""COMPUTED_VALUE"""),"usdc-yvault")</f>
        <v>usdc-yvault</v>
      </c>
      <c r="B12487" s="4" t="str">
        <f>IFERROR(__xludf.DUMMYFUNCTION("""COMPUTED_VALUE"""),"yvusdc")</f>
        <v>yvusdc</v>
      </c>
      <c r="C12487" s="4" t="str">
        <f>IFERROR(__xludf.DUMMYFUNCTION("""COMPUTED_VALUE"""),"USDC yVault")</f>
        <v>USDC yVault</v>
      </c>
    </row>
    <row r="12488">
      <c r="A12488" s="4" t="str">
        <f>IFERROR(__xludf.DUMMYFUNCTION("""COMPUTED_VALUE"""),"usdd")</f>
        <v>usdd</v>
      </c>
      <c r="B12488" s="4" t="str">
        <f>IFERROR(__xludf.DUMMYFUNCTION("""COMPUTED_VALUE"""),"usdd")</f>
        <v>usdd</v>
      </c>
      <c r="C12488" s="4" t="str">
        <f>IFERROR(__xludf.DUMMYFUNCTION("""COMPUTED_VALUE"""),"USDD")</f>
        <v>USDD</v>
      </c>
    </row>
    <row r="12489">
      <c r="A12489" s="4" t="str">
        <f>IFERROR(__xludf.DUMMYFUNCTION("""COMPUTED_VALUE"""),"usde-2")</f>
        <v>usde-2</v>
      </c>
      <c r="B12489" s="4" t="str">
        <f>IFERROR(__xludf.DUMMYFUNCTION("""COMPUTED_VALUE"""),"usde")</f>
        <v>usde</v>
      </c>
      <c r="C12489" s="4" t="str">
        <f>IFERROR(__xludf.DUMMYFUNCTION("""COMPUTED_VALUE"""),"USDE (ERD)")</f>
        <v>USDE (ERD)</v>
      </c>
    </row>
    <row r="12490">
      <c r="A12490" s="4" t="str">
        <f>IFERROR(__xludf.DUMMYFUNCTION("""COMPUTED_VALUE"""),"usdebt")</f>
        <v>usdebt</v>
      </c>
      <c r="B12490" s="4" t="str">
        <f>IFERROR(__xludf.DUMMYFUNCTION("""COMPUTED_VALUE"""),"usdebt")</f>
        <v>usdebt</v>
      </c>
      <c r="C12490" s="4" t="str">
        <f>IFERROR(__xludf.DUMMYFUNCTION("""COMPUTED_VALUE"""),"USDEBT")</f>
        <v>USDEBT</v>
      </c>
    </row>
    <row r="12491">
      <c r="A12491" s="4" t="str">
        <f>IFERROR(__xludf.DUMMYFUNCTION("""COMPUTED_VALUE"""),"usdex-8136b88a-eceb-4eaf-b910-9578cbc70136")</f>
        <v>usdex-8136b88a-eceb-4eaf-b910-9578cbc70136</v>
      </c>
      <c r="B12491" s="4" t="str">
        <f>IFERROR(__xludf.DUMMYFUNCTION("""COMPUTED_VALUE"""),"usdex+")</f>
        <v>usdex+</v>
      </c>
      <c r="C12491" s="4" t="str">
        <f>IFERROR(__xludf.DUMMYFUNCTION("""COMPUTED_VALUE"""),"USDEX+")</f>
        <v>USDEX+</v>
      </c>
    </row>
    <row r="12492">
      <c r="A12492" s="4" t="str">
        <f>IFERROR(__xludf.DUMMYFUNCTION("""COMPUTED_VALUE"""),"usdfi")</f>
        <v>usdfi</v>
      </c>
      <c r="B12492" s="4" t="str">
        <f>IFERROR(__xludf.DUMMYFUNCTION("""COMPUTED_VALUE"""),"usdfi")</f>
        <v>usdfi</v>
      </c>
      <c r="C12492" s="4" t="str">
        <f>IFERROR(__xludf.DUMMYFUNCTION("""COMPUTED_VALUE"""),"USDFI")</f>
        <v>USDFI</v>
      </c>
    </row>
    <row r="12493">
      <c r="A12493" s="4" t="str">
        <f>IFERROR(__xludf.DUMMYFUNCTION("""COMPUTED_VALUE"""),"usdfi-stable")</f>
        <v>usdfi-stable</v>
      </c>
      <c r="B12493" s="4" t="str">
        <f>IFERROR(__xludf.DUMMYFUNCTION("""COMPUTED_VALUE"""),"stable")</f>
        <v>stable</v>
      </c>
      <c r="C12493" s="4" t="str">
        <f>IFERROR(__xludf.DUMMYFUNCTION("""COMPUTED_VALUE"""),"Stable")</f>
        <v>Stable</v>
      </c>
    </row>
    <row r="12494">
      <c r="A12494" s="4" t="str">
        <f>IFERROR(__xludf.DUMMYFUNCTION("""COMPUTED_VALUE"""),"usdh")</f>
        <v>usdh</v>
      </c>
      <c r="B12494" s="4" t="str">
        <f>IFERROR(__xludf.DUMMYFUNCTION("""COMPUTED_VALUE"""),"usdh")</f>
        <v>usdh</v>
      </c>
      <c r="C12494" s="4" t="str">
        <f>IFERROR(__xludf.DUMMYFUNCTION("""COMPUTED_VALUE"""),"USDH")</f>
        <v>USDH</v>
      </c>
    </row>
    <row r="12495">
      <c r="A12495" s="4" t="str">
        <f>IFERROR(__xludf.DUMMYFUNCTION("""COMPUTED_VALUE"""),"usdjpm")</f>
        <v>usdjpm</v>
      </c>
      <c r="B12495" s="4" t="str">
        <f>IFERROR(__xludf.DUMMYFUNCTION("""COMPUTED_VALUE"""),"jpm")</f>
        <v>jpm</v>
      </c>
      <c r="C12495" s="4" t="str">
        <f>IFERROR(__xludf.DUMMYFUNCTION("""COMPUTED_VALUE"""),"USDJPM")</f>
        <v>USDJPM</v>
      </c>
    </row>
    <row r="12496">
      <c r="A12496" s="4" t="str">
        <f>IFERROR(__xludf.DUMMYFUNCTION("""COMPUTED_VALUE"""),"usd-mars")</f>
        <v>usd-mars</v>
      </c>
      <c r="B12496" s="4" t="str">
        <f>IFERROR(__xludf.DUMMYFUNCTION("""COMPUTED_VALUE"""),"usdm")</f>
        <v>usdm</v>
      </c>
      <c r="C12496" s="4" t="str">
        <f>IFERROR(__xludf.DUMMYFUNCTION("""COMPUTED_VALUE"""),"USD Mars")</f>
        <v>USD Mars</v>
      </c>
    </row>
    <row r="12497">
      <c r="A12497" s="4" t="str">
        <f>IFERROR(__xludf.DUMMYFUNCTION("""COMPUTED_VALUE"""),"usdollhairs")</f>
        <v>usdollhairs</v>
      </c>
      <c r="B12497" s="4" t="str">
        <f>IFERROR(__xludf.DUMMYFUNCTION("""COMPUTED_VALUE"""),"usdh")</f>
        <v>usdh</v>
      </c>
      <c r="C12497" s="4" t="str">
        <f>IFERROR(__xludf.DUMMYFUNCTION("""COMPUTED_VALUE"""),"USDOLLHAIRS")</f>
        <v>USDOLLHAIRS</v>
      </c>
    </row>
    <row r="12498">
      <c r="A12498" s="4" t="str">
        <f>IFERROR(__xludf.DUMMYFUNCTION("""COMPUTED_VALUE"""),"usdtez")</f>
        <v>usdtez</v>
      </c>
      <c r="B12498" s="4" t="str">
        <f>IFERROR(__xludf.DUMMYFUNCTION("""COMPUTED_VALUE"""),"usdtz")</f>
        <v>usdtz</v>
      </c>
      <c r="C12498" s="4" t="str">
        <f>IFERROR(__xludf.DUMMYFUNCTION("""COMPUTED_VALUE"""),"USDtez")</f>
        <v>USDtez</v>
      </c>
    </row>
    <row r="12499">
      <c r="A12499" s="4" t="str">
        <f>IFERROR(__xludf.DUMMYFUNCTION("""COMPUTED_VALUE"""),"usdtplus")</f>
        <v>usdtplus</v>
      </c>
      <c r="B12499" s="4" t="str">
        <f>IFERROR(__xludf.DUMMYFUNCTION("""COMPUTED_VALUE"""),"usdt+")</f>
        <v>usdt+</v>
      </c>
      <c r="C12499" s="4" t="str">
        <f>IFERROR(__xludf.DUMMYFUNCTION("""COMPUTED_VALUE"""),"Overnight.fi USDT+")</f>
        <v>Overnight.fi USDT+</v>
      </c>
    </row>
    <row r="12500">
      <c r="A12500" s="4" t="str">
        <f>IFERROR(__xludf.DUMMYFUNCTION("""COMPUTED_VALUE"""),"usdt-yvault")</f>
        <v>usdt-yvault</v>
      </c>
      <c r="B12500" s="4" t="str">
        <f>IFERROR(__xludf.DUMMYFUNCTION("""COMPUTED_VALUE"""),"yvusdt")</f>
        <v>yvusdt</v>
      </c>
      <c r="C12500" s="4" t="str">
        <f>IFERROR(__xludf.DUMMYFUNCTION("""COMPUTED_VALUE"""),"USDT yVault")</f>
        <v>USDT yVault</v>
      </c>
    </row>
    <row r="12501">
      <c r="A12501" s="4" t="str">
        <f>IFERROR(__xludf.DUMMYFUNCTION("""COMPUTED_VALUE"""),"usdv-2")</f>
        <v>usdv-2</v>
      </c>
      <c r="B12501" s="4" t="str">
        <f>IFERROR(__xludf.DUMMYFUNCTION("""COMPUTED_VALUE"""),"usdv")</f>
        <v>usdv</v>
      </c>
      <c r="C12501" s="4" t="str">
        <f>IFERROR(__xludf.DUMMYFUNCTION("""COMPUTED_VALUE"""),"USDV")</f>
        <v>USDV</v>
      </c>
    </row>
    <row r="12502">
      <c r="A12502" s="4" t="str">
        <f>IFERROR(__xludf.DUMMYFUNCTION("""COMPUTED_VALUE"""),"usdx")</f>
        <v>usdx</v>
      </c>
      <c r="B12502" s="4" t="str">
        <f>IFERROR(__xludf.DUMMYFUNCTION("""COMPUTED_VALUE"""),"usdx")</f>
        <v>usdx</v>
      </c>
      <c r="C12502" s="4" t="str">
        <f>IFERROR(__xludf.DUMMYFUNCTION("""COMPUTED_VALUE"""),"USDX")</f>
        <v>USDX</v>
      </c>
    </row>
    <row r="12503">
      <c r="A12503" s="4" t="str">
        <f>IFERROR(__xludf.DUMMYFUNCTION("""COMPUTED_VALUE"""),"usd-zee")</f>
        <v>usd-zee</v>
      </c>
      <c r="B12503" s="4" t="str">
        <f>IFERROR(__xludf.DUMMYFUNCTION("""COMPUTED_VALUE"""),"usdz")</f>
        <v>usdz</v>
      </c>
      <c r="C12503" s="4" t="str">
        <f>IFERROR(__xludf.DUMMYFUNCTION("""COMPUTED_VALUE"""),"USD ZEE")</f>
        <v>USD ZEE</v>
      </c>
    </row>
    <row r="12504">
      <c r="A12504" s="4" t="str">
        <f>IFERROR(__xludf.DUMMYFUNCTION("""COMPUTED_VALUE"""),"useless-utility")</f>
        <v>useless-utility</v>
      </c>
      <c r="B12504" s="4" t="str">
        <f>IFERROR(__xludf.DUMMYFUNCTION("""COMPUTED_VALUE"""),"uu")</f>
        <v>uu</v>
      </c>
      <c r="C12504" s="4" t="str">
        <f>IFERROR(__xludf.DUMMYFUNCTION("""COMPUTED_VALUE"""),"Useless Utility")</f>
        <v>Useless Utility</v>
      </c>
    </row>
    <row r="12505">
      <c r="A12505" s="4" t="str">
        <f>IFERROR(__xludf.DUMMYFUNCTION("""COMPUTED_VALUE"""),"ushark")</f>
        <v>ushark</v>
      </c>
      <c r="B12505" s="4" t="str">
        <f>IFERROR(__xludf.DUMMYFUNCTION("""COMPUTED_VALUE"""),"ushark")</f>
        <v>ushark</v>
      </c>
      <c r="C12505" s="4" t="str">
        <f>IFERROR(__xludf.DUMMYFUNCTION("""COMPUTED_VALUE"""),"uShark Token")</f>
        <v>uShark Token</v>
      </c>
    </row>
    <row r="12506">
      <c r="A12506" s="4" t="str">
        <f>IFERROR(__xludf.DUMMYFUNCTION("""COMPUTED_VALUE"""),"ushi")</f>
        <v>ushi</v>
      </c>
      <c r="B12506" s="4" t="str">
        <f>IFERROR(__xludf.DUMMYFUNCTION("""COMPUTED_VALUE"""),"ushi")</f>
        <v>ushi</v>
      </c>
      <c r="C12506" s="4" t="str">
        <f>IFERROR(__xludf.DUMMYFUNCTION("""COMPUTED_VALUE"""),"Ushi")</f>
        <v>Ushi</v>
      </c>
    </row>
    <row r="12507">
      <c r="A12507" s="4" t="str">
        <f>IFERROR(__xludf.DUMMYFUNCTION("""COMPUTED_VALUE"""),"usk")</f>
        <v>usk</v>
      </c>
      <c r="B12507" s="4" t="str">
        <f>IFERROR(__xludf.DUMMYFUNCTION("""COMPUTED_VALUE"""),"usk")</f>
        <v>usk</v>
      </c>
      <c r="C12507" s="4" t="str">
        <f>IFERROR(__xludf.DUMMYFUNCTION("""COMPUTED_VALUE"""),"USK")</f>
        <v>USK</v>
      </c>
    </row>
    <row r="12508">
      <c r="A12508" s="4" t="str">
        <f>IFERROR(__xludf.DUMMYFUNCTION("""COMPUTED_VALUE"""),"usp")</f>
        <v>usp</v>
      </c>
      <c r="B12508" s="4" t="str">
        <f>IFERROR(__xludf.DUMMYFUNCTION("""COMPUTED_VALUE"""),"usp")</f>
        <v>usp</v>
      </c>
      <c r="C12508" s="4" t="str">
        <f>IFERROR(__xludf.DUMMYFUNCTION("""COMPUTED_VALUE"""),"USP")</f>
        <v>USP</v>
      </c>
    </row>
    <row r="12509">
      <c r="A12509" s="4" t="str">
        <f>IFERROR(__xludf.DUMMYFUNCTION("""COMPUTED_VALUE"""),"utility-ape")</f>
        <v>utility-ape</v>
      </c>
      <c r="B12509" s="4" t="str">
        <f>IFERROR(__xludf.DUMMYFUNCTION("""COMPUTED_VALUE"""),"$banana")</f>
        <v>$banana</v>
      </c>
      <c r="C12509" s="4" t="str">
        <f>IFERROR(__xludf.DUMMYFUNCTION("""COMPUTED_VALUE"""),"Utility Ape")</f>
        <v>Utility Ape</v>
      </c>
    </row>
    <row r="12510">
      <c r="A12510" s="4" t="str">
        <f>IFERROR(__xludf.DUMMYFUNCTION("""COMPUTED_VALUE"""),"utility-meta-token")</f>
        <v>utility-meta-token</v>
      </c>
      <c r="B12510" s="4" t="str">
        <f>IFERROR(__xludf.DUMMYFUNCTION("""COMPUTED_VALUE"""),"umt")</f>
        <v>umt</v>
      </c>
      <c r="C12510" s="4" t="str">
        <f>IFERROR(__xludf.DUMMYFUNCTION("""COMPUTED_VALUE"""),"Utility Meta Token")</f>
        <v>Utility Meta Token</v>
      </c>
    </row>
    <row r="12511">
      <c r="A12511" s="4" t="str">
        <f>IFERROR(__xludf.DUMMYFUNCTION("""COMPUTED_VALUE"""),"utility-net")</f>
        <v>utility-net</v>
      </c>
      <c r="B12511" s="4" t="str">
        <f>IFERROR(__xludf.DUMMYFUNCTION("""COMPUTED_VALUE"""),"unc")</f>
        <v>unc</v>
      </c>
      <c r="C12511" s="4" t="str">
        <f>IFERROR(__xludf.DUMMYFUNCTION("""COMPUTED_VALUE"""),"Utility Net")</f>
        <v>Utility Net</v>
      </c>
    </row>
    <row r="12512">
      <c r="A12512" s="4" t="str">
        <f>IFERROR(__xludf.DUMMYFUNCTION("""COMPUTED_VALUE"""),"utility-nexusmind")</f>
        <v>utility-nexusmind</v>
      </c>
      <c r="B12512" s="4" t="str">
        <f>IFERROR(__xludf.DUMMYFUNCTION("""COMPUTED_VALUE"""),"unmd")</f>
        <v>unmd</v>
      </c>
      <c r="C12512" s="4" t="str">
        <f>IFERROR(__xludf.DUMMYFUNCTION("""COMPUTED_VALUE"""),"Utility NexusMind")</f>
        <v>Utility NexusMind</v>
      </c>
    </row>
    <row r="12513">
      <c r="A12513" s="4" t="str">
        <f>IFERROR(__xludf.DUMMYFUNCTION("""COMPUTED_VALUE"""),"utility-web3shot")</f>
        <v>utility-web3shot</v>
      </c>
      <c r="B12513" s="4" t="str">
        <f>IFERROR(__xludf.DUMMYFUNCTION("""COMPUTED_VALUE"""),"uw3s")</f>
        <v>uw3s</v>
      </c>
      <c r="C12513" s="4" t="str">
        <f>IFERROR(__xludf.DUMMYFUNCTION("""COMPUTED_VALUE"""),"Utility Web3Shot")</f>
        <v>Utility Web3Shot</v>
      </c>
    </row>
    <row r="12514">
      <c r="A12514" s="4" t="str">
        <f>IFERROR(__xludf.DUMMYFUNCTION("""COMPUTED_VALUE"""),"utix")</f>
        <v>utix</v>
      </c>
      <c r="B12514" s="4" t="str">
        <f>IFERROR(__xludf.DUMMYFUNCTION("""COMPUTED_VALUE"""),"utx")</f>
        <v>utx</v>
      </c>
      <c r="C12514" s="4" t="str">
        <f>IFERROR(__xludf.DUMMYFUNCTION("""COMPUTED_VALUE"""),"UTIX")</f>
        <v>UTIX</v>
      </c>
    </row>
    <row r="12515">
      <c r="A12515" s="4" t="str">
        <f>IFERROR(__xludf.DUMMYFUNCTION("""COMPUTED_VALUE"""),"utopia")</f>
        <v>utopia</v>
      </c>
      <c r="B12515" s="4" t="str">
        <f>IFERROR(__xludf.DUMMYFUNCTION("""COMPUTED_VALUE"""),"crp")</f>
        <v>crp</v>
      </c>
      <c r="C12515" s="4" t="str">
        <f>IFERROR(__xludf.DUMMYFUNCTION("""COMPUTED_VALUE"""),"Crypton")</f>
        <v>Crypton</v>
      </c>
    </row>
    <row r="12516">
      <c r="A12516" s="4" t="str">
        <f>IFERROR(__xludf.DUMMYFUNCTION("""COMPUTED_VALUE"""),"utopia-bot")</f>
        <v>utopia-bot</v>
      </c>
      <c r="B12516" s="4" t="str">
        <f>IFERROR(__xludf.DUMMYFUNCTION("""COMPUTED_VALUE"""),"ub")</f>
        <v>ub</v>
      </c>
      <c r="C12516" s="4" t="str">
        <f>IFERROR(__xludf.DUMMYFUNCTION("""COMPUTED_VALUE"""),"Utopia Bot")</f>
        <v>Utopia Bot</v>
      </c>
    </row>
    <row r="12517">
      <c r="A12517" s="4" t="str">
        <f>IFERROR(__xludf.DUMMYFUNCTION("""COMPUTED_VALUE"""),"utopia-usd")</f>
        <v>utopia-usd</v>
      </c>
      <c r="B12517" s="4" t="str">
        <f>IFERROR(__xludf.DUMMYFUNCTION("""COMPUTED_VALUE"""),"uusd")</f>
        <v>uusd</v>
      </c>
      <c r="C12517" s="4" t="str">
        <f>IFERROR(__xludf.DUMMYFUNCTION("""COMPUTED_VALUE"""),"Utopia USD")</f>
        <v>Utopia USD</v>
      </c>
    </row>
    <row r="12518">
      <c r="A12518" s="4" t="str">
        <f>IFERROR(__xludf.DUMMYFUNCTION("""COMPUTED_VALUE"""),"utrust")</f>
        <v>utrust</v>
      </c>
      <c r="B12518" s="4" t="str">
        <f>IFERROR(__xludf.DUMMYFUNCTION("""COMPUTED_VALUE"""),"utk")</f>
        <v>utk</v>
      </c>
      <c r="C12518" s="4" t="str">
        <f>IFERROR(__xludf.DUMMYFUNCTION("""COMPUTED_VALUE"""),"xMoney")</f>
        <v>xMoney</v>
      </c>
    </row>
    <row r="12519">
      <c r="A12519" s="4" t="str">
        <f>IFERROR(__xludf.DUMMYFUNCTION("""COMPUTED_VALUE"""),"utu-coin")</f>
        <v>utu-coin</v>
      </c>
      <c r="B12519" s="4" t="str">
        <f>IFERROR(__xludf.DUMMYFUNCTION("""COMPUTED_VALUE"""),"utu")</f>
        <v>utu</v>
      </c>
      <c r="C12519" s="4" t="str">
        <f>IFERROR(__xludf.DUMMYFUNCTION("""COMPUTED_VALUE"""),"UTU Coin")</f>
        <v>UTU Coin</v>
      </c>
    </row>
    <row r="12520">
      <c r="A12520" s="4" t="str">
        <f>IFERROR(__xludf.DUMMYFUNCTION("""COMPUTED_VALUE"""),"utxo")</f>
        <v>utxo</v>
      </c>
      <c r="B12520" s="4" t="str">
        <f>IFERROR(__xludf.DUMMYFUNCTION("""COMPUTED_VALUE"""),"utxo")</f>
        <v>utxo</v>
      </c>
      <c r="C12520" s="4" t="str">
        <f>IFERROR(__xludf.DUMMYFUNCTION("""COMPUTED_VALUE"""),"UTXO")</f>
        <v>UTXO</v>
      </c>
    </row>
    <row r="12521">
      <c r="A12521" s="4" t="str">
        <f>IFERROR(__xludf.DUMMYFUNCTION("""COMPUTED_VALUE"""),"uwon")</f>
        <v>uwon</v>
      </c>
      <c r="B12521" s="4" t="str">
        <f>IFERROR(__xludf.DUMMYFUNCTION("""COMPUTED_VALUE"""),"uwon")</f>
        <v>uwon</v>
      </c>
      <c r="C12521" s="4" t="str">
        <f>IFERROR(__xludf.DUMMYFUNCTION("""COMPUTED_VALUE"""),"UWON")</f>
        <v>UWON</v>
      </c>
    </row>
    <row r="12522">
      <c r="A12522" s="4" t="str">
        <f>IFERROR(__xludf.DUMMYFUNCTION("""COMPUTED_VALUE"""),"uwu-lend")</f>
        <v>uwu-lend</v>
      </c>
      <c r="B12522" s="4" t="str">
        <f>IFERROR(__xludf.DUMMYFUNCTION("""COMPUTED_VALUE"""),"uwu")</f>
        <v>uwu</v>
      </c>
      <c r="C12522" s="4" t="str">
        <f>IFERROR(__xludf.DUMMYFUNCTION("""COMPUTED_VALUE"""),"UwU Lend")</f>
        <v>UwU Lend</v>
      </c>
    </row>
    <row r="12523">
      <c r="A12523" s="4" t="str">
        <f>IFERROR(__xludf.DUMMYFUNCTION("""COMPUTED_VALUE"""),"uxd-protocol-token")</f>
        <v>uxd-protocol-token</v>
      </c>
      <c r="B12523" s="4" t="str">
        <f>IFERROR(__xludf.DUMMYFUNCTION("""COMPUTED_VALUE"""),"uxp")</f>
        <v>uxp</v>
      </c>
      <c r="C12523" s="4" t="str">
        <f>IFERROR(__xludf.DUMMYFUNCTION("""COMPUTED_VALUE"""),"UXD Protocol")</f>
        <v>UXD Protocol</v>
      </c>
    </row>
    <row r="12524">
      <c r="A12524" s="4" t="str">
        <f>IFERROR(__xludf.DUMMYFUNCTION("""COMPUTED_VALUE"""),"uxd-stablecoin")</f>
        <v>uxd-stablecoin</v>
      </c>
      <c r="B12524" s="4" t="str">
        <f>IFERROR(__xludf.DUMMYFUNCTION("""COMPUTED_VALUE"""),"uxd")</f>
        <v>uxd</v>
      </c>
      <c r="C12524" s="4" t="str">
        <f>IFERROR(__xludf.DUMMYFUNCTION("""COMPUTED_VALUE"""),"UXD Stablecoin")</f>
        <v>UXD Stablecoin</v>
      </c>
    </row>
    <row r="12525">
      <c r="A12525" s="4" t="str">
        <f>IFERROR(__xludf.DUMMYFUNCTION("""COMPUTED_VALUE"""),"uzxcoin")</f>
        <v>uzxcoin</v>
      </c>
      <c r="B12525" s="4" t="str">
        <f>IFERROR(__xludf.DUMMYFUNCTION("""COMPUTED_VALUE"""),"uzx")</f>
        <v>uzx</v>
      </c>
      <c r="C12525" s="4" t="str">
        <f>IFERROR(__xludf.DUMMYFUNCTION("""COMPUTED_VALUE"""),"UZXCoin")</f>
        <v>UZXCoin</v>
      </c>
    </row>
    <row r="12526">
      <c r="A12526" s="4" t="str">
        <f>IFERROR(__xludf.DUMMYFUNCTION("""COMPUTED_VALUE"""),"v3s-share")</f>
        <v>v3s-share</v>
      </c>
      <c r="B12526" s="4" t="str">
        <f>IFERROR(__xludf.DUMMYFUNCTION("""COMPUTED_VALUE"""),"vshare")</f>
        <v>vshare</v>
      </c>
      <c r="C12526" s="4" t="str">
        <f>IFERROR(__xludf.DUMMYFUNCTION("""COMPUTED_VALUE"""),"V3S Share")</f>
        <v>V3S Share</v>
      </c>
    </row>
    <row r="12527">
      <c r="A12527" s="4" t="str">
        <f>IFERROR(__xludf.DUMMYFUNCTION("""COMPUTED_VALUE"""),"vabble")</f>
        <v>vabble</v>
      </c>
      <c r="B12527" s="4" t="str">
        <f>IFERROR(__xludf.DUMMYFUNCTION("""COMPUTED_VALUE"""),"vab")</f>
        <v>vab</v>
      </c>
      <c r="C12527" s="4" t="str">
        <f>IFERROR(__xludf.DUMMYFUNCTION("""COMPUTED_VALUE"""),"Vabble")</f>
        <v>Vabble</v>
      </c>
    </row>
    <row r="12528">
      <c r="A12528" s="4" t="str">
        <f>IFERROR(__xludf.DUMMYFUNCTION("""COMPUTED_VALUE"""),"vabot-ai")</f>
        <v>vabot-ai</v>
      </c>
      <c r="B12528" s="4" t="str">
        <f>IFERROR(__xludf.DUMMYFUNCTION("""COMPUTED_VALUE"""),"vabt")</f>
        <v>vabt</v>
      </c>
      <c r="C12528" s="4" t="str">
        <f>IFERROR(__xludf.DUMMYFUNCTION("""COMPUTED_VALUE"""),"Vabot Ai")</f>
        <v>Vabot Ai</v>
      </c>
    </row>
    <row r="12529">
      <c r="A12529" s="4" t="str">
        <f>IFERROR(__xludf.DUMMYFUNCTION("""COMPUTED_VALUE"""),"vader-protocol")</f>
        <v>vader-protocol</v>
      </c>
      <c r="B12529" s="4" t="str">
        <f>IFERROR(__xludf.DUMMYFUNCTION("""COMPUTED_VALUE"""),"vader")</f>
        <v>vader</v>
      </c>
      <c r="C12529" s="4" t="str">
        <f>IFERROR(__xludf.DUMMYFUNCTION("""COMPUTED_VALUE"""),"Vader Protocol")</f>
        <v>Vader Protocol</v>
      </c>
    </row>
    <row r="12530">
      <c r="A12530" s="4" t="str">
        <f>IFERROR(__xludf.DUMMYFUNCTION("""COMPUTED_VALUE"""),"vai")</f>
        <v>vai</v>
      </c>
      <c r="B12530" s="4" t="str">
        <f>IFERROR(__xludf.DUMMYFUNCTION("""COMPUTED_VALUE"""),"vai")</f>
        <v>vai</v>
      </c>
      <c r="C12530" s="4" t="str">
        <f>IFERROR(__xludf.DUMMYFUNCTION("""COMPUTED_VALUE"""),"Vai")</f>
        <v>Vai</v>
      </c>
    </row>
    <row r="12531">
      <c r="A12531" s="4" t="str">
        <f>IFERROR(__xludf.DUMMYFUNCTION("""COMPUTED_VALUE"""),"vaiot")</f>
        <v>vaiot</v>
      </c>
      <c r="B12531" s="4" t="str">
        <f>IFERROR(__xludf.DUMMYFUNCTION("""COMPUTED_VALUE"""),"vai")</f>
        <v>vai</v>
      </c>
      <c r="C12531" s="4" t="str">
        <f>IFERROR(__xludf.DUMMYFUNCTION("""COMPUTED_VALUE"""),"Vaiot")</f>
        <v>Vaiot</v>
      </c>
    </row>
    <row r="12532">
      <c r="A12532" s="4" t="str">
        <f>IFERROR(__xludf.DUMMYFUNCTION("""COMPUTED_VALUE"""),"valencia-cf-fan-token")</f>
        <v>valencia-cf-fan-token</v>
      </c>
      <c r="B12532" s="4" t="str">
        <f>IFERROR(__xludf.DUMMYFUNCTION("""COMPUTED_VALUE"""),"vcf")</f>
        <v>vcf</v>
      </c>
      <c r="C12532" s="4" t="str">
        <f>IFERROR(__xludf.DUMMYFUNCTION("""COMPUTED_VALUE"""),"Valencia CF Fan Token")</f>
        <v>Valencia CF Fan Token</v>
      </c>
    </row>
    <row r="12533">
      <c r="A12533" s="4" t="str">
        <f>IFERROR(__xludf.DUMMYFUNCTION("""COMPUTED_VALUE"""),"valentine-floki")</f>
        <v>valentine-floki</v>
      </c>
      <c r="B12533" s="4" t="str">
        <f>IFERROR(__xludf.DUMMYFUNCTION("""COMPUTED_VALUE"""),"toshe")</f>
        <v>toshe</v>
      </c>
      <c r="C12533" s="4" t="str">
        <f>IFERROR(__xludf.DUMMYFUNCTION("""COMPUTED_VALUE"""),"TOSHE")</f>
        <v>TOSHE</v>
      </c>
    </row>
    <row r="12534">
      <c r="A12534" s="4" t="str">
        <f>IFERROR(__xludf.DUMMYFUNCTION("""COMPUTED_VALUE"""),"valeria")</f>
        <v>valeria</v>
      </c>
      <c r="B12534" s="4" t="str">
        <f>IFERROR(__xludf.DUMMYFUNCTION("""COMPUTED_VALUE"""),"val")</f>
        <v>val</v>
      </c>
      <c r="C12534" s="4" t="str">
        <f>IFERROR(__xludf.DUMMYFUNCTION("""COMPUTED_VALUE"""),"Valeria")</f>
        <v>Valeria</v>
      </c>
    </row>
    <row r="12535">
      <c r="A12535" s="4" t="str">
        <f>IFERROR(__xludf.DUMMYFUNCTION("""COMPUTED_VALUE"""),"validao")</f>
        <v>validao</v>
      </c>
      <c r="B12535" s="4" t="str">
        <f>IFERROR(__xludf.DUMMYFUNCTION("""COMPUTED_VALUE"""),"vdo")</f>
        <v>vdo</v>
      </c>
      <c r="C12535" s="4" t="str">
        <f>IFERROR(__xludf.DUMMYFUNCTION("""COMPUTED_VALUE"""),"ValiDAO")</f>
        <v>ValiDAO</v>
      </c>
    </row>
    <row r="12536">
      <c r="A12536" s="4" t="str">
        <f>IFERROR(__xludf.DUMMYFUNCTION("""COMPUTED_VALUE"""),"valleydao")</f>
        <v>valleydao</v>
      </c>
      <c r="B12536" s="4" t="str">
        <f>IFERROR(__xludf.DUMMYFUNCTION("""COMPUTED_VALUE"""),"grow")</f>
        <v>grow</v>
      </c>
      <c r="C12536" s="4" t="str">
        <f>IFERROR(__xludf.DUMMYFUNCTION("""COMPUTED_VALUE"""),"ValleyDAO")</f>
        <v>ValleyDAO</v>
      </c>
    </row>
    <row r="12537">
      <c r="A12537" s="4" t="str">
        <f>IFERROR(__xludf.DUMMYFUNCTION("""COMPUTED_VALUE"""),"valobit")</f>
        <v>valobit</v>
      </c>
      <c r="B12537" s="4" t="str">
        <f>IFERROR(__xludf.DUMMYFUNCTION("""COMPUTED_VALUE"""),"vbit")</f>
        <v>vbit</v>
      </c>
      <c r="C12537" s="4" t="str">
        <f>IFERROR(__xludf.DUMMYFUNCTION("""COMPUTED_VALUE"""),"VALOBIT")</f>
        <v>VALOBIT</v>
      </c>
    </row>
    <row r="12538">
      <c r="A12538" s="4" t="str">
        <f>IFERROR(__xludf.DUMMYFUNCTION("""COMPUTED_VALUE"""),"value-liquidity")</f>
        <v>value-liquidity</v>
      </c>
      <c r="B12538" s="4" t="str">
        <f>IFERROR(__xludf.DUMMYFUNCTION("""COMPUTED_VALUE"""),"value")</f>
        <v>value</v>
      </c>
      <c r="C12538" s="4" t="str">
        <f>IFERROR(__xludf.DUMMYFUNCTION("""COMPUTED_VALUE"""),"Value DeFi")</f>
        <v>Value DeFi</v>
      </c>
    </row>
    <row r="12539">
      <c r="A12539" s="4" t="str">
        <f>IFERROR(__xludf.DUMMYFUNCTION("""COMPUTED_VALUE"""),"vanar-chain")</f>
        <v>vanar-chain</v>
      </c>
      <c r="B12539" s="4" t="str">
        <f>IFERROR(__xludf.DUMMYFUNCTION("""COMPUTED_VALUE"""),"vanry")</f>
        <v>vanry</v>
      </c>
      <c r="C12539" s="4" t="str">
        <f>IFERROR(__xludf.DUMMYFUNCTION("""COMPUTED_VALUE"""),"Vanar Chain")</f>
        <v>Vanar Chain</v>
      </c>
    </row>
    <row r="12540">
      <c r="A12540" s="4" t="str">
        <f>IFERROR(__xludf.DUMMYFUNCTION("""COMPUTED_VALUE"""),"vana-world")</f>
        <v>vana-world</v>
      </c>
      <c r="B12540" s="4" t="str">
        <f>IFERROR(__xludf.DUMMYFUNCTION("""COMPUTED_VALUE"""),"vana")</f>
        <v>vana</v>
      </c>
      <c r="C12540" s="4" t="str">
        <f>IFERROR(__xludf.DUMMYFUNCTION("""COMPUTED_VALUE"""),"NIRVANA")</f>
        <v>NIRVANA</v>
      </c>
    </row>
    <row r="12541">
      <c r="A12541" s="4" t="str">
        <f>IFERROR(__xludf.DUMMYFUNCTION("""COMPUTED_VALUE"""),"vanguard-real-estate-tokenized-stock-defichain")</f>
        <v>vanguard-real-estate-tokenized-stock-defichain</v>
      </c>
      <c r="B12541" s="4" t="str">
        <f>IFERROR(__xludf.DUMMYFUNCTION("""COMPUTED_VALUE"""),"dvnq")</f>
        <v>dvnq</v>
      </c>
      <c r="C12541" s="4" t="str">
        <f>IFERROR(__xludf.DUMMYFUNCTION("""COMPUTED_VALUE"""),"Vanguard Real Estate Tokenized Stock Defichain")</f>
        <v>Vanguard Real Estate Tokenized Stock Defichain</v>
      </c>
    </row>
    <row r="12542">
      <c r="A12542" s="4" t="str">
        <f>IFERROR(__xludf.DUMMYFUNCTION("""COMPUTED_VALUE"""),"vanguard-sp-500-etf-tokenized-stock-defichain")</f>
        <v>vanguard-sp-500-etf-tokenized-stock-defichain</v>
      </c>
      <c r="B12542" s="4" t="str">
        <f>IFERROR(__xludf.DUMMYFUNCTION("""COMPUTED_VALUE"""),"dvoo")</f>
        <v>dvoo</v>
      </c>
      <c r="C12542" s="4" t="str">
        <f>IFERROR(__xludf.DUMMYFUNCTION("""COMPUTED_VALUE"""),"Vanguard S&amp;P 500 ETF Tokenized Stock Defichain")</f>
        <v>Vanguard S&amp;P 500 ETF Tokenized Stock Defichain</v>
      </c>
    </row>
    <row r="12543">
      <c r="A12543" s="4" t="str">
        <f>IFERROR(__xludf.DUMMYFUNCTION("""COMPUTED_VALUE"""),"vanilla-2")</f>
        <v>vanilla-2</v>
      </c>
      <c r="B12543" s="4" t="str">
        <f>IFERROR(__xludf.DUMMYFUNCTION("""COMPUTED_VALUE"""),"bum")</f>
        <v>bum</v>
      </c>
      <c r="C12543" s="4" t="str">
        <f>IFERROR(__xludf.DUMMYFUNCTION("""COMPUTED_VALUE"""),"Vanilla")</f>
        <v>Vanilla</v>
      </c>
    </row>
    <row r="12544">
      <c r="A12544" s="4" t="str">
        <f>IFERROR(__xludf.DUMMYFUNCTION("""COMPUTED_VALUE"""),"vanity")</f>
        <v>vanity</v>
      </c>
      <c r="B12544" s="4" t="str">
        <f>IFERROR(__xludf.DUMMYFUNCTION("""COMPUTED_VALUE"""),"vny")</f>
        <v>vny</v>
      </c>
      <c r="C12544" s="4" t="str">
        <f>IFERROR(__xludf.DUMMYFUNCTION("""COMPUTED_VALUE"""),"Vanity")</f>
        <v>Vanity</v>
      </c>
    </row>
    <row r="12545">
      <c r="A12545" s="4" t="str">
        <f>IFERROR(__xludf.DUMMYFUNCTION("""COMPUTED_VALUE"""),"vape")</f>
        <v>vape</v>
      </c>
      <c r="B12545" s="4" t="str">
        <f>IFERROR(__xludf.DUMMYFUNCTION("""COMPUTED_VALUE"""),"vape")</f>
        <v>vape</v>
      </c>
      <c r="C12545" s="4" t="str">
        <f>IFERROR(__xludf.DUMMYFUNCTION("""COMPUTED_VALUE"""),"VAPE")</f>
        <v>VAPE</v>
      </c>
    </row>
    <row r="12546">
      <c r="A12546" s="4" t="str">
        <f>IFERROR(__xludf.DUMMYFUNCTION("""COMPUTED_VALUE"""),"vaporfi")</f>
        <v>vaporfi</v>
      </c>
      <c r="B12546" s="4" t="str">
        <f>IFERROR(__xludf.DUMMYFUNCTION("""COMPUTED_VALUE"""),"vape")</f>
        <v>vape</v>
      </c>
      <c r="C12546" s="4" t="str">
        <f>IFERROR(__xludf.DUMMYFUNCTION("""COMPUTED_VALUE"""),"VAPE")</f>
        <v>VAPE</v>
      </c>
    </row>
    <row r="12547">
      <c r="A12547" s="4" t="str">
        <f>IFERROR(__xludf.DUMMYFUNCTION("""COMPUTED_VALUE"""),"vapornodes")</f>
        <v>vapornodes</v>
      </c>
      <c r="B12547" s="4" t="str">
        <f>IFERROR(__xludf.DUMMYFUNCTION("""COMPUTED_VALUE"""),"vpnd")</f>
        <v>vpnd</v>
      </c>
      <c r="C12547" s="4" t="str">
        <f>IFERROR(__xludf.DUMMYFUNCTION("""COMPUTED_VALUE"""),"VaporNodes")</f>
        <v>VaporNodes</v>
      </c>
    </row>
    <row r="12548">
      <c r="A12548" s="4" t="str">
        <f>IFERROR(__xludf.DUMMYFUNCTION("""COMPUTED_VALUE"""),"vaporum-coin")</f>
        <v>vaporum-coin</v>
      </c>
      <c r="B12548" s="4" t="str">
        <f>IFERROR(__xludf.DUMMYFUNCTION("""COMPUTED_VALUE"""),"vprm")</f>
        <v>vprm</v>
      </c>
      <c r="C12548" s="4" t="str">
        <f>IFERROR(__xludf.DUMMYFUNCTION("""COMPUTED_VALUE"""),"Vaporum Coin")</f>
        <v>Vaporum Coin</v>
      </c>
    </row>
    <row r="12549">
      <c r="A12549" s="4" t="str">
        <f>IFERROR(__xludf.DUMMYFUNCTION("""COMPUTED_VALUE"""),"vapor-wallet")</f>
        <v>vapor-wallet</v>
      </c>
      <c r="B12549" s="4" t="str">
        <f>IFERROR(__xludf.DUMMYFUNCTION("""COMPUTED_VALUE"""),"vpr")</f>
        <v>vpr</v>
      </c>
      <c r="C12549" s="4" t="str">
        <f>IFERROR(__xludf.DUMMYFUNCTION("""COMPUTED_VALUE"""),"VaporFund")</f>
        <v>VaporFund</v>
      </c>
    </row>
    <row r="12550">
      <c r="A12550" s="4" t="str">
        <f>IFERROR(__xludf.DUMMYFUNCTION("""COMPUTED_VALUE"""),"vaporwave")</f>
        <v>vaporwave</v>
      </c>
      <c r="B12550" s="4" t="str">
        <f>IFERROR(__xludf.DUMMYFUNCTION("""COMPUTED_VALUE"""),"vwave")</f>
        <v>vwave</v>
      </c>
      <c r="C12550" s="4" t="str">
        <f>IFERROR(__xludf.DUMMYFUNCTION("""COMPUTED_VALUE"""),"Vaporwave")</f>
        <v>Vaporwave</v>
      </c>
    </row>
    <row r="12551">
      <c r="A12551" s="4" t="str">
        <f>IFERROR(__xludf.DUMMYFUNCTION("""COMPUTED_VALUE"""),"vara-network")</f>
        <v>vara-network</v>
      </c>
      <c r="B12551" s="4" t="str">
        <f>IFERROR(__xludf.DUMMYFUNCTION("""COMPUTED_VALUE"""),"vara")</f>
        <v>vara</v>
      </c>
      <c r="C12551" s="4" t="str">
        <f>IFERROR(__xludf.DUMMYFUNCTION("""COMPUTED_VALUE"""),"Vara Network")</f>
        <v>Vara Network</v>
      </c>
    </row>
    <row r="12552">
      <c r="A12552" s="4" t="str">
        <f>IFERROR(__xludf.DUMMYFUNCTION("""COMPUTED_VALUE"""),"varen")</f>
        <v>varen</v>
      </c>
      <c r="B12552" s="4" t="str">
        <f>IFERROR(__xludf.DUMMYFUNCTION("""COMPUTED_VALUE"""),"vrn")</f>
        <v>vrn</v>
      </c>
      <c r="C12552" s="4" t="str">
        <f>IFERROR(__xludf.DUMMYFUNCTION("""COMPUTED_VALUE"""),"Varen")</f>
        <v>Varen</v>
      </c>
    </row>
    <row r="12553">
      <c r="A12553" s="4" t="str">
        <f>IFERROR(__xludf.DUMMYFUNCTION("""COMPUTED_VALUE"""),"vasco-da-gama-fan-token")</f>
        <v>vasco-da-gama-fan-token</v>
      </c>
      <c r="B12553" s="4" t="str">
        <f>IFERROR(__xludf.DUMMYFUNCTION("""COMPUTED_VALUE"""),"vasco")</f>
        <v>vasco</v>
      </c>
      <c r="C12553" s="4" t="str">
        <f>IFERROR(__xludf.DUMMYFUNCTION("""COMPUTED_VALUE"""),"Vasco da Gama Fan Token")</f>
        <v>Vasco da Gama Fan Token</v>
      </c>
    </row>
    <row r="12554">
      <c r="A12554" s="4" t="str">
        <f>IFERROR(__xludf.DUMMYFUNCTION("""COMPUTED_VALUE"""),"vaultcraft")</f>
        <v>vaultcraft</v>
      </c>
      <c r="B12554" s="4" t="str">
        <f>IFERROR(__xludf.DUMMYFUNCTION("""COMPUTED_VALUE"""),"vcx")</f>
        <v>vcx</v>
      </c>
      <c r="C12554" s="4" t="str">
        <f>IFERROR(__xludf.DUMMYFUNCTION("""COMPUTED_VALUE"""),"VaultCraft")</f>
        <v>VaultCraft</v>
      </c>
    </row>
    <row r="12555">
      <c r="A12555" s="4" t="str">
        <f>IFERROR(__xludf.DUMMYFUNCTION("""COMPUTED_VALUE"""),"vaulteum")</f>
        <v>vaulteum</v>
      </c>
      <c r="B12555" s="4" t="str">
        <f>IFERROR(__xludf.DUMMYFUNCTION("""COMPUTED_VALUE"""),"vault")</f>
        <v>vault</v>
      </c>
      <c r="C12555" s="4" t="str">
        <f>IFERROR(__xludf.DUMMYFUNCTION("""COMPUTED_VALUE"""),"Vaulteum")</f>
        <v>Vaulteum</v>
      </c>
    </row>
    <row r="12556">
      <c r="A12556" s="4" t="str">
        <f>IFERROR(__xludf.DUMMYFUNCTION("""COMPUTED_VALUE"""),"vault-hill-city")</f>
        <v>vault-hill-city</v>
      </c>
      <c r="B12556" s="4" t="str">
        <f>IFERROR(__xludf.DUMMYFUNCTION("""COMPUTED_VALUE"""),"vhc")</f>
        <v>vhc</v>
      </c>
      <c r="C12556" s="4" t="str">
        <f>IFERROR(__xludf.DUMMYFUNCTION("""COMPUTED_VALUE"""),"Vault Hill City")</f>
        <v>Vault Hill City</v>
      </c>
    </row>
    <row r="12557">
      <c r="A12557" s="4" t="str">
        <f>IFERROR(__xludf.DUMMYFUNCTION("""COMPUTED_VALUE"""),"vaultka")</f>
        <v>vaultka</v>
      </c>
      <c r="B12557" s="4" t="str">
        <f>IFERROR(__xludf.DUMMYFUNCTION("""COMPUTED_VALUE"""),"vka")</f>
        <v>vka</v>
      </c>
      <c r="C12557" s="4" t="str">
        <f>IFERROR(__xludf.DUMMYFUNCTION("""COMPUTED_VALUE"""),"Vaultka")</f>
        <v>Vaultka</v>
      </c>
    </row>
    <row r="12558">
      <c r="A12558" s="4" t="str">
        <f>IFERROR(__xludf.DUMMYFUNCTION("""COMPUTED_VALUE"""),"vaulttech")</f>
        <v>vaulttech</v>
      </c>
      <c r="B12558" s="4" t="str">
        <f>IFERROR(__xludf.DUMMYFUNCTION("""COMPUTED_VALUE"""),"$vault")</f>
        <v>$vault</v>
      </c>
      <c r="C12558" s="4" t="str">
        <f>IFERROR(__xludf.DUMMYFUNCTION("""COMPUTED_VALUE"""),"VaultTech")</f>
        <v>VaultTech</v>
      </c>
    </row>
    <row r="12559">
      <c r="A12559" s="4" t="str">
        <f>IFERROR(__xludf.DUMMYFUNCTION("""COMPUTED_VALUE"""),"vaxlabs")</f>
        <v>vaxlabs</v>
      </c>
      <c r="B12559" s="4" t="str">
        <f>IFERROR(__xludf.DUMMYFUNCTION("""COMPUTED_VALUE"""),"vlabs")</f>
        <v>vlabs</v>
      </c>
      <c r="C12559" s="4" t="str">
        <f>IFERROR(__xludf.DUMMYFUNCTION("""COMPUTED_VALUE"""),"VaxLabs")</f>
        <v>VaxLabs</v>
      </c>
    </row>
    <row r="12560">
      <c r="A12560" s="4" t="str">
        <f>IFERROR(__xludf.DUMMYFUNCTION("""COMPUTED_VALUE"""),"vbswap")</f>
        <v>vbswap</v>
      </c>
      <c r="B12560" s="4" t="str">
        <f>IFERROR(__xludf.DUMMYFUNCTION("""COMPUTED_VALUE"""),"vbswap")</f>
        <v>vbswap</v>
      </c>
      <c r="C12560" s="4" t="str">
        <f>IFERROR(__xludf.DUMMYFUNCTION("""COMPUTED_VALUE"""),"vBSWAP")</f>
        <v>vBSWAP</v>
      </c>
    </row>
    <row r="12561">
      <c r="A12561" s="4" t="str">
        <f>IFERROR(__xludf.DUMMYFUNCTION("""COMPUTED_VALUE"""),"vcash")</f>
        <v>vcash</v>
      </c>
      <c r="B12561" s="4" t="str">
        <f>IFERROR(__xludf.DUMMYFUNCTION("""COMPUTED_VALUE"""),"xvc")</f>
        <v>xvc</v>
      </c>
      <c r="C12561" s="4" t="str">
        <f>IFERROR(__xludf.DUMMYFUNCTION("""COMPUTED_VALUE"""),"Vcash")</f>
        <v>Vcash</v>
      </c>
    </row>
    <row r="12562">
      <c r="A12562" s="4" t="str">
        <f>IFERROR(__xludf.DUMMYFUNCTION("""COMPUTED_VALUE"""),"vcgamers")</f>
        <v>vcgamers</v>
      </c>
      <c r="B12562" s="4" t="str">
        <f>IFERROR(__xludf.DUMMYFUNCTION("""COMPUTED_VALUE"""),"vcg")</f>
        <v>vcg</v>
      </c>
      <c r="C12562" s="4" t="str">
        <f>IFERROR(__xludf.DUMMYFUNCTION("""COMPUTED_VALUE"""),"VCGamers")</f>
        <v>VCGamers</v>
      </c>
    </row>
    <row r="12563">
      <c r="A12563" s="4" t="str">
        <f>IFERROR(__xludf.DUMMYFUNCTION("""COMPUTED_VALUE"""),"vcore")</f>
        <v>vcore</v>
      </c>
      <c r="B12563" s="4" t="str">
        <f>IFERROR(__xludf.DUMMYFUNCTION("""COMPUTED_VALUE"""),"vcore")</f>
        <v>vcore</v>
      </c>
      <c r="C12563" s="4" t="str">
        <f>IFERROR(__xludf.DUMMYFUNCTION("""COMPUTED_VALUE"""),"IMVU")</f>
        <v>IMVU</v>
      </c>
    </row>
    <row r="12564">
      <c r="A12564" s="4" t="str">
        <f>IFERROR(__xludf.DUMMYFUNCTION("""COMPUTED_VALUE"""),"veax")</f>
        <v>veax</v>
      </c>
      <c r="B12564" s="4" t="str">
        <f>IFERROR(__xludf.DUMMYFUNCTION("""COMPUTED_VALUE"""),"veax")</f>
        <v>veax</v>
      </c>
      <c r="C12564" s="4" t="str">
        <f>IFERROR(__xludf.DUMMYFUNCTION("""COMPUTED_VALUE"""),"Veax")</f>
        <v>Veax</v>
      </c>
    </row>
    <row r="12565">
      <c r="A12565" s="4" t="str">
        <f>IFERROR(__xludf.DUMMYFUNCTION("""COMPUTED_VALUE"""),"vechain")</f>
        <v>vechain</v>
      </c>
      <c r="B12565" s="4" t="str">
        <f>IFERROR(__xludf.DUMMYFUNCTION("""COMPUTED_VALUE"""),"vet")</f>
        <v>vet</v>
      </c>
      <c r="C12565" s="4" t="str">
        <f>IFERROR(__xludf.DUMMYFUNCTION("""COMPUTED_VALUE"""),"VeChain")</f>
        <v>VeChain</v>
      </c>
    </row>
    <row r="12566">
      <c r="A12566" s="4" t="str">
        <f>IFERROR(__xludf.DUMMYFUNCTION("""COMPUTED_VALUE"""),"veco")</f>
        <v>veco</v>
      </c>
      <c r="B12566" s="4" t="str">
        <f>IFERROR(__xludf.DUMMYFUNCTION("""COMPUTED_VALUE"""),"veco")</f>
        <v>veco</v>
      </c>
      <c r="C12566" s="4" t="str">
        <f>IFERROR(__xludf.DUMMYFUNCTION("""COMPUTED_VALUE"""),"Veco")</f>
        <v>Veco</v>
      </c>
    </row>
    <row r="12567">
      <c r="A12567" s="4" t="str">
        <f>IFERROR(__xludf.DUMMYFUNCTION("""COMPUTED_VALUE"""),"vecrv-dao-yvault")</f>
        <v>vecrv-dao-yvault</v>
      </c>
      <c r="B12567" s="4" t="str">
        <f>IFERROR(__xludf.DUMMYFUNCTION("""COMPUTED_VALUE"""),"yve-crvdao")</f>
        <v>yve-crvdao</v>
      </c>
      <c r="C12567" s="4" t="str">
        <f>IFERROR(__xludf.DUMMYFUNCTION("""COMPUTED_VALUE"""),"veCRV-DAO yVault")</f>
        <v>veCRV-DAO yVault</v>
      </c>
    </row>
    <row r="12568">
      <c r="A12568" s="4" t="str">
        <f>IFERROR(__xludf.DUMMYFUNCTION("""COMPUTED_VALUE"""),"vectorchat-ai")</f>
        <v>vectorchat-ai</v>
      </c>
      <c r="B12568" s="4" t="str">
        <f>IFERROR(__xludf.DUMMYFUNCTION("""COMPUTED_VALUE"""),"chat")</f>
        <v>chat</v>
      </c>
      <c r="C12568" s="5" t="str">
        <f>IFERROR(__xludf.DUMMYFUNCTION("""COMPUTED_VALUE"""),"VectorChat.ai")</f>
        <v>VectorChat.ai</v>
      </c>
    </row>
    <row r="12569">
      <c r="A12569" s="4" t="str">
        <f>IFERROR(__xludf.DUMMYFUNCTION("""COMPUTED_VALUE"""),"vector-eth")</f>
        <v>vector-eth</v>
      </c>
      <c r="B12569" s="4" t="str">
        <f>IFERROR(__xludf.DUMMYFUNCTION("""COMPUTED_VALUE"""),"veth")</f>
        <v>veth</v>
      </c>
      <c r="C12569" s="4" t="str">
        <f>IFERROR(__xludf.DUMMYFUNCTION("""COMPUTED_VALUE"""),"Vector ETH")</f>
        <v>Vector ETH</v>
      </c>
    </row>
    <row r="12570">
      <c r="A12570" s="4" t="str">
        <f>IFERROR(__xludf.DUMMYFUNCTION("""COMPUTED_VALUE"""),"vector-finance")</f>
        <v>vector-finance</v>
      </c>
      <c r="B12570" s="4" t="str">
        <f>IFERROR(__xludf.DUMMYFUNCTION("""COMPUTED_VALUE"""),"vtx")</f>
        <v>vtx</v>
      </c>
      <c r="C12570" s="4" t="str">
        <f>IFERROR(__xludf.DUMMYFUNCTION("""COMPUTED_VALUE"""),"Vector Finance")</f>
        <v>Vector Finance</v>
      </c>
    </row>
    <row r="12571">
      <c r="A12571" s="4" t="str">
        <f>IFERROR(__xludf.DUMMYFUNCTION("""COMPUTED_VALUE"""),"vectorium")</f>
        <v>vectorium</v>
      </c>
      <c r="B12571" s="4" t="str">
        <f>IFERROR(__xludf.DUMMYFUNCTION("""COMPUTED_VALUE"""),"vect")</f>
        <v>vect</v>
      </c>
      <c r="C12571" s="4" t="str">
        <f>IFERROR(__xludf.DUMMYFUNCTION("""COMPUTED_VALUE"""),"Vectorium")</f>
        <v>Vectorium</v>
      </c>
    </row>
    <row r="12572">
      <c r="A12572" s="4" t="str">
        <f>IFERROR(__xludf.DUMMYFUNCTION("""COMPUTED_VALUE"""),"vector-reserve")</f>
        <v>vector-reserve</v>
      </c>
      <c r="B12572" s="4" t="str">
        <f>IFERROR(__xludf.DUMMYFUNCTION("""COMPUTED_VALUE"""),"vec")</f>
        <v>vec</v>
      </c>
      <c r="C12572" s="4" t="str">
        <f>IFERROR(__xludf.DUMMYFUNCTION("""COMPUTED_VALUE"""),"Vector Reserve")</f>
        <v>Vector Reserve</v>
      </c>
    </row>
    <row r="12573">
      <c r="A12573" s="4" t="str">
        <f>IFERROR(__xludf.DUMMYFUNCTION("""COMPUTED_VALUE"""),"vectorspace")</f>
        <v>vectorspace</v>
      </c>
      <c r="B12573" s="4" t="str">
        <f>IFERROR(__xludf.DUMMYFUNCTION("""COMPUTED_VALUE"""),"vxv")</f>
        <v>vxv</v>
      </c>
      <c r="C12573" s="4" t="str">
        <f>IFERROR(__xludf.DUMMYFUNCTION("""COMPUTED_VALUE"""),"Vectorspace AI")</f>
        <v>Vectorspace AI</v>
      </c>
    </row>
    <row r="12574">
      <c r="A12574" s="4" t="str">
        <f>IFERROR(__xludf.DUMMYFUNCTION("""COMPUTED_VALUE"""),"vector-space-biosciences-inc")</f>
        <v>vector-space-biosciences-inc</v>
      </c>
      <c r="B12574" s="4" t="str">
        <f>IFERROR(__xludf.DUMMYFUNCTION("""COMPUTED_VALUE"""),"sbio")</f>
        <v>sbio</v>
      </c>
      <c r="C12574" s="4" t="str">
        <f>IFERROR(__xludf.DUMMYFUNCTION("""COMPUTED_VALUE"""),"Vector Space Biosciences, Inc.")</f>
        <v>Vector Space Biosciences, Inc.</v>
      </c>
    </row>
    <row r="12575">
      <c r="A12575" s="4" t="str">
        <f>IFERROR(__xludf.DUMMYFUNCTION("""COMPUTED_VALUE"""),"vedao")</f>
        <v>vedao</v>
      </c>
      <c r="B12575" s="4" t="str">
        <f>IFERROR(__xludf.DUMMYFUNCTION("""COMPUTED_VALUE"""),"weve")</f>
        <v>weve</v>
      </c>
      <c r="C12575" s="4" t="str">
        <f>IFERROR(__xludf.DUMMYFUNCTION("""COMPUTED_VALUE"""),"veDAO")</f>
        <v>veDAO</v>
      </c>
    </row>
    <row r="12576">
      <c r="A12576" s="4" t="str">
        <f>IFERROR(__xludf.DUMMYFUNCTION("""COMPUTED_VALUE"""),"vee-finance")</f>
        <v>vee-finance</v>
      </c>
      <c r="B12576" s="4" t="str">
        <f>IFERROR(__xludf.DUMMYFUNCTION("""COMPUTED_VALUE"""),"vee")</f>
        <v>vee</v>
      </c>
      <c r="C12576" s="4" t="str">
        <f>IFERROR(__xludf.DUMMYFUNCTION("""COMPUTED_VALUE"""),"Vee Finance")</f>
        <v>Vee Finance</v>
      </c>
    </row>
    <row r="12577">
      <c r="A12577" s="4" t="str">
        <f>IFERROR(__xludf.DUMMYFUNCTION("""COMPUTED_VALUE"""),"vega-2")</f>
        <v>vega-2</v>
      </c>
      <c r="B12577" s="4" t="str">
        <f>IFERROR(__xludf.DUMMYFUNCTION("""COMPUTED_VALUE"""),"vega")</f>
        <v>vega</v>
      </c>
      <c r="C12577" s="4" t="str">
        <f>IFERROR(__xludf.DUMMYFUNCTION("""COMPUTED_VALUE"""),"VEGA")</f>
        <v>VEGA</v>
      </c>
    </row>
    <row r="12578">
      <c r="A12578" s="4" t="str">
        <f>IFERROR(__xludf.DUMMYFUNCTION("""COMPUTED_VALUE"""),"vega-protocol")</f>
        <v>vega-protocol</v>
      </c>
      <c r="B12578" s="4" t="str">
        <f>IFERROR(__xludf.DUMMYFUNCTION("""COMPUTED_VALUE"""),"vega")</f>
        <v>vega</v>
      </c>
      <c r="C12578" s="4" t="str">
        <f>IFERROR(__xludf.DUMMYFUNCTION("""COMPUTED_VALUE"""),"Vega Protocol")</f>
        <v>Vega Protocol</v>
      </c>
    </row>
    <row r="12579">
      <c r="A12579" s="4" t="str">
        <f>IFERROR(__xludf.DUMMYFUNCTION("""COMPUTED_VALUE"""),"vegasbot")</f>
        <v>vegasbot</v>
      </c>
      <c r="B12579" s="4" t="str">
        <f>IFERROR(__xludf.DUMMYFUNCTION("""COMPUTED_VALUE"""),"vegas")</f>
        <v>vegas</v>
      </c>
      <c r="C12579" s="4" t="str">
        <f>IFERROR(__xludf.DUMMYFUNCTION("""COMPUTED_VALUE"""),"VegasBot")</f>
        <v>VegasBot</v>
      </c>
    </row>
    <row r="12580">
      <c r="A12580" s="4" t="str">
        <f>IFERROR(__xludf.DUMMYFUNCTION("""COMPUTED_VALUE"""),"vegasino")</f>
        <v>vegasino</v>
      </c>
      <c r="B12580" s="4" t="str">
        <f>IFERROR(__xludf.DUMMYFUNCTION("""COMPUTED_VALUE"""),"vegas")</f>
        <v>vegas</v>
      </c>
      <c r="C12580" s="4" t="str">
        <f>IFERROR(__xludf.DUMMYFUNCTION("""COMPUTED_VALUE"""),"Vegasino")</f>
        <v>Vegasino</v>
      </c>
    </row>
    <row r="12581">
      <c r="A12581" s="4" t="str">
        <f>IFERROR(__xludf.DUMMYFUNCTION("""COMPUTED_VALUE"""),"vehicle-mining-system")</f>
        <v>vehicle-mining-system</v>
      </c>
      <c r="B12581" s="4" t="str">
        <f>IFERROR(__xludf.DUMMYFUNCTION("""COMPUTED_VALUE"""),"vms")</f>
        <v>vms</v>
      </c>
      <c r="C12581" s="4" t="str">
        <f>IFERROR(__xludf.DUMMYFUNCTION("""COMPUTED_VALUE"""),"Vehicle Mining System")</f>
        <v>Vehicle Mining System</v>
      </c>
    </row>
    <row r="12582">
      <c r="A12582" s="4" t="str">
        <f>IFERROR(__xludf.DUMMYFUNCTION("""COMPUTED_VALUE"""),"veil")</f>
        <v>veil</v>
      </c>
      <c r="B12582" s="4" t="str">
        <f>IFERROR(__xludf.DUMMYFUNCTION("""COMPUTED_VALUE"""),"veil")</f>
        <v>veil</v>
      </c>
      <c r="C12582" s="4" t="str">
        <f>IFERROR(__xludf.DUMMYFUNCTION("""COMPUTED_VALUE"""),"VEIL")</f>
        <v>VEIL</v>
      </c>
    </row>
    <row r="12583">
      <c r="A12583" s="4" t="str">
        <f>IFERROR(__xludf.DUMMYFUNCTION("""COMPUTED_VALUE"""),"veil-exchange")</f>
        <v>veil-exchange</v>
      </c>
      <c r="B12583" s="4" t="str">
        <f>IFERROR(__xludf.DUMMYFUNCTION("""COMPUTED_VALUE"""),"veil")</f>
        <v>veil</v>
      </c>
      <c r="C12583" s="4" t="str">
        <f>IFERROR(__xludf.DUMMYFUNCTION("""COMPUTED_VALUE"""),"Veil Exchange")</f>
        <v>Veil Exchange</v>
      </c>
    </row>
    <row r="12584">
      <c r="A12584" s="4" t="str">
        <f>IFERROR(__xludf.DUMMYFUNCTION("""COMPUTED_VALUE"""),"velar")</f>
        <v>velar</v>
      </c>
      <c r="B12584" s="4" t="str">
        <f>IFERROR(__xludf.DUMMYFUNCTION("""COMPUTED_VALUE"""),"velar")</f>
        <v>velar</v>
      </c>
      <c r="C12584" s="4" t="str">
        <f>IFERROR(__xludf.DUMMYFUNCTION("""COMPUTED_VALUE"""),"Velar")</f>
        <v>Velar</v>
      </c>
    </row>
    <row r="12585">
      <c r="A12585" s="4" t="str">
        <f>IFERROR(__xludf.DUMMYFUNCTION("""COMPUTED_VALUE"""),"velas")</f>
        <v>velas</v>
      </c>
      <c r="B12585" s="4" t="str">
        <f>IFERROR(__xludf.DUMMYFUNCTION("""COMPUTED_VALUE"""),"vlx")</f>
        <v>vlx</v>
      </c>
      <c r="C12585" s="4" t="str">
        <f>IFERROR(__xludf.DUMMYFUNCTION("""COMPUTED_VALUE"""),"Velas")</f>
        <v>Velas</v>
      </c>
    </row>
    <row r="12586">
      <c r="A12586" s="4" t="str">
        <f>IFERROR(__xludf.DUMMYFUNCTION("""COMPUTED_VALUE"""),"velaspad")</f>
        <v>velaspad</v>
      </c>
      <c r="B12586" s="4" t="str">
        <f>IFERROR(__xludf.DUMMYFUNCTION("""COMPUTED_VALUE"""),"vlxpad")</f>
        <v>vlxpad</v>
      </c>
      <c r="C12586" s="4" t="str">
        <f>IFERROR(__xludf.DUMMYFUNCTION("""COMPUTED_VALUE"""),"VelasPad")</f>
        <v>VelasPad</v>
      </c>
    </row>
    <row r="12587">
      <c r="A12587" s="4" t="str">
        <f>IFERROR(__xludf.DUMMYFUNCTION("""COMPUTED_VALUE"""),"vela-token")</f>
        <v>vela-token</v>
      </c>
      <c r="B12587" s="4" t="str">
        <f>IFERROR(__xludf.DUMMYFUNCTION("""COMPUTED_VALUE"""),"vela")</f>
        <v>vela</v>
      </c>
      <c r="C12587" s="4" t="str">
        <f>IFERROR(__xludf.DUMMYFUNCTION("""COMPUTED_VALUE"""),"Vela Token")</f>
        <v>Vela Token</v>
      </c>
    </row>
    <row r="12588">
      <c r="A12588" s="4" t="str">
        <f>IFERROR(__xludf.DUMMYFUNCTION("""COMPUTED_VALUE"""),"veldorabsc")</f>
        <v>veldorabsc</v>
      </c>
      <c r="B12588" s="4" t="str">
        <f>IFERROR(__xludf.DUMMYFUNCTION("""COMPUTED_VALUE"""),"vdora")</f>
        <v>vdora</v>
      </c>
      <c r="C12588" s="4" t="str">
        <f>IFERROR(__xludf.DUMMYFUNCTION("""COMPUTED_VALUE"""),"VeldoraBSC")</f>
        <v>VeldoraBSC</v>
      </c>
    </row>
    <row r="12589">
      <c r="A12589" s="4" t="str">
        <f>IFERROR(__xludf.DUMMYFUNCTION("""COMPUTED_VALUE"""),"velhalla")</f>
        <v>velhalla</v>
      </c>
      <c r="B12589" s="4" t="str">
        <f>IFERROR(__xludf.DUMMYFUNCTION("""COMPUTED_VALUE"""),"scar")</f>
        <v>scar</v>
      </c>
      <c r="C12589" s="4" t="str">
        <f>IFERROR(__xludf.DUMMYFUNCTION("""COMPUTED_VALUE"""),"ScarQuest")</f>
        <v>ScarQuest</v>
      </c>
    </row>
    <row r="12590">
      <c r="A12590" s="4" t="str">
        <f>IFERROR(__xludf.DUMMYFUNCTION("""COMPUTED_VALUE"""),"velo")</f>
        <v>velo</v>
      </c>
      <c r="B12590" s="4" t="str">
        <f>IFERROR(__xludf.DUMMYFUNCTION("""COMPUTED_VALUE"""),"velo")</f>
        <v>velo</v>
      </c>
      <c r="C12590" s="4" t="str">
        <f>IFERROR(__xludf.DUMMYFUNCTION("""COMPUTED_VALUE"""),"Velo")</f>
        <v>Velo</v>
      </c>
    </row>
    <row r="12591">
      <c r="A12591" s="4" t="str">
        <f>IFERROR(__xludf.DUMMYFUNCTION("""COMPUTED_VALUE"""),"veloce-vext")</f>
        <v>veloce-vext</v>
      </c>
      <c r="B12591" s="4" t="str">
        <f>IFERROR(__xludf.DUMMYFUNCTION("""COMPUTED_VALUE"""),"vext")</f>
        <v>vext</v>
      </c>
      <c r="C12591" s="4" t="str">
        <f>IFERROR(__xludf.DUMMYFUNCTION("""COMPUTED_VALUE"""),"Veloce")</f>
        <v>Veloce</v>
      </c>
    </row>
    <row r="12592">
      <c r="A12592" s="4" t="str">
        <f>IFERROR(__xludf.DUMMYFUNCTION("""COMPUTED_VALUE"""),"velocimeter-flow")</f>
        <v>velocimeter-flow</v>
      </c>
      <c r="B12592" s="4" t="str">
        <f>IFERROR(__xludf.DUMMYFUNCTION("""COMPUTED_VALUE"""),"flow")</f>
        <v>flow</v>
      </c>
      <c r="C12592" s="4" t="str">
        <f>IFERROR(__xludf.DUMMYFUNCTION("""COMPUTED_VALUE"""),"Velocimeter FLOW")</f>
        <v>Velocimeter FLOW</v>
      </c>
    </row>
    <row r="12593">
      <c r="A12593" s="4" t="str">
        <f>IFERROR(__xludf.DUMMYFUNCTION("""COMPUTED_VALUE"""),"velocore")</f>
        <v>velocore</v>
      </c>
      <c r="B12593" s="4" t="str">
        <f>IFERROR(__xludf.DUMMYFUNCTION("""COMPUTED_VALUE"""),"vc")</f>
        <v>vc</v>
      </c>
      <c r="C12593" s="4" t="str">
        <f>IFERROR(__xludf.DUMMYFUNCTION("""COMPUTED_VALUE"""),"Velocore")</f>
        <v>Velocore</v>
      </c>
    </row>
    <row r="12594">
      <c r="A12594" s="4" t="str">
        <f>IFERROR(__xludf.DUMMYFUNCTION("""COMPUTED_VALUE"""),"velocore-vetvc")</f>
        <v>velocore-vetvc</v>
      </c>
      <c r="B12594" s="4" t="str">
        <f>IFERROR(__xludf.DUMMYFUNCTION("""COMPUTED_VALUE"""),"vetvc")</f>
        <v>vetvc</v>
      </c>
      <c r="C12594" s="4" t="str">
        <f>IFERROR(__xludf.DUMMYFUNCTION("""COMPUTED_VALUE"""),"Velocore veTVC")</f>
        <v>Velocore veTVC</v>
      </c>
    </row>
    <row r="12595">
      <c r="A12595" s="4" t="str">
        <f>IFERROR(__xludf.DUMMYFUNCTION("""COMPUTED_VALUE"""),"velocore-waifu")</f>
        <v>velocore-waifu</v>
      </c>
      <c r="B12595" s="4" t="str">
        <f>IFERROR(__xludf.DUMMYFUNCTION("""COMPUTED_VALUE"""),"waifu")</f>
        <v>waifu</v>
      </c>
      <c r="C12595" s="4" t="str">
        <f>IFERROR(__xludf.DUMMYFUNCTION("""COMPUTED_VALUE"""),"Waifu by Velocore")</f>
        <v>Waifu by Velocore</v>
      </c>
    </row>
    <row r="12596">
      <c r="A12596" s="4" t="str">
        <f>IFERROR(__xludf.DUMMYFUNCTION("""COMPUTED_VALUE"""),"velodrome-finance")</f>
        <v>velodrome-finance</v>
      </c>
      <c r="B12596" s="4" t="str">
        <f>IFERROR(__xludf.DUMMYFUNCTION("""COMPUTED_VALUE"""),"velo")</f>
        <v>velo</v>
      </c>
      <c r="C12596" s="4" t="str">
        <f>IFERROR(__xludf.DUMMYFUNCTION("""COMPUTED_VALUE"""),"Velodrome Finance")</f>
        <v>Velodrome Finance</v>
      </c>
    </row>
    <row r="12597">
      <c r="A12597" s="4" t="str">
        <f>IFERROR(__xludf.DUMMYFUNCTION("""COMPUTED_VALUE"""),"velorex")</f>
        <v>velorex</v>
      </c>
      <c r="B12597" s="4" t="str">
        <f>IFERROR(__xludf.DUMMYFUNCTION("""COMPUTED_VALUE"""),"vex")</f>
        <v>vex</v>
      </c>
      <c r="C12597" s="4" t="str">
        <f>IFERROR(__xludf.DUMMYFUNCTION("""COMPUTED_VALUE"""),"Velorex")</f>
        <v>Velorex</v>
      </c>
    </row>
    <row r="12598">
      <c r="A12598" s="4" t="str">
        <f>IFERROR(__xludf.DUMMYFUNCTION("""COMPUTED_VALUE"""),"velosbot")</f>
        <v>velosbot</v>
      </c>
      <c r="B12598" s="4" t="str">
        <f>IFERROR(__xludf.DUMMYFUNCTION("""COMPUTED_VALUE"""),"velos")</f>
        <v>velos</v>
      </c>
      <c r="C12598" s="4" t="str">
        <f>IFERROR(__xludf.DUMMYFUNCTION("""COMPUTED_VALUE"""),"VelosBot")</f>
        <v>VelosBot</v>
      </c>
    </row>
    <row r="12599">
      <c r="A12599" s="4" t="str">
        <f>IFERROR(__xludf.DUMMYFUNCTION("""COMPUTED_VALUE"""),"velta-token")</f>
        <v>velta-token</v>
      </c>
      <c r="B12599" s="4" t="str">
        <f>IFERROR(__xludf.DUMMYFUNCTION("""COMPUTED_VALUE"""),"vta")</f>
        <v>vta</v>
      </c>
      <c r="C12599" s="4" t="str">
        <f>IFERROR(__xludf.DUMMYFUNCTION("""COMPUTED_VALUE"""),"VELTA Token")</f>
        <v>VELTA Token</v>
      </c>
    </row>
    <row r="12600">
      <c r="A12600" s="4" t="str">
        <f>IFERROR(__xludf.DUMMYFUNCTION("""COMPUTED_VALUE"""),"vemate")</f>
        <v>vemate</v>
      </c>
      <c r="B12600" s="4" t="str">
        <f>IFERROR(__xludf.DUMMYFUNCTION("""COMPUTED_VALUE"""),"vmt")</f>
        <v>vmt</v>
      </c>
      <c r="C12600" s="4" t="str">
        <f>IFERROR(__xludf.DUMMYFUNCTION("""COMPUTED_VALUE"""),"Vemate")</f>
        <v>Vemate</v>
      </c>
    </row>
    <row r="12601">
      <c r="A12601" s="4" t="str">
        <f>IFERROR(__xludf.DUMMYFUNCTION("""COMPUTED_VALUE"""),"vempire-ddao")</f>
        <v>vempire-ddao</v>
      </c>
      <c r="B12601" s="4" t="str">
        <f>IFERROR(__xludf.DUMMYFUNCTION("""COMPUTED_VALUE"""),"vemp")</f>
        <v>vemp</v>
      </c>
      <c r="C12601" s="4" t="str">
        <f>IFERROR(__xludf.DUMMYFUNCTION("""COMPUTED_VALUE"""),"VEMP")</f>
        <v>VEMP</v>
      </c>
    </row>
    <row r="12602">
      <c r="A12602" s="4" t="str">
        <f>IFERROR(__xludf.DUMMYFUNCTION("""COMPUTED_VALUE"""),"vendetta")</f>
        <v>vendetta</v>
      </c>
      <c r="B12602" s="4" t="str">
        <f>IFERROR(__xludf.DUMMYFUNCTION("""COMPUTED_VALUE"""),"vdt")</f>
        <v>vdt</v>
      </c>
      <c r="C12602" s="4" t="str">
        <f>IFERROR(__xludf.DUMMYFUNCTION("""COMPUTED_VALUE"""),"Vendetta")</f>
        <v>Vendetta</v>
      </c>
    </row>
    <row r="12603">
      <c r="A12603" s="4" t="str">
        <f>IFERROR(__xludf.DUMMYFUNCTION("""COMPUTED_VALUE"""),"venium")</f>
        <v>venium</v>
      </c>
      <c r="B12603" s="4" t="str">
        <f>IFERROR(__xludf.DUMMYFUNCTION("""COMPUTED_VALUE"""),"ven")</f>
        <v>ven</v>
      </c>
      <c r="C12603" s="4" t="str">
        <f>IFERROR(__xludf.DUMMYFUNCTION("""COMPUTED_VALUE"""),"Venium")</f>
        <v>Venium</v>
      </c>
    </row>
    <row r="12604">
      <c r="A12604" s="4" t="str">
        <f>IFERROR(__xludf.DUMMYFUNCTION("""COMPUTED_VALUE"""),"veno-finance")</f>
        <v>veno-finance</v>
      </c>
      <c r="B12604" s="4" t="str">
        <f>IFERROR(__xludf.DUMMYFUNCTION("""COMPUTED_VALUE"""),"vno")</f>
        <v>vno</v>
      </c>
      <c r="C12604" s="4" t="str">
        <f>IFERROR(__xludf.DUMMYFUNCTION("""COMPUTED_VALUE"""),"Veno Finance")</f>
        <v>Veno Finance</v>
      </c>
    </row>
    <row r="12605">
      <c r="A12605" s="4" t="str">
        <f>IFERROR(__xludf.DUMMYFUNCTION("""COMPUTED_VALUE"""),"veno-finance-staked-eth")</f>
        <v>veno-finance-staked-eth</v>
      </c>
      <c r="B12605" s="4" t="str">
        <f>IFERROR(__xludf.DUMMYFUNCTION("""COMPUTED_VALUE"""),"leth")</f>
        <v>leth</v>
      </c>
      <c r="C12605" s="4" t="str">
        <f>IFERROR(__xludf.DUMMYFUNCTION("""COMPUTED_VALUE"""),"Veno Finance Staked ETH")</f>
        <v>Veno Finance Staked ETH</v>
      </c>
    </row>
    <row r="12606">
      <c r="A12606" s="4" t="str">
        <f>IFERROR(__xludf.DUMMYFUNCTION("""COMPUTED_VALUE"""),"venom")</f>
        <v>venom</v>
      </c>
      <c r="B12606" s="4" t="str">
        <f>IFERROR(__xludf.DUMMYFUNCTION("""COMPUTED_VALUE"""),"venom")</f>
        <v>venom</v>
      </c>
      <c r="C12606" s="4" t="str">
        <f>IFERROR(__xludf.DUMMYFUNCTION("""COMPUTED_VALUE"""),"Venom")</f>
        <v>Venom</v>
      </c>
    </row>
    <row r="12607">
      <c r="A12607" s="4" t="str">
        <f>IFERROR(__xludf.DUMMYFUNCTION("""COMPUTED_VALUE"""),"venox")</f>
        <v>venox</v>
      </c>
      <c r="B12607" s="4" t="str">
        <f>IFERROR(__xludf.DUMMYFUNCTION("""COMPUTED_VALUE"""),"vnx")</f>
        <v>vnx</v>
      </c>
      <c r="C12607" s="4" t="str">
        <f>IFERROR(__xludf.DUMMYFUNCTION("""COMPUTED_VALUE"""),"Venox")</f>
        <v>Venox</v>
      </c>
    </row>
    <row r="12608">
      <c r="A12608" s="4" t="str">
        <f>IFERROR(__xludf.DUMMYFUNCTION("""COMPUTED_VALUE"""),"vent-finance")</f>
        <v>vent-finance</v>
      </c>
      <c r="B12608" s="4" t="str">
        <f>IFERROR(__xludf.DUMMYFUNCTION("""COMPUTED_VALUE"""),"vent")</f>
        <v>vent</v>
      </c>
      <c r="C12608" s="4" t="str">
        <f>IFERROR(__xludf.DUMMYFUNCTION("""COMPUTED_VALUE"""),"Vent Finance")</f>
        <v>Vent Finance</v>
      </c>
    </row>
    <row r="12609">
      <c r="A12609" s="4" t="str">
        <f>IFERROR(__xludf.DUMMYFUNCTION("""COMPUTED_VALUE"""),"vention")</f>
        <v>vention</v>
      </c>
      <c r="B12609" s="4" t="str">
        <f>IFERROR(__xludf.DUMMYFUNCTION("""COMPUTED_VALUE"""),"vention")</f>
        <v>vention</v>
      </c>
      <c r="C12609" s="4" t="str">
        <f>IFERROR(__xludf.DUMMYFUNCTION("""COMPUTED_VALUE"""),"Vention")</f>
        <v>Vention</v>
      </c>
    </row>
    <row r="12610">
      <c r="A12610" s="4" t="str">
        <f>IFERROR(__xludf.DUMMYFUNCTION("""COMPUTED_VALUE"""),"venture-coin-2")</f>
        <v>venture-coin-2</v>
      </c>
      <c r="B12610" s="4" t="str">
        <f>IFERROR(__xludf.DUMMYFUNCTION("""COMPUTED_VALUE"""),"vc")</f>
        <v>vc</v>
      </c>
      <c r="C12610" s="4" t="str">
        <f>IFERROR(__xludf.DUMMYFUNCTION("""COMPUTED_VALUE"""),"Venture Coin")</f>
        <v>Venture Coin</v>
      </c>
    </row>
    <row r="12611">
      <c r="A12611" s="4" t="str">
        <f>IFERROR(__xludf.DUMMYFUNCTION("""COMPUTED_VALUE"""),"venus")</f>
        <v>venus</v>
      </c>
      <c r="B12611" s="4" t="str">
        <f>IFERROR(__xludf.DUMMYFUNCTION("""COMPUTED_VALUE"""),"xvs")</f>
        <v>xvs</v>
      </c>
      <c r="C12611" s="4" t="str">
        <f>IFERROR(__xludf.DUMMYFUNCTION("""COMPUTED_VALUE"""),"Venus")</f>
        <v>Venus</v>
      </c>
    </row>
    <row r="12612">
      <c r="A12612" s="4" t="str">
        <f>IFERROR(__xludf.DUMMYFUNCTION("""COMPUTED_VALUE"""),"venus-bch")</f>
        <v>venus-bch</v>
      </c>
      <c r="B12612" s="4" t="str">
        <f>IFERROR(__xludf.DUMMYFUNCTION("""COMPUTED_VALUE"""),"vbch")</f>
        <v>vbch</v>
      </c>
      <c r="C12612" s="4" t="str">
        <f>IFERROR(__xludf.DUMMYFUNCTION("""COMPUTED_VALUE"""),"Venus BCH")</f>
        <v>Venus BCH</v>
      </c>
    </row>
    <row r="12613">
      <c r="A12613" s="4" t="str">
        <f>IFERROR(__xludf.DUMMYFUNCTION("""COMPUTED_VALUE"""),"venus-beth")</f>
        <v>venus-beth</v>
      </c>
      <c r="B12613" s="4" t="str">
        <f>IFERROR(__xludf.DUMMYFUNCTION("""COMPUTED_VALUE"""),"vbeth")</f>
        <v>vbeth</v>
      </c>
      <c r="C12613" s="4" t="str">
        <f>IFERROR(__xludf.DUMMYFUNCTION("""COMPUTED_VALUE"""),"Venus BETH")</f>
        <v>Venus BETH</v>
      </c>
    </row>
    <row r="12614">
      <c r="A12614" s="4" t="str">
        <f>IFERROR(__xludf.DUMMYFUNCTION("""COMPUTED_VALUE"""),"venus-btc")</f>
        <v>venus-btc</v>
      </c>
      <c r="B12614" s="4" t="str">
        <f>IFERROR(__xludf.DUMMYFUNCTION("""COMPUTED_VALUE"""),"vbtc")</f>
        <v>vbtc</v>
      </c>
      <c r="C12614" s="4" t="str">
        <f>IFERROR(__xludf.DUMMYFUNCTION("""COMPUTED_VALUE"""),"Venus BTC")</f>
        <v>Venus BTC</v>
      </c>
    </row>
    <row r="12615">
      <c r="A12615" s="4" t="str">
        <f>IFERROR(__xludf.DUMMYFUNCTION("""COMPUTED_VALUE"""),"venus-busd")</f>
        <v>venus-busd</v>
      </c>
      <c r="B12615" s="4" t="str">
        <f>IFERROR(__xludf.DUMMYFUNCTION("""COMPUTED_VALUE"""),"vbusd")</f>
        <v>vbusd</v>
      </c>
      <c r="C12615" s="4" t="str">
        <f>IFERROR(__xludf.DUMMYFUNCTION("""COMPUTED_VALUE"""),"Venus BUSD")</f>
        <v>Venus BUSD</v>
      </c>
    </row>
    <row r="12616">
      <c r="A12616" s="4" t="str">
        <f>IFERROR(__xludf.DUMMYFUNCTION("""COMPUTED_VALUE"""),"venus-dai")</f>
        <v>venus-dai</v>
      </c>
      <c r="B12616" s="4" t="str">
        <f>IFERROR(__xludf.DUMMYFUNCTION("""COMPUTED_VALUE"""),"vdai")</f>
        <v>vdai</v>
      </c>
      <c r="C12616" s="4" t="str">
        <f>IFERROR(__xludf.DUMMYFUNCTION("""COMPUTED_VALUE"""),"Venus DAI")</f>
        <v>Venus DAI</v>
      </c>
    </row>
    <row r="12617">
      <c r="A12617" s="4" t="str">
        <f>IFERROR(__xludf.DUMMYFUNCTION("""COMPUTED_VALUE"""),"venus-doge")</f>
        <v>venus-doge</v>
      </c>
      <c r="B12617" s="4" t="str">
        <f>IFERROR(__xludf.DUMMYFUNCTION("""COMPUTED_VALUE"""),"vdoge")</f>
        <v>vdoge</v>
      </c>
      <c r="C12617" s="4" t="str">
        <f>IFERROR(__xludf.DUMMYFUNCTION("""COMPUTED_VALUE"""),"Venus DOGE")</f>
        <v>Venus DOGE</v>
      </c>
    </row>
    <row r="12618">
      <c r="A12618" s="4" t="str">
        <f>IFERROR(__xludf.DUMMYFUNCTION("""COMPUTED_VALUE"""),"venus-dot")</f>
        <v>venus-dot</v>
      </c>
      <c r="B12618" s="4" t="str">
        <f>IFERROR(__xludf.DUMMYFUNCTION("""COMPUTED_VALUE"""),"vdot")</f>
        <v>vdot</v>
      </c>
      <c r="C12618" s="4" t="str">
        <f>IFERROR(__xludf.DUMMYFUNCTION("""COMPUTED_VALUE"""),"Venus DOT")</f>
        <v>Venus DOT</v>
      </c>
    </row>
    <row r="12619">
      <c r="A12619" s="4" t="str">
        <f>IFERROR(__xludf.DUMMYFUNCTION("""COMPUTED_VALUE"""),"venus-eth")</f>
        <v>venus-eth</v>
      </c>
      <c r="B12619" s="4" t="str">
        <f>IFERROR(__xludf.DUMMYFUNCTION("""COMPUTED_VALUE"""),"veth")</f>
        <v>veth</v>
      </c>
      <c r="C12619" s="4" t="str">
        <f>IFERROR(__xludf.DUMMYFUNCTION("""COMPUTED_VALUE"""),"Venus ETH")</f>
        <v>Venus ETH</v>
      </c>
    </row>
    <row r="12620">
      <c r="A12620" s="4" t="str">
        <f>IFERROR(__xludf.DUMMYFUNCTION("""COMPUTED_VALUE"""),"venus-fil")</f>
        <v>venus-fil</v>
      </c>
      <c r="B12620" s="4" t="str">
        <f>IFERROR(__xludf.DUMMYFUNCTION("""COMPUTED_VALUE"""),"vfil")</f>
        <v>vfil</v>
      </c>
      <c r="C12620" s="4" t="str">
        <f>IFERROR(__xludf.DUMMYFUNCTION("""COMPUTED_VALUE"""),"Venus FIL")</f>
        <v>Venus FIL</v>
      </c>
    </row>
    <row r="12621">
      <c r="A12621" s="4" t="str">
        <f>IFERROR(__xludf.DUMMYFUNCTION("""COMPUTED_VALUE"""),"venus-link")</f>
        <v>venus-link</v>
      </c>
      <c r="B12621" s="4" t="str">
        <f>IFERROR(__xludf.DUMMYFUNCTION("""COMPUTED_VALUE"""),"vlink")</f>
        <v>vlink</v>
      </c>
      <c r="C12621" s="4" t="str">
        <f>IFERROR(__xludf.DUMMYFUNCTION("""COMPUTED_VALUE"""),"Venus LINK")</f>
        <v>Venus LINK</v>
      </c>
    </row>
    <row r="12622">
      <c r="A12622" s="4" t="str">
        <f>IFERROR(__xludf.DUMMYFUNCTION("""COMPUTED_VALUE"""),"venus-ltc")</f>
        <v>venus-ltc</v>
      </c>
      <c r="B12622" s="4" t="str">
        <f>IFERROR(__xludf.DUMMYFUNCTION("""COMPUTED_VALUE"""),"vltc")</f>
        <v>vltc</v>
      </c>
      <c r="C12622" s="4" t="str">
        <f>IFERROR(__xludf.DUMMYFUNCTION("""COMPUTED_VALUE"""),"Venus LTC")</f>
        <v>Venus LTC</v>
      </c>
    </row>
    <row r="12623">
      <c r="A12623" s="4" t="str">
        <f>IFERROR(__xludf.DUMMYFUNCTION("""COMPUTED_VALUE"""),"venus-reward-token")</f>
        <v>venus-reward-token</v>
      </c>
      <c r="B12623" s="4" t="str">
        <f>IFERROR(__xludf.DUMMYFUNCTION("""COMPUTED_VALUE"""),"vrt")</f>
        <v>vrt</v>
      </c>
      <c r="C12623" s="4" t="str">
        <f>IFERROR(__xludf.DUMMYFUNCTION("""COMPUTED_VALUE"""),"Venus Reward")</f>
        <v>Venus Reward</v>
      </c>
    </row>
    <row r="12624">
      <c r="A12624" s="4" t="str">
        <f>IFERROR(__xludf.DUMMYFUNCTION("""COMPUTED_VALUE"""),"venus-sxp")</f>
        <v>venus-sxp</v>
      </c>
      <c r="B12624" s="4" t="str">
        <f>IFERROR(__xludf.DUMMYFUNCTION("""COMPUTED_VALUE"""),"vsxp")</f>
        <v>vsxp</v>
      </c>
      <c r="C12624" s="4" t="str">
        <f>IFERROR(__xludf.DUMMYFUNCTION("""COMPUTED_VALUE"""),"Venus SXP")</f>
        <v>Venus SXP</v>
      </c>
    </row>
    <row r="12625">
      <c r="A12625" s="4" t="str">
        <f>IFERROR(__xludf.DUMMYFUNCTION("""COMPUTED_VALUE"""),"venus-usdc")</f>
        <v>venus-usdc</v>
      </c>
      <c r="B12625" s="4" t="str">
        <f>IFERROR(__xludf.DUMMYFUNCTION("""COMPUTED_VALUE"""),"vusdc")</f>
        <v>vusdc</v>
      </c>
      <c r="C12625" s="4" t="str">
        <f>IFERROR(__xludf.DUMMYFUNCTION("""COMPUTED_VALUE"""),"Venus USDC")</f>
        <v>Venus USDC</v>
      </c>
    </row>
    <row r="12626">
      <c r="A12626" s="4" t="str">
        <f>IFERROR(__xludf.DUMMYFUNCTION("""COMPUTED_VALUE"""),"venus-usdt")</f>
        <v>venus-usdt</v>
      </c>
      <c r="B12626" s="4" t="str">
        <f>IFERROR(__xludf.DUMMYFUNCTION("""COMPUTED_VALUE"""),"vusdt")</f>
        <v>vusdt</v>
      </c>
      <c r="C12626" s="4" t="str">
        <f>IFERROR(__xludf.DUMMYFUNCTION("""COMPUTED_VALUE"""),"Venus USDT")</f>
        <v>Venus USDT</v>
      </c>
    </row>
    <row r="12627">
      <c r="A12627" s="4" t="str">
        <f>IFERROR(__xludf.DUMMYFUNCTION("""COMPUTED_VALUE"""),"venus-xrp")</f>
        <v>venus-xrp</v>
      </c>
      <c r="B12627" s="4" t="str">
        <f>IFERROR(__xludf.DUMMYFUNCTION("""COMPUTED_VALUE"""),"vxrp")</f>
        <v>vxrp</v>
      </c>
      <c r="C12627" s="4" t="str">
        <f>IFERROR(__xludf.DUMMYFUNCTION("""COMPUTED_VALUE"""),"Venus XRP")</f>
        <v>Venus XRP</v>
      </c>
    </row>
    <row r="12628">
      <c r="A12628" s="4" t="str">
        <f>IFERROR(__xludf.DUMMYFUNCTION("""COMPUTED_VALUE"""),"venus-xvs")</f>
        <v>venus-xvs</v>
      </c>
      <c r="B12628" s="4" t="str">
        <f>IFERROR(__xludf.DUMMYFUNCTION("""COMPUTED_VALUE"""),"vxvs")</f>
        <v>vxvs</v>
      </c>
      <c r="C12628" s="4" t="str">
        <f>IFERROR(__xludf.DUMMYFUNCTION("""COMPUTED_VALUE"""),"Venus XVS")</f>
        <v>Venus XVS</v>
      </c>
    </row>
    <row r="12629">
      <c r="A12629" s="4" t="str">
        <f>IFERROR(__xludf.DUMMYFUNCTION("""COMPUTED_VALUE"""),"vera")</f>
        <v>vera</v>
      </c>
      <c r="B12629" s="4" t="str">
        <f>IFERROR(__xludf.DUMMYFUNCTION("""COMPUTED_VALUE"""),"vera")</f>
        <v>vera</v>
      </c>
      <c r="C12629" s="4" t="str">
        <f>IFERROR(__xludf.DUMMYFUNCTION("""COMPUTED_VALUE"""),"Vera")</f>
        <v>Vera</v>
      </c>
    </row>
    <row r="12630">
      <c r="A12630" s="4" t="str">
        <f>IFERROR(__xludf.DUMMYFUNCTION("""COMPUTED_VALUE"""),"veraone")</f>
        <v>veraone</v>
      </c>
      <c r="B12630" s="4" t="str">
        <f>IFERROR(__xludf.DUMMYFUNCTION("""COMPUTED_VALUE"""),"vro")</f>
        <v>vro</v>
      </c>
      <c r="C12630" s="4" t="str">
        <f>IFERROR(__xludf.DUMMYFUNCTION("""COMPUTED_VALUE"""),"VeraOne")</f>
        <v>VeraOne</v>
      </c>
    </row>
    <row r="12631">
      <c r="A12631" s="4" t="str">
        <f>IFERROR(__xludf.DUMMYFUNCTION("""COMPUTED_VALUE"""),"verasity")</f>
        <v>verasity</v>
      </c>
      <c r="B12631" s="4" t="str">
        <f>IFERROR(__xludf.DUMMYFUNCTION("""COMPUTED_VALUE"""),"vra")</f>
        <v>vra</v>
      </c>
      <c r="C12631" s="4" t="str">
        <f>IFERROR(__xludf.DUMMYFUNCTION("""COMPUTED_VALUE"""),"Verasity")</f>
        <v>Verasity</v>
      </c>
    </row>
    <row r="12632">
      <c r="A12632" s="4" t="str">
        <f>IFERROR(__xludf.DUMMYFUNCTION("""COMPUTED_VALUE"""),"verge")</f>
        <v>verge</v>
      </c>
      <c r="B12632" s="4" t="str">
        <f>IFERROR(__xludf.DUMMYFUNCTION("""COMPUTED_VALUE"""),"xvg")</f>
        <v>xvg</v>
      </c>
      <c r="C12632" s="4" t="str">
        <f>IFERROR(__xludf.DUMMYFUNCTION("""COMPUTED_VALUE"""),"Verge")</f>
        <v>Verge</v>
      </c>
    </row>
    <row r="12633">
      <c r="A12633" s="4" t="str">
        <f>IFERROR(__xludf.DUMMYFUNCTION("""COMPUTED_VALUE"""),"verge-eth")</f>
        <v>verge-eth</v>
      </c>
      <c r="B12633" s="4" t="str">
        <f>IFERROR(__xludf.DUMMYFUNCTION("""COMPUTED_VALUE"""),"xvg")</f>
        <v>xvg</v>
      </c>
      <c r="C12633" s="4" t="str">
        <f>IFERROR(__xludf.DUMMYFUNCTION("""COMPUTED_VALUE"""),"Verge (ETH)")</f>
        <v>Verge (ETH)</v>
      </c>
    </row>
    <row r="12634">
      <c r="A12634" s="4" t="str">
        <f>IFERROR(__xludf.DUMMYFUNCTION("""COMPUTED_VALUE"""),"verida")</f>
        <v>verida</v>
      </c>
      <c r="B12634" s="4" t="str">
        <f>IFERROR(__xludf.DUMMYFUNCTION("""COMPUTED_VALUE"""),"vda")</f>
        <v>vda</v>
      </c>
      <c r="C12634" s="4" t="str">
        <f>IFERROR(__xludf.DUMMYFUNCTION("""COMPUTED_VALUE"""),"Verida")</f>
        <v>Verida</v>
      </c>
    </row>
    <row r="12635">
      <c r="A12635" s="4" t="str">
        <f>IFERROR(__xludf.DUMMYFUNCTION("""COMPUTED_VALUE"""),"verified-usd-foundation-usdv")</f>
        <v>verified-usd-foundation-usdv</v>
      </c>
      <c r="B12635" s="4" t="str">
        <f>IFERROR(__xludf.DUMMYFUNCTION("""COMPUTED_VALUE"""),"usdv")</f>
        <v>usdv</v>
      </c>
      <c r="C12635" s="4" t="str">
        <f>IFERROR(__xludf.DUMMYFUNCTION("""COMPUTED_VALUE"""),"Verified USD")</f>
        <v>Verified USD</v>
      </c>
    </row>
    <row r="12636">
      <c r="A12636" s="4" t="str">
        <f>IFERROR(__xludf.DUMMYFUNCTION("""COMPUTED_VALUE"""),"verify-authentificator-bot")</f>
        <v>verify-authentificator-bot</v>
      </c>
      <c r="B12636" s="4" t="str">
        <f>IFERROR(__xludf.DUMMYFUNCTION("""COMPUTED_VALUE"""),"verify")</f>
        <v>verify</v>
      </c>
      <c r="C12636" s="4" t="str">
        <f>IFERROR(__xludf.DUMMYFUNCTION("""COMPUTED_VALUE"""),"Verify Authentificator Bot")</f>
        <v>Verify Authentificator Bot</v>
      </c>
    </row>
    <row r="12637">
      <c r="A12637" s="4" t="str">
        <f>IFERROR(__xludf.DUMMYFUNCTION("""COMPUTED_VALUE"""),"veritaseum")</f>
        <v>veritaseum</v>
      </c>
      <c r="B12637" s="4" t="str">
        <f>IFERROR(__xludf.DUMMYFUNCTION("""COMPUTED_VALUE"""),"veri")</f>
        <v>veri</v>
      </c>
      <c r="C12637" s="4" t="str">
        <f>IFERROR(__xludf.DUMMYFUNCTION("""COMPUTED_VALUE"""),"Veritaseum")</f>
        <v>Veritaseum</v>
      </c>
    </row>
    <row r="12638">
      <c r="A12638" s="4" t="str">
        <f>IFERROR(__xludf.DUMMYFUNCTION("""COMPUTED_VALUE"""),"veritise")</f>
        <v>veritise</v>
      </c>
      <c r="B12638" s="4" t="str">
        <f>IFERROR(__xludf.DUMMYFUNCTION("""COMPUTED_VALUE"""),"vts")</f>
        <v>vts</v>
      </c>
      <c r="C12638" s="4" t="str">
        <f>IFERROR(__xludf.DUMMYFUNCTION("""COMPUTED_VALUE"""),"Veritise")</f>
        <v>Veritise</v>
      </c>
    </row>
    <row r="12639">
      <c r="A12639" s="4" t="str">
        <f>IFERROR(__xludf.DUMMYFUNCTION("""COMPUTED_VALUE"""),"veriumreserve")</f>
        <v>veriumreserve</v>
      </c>
      <c r="B12639" s="4" t="str">
        <f>IFERROR(__xludf.DUMMYFUNCTION("""COMPUTED_VALUE"""),"vrm")</f>
        <v>vrm</v>
      </c>
      <c r="C12639" s="4" t="str">
        <f>IFERROR(__xludf.DUMMYFUNCTION("""COMPUTED_VALUE"""),"VeriumReserve")</f>
        <v>VeriumReserve</v>
      </c>
    </row>
    <row r="12640">
      <c r="A12640" s="4" t="str">
        <f>IFERROR(__xludf.DUMMYFUNCTION("""COMPUTED_VALUE"""),"verox")</f>
        <v>verox</v>
      </c>
      <c r="B12640" s="4" t="str">
        <f>IFERROR(__xludf.DUMMYFUNCTION("""COMPUTED_VALUE"""),"vrx")</f>
        <v>vrx</v>
      </c>
      <c r="C12640" s="4" t="str">
        <f>IFERROR(__xludf.DUMMYFUNCTION("""COMPUTED_VALUE"""),"Verox")</f>
        <v>Verox</v>
      </c>
    </row>
    <row r="12641">
      <c r="A12641" s="4" t="str">
        <f>IFERROR(__xludf.DUMMYFUNCTION("""COMPUTED_VALUE"""),"versagames")</f>
        <v>versagames</v>
      </c>
      <c r="B12641" s="4" t="str">
        <f>IFERROR(__xludf.DUMMYFUNCTION("""COMPUTED_VALUE"""),"versa")</f>
        <v>versa</v>
      </c>
      <c r="C12641" s="4" t="str">
        <f>IFERROR(__xludf.DUMMYFUNCTION("""COMPUTED_VALUE"""),"VersaGames")</f>
        <v>VersaGames</v>
      </c>
    </row>
    <row r="12642">
      <c r="A12642" s="4" t="str">
        <f>IFERROR(__xludf.DUMMYFUNCTION("""COMPUTED_VALUE"""),"verse-bitcoin")</f>
        <v>verse-bitcoin</v>
      </c>
      <c r="B12642" s="4" t="str">
        <f>IFERROR(__xludf.DUMMYFUNCTION("""COMPUTED_VALUE"""),"verse")</f>
        <v>verse</v>
      </c>
      <c r="C12642" s="4" t="str">
        <f>IFERROR(__xludf.DUMMYFUNCTION("""COMPUTED_VALUE"""),"Verse")</f>
        <v>Verse</v>
      </c>
    </row>
    <row r="12643">
      <c r="A12643" s="4" t="str">
        <f>IFERROR(__xludf.DUMMYFUNCTION("""COMPUTED_VALUE"""),"versity")</f>
        <v>versity</v>
      </c>
      <c r="B12643" s="4" t="str">
        <f>IFERROR(__xludf.DUMMYFUNCTION("""COMPUTED_VALUE"""),"sity")</f>
        <v>sity</v>
      </c>
      <c r="C12643" s="4" t="str">
        <f>IFERROR(__xludf.DUMMYFUNCTION("""COMPUTED_VALUE"""),"Versity")</f>
        <v>Versity</v>
      </c>
    </row>
    <row r="12644">
      <c r="A12644" s="4" t="str">
        <f>IFERROR(__xludf.DUMMYFUNCTION("""COMPUTED_VALUE"""),"verso")</f>
        <v>verso</v>
      </c>
      <c r="B12644" s="4" t="str">
        <f>IFERROR(__xludf.DUMMYFUNCTION("""COMPUTED_VALUE"""),"vso")</f>
        <v>vso</v>
      </c>
      <c r="C12644" s="4" t="str">
        <f>IFERROR(__xludf.DUMMYFUNCTION("""COMPUTED_VALUE"""),"Verso")</f>
        <v>Verso</v>
      </c>
    </row>
    <row r="12645">
      <c r="A12645" s="4" t="str">
        <f>IFERROR(__xludf.DUMMYFUNCTION("""COMPUTED_VALUE"""),"versoview")</f>
        <v>versoview</v>
      </c>
      <c r="B12645" s="4" t="str">
        <f>IFERROR(__xludf.DUMMYFUNCTION("""COMPUTED_VALUE"""),"vvt")</f>
        <v>vvt</v>
      </c>
      <c r="C12645" s="4" t="str">
        <f>IFERROR(__xludf.DUMMYFUNCTION("""COMPUTED_VALUE"""),"VersoView")</f>
        <v>VersoView</v>
      </c>
    </row>
    <row r="12646">
      <c r="A12646" s="4" t="str">
        <f>IFERROR(__xludf.DUMMYFUNCTION("""COMPUTED_VALUE"""),"versus-2")</f>
        <v>versus-2</v>
      </c>
      <c r="B12646" s="4" t="str">
        <f>IFERROR(__xludf.DUMMYFUNCTION("""COMPUTED_VALUE"""),"vs")</f>
        <v>vs</v>
      </c>
      <c r="C12646" s="4" t="str">
        <f>IFERROR(__xludf.DUMMYFUNCTION("""COMPUTED_VALUE"""),"Versus")</f>
        <v>Versus</v>
      </c>
    </row>
    <row r="12647">
      <c r="A12647" s="4" t="str">
        <f>IFERROR(__xludf.DUMMYFUNCTION("""COMPUTED_VALUE"""),"versus-x")</f>
        <v>versus-x</v>
      </c>
      <c r="B12647" s="4" t="str">
        <f>IFERROR(__xludf.DUMMYFUNCTION("""COMPUTED_VALUE"""),"vsx")</f>
        <v>vsx</v>
      </c>
      <c r="C12647" s="4" t="str">
        <f>IFERROR(__xludf.DUMMYFUNCTION("""COMPUTED_VALUE"""),"Versus-X")</f>
        <v>Versus-X</v>
      </c>
    </row>
    <row r="12648">
      <c r="A12648" s="4" t="str">
        <f>IFERROR(__xludf.DUMMYFUNCTION("""COMPUTED_VALUE"""),"vertcoin")</f>
        <v>vertcoin</v>
      </c>
      <c r="B12648" s="4" t="str">
        <f>IFERROR(__xludf.DUMMYFUNCTION("""COMPUTED_VALUE"""),"vtc")</f>
        <v>vtc</v>
      </c>
      <c r="C12648" s="4" t="str">
        <f>IFERROR(__xludf.DUMMYFUNCTION("""COMPUTED_VALUE"""),"Vertcoin")</f>
        <v>Vertcoin</v>
      </c>
    </row>
    <row r="12649">
      <c r="A12649" s="4" t="str">
        <f>IFERROR(__xludf.DUMMYFUNCTION("""COMPUTED_VALUE"""),"vertek")</f>
        <v>vertek</v>
      </c>
      <c r="B12649" s="4" t="str">
        <f>IFERROR(__xludf.DUMMYFUNCTION("""COMPUTED_VALUE"""),"vrtk")</f>
        <v>vrtk</v>
      </c>
      <c r="C12649" s="4" t="str">
        <f>IFERROR(__xludf.DUMMYFUNCTION("""COMPUTED_VALUE"""),"Vertek")</f>
        <v>Vertek</v>
      </c>
    </row>
    <row r="12650">
      <c r="A12650" s="4" t="str">
        <f>IFERROR(__xludf.DUMMYFUNCTION("""COMPUTED_VALUE"""),"vertex-protocol")</f>
        <v>vertex-protocol</v>
      </c>
      <c r="B12650" s="4" t="str">
        <f>IFERROR(__xludf.DUMMYFUNCTION("""COMPUTED_VALUE"""),"vrtx")</f>
        <v>vrtx</v>
      </c>
      <c r="C12650" s="4" t="str">
        <f>IFERROR(__xludf.DUMMYFUNCTION("""COMPUTED_VALUE"""),"Vertex")</f>
        <v>Vertex</v>
      </c>
    </row>
    <row r="12651">
      <c r="A12651" s="4" t="str">
        <f>IFERROR(__xludf.DUMMYFUNCTION("""COMPUTED_VALUE"""),"verus-coin")</f>
        <v>verus-coin</v>
      </c>
      <c r="B12651" s="4" t="str">
        <f>IFERROR(__xludf.DUMMYFUNCTION("""COMPUTED_VALUE"""),"vrsc")</f>
        <v>vrsc</v>
      </c>
      <c r="C12651" s="4" t="str">
        <f>IFERROR(__xludf.DUMMYFUNCTION("""COMPUTED_VALUE"""),"Verus Coin")</f>
        <v>Verus Coin</v>
      </c>
    </row>
    <row r="12652">
      <c r="A12652" s="4" t="str">
        <f>IFERROR(__xludf.DUMMYFUNCTION("""COMPUTED_VALUE"""),"very-special-dragon")</f>
        <v>very-special-dragon</v>
      </c>
      <c r="B12652" s="4" t="str">
        <f>IFERROR(__xludf.DUMMYFUNCTION("""COMPUTED_VALUE"""),"vito")</f>
        <v>vito</v>
      </c>
      <c r="C12652" s="4" t="str">
        <f>IFERROR(__xludf.DUMMYFUNCTION("""COMPUTED_VALUE"""),"Very Special Dragon")</f>
        <v>Very Special Dragon</v>
      </c>
    </row>
    <row r="12653">
      <c r="A12653" s="4" t="str">
        <f>IFERROR(__xludf.DUMMYFUNCTION("""COMPUTED_VALUE"""),"vesper-finance")</f>
        <v>vesper-finance</v>
      </c>
      <c r="B12653" s="4" t="str">
        <f>IFERROR(__xludf.DUMMYFUNCTION("""COMPUTED_VALUE"""),"vsp")</f>
        <v>vsp</v>
      </c>
      <c r="C12653" s="4" t="str">
        <f>IFERROR(__xludf.DUMMYFUNCTION("""COMPUTED_VALUE"""),"Vesper Finance")</f>
        <v>Vesper Finance</v>
      </c>
    </row>
    <row r="12654">
      <c r="A12654" s="4" t="str">
        <f>IFERROR(__xludf.DUMMYFUNCTION("""COMPUTED_VALUE"""),"vesta-finance")</f>
        <v>vesta-finance</v>
      </c>
      <c r="B12654" s="4" t="str">
        <f>IFERROR(__xludf.DUMMYFUNCTION("""COMPUTED_VALUE"""),"vsta")</f>
        <v>vsta</v>
      </c>
      <c r="C12654" s="4" t="str">
        <f>IFERROR(__xludf.DUMMYFUNCTION("""COMPUTED_VALUE"""),"Vesta Finance")</f>
        <v>Vesta Finance</v>
      </c>
    </row>
    <row r="12655">
      <c r="A12655" s="4" t="str">
        <f>IFERROR(__xludf.DUMMYFUNCTION("""COMPUTED_VALUE"""),"vesta-stable")</f>
        <v>vesta-stable</v>
      </c>
      <c r="B12655" s="4" t="str">
        <f>IFERROR(__xludf.DUMMYFUNCTION("""COMPUTED_VALUE"""),"vst")</f>
        <v>vst</v>
      </c>
      <c r="C12655" s="4" t="str">
        <f>IFERROR(__xludf.DUMMYFUNCTION("""COMPUTED_VALUE"""),"Vesta Stable")</f>
        <v>Vesta Stable</v>
      </c>
    </row>
    <row r="12656">
      <c r="A12656" s="4" t="str">
        <f>IFERROR(__xludf.DUMMYFUNCTION("""COMPUTED_VALUE"""),"vestate")</f>
        <v>vestate</v>
      </c>
      <c r="B12656" s="4" t="str">
        <f>IFERROR(__xludf.DUMMYFUNCTION("""COMPUTED_VALUE"""),"ves")</f>
        <v>ves</v>
      </c>
      <c r="C12656" s="4" t="str">
        <f>IFERROR(__xludf.DUMMYFUNCTION("""COMPUTED_VALUE"""),"Vestate")</f>
        <v>Vestate</v>
      </c>
    </row>
    <row r="12657">
      <c r="A12657" s="4" t="str">
        <f>IFERROR(__xludf.DUMMYFUNCTION("""COMPUTED_VALUE"""),"vestige")</f>
        <v>vestige</v>
      </c>
      <c r="B12657" s="4" t="str">
        <f>IFERROR(__xludf.DUMMYFUNCTION("""COMPUTED_VALUE"""),"vest")</f>
        <v>vest</v>
      </c>
      <c r="C12657" s="4" t="str">
        <f>IFERROR(__xludf.DUMMYFUNCTION("""COMPUTED_VALUE"""),"Vestige")</f>
        <v>Vestige</v>
      </c>
    </row>
    <row r="12658">
      <c r="A12658" s="4" t="str">
        <f>IFERROR(__xludf.DUMMYFUNCTION("""COMPUTED_VALUE"""),"vesync")</f>
        <v>vesync</v>
      </c>
      <c r="B12658" s="4" t="str">
        <f>IFERROR(__xludf.DUMMYFUNCTION("""COMPUTED_VALUE"""),"vs")</f>
        <v>vs</v>
      </c>
      <c r="C12658" s="4" t="str">
        <f>IFERROR(__xludf.DUMMYFUNCTION("""COMPUTED_VALUE"""),"veSync")</f>
        <v>veSync</v>
      </c>
    </row>
    <row r="12659">
      <c r="A12659" s="4" t="str">
        <f>IFERROR(__xludf.DUMMYFUNCTION("""COMPUTED_VALUE"""),"vethor-token")</f>
        <v>vethor-token</v>
      </c>
      <c r="B12659" s="4" t="str">
        <f>IFERROR(__xludf.DUMMYFUNCTION("""COMPUTED_VALUE"""),"vtho")</f>
        <v>vtho</v>
      </c>
      <c r="C12659" s="4" t="str">
        <f>IFERROR(__xludf.DUMMYFUNCTION("""COMPUTED_VALUE"""),"VeThor")</f>
        <v>VeThor</v>
      </c>
    </row>
    <row r="12660">
      <c r="A12660" s="4" t="str">
        <f>IFERROR(__xludf.DUMMYFUNCTION("""COMPUTED_VALUE"""),"vetme")</f>
        <v>vetme</v>
      </c>
      <c r="B12660" s="4" t="str">
        <f>IFERROR(__xludf.DUMMYFUNCTION("""COMPUTED_VALUE"""),"vetme")</f>
        <v>vetme</v>
      </c>
      <c r="C12660" s="4" t="str">
        <f>IFERROR(__xludf.DUMMYFUNCTION("""COMPUTED_VALUE"""),"VetMe")</f>
        <v>VetMe</v>
      </c>
    </row>
    <row r="12661">
      <c r="A12661" s="4" t="str">
        <f>IFERROR(__xludf.DUMMYFUNCTION("""COMPUTED_VALUE"""),"vetter-skylabs")</f>
        <v>vetter-skylabs</v>
      </c>
      <c r="B12661" s="4" t="str">
        <f>IFERROR(__xludf.DUMMYFUNCTION("""COMPUTED_VALUE"""),"vsl")</f>
        <v>vsl</v>
      </c>
      <c r="C12661" s="4" t="str">
        <f>IFERROR(__xludf.DUMMYFUNCTION("""COMPUTED_VALUE"""),"Vetter Skylabs")</f>
        <v>Vetter Skylabs</v>
      </c>
    </row>
    <row r="12662">
      <c r="A12662" s="4" t="str">
        <f>IFERROR(__xludf.DUMMYFUNCTION("""COMPUTED_VALUE"""),"vetter-token")</f>
        <v>vetter-token</v>
      </c>
      <c r="B12662" s="4" t="str">
        <f>IFERROR(__xludf.DUMMYFUNCTION("""COMPUTED_VALUE"""),"vetter")</f>
        <v>vetter</v>
      </c>
      <c r="C12662" s="4" t="str">
        <f>IFERROR(__xludf.DUMMYFUNCTION("""COMPUTED_VALUE"""),"Vetter")</f>
        <v>Vetter</v>
      </c>
    </row>
    <row r="12663">
      <c r="A12663" s="4" t="str">
        <f>IFERROR(__xludf.DUMMYFUNCTION("""COMPUTED_VALUE"""),"veve")</f>
        <v>veve</v>
      </c>
      <c r="B12663" s="4" t="str">
        <f>IFERROR(__xludf.DUMMYFUNCTION("""COMPUTED_VALUE"""),"veve")</f>
        <v>veve</v>
      </c>
      <c r="C12663" s="4" t="str">
        <f>IFERROR(__xludf.DUMMYFUNCTION("""COMPUTED_VALUE"""),"VEVE")</f>
        <v>VEVE</v>
      </c>
    </row>
    <row r="12664">
      <c r="A12664" s="4" t="str">
        <f>IFERROR(__xludf.DUMMYFUNCTION("""COMPUTED_VALUE"""),"vex-aeterna")</f>
        <v>vex-aeterna</v>
      </c>
      <c r="B12664" s="4" t="str">
        <f>IFERROR(__xludf.DUMMYFUNCTION("""COMPUTED_VALUE"""),"vex")</f>
        <v>vex</v>
      </c>
      <c r="C12664" s="4" t="str">
        <f>IFERROR(__xludf.DUMMYFUNCTION("""COMPUTED_VALUE"""),"Vex Aeterna")</f>
        <v>Vex Aeterna</v>
      </c>
    </row>
    <row r="12665">
      <c r="A12665" s="4" t="str">
        <f>IFERROR(__xludf.DUMMYFUNCTION("""COMPUTED_VALUE"""),"vexanium")</f>
        <v>vexanium</v>
      </c>
      <c r="B12665" s="4" t="str">
        <f>IFERROR(__xludf.DUMMYFUNCTION("""COMPUTED_VALUE"""),"vex")</f>
        <v>vex</v>
      </c>
      <c r="C12665" s="4" t="str">
        <f>IFERROR(__xludf.DUMMYFUNCTION("""COMPUTED_VALUE"""),"Vexanium")</f>
        <v>Vexanium</v>
      </c>
    </row>
    <row r="12666">
      <c r="A12666" s="4" t="str">
        <f>IFERROR(__xludf.DUMMYFUNCTION("""COMPUTED_VALUE"""),"vfox")</f>
        <v>vfox</v>
      </c>
      <c r="B12666" s="4" t="str">
        <f>IFERROR(__xludf.DUMMYFUNCTION("""COMPUTED_VALUE"""),"vfox")</f>
        <v>vfox</v>
      </c>
      <c r="C12666" s="4" t="str">
        <f>IFERROR(__xludf.DUMMYFUNCTION("""COMPUTED_VALUE"""),"VFOX")</f>
        <v>VFOX</v>
      </c>
    </row>
    <row r="12667">
      <c r="A12667" s="4" t="str">
        <f>IFERROR(__xludf.DUMMYFUNCTION("""COMPUTED_VALUE"""),"viacoin")</f>
        <v>viacoin</v>
      </c>
      <c r="B12667" s="4" t="str">
        <f>IFERROR(__xludf.DUMMYFUNCTION("""COMPUTED_VALUE"""),"via")</f>
        <v>via</v>
      </c>
      <c r="C12667" s="4" t="str">
        <f>IFERROR(__xludf.DUMMYFUNCTION("""COMPUTED_VALUE"""),"Viacoin")</f>
        <v>Viacoin</v>
      </c>
    </row>
    <row r="12668">
      <c r="A12668" s="4" t="str">
        <f>IFERROR(__xludf.DUMMYFUNCTION("""COMPUTED_VALUE"""),"vibe")</f>
        <v>vibe</v>
      </c>
      <c r="B12668" s="4" t="str">
        <f>IFERROR(__xludf.DUMMYFUNCTION("""COMPUTED_VALUE"""),"vibe")</f>
        <v>vibe</v>
      </c>
      <c r="C12668" s="4" t="str">
        <f>IFERROR(__xludf.DUMMYFUNCTION("""COMPUTED_VALUE"""),"VIBE")</f>
        <v>VIBE</v>
      </c>
    </row>
    <row r="12669">
      <c r="A12669" s="4" t="str">
        <f>IFERROR(__xludf.DUMMYFUNCTION("""COMPUTED_VALUE"""),"viberate")</f>
        <v>viberate</v>
      </c>
      <c r="B12669" s="4" t="str">
        <f>IFERROR(__xludf.DUMMYFUNCTION("""COMPUTED_VALUE"""),"vib")</f>
        <v>vib</v>
      </c>
      <c r="C12669" s="4" t="str">
        <f>IFERROR(__xludf.DUMMYFUNCTION("""COMPUTED_VALUE"""),"Viberate")</f>
        <v>Viberate</v>
      </c>
    </row>
    <row r="12670">
      <c r="A12670" s="4" t="str">
        <f>IFERROR(__xludf.DUMMYFUNCTION("""COMPUTED_VALUE"""),"vibing")</f>
        <v>vibing</v>
      </c>
      <c r="B12670" s="4" t="str">
        <f>IFERROR(__xludf.DUMMYFUNCTION("""COMPUTED_VALUE"""),"vbg")</f>
        <v>vbg</v>
      </c>
      <c r="C12670" s="4" t="str">
        <f>IFERROR(__xludf.DUMMYFUNCTION("""COMPUTED_VALUE"""),"Vibing")</f>
        <v>Vibing</v>
      </c>
    </row>
    <row r="12671">
      <c r="A12671" s="4" t="str">
        <f>IFERROR(__xludf.DUMMYFUNCTION("""COMPUTED_VALUE"""),"vibing-cat")</f>
        <v>vibing-cat</v>
      </c>
      <c r="B12671" s="4" t="str">
        <f>IFERROR(__xludf.DUMMYFUNCTION("""COMPUTED_VALUE"""),"vcat")</f>
        <v>vcat</v>
      </c>
      <c r="C12671" s="4" t="str">
        <f>IFERROR(__xludf.DUMMYFUNCTION("""COMPUTED_VALUE"""),"Vibing Cat")</f>
        <v>Vibing Cat</v>
      </c>
    </row>
    <row r="12672">
      <c r="A12672" s="4" t="str">
        <f>IFERROR(__xludf.DUMMYFUNCTION("""COMPUTED_VALUE"""),"vibingcattoken")</f>
        <v>vibingcattoken</v>
      </c>
      <c r="B12672" s="4" t="str">
        <f>IFERROR(__xludf.DUMMYFUNCTION("""COMPUTED_VALUE"""),"vct")</f>
        <v>vct</v>
      </c>
      <c r="C12672" s="4" t="str">
        <f>IFERROR(__xludf.DUMMYFUNCTION("""COMPUTED_VALUE"""),"VibingCatToken")</f>
        <v>VibingCatToken</v>
      </c>
    </row>
    <row r="12673">
      <c r="A12673" s="4" t="str">
        <f>IFERROR(__xludf.DUMMYFUNCTION("""COMPUTED_VALUE"""),"vicat")</f>
        <v>vicat</v>
      </c>
      <c r="B12673" s="4" t="str">
        <f>IFERROR(__xludf.DUMMYFUNCTION("""COMPUTED_VALUE"""),"vicat")</f>
        <v>vicat</v>
      </c>
      <c r="C12673" s="4" t="str">
        <f>IFERROR(__xludf.DUMMYFUNCTION("""COMPUTED_VALUE"""),"ViCat")</f>
        <v>ViCat</v>
      </c>
    </row>
    <row r="12674">
      <c r="A12674" s="4" t="str">
        <f>IFERROR(__xludf.DUMMYFUNCTION("""COMPUTED_VALUE"""),"vica-token")</f>
        <v>vica-token</v>
      </c>
      <c r="B12674" s="4" t="str">
        <f>IFERROR(__xludf.DUMMYFUNCTION("""COMPUTED_VALUE"""),"vica")</f>
        <v>vica</v>
      </c>
      <c r="C12674" s="4" t="str">
        <f>IFERROR(__xludf.DUMMYFUNCTION("""COMPUTED_VALUE"""),"ViCA")</f>
        <v>ViCA</v>
      </c>
    </row>
    <row r="12675">
      <c r="A12675" s="4" t="str">
        <f>IFERROR(__xludf.DUMMYFUNCTION("""COMPUTED_VALUE"""),"vicicoin")</f>
        <v>vicicoin</v>
      </c>
      <c r="B12675" s="4" t="str">
        <f>IFERROR(__xludf.DUMMYFUNCTION("""COMPUTED_VALUE"""),"vcnt")</f>
        <v>vcnt</v>
      </c>
      <c r="C12675" s="4" t="str">
        <f>IFERROR(__xludf.DUMMYFUNCTION("""COMPUTED_VALUE"""),"ViciCoin")</f>
        <v>ViciCoin</v>
      </c>
    </row>
    <row r="12676">
      <c r="A12676" s="4" t="str">
        <f>IFERROR(__xludf.DUMMYFUNCTION("""COMPUTED_VALUE"""),"vicpool-staked-vic")</f>
        <v>vicpool-staked-vic</v>
      </c>
      <c r="B12676" s="4" t="str">
        <f>IFERROR(__xludf.DUMMYFUNCTION("""COMPUTED_VALUE"""),"svic")</f>
        <v>svic</v>
      </c>
      <c r="C12676" s="4" t="str">
        <f>IFERROR(__xludf.DUMMYFUNCTION("""COMPUTED_VALUE"""),"Vicpool Staked VIC")</f>
        <v>Vicpool Staked VIC</v>
      </c>
    </row>
    <row r="12677">
      <c r="A12677" s="4" t="str">
        <f>IFERROR(__xludf.DUMMYFUNCTION("""COMPUTED_VALUE"""),"viction-bridged-usdt-viction")</f>
        <v>viction-bridged-usdt-viction</v>
      </c>
      <c r="B12677" s="4" t="str">
        <f>IFERROR(__xludf.DUMMYFUNCTION("""COMPUTED_VALUE"""),"usdt")</f>
        <v>usdt</v>
      </c>
      <c r="C12677" s="4" t="str">
        <f>IFERROR(__xludf.DUMMYFUNCTION("""COMPUTED_VALUE"""),"Viction Bridged USDT (Viction)")</f>
        <v>Viction Bridged USDT (Viction)</v>
      </c>
    </row>
    <row r="12678">
      <c r="A12678" s="4" t="str">
        <f>IFERROR(__xludf.DUMMYFUNCTION("""COMPUTED_VALUE"""),"victoria-vr")</f>
        <v>victoria-vr</v>
      </c>
      <c r="B12678" s="4" t="str">
        <f>IFERROR(__xludf.DUMMYFUNCTION("""COMPUTED_VALUE"""),"vr")</f>
        <v>vr</v>
      </c>
      <c r="C12678" s="4" t="str">
        <f>IFERROR(__xludf.DUMMYFUNCTION("""COMPUTED_VALUE"""),"Victoria VR")</f>
        <v>Victoria VR</v>
      </c>
    </row>
    <row r="12679">
      <c r="A12679" s="4" t="str">
        <f>IFERROR(__xludf.DUMMYFUNCTION("""COMPUTED_VALUE"""),"victorum")</f>
        <v>victorum</v>
      </c>
      <c r="B12679" s="4" t="str">
        <f>IFERROR(__xludf.DUMMYFUNCTION("""COMPUTED_VALUE"""),"vcc")</f>
        <v>vcc</v>
      </c>
      <c r="C12679" s="4" t="str">
        <f>IFERROR(__xludf.DUMMYFUNCTION("""COMPUTED_VALUE"""),"Victorum")</f>
        <v>Victorum</v>
      </c>
    </row>
    <row r="12680">
      <c r="A12680" s="4" t="str">
        <f>IFERROR(__xludf.DUMMYFUNCTION("""COMPUTED_VALUE"""),"victory-gem")</f>
        <v>victory-gem</v>
      </c>
      <c r="B12680" s="4" t="str">
        <f>IFERROR(__xludf.DUMMYFUNCTION("""COMPUTED_VALUE"""),"vtg")</f>
        <v>vtg</v>
      </c>
      <c r="C12680" s="4" t="str">
        <f>IFERROR(__xludf.DUMMYFUNCTION("""COMPUTED_VALUE"""),"Victory Gem")</f>
        <v>Victory Gem</v>
      </c>
    </row>
    <row r="12681">
      <c r="A12681" s="4" t="str">
        <f>IFERROR(__xludf.DUMMYFUNCTION("""COMPUTED_VALUE"""),"victory-impact")</f>
        <v>victory-impact</v>
      </c>
      <c r="B12681" s="4" t="str">
        <f>IFERROR(__xludf.DUMMYFUNCTION("""COMPUTED_VALUE"""),"vic")</f>
        <v>vic</v>
      </c>
      <c r="C12681" s="4" t="str">
        <f>IFERROR(__xludf.DUMMYFUNCTION("""COMPUTED_VALUE"""),"Victory Impact")</f>
        <v>Victory Impact</v>
      </c>
    </row>
    <row r="12682">
      <c r="A12682" s="4" t="str">
        <f>IFERROR(__xludf.DUMMYFUNCTION("""COMPUTED_VALUE"""),"vidt-dao")</f>
        <v>vidt-dao</v>
      </c>
      <c r="B12682" s="4" t="str">
        <f>IFERROR(__xludf.DUMMYFUNCTION("""COMPUTED_VALUE"""),"vidt")</f>
        <v>vidt</v>
      </c>
      <c r="C12682" s="4" t="str">
        <f>IFERROR(__xludf.DUMMYFUNCTION("""COMPUTED_VALUE"""),"VIDT DAO")</f>
        <v>VIDT DAO</v>
      </c>
    </row>
    <row r="12683">
      <c r="A12683" s="4" t="str">
        <f>IFERROR(__xludf.DUMMYFUNCTION("""COMPUTED_VALUE"""),"vidulum")</f>
        <v>vidulum</v>
      </c>
      <c r="B12683" s="4" t="str">
        <f>IFERROR(__xludf.DUMMYFUNCTION("""COMPUTED_VALUE"""),"vdl")</f>
        <v>vdl</v>
      </c>
      <c r="C12683" s="4" t="str">
        <f>IFERROR(__xludf.DUMMYFUNCTION("""COMPUTED_VALUE"""),"Vidulum")</f>
        <v>Vidulum</v>
      </c>
    </row>
    <row r="12684">
      <c r="A12684" s="4" t="str">
        <f>IFERROR(__xludf.DUMMYFUNCTION("""COMPUTED_VALUE"""),"vidy")</f>
        <v>vidy</v>
      </c>
      <c r="B12684" s="4" t="str">
        <f>IFERROR(__xludf.DUMMYFUNCTION("""COMPUTED_VALUE"""),"vidy")</f>
        <v>vidy</v>
      </c>
      <c r="C12684" s="4" t="str">
        <f>IFERROR(__xludf.DUMMYFUNCTION("""COMPUTED_VALUE"""),"VIDY")</f>
        <v>VIDY</v>
      </c>
    </row>
    <row r="12685">
      <c r="A12685" s="4" t="str">
        <f>IFERROR(__xludf.DUMMYFUNCTION("""COMPUTED_VALUE"""),"vidya")</f>
        <v>vidya</v>
      </c>
      <c r="B12685" s="4" t="str">
        <f>IFERROR(__xludf.DUMMYFUNCTION("""COMPUTED_VALUE"""),"vidya")</f>
        <v>vidya</v>
      </c>
      <c r="C12685" s="4" t="str">
        <f>IFERROR(__xludf.DUMMYFUNCTION("""COMPUTED_VALUE"""),"Vidya")</f>
        <v>Vidya</v>
      </c>
    </row>
    <row r="12686">
      <c r="A12686" s="4" t="str">
        <f>IFERROR(__xludf.DUMMYFUNCTION("""COMPUTED_VALUE"""),"vidyx")</f>
        <v>vidyx</v>
      </c>
      <c r="B12686" s="4" t="str">
        <f>IFERROR(__xludf.DUMMYFUNCTION("""COMPUTED_VALUE"""),"vidyx")</f>
        <v>vidyx</v>
      </c>
      <c r="C12686" s="4" t="str">
        <f>IFERROR(__xludf.DUMMYFUNCTION("""COMPUTED_VALUE"""),"VidyX")</f>
        <v>VidyX</v>
      </c>
    </row>
    <row r="12687">
      <c r="A12687" s="4" t="str">
        <f>IFERROR(__xludf.DUMMYFUNCTION("""COMPUTED_VALUE"""),"vigorus")</f>
        <v>vigorus</v>
      </c>
      <c r="B12687" s="4" t="str">
        <f>IFERROR(__xludf.DUMMYFUNCTION("""COMPUTED_VALUE"""),"vis")</f>
        <v>vis</v>
      </c>
      <c r="C12687" s="4" t="str">
        <f>IFERROR(__xludf.DUMMYFUNCTION("""COMPUTED_VALUE"""),"Vigorus")</f>
        <v>Vigorus</v>
      </c>
    </row>
    <row r="12688">
      <c r="A12688" s="4" t="str">
        <f>IFERROR(__xludf.DUMMYFUNCTION("""COMPUTED_VALUE"""),"viking-elon")</f>
        <v>viking-elon</v>
      </c>
      <c r="B12688" s="4" t="str">
        <f>IFERROR(__xludf.DUMMYFUNCTION("""COMPUTED_VALUE"""),"velon")</f>
        <v>velon</v>
      </c>
      <c r="C12688" s="4" t="str">
        <f>IFERROR(__xludf.DUMMYFUNCTION("""COMPUTED_VALUE"""),"Viking Elon")</f>
        <v>Viking Elon</v>
      </c>
    </row>
    <row r="12689">
      <c r="A12689" s="4" t="str">
        <f>IFERROR(__xludf.DUMMYFUNCTION("""COMPUTED_VALUE"""),"vimmer")</f>
        <v>vimmer</v>
      </c>
      <c r="B12689" s="4" t="str">
        <f>IFERROR(__xludf.DUMMYFUNCTION("""COMPUTED_VALUE"""),"viz")</f>
        <v>viz</v>
      </c>
      <c r="C12689" s="4" t="str">
        <f>IFERROR(__xludf.DUMMYFUNCTION("""COMPUTED_VALUE"""),"Vim")</f>
        <v>Vim</v>
      </c>
    </row>
    <row r="12690">
      <c r="A12690" s="4" t="str">
        <f>IFERROR(__xludf.DUMMYFUNCTION("""COMPUTED_VALUE"""),"vimverse")</f>
        <v>vimverse</v>
      </c>
      <c r="B12690" s="4" t="str">
        <f>IFERROR(__xludf.DUMMYFUNCTION("""COMPUTED_VALUE"""),"vim")</f>
        <v>vim</v>
      </c>
      <c r="C12690" s="4" t="str">
        <f>IFERROR(__xludf.DUMMYFUNCTION("""COMPUTED_VALUE"""),"Vimverse")</f>
        <v>Vimverse</v>
      </c>
    </row>
    <row r="12691">
      <c r="A12691" s="4" t="str">
        <f>IFERROR(__xludf.DUMMYFUNCTION("""COMPUTED_VALUE"""),"vinci-protocol")</f>
        <v>vinci-protocol</v>
      </c>
      <c r="B12691" s="4" t="str">
        <f>IFERROR(__xludf.DUMMYFUNCTION("""COMPUTED_VALUE"""),"vci")</f>
        <v>vci</v>
      </c>
      <c r="C12691" s="4" t="str">
        <f>IFERROR(__xludf.DUMMYFUNCTION("""COMPUTED_VALUE"""),"Vinci Protocol")</f>
        <v>Vinci Protocol</v>
      </c>
    </row>
    <row r="12692">
      <c r="A12692" s="4" t="str">
        <f>IFERROR(__xludf.DUMMYFUNCTION("""COMPUTED_VALUE"""),"vindax-coin")</f>
        <v>vindax-coin</v>
      </c>
      <c r="B12692" s="4" t="str">
        <f>IFERROR(__xludf.DUMMYFUNCTION("""COMPUTED_VALUE"""),"vd")</f>
        <v>vd</v>
      </c>
      <c r="C12692" s="4" t="str">
        <f>IFERROR(__xludf.DUMMYFUNCTION("""COMPUTED_VALUE"""),"VinDax Coin")</f>
        <v>VinDax Coin</v>
      </c>
    </row>
    <row r="12693">
      <c r="A12693" s="4" t="str">
        <f>IFERROR(__xludf.DUMMYFUNCTION("""COMPUTED_VALUE"""),"vinlink")</f>
        <v>vinlink</v>
      </c>
      <c r="B12693" s="4" t="str">
        <f>IFERROR(__xludf.DUMMYFUNCTION("""COMPUTED_VALUE"""),"vnlnk")</f>
        <v>vnlnk</v>
      </c>
      <c r="C12693" s="4" t="str">
        <f>IFERROR(__xludf.DUMMYFUNCTION("""COMPUTED_VALUE"""),"Vinlink")</f>
        <v>Vinlink</v>
      </c>
    </row>
    <row r="12694">
      <c r="A12694" s="4" t="str">
        <f>IFERROR(__xludf.DUMMYFUNCTION("""COMPUTED_VALUE"""),"vinuchain")</f>
        <v>vinuchain</v>
      </c>
      <c r="B12694" s="4" t="str">
        <f>IFERROR(__xludf.DUMMYFUNCTION("""COMPUTED_VALUE"""),"vc")</f>
        <v>vc</v>
      </c>
      <c r="C12694" s="4" t="str">
        <f>IFERROR(__xludf.DUMMYFUNCTION("""COMPUTED_VALUE"""),"VinuChain")</f>
        <v>VinuChain</v>
      </c>
    </row>
    <row r="12695">
      <c r="A12695" s="4" t="str">
        <f>IFERROR(__xludf.DUMMYFUNCTION("""COMPUTED_VALUE"""),"vinu-network")</f>
        <v>vinu-network</v>
      </c>
      <c r="B12695" s="4" t="str">
        <f>IFERROR(__xludf.DUMMYFUNCTION("""COMPUTED_VALUE"""),"vnn")</f>
        <v>vnn</v>
      </c>
      <c r="C12695" s="4" t="str">
        <f>IFERROR(__xludf.DUMMYFUNCTION("""COMPUTED_VALUE"""),"VINU Network")</f>
        <v>VINU Network</v>
      </c>
    </row>
    <row r="12696">
      <c r="A12696" s="4" t="str">
        <f>IFERROR(__xludf.DUMMYFUNCTION("""COMPUTED_VALUE"""),"vip-coin")</f>
        <v>vip-coin</v>
      </c>
      <c r="B12696" s="4" t="str">
        <f>IFERROR(__xludf.DUMMYFUNCTION("""COMPUTED_VALUE"""),"vip")</f>
        <v>vip</v>
      </c>
      <c r="C12696" s="4" t="str">
        <f>IFERROR(__xludf.DUMMYFUNCTION("""COMPUTED_VALUE"""),"Vip Coin")</f>
        <v>Vip Coin</v>
      </c>
    </row>
    <row r="12697">
      <c r="A12697" s="4" t="str">
        <f>IFERROR(__xludf.DUMMYFUNCTION("""COMPUTED_VALUE"""),"viper-2")</f>
        <v>viper-2</v>
      </c>
      <c r="B12697" s="4" t="str">
        <f>IFERROR(__xludf.DUMMYFUNCTION("""COMPUTED_VALUE"""),"viper")</f>
        <v>viper</v>
      </c>
      <c r="C12697" s="4" t="str">
        <f>IFERROR(__xludf.DUMMYFUNCTION("""COMPUTED_VALUE"""),"VIPER")</f>
        <v>VIPER</v>
      </c>
    </row>
    <row r="12698">
      <c r="A12698" s="4" t="str">
        <f>IFERROR(__xludf.DUMMYFUNCTION("""COMPUTED_VALUE"""),"vip-token")</f>
        <v>vip-token</v>
      </c>
      <c r="B12698" s="4" t="str">
        <f>IFERROR(__xludf.DUMMYFUNCTION("""COMPUTED_VALUE"""),"vip")</f>
        <v>vip</v>
      </c>
      <c r="C12698" s="4" t="str">
        <f>IFERROR(__xludf.DUMMYFUNCTION("""COMPUTED_VALUE"""),"VIP")</f>
        <v>VIP</v>
      </c>
    </row>
    <row r="12699">
      <c r="A12699" s="4" t="str">
        <f>IFERROR(__xludf.DUMMYFUNCTION("""COMPUTED_VALUE"""),"viral-inu")</f>
        <v>viral-inu</v>
      </c>
      <c r="B12699" s="4" t="str">
        <f>IFERROR(__xludf.DUMMYFUNCTION("""COMPUTED_VALUE"""),"vinu")</f>
        <v>vinu</v>
      </c>
      <c r="C12699" s="4" t="str">
        <f>IFERROR(__xludf.DUMMYFUNCTION("""COMPUTED_VALUE"""),"Viral Inu")</f>
        <v>Viral Inu</v>
      </c>
    </row>
    <row r="12700">
      <c r="A12700" s="4" t="str">
        <f>IFERROR(__xludf.DUMMYFUNCTION("""COMPUTED_VALUE"""),"viralsniper")</f>
        <v>viralsniper</v>
      </c>
      <c r="B12700" s="4" t="str">
        <f>IFERROR(__xludf.DUMMYFUNCTION("""COMPUTED_VALUE"""),"viral")</f>
        <v>viral</v>
      </c>
      <c r="C12700" s="4" t="str">
        <f>IFERROR(__xludf.DUMMYFUNCTION("""COMPUTED_VALUE"""),"Viralsniper")</f>
        <v>Viralsniper</v>
      </c>
    </row>
    <row r="12701">
      <c r="A12701" s="4" t="str">
        <f>IFERROR(__xludf.DUMMYFUNCTION("""COMPUTED_VALUE"""),"virgo")</f>
        <v>virgo</v>
      </c>
      <c r="B12701" s="4" t="str">
        <f>IFERROR(__xludf.DUMMYFUNCTION("""COMPUTED_VALUE"""),"vgo")</f>
        <v>vgo</v>
      </c>
      <c r="C12701" s="4" t="str">
        <f>IFERROR(__xludf.DUMMYFUNCTION("""COMPUTED_VALUE"""),"Virgo")</f>
        <v>Virgo</v>
      </c>
    </row>
    <row r="12702">
      <c r="A12702" s="4" t="str">
        <f>IFERROR(__xludf.DUMMYFUNCTION("""COMPUTED_VALUE"""),"viridis-network")</f>
        <v>viridis-network</v>
      </c>
      <c r="B12702" s="4" t="str">
        <f>IFERROR(__xludf.DUMMYFUNCTION("""COMPUTED_VALUE"""),"vrd")</f>
        <v>vrd</v>
      </c>
      <c r="C12702" s="4" t="str">
        <f>IFERROR(__xludf.DUMMYFUNCTION("""COMPUTED_VALUE"""),"Viridis Network")</f>
        <v>Viridis Network</v>
      </c>
    </row>
    <row r="12703">
      <c r="A12703" s="4" t="str">
        <f>IFERROR(__xludf.DUMMYFUNCTION("""COMPUTED_VALUE"""),"virtual-coin")</f>
        <v>virtual-coin</v>
      </c>
      <c r="B12703" s="4" t="str">
        <f>IFERROR(__xludf.DUMMYFUNCTION("""COMPUTED_VALUE"""),"vrc")</f>
        <v>vrc</v>
      </c>
      <c r="C12703" s="4" t="str">
        <f>IFERROR(__xludf.DUMMYFUNCTION("""COMPUTED_VALUE"""),"Virtual Coin")</f>
        <v>Virtual Coin</v>
      </c>
    </row>
    <row r="12704">
      <c r="A12704" s="4" t="str">
        <f>IFERROR(__xludf.DUMMYFUNCTION("""COMPUTED_VALUE"""),"virtual-protocol")</f>
        <v>virtual-protocol</v>
      </c>
      <c r="B12704" s="4" t="str">
        <f>IFERROR(__xludf.DUMMYFUNCTION("""COMPUTED_VALUE"""),"virtual")</f>
        <v>virtual</v>
      </c>
      <c r="C12704" s="4" t="str">
        <f>IFERROR(__xludf.DUMMYFUNCTION("""COMPUTED_VALUE"""),"Virtual Protocol")</f>
        <v>Virtual Protocol</v>
      </c>
    </row>
    <row r="12705">
      <c r="A12705" s="4" t="str">
        <f>IFERROR(__xludf.DUMMYFUNCTION("""COMPUTED_VALUE"""),"virtual-reality-glasses")</f>
        <v>virtual-reality-glasses</v>
      </c>
      <c r="B12705" s="4" t="str">
        <f>IFERROR(__xludf.DUMMYFUNCTION("""COMPUTED_VALUE"""),"vrg")</f>
        <v>vrg</v>
      </c>
      <c r="C12705" s="4" t="str">
        <f>IFERROR(__xludf.DUMMYFUNCTION("""COMPUTED_VALUE"""),"Virtual Reality Glasses")</f>
        <v>Virtual Reality Glasses</v>
      </c>
    </row>
    <row r="12706">
      <c r="A12706" s="4" t="str">
        <f>IFERROR(__xludf.DUMMYFUNCTION("""COMPUTED_VALUE"""),"virtual-tourist")</f>
        <v>virtual-tourist</v>
      </c>
      <c r="B12706" s="4" t="str">
        <f>IFERROR(__xludf.DUMMYFUNCTION("""COMPUTED_VALUE"""),"vt")</f>
        <v>vt</v>
      </c>
      <c r="C12706" s="4" t="str">
        <f>IFERROR(__xludf.DUMMYFUNCTION("""COMPUTED_VALUE"""),"Virtual Tourist")</f>
        <v>Virtual Tourist</v>
      </c>
    </row>
    <row r="12707">
      <c r="A12707" s="4" t="str">
        <f>IFERROR(__xludf.DUMMYFUNCTION("""COMPUTED_VALUE"""),"virtual-trader")</f>
        <v>virtual-trader</v>
      </c>
      <c r="B12707" s="4" t="str">
        <f>IFERROR(__xludf.DUMMYFUNCTION("""COMPUTED_VALUE"""),"vtr")</f>
        <v>vtr</v>
      </c>
      <c r="C12707" s="4" t="str">
        <f>IFERROR(__xludf.DUMMYFUNCTION("""COMPUTED_VALUE"""),"Virtual Trader")</f>
        <v>Virtual Trader</v>
      </c>
    </row>
    <row r="12708">
      <c r="A12708" s="4" t="str">
        <f>IFERROR(__xludf.DUMMYFUNCTION("""COMPUTED_VALUE"""),"virtual-versions")</f>
        <v>virtual-versions</v>
      </c>
      <c r="B12708" s="4" t="str">
        <f>IFERROR(__xludf.DUMMYFUNCTION("""COMPUTED_VALUE"""),"vv")</f>
        <v>vv</v>
      </c>
      <c r="C12708" s="4" t="str">
        <f>IFERROR(__xludf.DUMMYFUNCTION("""COMPUTED_VALUE"""),"Virtual Versions")</f>
        <v>Virtual Versions</v>
      </c>
    </row>
    <row r="12709">
      <c r="A12709" s="4" t="str">
        <f>IFERROR(__xludf.DUMMYFUNCTION("""COMPUTED_VALUE"""),"virtual-x")</f>
        <v>virtual-x</v>
      </c>
      <c r="B12709" s="4" t="str">
        <f>IFERROR(__xludf.DUMMYFUNCTION("""COMPUTED_VALUE"""),"vrl")</f>
        <v>vrl</v>
      </c>
      <c r="C12709" s="4" t="str">
        <f>IFERROR(__xludf.DUMMYFUNCTION("""COMPUTED_VALUE"""),"VIRTUAL X")</f>
        <v>VIRTUAL X</v>
      </c>
    </row>
    <row r="12710">
      <c r="A12710" s="4" t="str">
        <f>IFERROR(__xludf.DUMMYFUNCTION("""COMPUTED_VALUE"""),"virtublock")</f>
        <v>virtublock</v>
      </c>
      <c r="B12710" s="4" t="str">
        <f>IFERROR(__xludf.DUMMYFUNCTION("""COMPUTED_VALUE"""),"vb")</f>
        <v>vb</v>
      </c>
      <c r="C12710" s="4" t="str">
        <f>IFERROR(__xludf.DUMMYFUNCTION("""COMPUTED_VALUE"""),"VirtuBlock")</f>
        <v>VirtuBlock</v>
      </c>
    </row>
    <row r="12711">
      <c r="A12711" s="4" t="str">
        <f>IFERROR(__xludf.DUMMYFUNCTION("""COMPUTED_VALUE"""),"virtucloud")</f>
        <v>virtucloud</v>
      </c>
      <c r="B12711" s="4" t="str">
        <f>IFERROR(__xludf.DUMMYFUNCTION("""COMPUTED_VALUE"""),"virtu")</f>
        <v>virtu</v>
      </c>
      <c r="C12711" s="4" t="str">
        <f>IFERROR(__xludf.DUMMYFUNCTION("""COMPUTED_VALUE"""),"Virtucloud")</f>
        <v>Virtucloud</v>
      </c>
    </row>
    <row r="12712">
      <c r="A12712" s="4" t="str">
        <f>IFERROR(__xludf.DUMMYFUNCTION("""COMPUTED_VALUE"""),"virtucoin")</f>
        <v>virtucoin</v>
      </c>
      <c r="B12712" s="4" t="str">
        <f>IFERROR(__xludf.DUMMYFUNCTION("""COMPUTED_VALUE"""),"v")</f>
        <v>v</v>
      </c>
      <c r="C12712" s="4" t="str">
        <f>IFERROR(__xludf.DUMMYFUNCTION("""COMPUTED_VALUE"""),"Virtucoin")</f>
        <v>Virtucoin</v>
      </c>
    </row>
    <row r="12713">
      <c r="A12713" s="4" t="str">
        <f>IFERROR(__xludf.DUMMYFUNCTION("""COMPUTED_VALUE"""),"virtue-poker")</f>
        <v>virtue-poker</v>
      </c>
      <c r="B12713" s="4" t="str">
        <f>IFERROR(__xludf.DUMMYFUNCTION("""COMPUTED_VALUE"""),"vpp")</f>
        <v>vpp</v>
      </c>
      <c r="C12713" s="4" t="str">
        <f>IFERROR(__xludf.DUMMYFUNCTION("""COMPUTED_VALUE"""),"Virtue Poker Points")</f>
        <v>Virtue Poker Points</v>
      </c>
    </row>
    <row r="12714">
      <c r="A12714" s="4" t="str">
        <f>IFERROR(__xludf.DUMMYFUNCTION("""COMPUTED_VALUE"""),"virtumate")</f>
        <v>virtumate</v>
      </c>
      <c r="B12714" s="4" t="str">
        <f>IFERROR(__xludf.DUMMYFUNCTION("""COMPUTED_VALUE"""),"mate")</f>
        <v>mate</v>
      </c>
      <c r="C12714" s="4" t="str">
        <f>IFERROR(__xludf.DUMMYFUNCTION("""COMPUTED_VALUE"""),"Virtumate")</f>
        <v>Virtumate</v>
      </c>
    </row>
    <row r="12715">
      <c r="A12715" s="4" t="str">
        <f>IFERROR(__xludf.DUMMYFUNCTION("""COMPUTED_VALUE"""),"virtuswap")</f>
        <v>virtuswap</v>
      </c>
      <c r="B12715" s="4" t="str">
        <f>IFERROR(__xludf.DUMMYFUNCTION("""COMPUTED_VALUE"""),"vrsw")</f>
        <v>vrsw</v>
      </c>
      <c r="C12715" s="4" t="str">
        <f>IFERROR(__xludf.DUMMYFUNCTION("""COMPUTED_VALUE"""),"VirtuSwap")</f>
        <v>VirtuSwap</v>
      </c>
    </row>
    <row r="12716">
      <c r="A12716" s="4" t="str">
        <f>IFERROR(__xludf.DUMMYFUNCTION("""COMPUTED_VALUE"""),"vishai")</f>
        <v>vishai</v>
      </c>
      <c r="B12716" s="4" t="str">
        <f>IFERROR(__xludf.DUMMYFUNCTION("""COMPUTED_VALUE"""),"vish")</f>
        <v>vish</v>
      </c>
      <c r="C12716" s="4" t="str">
        <f>IFERROR(__xludf.DUMMYFUNCTION("""COMPUTED_VALUE"""),"VishAI")</f>
        <v>VishAI</v>
      </c>
    </row>
    <row r="12717">
      <c r="A12717" s="4" t="str">
        <f>IFERROR(__xludf.DUMMYFUNCTION("""COMPUTED_VALUE"""),"vision-city")</f>
        <v>vision-city</v>
      </c>
      <c r="B12717" s="4" t="str">
        <f>IFERROR(__xludf.DUMMYFUNCTION("""COMPUTED_VALUE"""),"viz")</f>
        <v>viz</v>
      </c>
      <c r="C12717" s="4" t="str">
        <f>IFERROR(__xludf.DUMMYFUNCTION("""COMPUTED_VALUE"""),"Vision City")</f>
        <v>Vision City</v>
      </c>
    </row>
    <row r="12718">
      <c r="A12718" s="4" t="str">
        <f>IFERROR(__xludf.DUMMYFUNCTION("""COMPUTED_VALUE"""),"visiongame")</f>
        <v>visiongame</v>
      </c>
      <c r="B12718" s="4" t="str">
        <f>IFERROR(__xludf.DUMMYFUNCTION("""COMPUTED_VALUE"""),"vision")</f>
        <v>vision</v>
      </c>
      <c r="C12718" s="4" t="str">
        <f>IFERROR(__xludf.DUMMYFUNCTION("""COMPUTED_VALUE"""),"VisionGame")</f>
        <v>VisionGame</v>
      </c>
    </row>
    <row r="12719">
      <c r="A12719" s="4" t="str">
        <f>IFERROR(__xludf.DUMMYFUNCTION("""COMPUTED_VALUE"""),"vitadao")</f>
        <v>vitadao</v>
      </c>
      <c r="B12719" s="4" t="str">
        <f>IFERROR(__xludf.DUMMYFUNCTION("""COMPUTED_VALUE"""),"vita")</f>
        <v>vita</v>
      </c>
      <c r="C12719" s="4" t="str">
        <f>IFERROR(__xludf.DUMMYFUNCTION("""COMPUTED_VALUE"""),"VitaDAO")</f>
        <v>VitaDAO</v>
      </c>
    </row>
    <row r="12720">
      <c r="A12720" s="4" t="str">
        <f>IFERROR(__xludf.DUMMYFUNCTION("""COMPUTED_VALUE"""),"vita-inu")</f>
        <v>vita-inu</v>
      </c>
      <c r="B12720" s="4" t="str">
        <f>IFERROR(__xludf.DUMMYFUNCTION("""COMPUTED_VALUE"""),"vinu")</f>
        <v>vinu</v>
      </c>
      <c r="C12720" s="4" t="str">
        <f>IFERROR(__xludf.DUMMYFUNCTION("""COMPUTED_VALUE"""),"Vita Inu")</f>
        <v>Vita Inu</v>
      </c>
    </row>
    <row r="12721">
      <c r="A12721" s="4" t="str">
        <f>IFERROR(__xludf.DUMMYFUNCTION("""COMPUTED_VALUE"""),"vitalek-buteren")</f>
        <v>vitalek-buteren</v>
      </c>
      <c r="B12721" s="4" t="str">
        <f>IFERROR(__xludf.DUMMYFUNCTION("""COMPUTED_VALUE"""),"vitalek")</f>
        <v>vitalek</v>
      </c>
      <c r="C12721" s="4" t="str">
        <f>IFERROR(__xludf.DUMMYFUNCTION("""COMPUTED_VALUE"""),"vitalek buteren")</f>
        <v>vitalek buteren</v>
      </c>
    </row>
    <row r="12722">
      <c r="A12722" s="4" t="str">
        <f>IFERROR(__xludf.DUMMYFUNCTION("""COMPUTED_VALUE"""),"vitalikmum")</f>
        <v>vitalikmum</v>
      </c>
      <c r="B12722" s="4" t="str">
        <f>IFERROR(__xludf.DUMMYFUNCTION("""COMPUTED_VALUE"""),"vmum")</f>
        <v>vmum</v>
      </c>
      <c r="C12722" s="4" t="str">
        <f>IFERROR(__xludf.DUMMYFUNCTION("""COMPUTED_VALUE"""),"VitalikMum")</f>
        <v>VitalikMum</v>
      </c>
    </row>
    <row r="12723">
      <c r="A12723" s="4" t="str">
        <f>IFERROR(__xludf.DUMMYFUNCTION("""COMPUTED_VALUE"""),"vitalik-smart-gas")</f>
        <v>vitalik-smart-gas</v>
      </c>
      <c r="B12723" s="4" t="str">
        <f>IFERROR(__xludf.DUMMYFUNCTION("""COMPUTED_VALUE"""),"vsg")</f>
        <v>vsg</v>
      </c>
      <c r="C12723" s="4" t="str">
        <f>IFERROR(__xludf.DUMMYFUNCTION("""COMPUTED_VALUE"""),"Vitalik Smart Gas")</f>
        <v>Vitalik Smart Gas</v>
      </c>
    </row>
    <row r="12724">
      <c r="A12724" s="4" t="str">
        <f>IFERROR(__xludf.DUMMYFUNCTION("""COMPUTED_VALUE"""),"vitality")</f>
        <v>vitality</v>
      </c>
      <c r="B12724" s="4" t="str">
        <f>IFERROR(__xludf.DUMMYFUNCTION("""COMPUTED_VALUE"""),"vita")</f>
        <v>vita</v>
      </c>
      <c r="C12724" s="4" t="str">
        <f>IFERROR(__xludf.DUMMYFUNCTION("""COMPUTED_VALUE"""),"Vitality")</f>
        <v>Vitality</v>
      </c>
    </row>
    <row r="12725">
      <c r="A12725" s="4" t="str">
        <f>IFERROR(__xludf.DUMMYFUNCTION("""COMPUTED_VALUE"""),"vitalxp")</f>
        <v>vitalxp</v>
      </c>
      <c r="B12725" s="4" t="str">
        <f>IFERROR(__xludf.DUMMYFUNCTION("""COMPUTED_VALUE"""),"vital")</f>
        <v>vital</v>
      </c>
      <c r="C12725" s="4" t="str">
        <f>IFERROR(__xludf.DUMMYFUNCTION("""COMPUTED_VALUE"""),"VitalXP")</f>
        <v>VitalXP</v>
      </c>
    </row>
    <row r="12726">
      <c r="A12726" s="4" t="str">
        <f>IFERROR(__xludf.DUMMYFUNCTION("""COMPUTED_VALUE"""),"vitamin-coin")</f>
        <v>vitamin-coin</v>
      </c>
      <c r="B12726" s="4" t="str">
        <f>IFERROR(__xludf.DUMMYFUNCTION("""COMPUTED_VALUE"""),"vitc")</f>
        <v>vitc</v>
      </c>
      <c r="C12726" s="4" t="str">
        <f>IFERROR(__xludf.DUMMYFUNCTION("""COMPUTED_VALUE"""),"Vitamin Coin")</f>
        <v>Vitamin Coin</v>
      </c>
    </row>
    <row r="12727">
      <c r="A12727" s="4" t="str">
        <f>IFERROR(__xludf.DUMMYFUNCTION("""COMPUTED_VALUE"""),"vite")</f>
        <v>vite</v>
      </c>
      <c r="B12727" s="4" t="str">
        <f>IFERROR(__xludf.DUMMYFUNCTION("""COMPUTED_VALUE"""),"vite")</f>
        <v>vite</v>
      </c>
      <c r="C12727" s="4" t="str">
        <f>IFERROR(__xludf.DUMMYFUNCTION("""COMPUTED_VALUE"""),"Vite")</f>
        <v>Vite</v>
      </c>
    </row>
    <row r="12728">
      <c r="A12728" s="4" t="str">
        <f>IFERROR(__xludf.DUMMYFUNCTION("""COMPUTED_VALUE"""),"viterium")</f>
        <v>viterium</v>
      </c>
      <c r="B12728" s="4" t="str">
        <f>IFERROR(__xludf.DUMMYFUNCTION("""COMPUTED_VALUE"""),"vt")</f>
        <v>vt</v>
      </c>
      <c r="C12728" s="4" t="str">
        <f>IFERROR(__xludf.DUMMYFUNCTION("""COMPUTED_VALUE"""),"Viterium")</f>
        <v>Viterium</v>
      </c>
    </row>
    <row r="12729">
      <c r="A12729" s="4" t="str">
        <f>IFERROR(__xludf.DUMMYFUNCTION("""COMPUTED_VALUE"""),"vitex")</f>
        <v>vitex</v>
      </c>
      <c r="B12729" s="4" t="str">
        <f>IFERROR(__xludf.DUMMYFUNCTION("""COMPUTED_VALUE"""),"vx")</f>
        <v>vx</v>
      </c>
      <c r="C12729" s="4" t="str">
        <f>IFERROR(__xludf.DUMMYFUNCTION("""COMPUTED_VALUE"""),"ViteX Coin")</f>
        <v>ViteX Coin</v>
      </c>
    </row>
    <row r="12730">
      <c r="A12730" s="4" t="str">
        <f>IFERROR(__xludf.DUMMYFUNCTION("""COMPUTED_VALUE"""),"vitnixx")</f>
        <v>vitnixx</v>
      </c>
      <c r="B12730" s="4" t="str">
        <f>IFERROR(__xludf.DUMMYFUNCTION("""COMPUTED_VALUE"""),"vtc")</f>
        <v>vtc</v>
      </c>
      <c r="C12730" s="4" t="str">
        <f>IFERROR(__xludf.DUMMYFUNCTION("""COMPUTED_VALUE"""),"VitnixX")</f>
        <v>VitnixX</v>
      </c>
    </row>
    <row r="12731">
      <c r="A12731" s="4" t="str">
        <f>IFERROR(__xludf.DUMMYFUNCTION("""COMPUTED_VALUE"""),"vitra-studios")</f>
        <v>vitra-studios</v>
      </c>
      <c r="B12731" s="4" t="str">
        <f>IFERROR(__xludf.DUMMYFUNCTION("""COMPUTED_VALUE"""),"vitra")</f>
        <v>vitra</v>
      </c>
      <c r="C12731" s="4" t="str">
        <f>IFERROR(__xludf.DUMMYFUNCTION("""COMPUTED_VALUE"""),"Vitra Studios")</f>
        <v>Vitra Studios</v>
      </c>
    </row>
    <row r="12732">
      <c r="A12732" s="4" t="str">
        <f>IFERROR(__xludf.DUMMYFUNCTION("""COMPUTED_VALUE"""),"vitteey")</f>
        <v>vitteey</v>
      </c>
      <c r="B12732" s="4" t="str">
        <f>IFERROR(__xludf.DUMMYFUNCTION("""COMPUTED_VALUE"""),"vity")</f>
        <v>vity</v>
      </c>
      <c r="C12732" s="4" t="str">
        <f>IFERROR(__xludf.DUMMYFUNCTION("""COMPUTED_VALUE"""),"Vitteey")</f>
        <v>Vitteey</v>
      </c>
    </row>
    <row r="12733">
      <c r="A12733" s="4" t="str">
        <f>IFERROR(__xludf.DUMMYFUNCTION("""COMPUTED_VALUE"""),"viva")</f>
        <v>viva</v>
      </c>
      <c r="B12733" s="4" t="str">
        <f>IFERROR(__xludf.DUMMYFUNCTION("""COMPUTED_VALUE"""),"viva")</f>
        <v>viva</v>
      </c>
      <c r="C12733" s="4" t="str">
        <f>IFERROR(__xludf.DUMMYFUNCTION("""COMPUTED_VALUE"""),"Viva")</f>
        <v>Viva</v>
      </c>
    </row>
    <row r="12734">
      <c r="A12734" s="4" t="str">
        <f>IFERROR(__xludf.DUMMYFUNCTION("""COMPUTED_VALUE"""),"vivex")</f>
        <v>vivex</v>
      </c>
      <c r="B12734" s="4" t="str">
        <f>IFERROR(__xludf.DUMMYFUNCTION("""COMPUTED_VALUE"""),"$vivx")</f>
        <v>$vivx</v>
      </c>
      <c r="C12734" s="4" t="str">
        <f>IFERROR(__xludf.DUMMYFUNCTION("""COMPUTED_VALUE"""),"Vivex")</f>
        <v>Vivex</v>
      </c>
    </row>
    <row r="12735">
      <c r="A12735" s="4" t="str">
        <f>IFERROR(__xludf.DUMMYFUNCTION("""COMPUTED_VALUE"""),"vixco")</f>
        <v>vixco</v>
      </c>
      <c r="B12735" s="4" t="str">
        <f>IFERROR(__xludf.DUMMYFUNCTION("""COMPUTED_VALUE"""),"vix")</f>
        <v>vix</v>
      </c>
      <c r="C12735" s="4" t="str">
        <f>IFERROR(__xludf.DUMMYFUNCTION("""COMPUTED_VALUE"""),"Vixco")</f>
        <v>Vixco</v>
      </c>
    </row>
    <row r="12736">
      <c r="A12736" s="4" t="str">
        <f>IFERROR(__xludf.DUMMYFUNCTION("""COMPUTED_VALUE"""),"vizion-protocol")</f>
        <v>vizion-protocol</v>
      </c>
      <c r="B12736" s="4" t="str">
        <f>IFERROR(__xludf.DUMMYFUNCTION("""COMPUTED_VALUE"""),"vizion")</f>
        <v>vizion</v>
      </c>
      <c r="C12736" s="4" t="str">
        <f>IFERROR(__xludf.DUMMYFUNCTION("""COMPUTED_VALUE"""),"Vizion Protocol")</f>
        <v>Vizion Protocol</v>
      </c>
    </row>
    <row r="12737">
      <c r="A12737" s="4" t="str">
        <f>IFERROR(__xludf.DUMMYFUNCTION("""COMPUTED_VALUE"""),"vizslaswap")</f>
        <v>vizslaswap</v>
      </c>
      <c r="B12737" s="4" t="str">
        <f>IFERROR(__xludf.DUMMYFUNCTION("""COMPUTED_VALUE"""),"vizslaswap")</f>
        <v>vizslaswap</v>
      </c>
      <c r="C12737" s="4" t="str">
        <f>IFERROR(__xludf.DUMMYFUNCTION("""COMPUTED_VALUE"""),"VizslaSwap")</f>
        <v>VizslaSwap</v>
      </c>
    </row>
    <row r="12738">
      <c r="A12738" s="4" t="str">
        <f>IFERROR(__xludf.DUMMYFUNCTION("""COMPUTED_VALUE"""),"vlaunch-2")</f>
        <v>vlaunch-2</v>
      </c>
      <c r="B12738" s="4" t="str">
        <f>IFERROR(__xludf.DUMMYFUNCTION("""COMPUTED_VALUE"""),"vpad")</f>
        <v>vpad</v>
      </c>
      <c r="C12738" s="4" t="str">
        <f>IFERROR(__xludf.DUMMYFUNCTION("""COMPUTED_VALUE"""),"VLaunch")</f>
        <v>VLaunch</v>
      </c>
    </row>
    <row r="12739">
      <c r="A12739" s="4" t="str">
        <f>IFERROR(__xludf.DUMMYFUNCTION("""COMPUTED_VALUE"""),"vmex")</f>
        <v>vmex</v>
      </c>
      <c r="B12739" s="4" t="str">
        <f>IFERROR(__xludf.DUMMYFUNCTION("""COMPUTED_VALUE"""),"vmex")</f>
        <v>vmex</v>
      </c>
      <c r="C12739" s="4" t="str">
        <f>IFERROR(__xludf.DUMMYFUNCTION("""COMPUTED_VALUE"""),"VMEX")</f>
        <v>VMEX</v>
      </c>
    </row>
    <row r="12740">
      <c r="A12740" s="4" t="str">
        <f>IFERROR(__xludf.DUMMYFUNCTION("""COMPUTED_VALUE"""),"vmpx")</f>
        <v>vmpx</v>
      </c>
      <c r="B12740" s="4" t="str">
        <f>IFERROR(__xludf.DUMMYFUNCTION("""COMPUTED_VALUE"""),"vmpx")</f>
        <v>vmpx</v>
      </c>
      <c r="C12740" s="4" t="str">
        <f>IFERROR(__xludf.DUMMYFUNCTION("""COMPUTED_VALUE"""),"VMPX")</f>
        <v>VMPX</v>
      </c>
    </row>
    <row r="12741">
      <c r="A12741" s="4" t="str">
        <f>IFERROR(__xludf.DUMMYFUNCTION("""COMPUTED_VALUE"""),"vndc")</f>
        <v>vndc</v>
      </c>
      <c r="B12741" s="4" t="str">
        <f>IFERROR(__xludf.DUMMYFUNCTION("""COMPUTED_VALUE"""),"vndc")</f>
        <v>vndc</v>
      </c>
      <c r="C12741" s="4" t="str">
        <f>IFERROR(__xludf.DUMMYFUNCTION("""COMPUTED_VALUE"""),"VNDC")</f>
        <v>VNDC</v>
      </c>
    </row>
    <row r="12742">
      <c r="A12742" s="4" t="str">
        <f>IFERROR(__xludf.DUMMYFUNCTION("""COMPUTED_VALUE"""),"vnst-stablecoin")</f>
        <v>vnst-stablecoin</v>
      </c>
      <c r="B12742" s="4" t="str">
        <f>IFERROR(__xludf.DUMMYFUNCTION("""COMPUTED_VALUE"""),"vnst")</f>
        <v>vnst</v>
      </c>
      <c r="C12742" s="4" t="str">
        <f>IFERROR(__xludf.DUMMYFUNCTION("""COMPUTED_VALUE"""),"VNST Stablecoin")</f>
        <v>VNST Stablecoin</v>
      </c>
    </row>
    <row r="12743">
      <c r="A12743" s="4" t="str">
        <f>IFERROR(__xludf.DUMMYFUNCTION("""COMPUTED_VALUE"""),"vnx-euro")</f>
        <v>vnx-euro</v>
      </c>
      <c r="B12743" s="4" t="str">
        <f>IFERROR(__xludf.DUMMYFUNCTION("""COMPUTED_VALUE"""),"veur")</f>
        <v>veur</v>
      </c>
      <c r="C12743" s="4" t="str">
        <f>IFERROR(__xludf.DUMMYFUNCTION("""COMPUTED_VALUE"""),"VNX EURO")</f>
        <v>VNX EURO</v>
      </c>
    </row>
    <row r="12744">
      <c r="A12744" s="4" t="str">
        <f>IFERROR(__xludf.DUMMYFUNCTION("""COMPUTED_VALUE"""),"vnx-gold")</f>
        <v>vnx-gold</v>
      </c>
      <c r="B12744" s="4" t="str">
        <f>IFERROR(__xludf.DUMMYFUNCTION("""COMPUTED_VALUE"""),"vnxau")</f>
        <v>vnxau</v>
      </c>
      <c r="C12744" s="4" t="str">
        <f>IFERROR(__xludf.DUMMYFUNCTION("""COMPUTED_VALUE"""),"VNX Gold")</f>
        <v>VNX Gold</v>
      </c>
    </row>
    <row r="12745">
      <c r="A12745" s="4" t="str">
        <f>IFERROR(__xludf.DUMMYFUNCTION("""COMPUTED_VALUE"""),"vnx-swiss-franc")</f>
        <v>vnx-swiss-franc</v>
      </c>
      <c r="B12745" s="4" t="str">
        <f>IFERROR(__xludf.DUMMYFUNCTION("""COMPUTED_VALUE"""),"vchf")</f>
        <v>vchf</v>
      </c>
      <c r="C12745" s="4" t="str">
        <f>IFERROR(__xludf.DUMMYFUNCTION("""COMPUTED_VALUE"""),"VNX Swiss Franc")</f>
        <v>VNX Swiss Franc</v>
      </c>
    </row>
    <row r="12746">
      <c r="A12746" s="4" t="str">
        <f>IFERROR(__xludf.DUMMYFUNCTION("""COMPUTED_VALUE"""),"vodra")</f>
        <v>vodra</v>
      </c>
      <c r="B12746" s="4" t="str">
        <f>IFERROR(__xludf.DUMMYFUNCTION("""COMPUTED_VALUE"""),"vdr")</f>
        <v>vdr</v>
      </c>
      <c r="C12746" s="4" t="str">
        <f>IFERROR(__xludf.DUMMYFUNCTION("""COMPUTED_VALUE"""),"Vodra")</f>
        <v>Vodra</v>
      </c>
    </row>
    <row r="12747">
      <c r="A12747" s="4" t="str">
        <f>IFERROR(__xludf.DUMMYFUNCTION("""COMPUTED_VALUE"""),"voice-street")</f>
        <v>voice-street</v>
      </c>
      <c r="B12747" s="4" t="str">
        <f>IFERROR(__xludf.DUMMYFUNCTION("""COMPUTED_VALUE"""),"vst")</f>
        <v>vst</v>
      </c>
      <c r="C12747" s="4" t="str">
        <f>IFERROR(__xludf.DUMMYFUNCTION("""COMPUTED_VALUE"""),"Voice Street")</f>
        <v>Voice Street</v>
      </c>
    </row>
    <row r="12748">
      <c r="A12748" s="4" t="str">
        <f>IFERROR(__xludf.DUMMYFUNCTION("""COMPUTED_VALUE"""),"void-games")</f>
        <v>void-games</v>
      </c>
      <c r="B12748" s="4" t="str">
        <f>IFERROR(__xludf.DUMMYFUNCTION("""COMPUTED_VALUE"""),"void")</f>
        <v>void</v>
      </c>
      <c r="C12748" s="4" t="str">
        <f>IFERROR(__xludf.DUMMYFUNCTION("""COMPUTED_VALUE"""),"Void Games")</f>
        <v>Void Games</v>
      </c>
    </row>
    <row r="12749">
      <c r="A12749" s="4" t="str">
        <f>IFERROR(__xludf.DUMMYFUNCTION("""COMPUTED_VALUE"""),"voidz")</f>
        <v>voidz</v>
      </c>
      <c r="B12749" s="4" t="str">
        <f>IFERROR(__xludf.DUMMYFUNCTION("""COMPUTED_VALUE"""),"vdz")</f>
        <v>vdz</v>
      </c>
      <c r="C12749" s="4" t="str">
        <f>IFERROR(__xludf.DUMMYFUNCTION("""COMPUTED_VALUE"""),"Voidz")</f>
        <v>Voidz</v>
      </c>
    </row>
    <row r="12750">
      <c r="A12750" s="4" t="str">
        <f>IFERROR(__xludf.DUMMYFUNCTION("""COMPUTED_VALUE"""),"volare-network")</f>
        <v>volare-network</v>
      </c>
      <c r="B12750" s="4" t="str">
        <f>IFERROR(__xludf.DUMMYFUNCTION("""COMPUTED_VALUE"""),"volr")</f>
        <v>volr</v>
      </c>
      <c r="C12750" s="4" t="str">
        <f>IFERROR(__xludf.DUMMYFUNCTION("""COMPUTED_VALUE"""),"Volare Network")</f>
        <v>Volare Network</v>
      </c>
    </row>
    <row r="12751">
      <c r="A12751" s="4" t="str">
        <f>IFERROR(__xludf.DUMMYFUNCTION("""COMPUTED_VALUE"""),"voldemorttrumprobotnik-10neko")</f>
        <v>voldemorttrumprobotnik-10neko</v>
      </c>
      <c r="B12751" s="4" t="str">
        <f>IFERROR(__xludf.DUMMYFUNCTION("""COMPUTED_VALUE"""),"ethereum")</f>
        <v>ethereum</v>
      </c>
      <c r="C12751" s="4" t="str">
        <f>IFERROR(__xludf.DUMMYFUNCTION("""COMPUTED_VALUE"""),"VoldemortTrumpRobotnik-10Neko")</f>
        <v>VoldemortTrumpRobotnik-10Neko</v>
      </c>
    </row>
    <row r="12752">
      <c r="A12752" s="4" t="str">
        <f>IFERROR(__xludf.DUMMYFUNCTION("""COMPUTED_VALUE"""),"volley")</f>
        <v>volley</v>
      </c>
      <c r="B12752" s="4" t="str">
        <f>IFERROR(__xludf.DUMMYFUNCTION("""COMPUTED_VALUE"""),"voy")</f>
        <v>voy</v>
      </c>
      <c r="C12752" s="4" t="str">
        <f>IFERROR(__xludf.DUMMYFUNCTION("""COMPUTED_VALUE"""),"Volley")</f>
        <v>Volley</v>
      </c>
    </row>
    <row r="12753">
      <c r="A12753" s="4" t="str">
        <f>IFERROR(__xludf.DUMMYFUNCTION("""COMPUTED_VALUE"""),"volo-staked-sui")</f>
        <v>volo-staked-sui</v>
      </c>
      <c r="B12753" s="4" t="str">
        <f>IFERROR(__xludf.DUMMYFUNCTION("""COMPUTED_VALUE"""),"vsui")</f>
        <v>vsui</v>
      </c>
      <c r="C12753" s="4" t="str">
        <f>IFERROR(__xludf.DUMMYFUNCTION("""COMPUTED_VALUE"""),"Volo Staked SUI")</f>
        <v>Volo Staked SUI</v>
      </c>
    </row>
    <row r="12754">
      <c r="A12754" s="4" t="str">
        <f>IFERROR(__xludf.DUMMYFUNCTION("""COMPUTED_VALUE"""),"volta-club")</f>
        <v>volta-club</v>
      </c>
      <c r="B12754" s="4" t="str">
        <f>IFERROR(__xludf.DUMMYFUNCTION("""COMPUTED_VALUE"""),"volta")</f>
        <v>volta</v>
      </c>
      <c r="C12754" s="4" t="str">
        <f>IFERROR(__xludf.DUMMYFUNCTION("""COMPUTED_VALUE"""),"Volta Club")</f>
        <v>Volta Club</v>
      </c>
    </row>
    <row r="12755">
      <c r="A12755" s="4" t="str">
        <f>IFERROR(__xludf.DUMMYFUNCTION("""COMPUTED_VALUE"""),"volta-protocol")</f>
        <v>volta-protocol</v>
      </c>
      <c r="B12755" s="4" t="str">
        <f>IFERROR(__xludf.DUMMYFUNCTION("""COMPUTED_VALUE"""),"volta")</f>
        <v>volta</v>
      </c>
      <c r="C12755" s="4" t="str">
        <f>IFERROR(__xludf.DUMMYFUNCTION("""COMPUTED_VALUE"""),"Volta Protocol")</f>
        <v>Volta Protocol</v>
      </c>
    </row>
    <row r="12756">
      <c r="A12756" s="4" t="str">
        <f>IFERROR(__xludf.DUMMYFUNCTION("""COMPUTED_VALUE"""),"volt-inu-2")</f>
        <v>volt-inu-2</v>
      </c>
      <c r="B12756" s="4" t="str">
        <f>IFERROR(__xludf.DUMMYFUNCTION("""COMPUTED_VALUE"""),"volt")</f>
        <v>volt</v>
      </c>
      <c r="C12756" s="4" t="str">
        <f>IFERROR(__xludf.DUMMYFUNCTION("""COMPUTED_VALUE"""),"Volt Inu")</f>
        <v>Volt Inu</v>
      </c>
    </row>
    <row r="12757">
      <c r="A12757" s="4" t="str">
        <f>IFERROR(__xludf.DUMMYFUNCTION("""COMPUTED_VALUE"""),"voltswap")</f>
        <v>voltswap</v>
      </c>
      <c r="B12757" s="4" t="str">
        <f>IFERROR(__xludf.DUMMYFUNCTION("""COMPUTED_VALUE"""),"volt")</f>
        <v>volt</v>
      </c>
      <c r="C12757" s="4" t="str">
        <f>IFERROR(__xludf.DUMMYFUNCTION("""COMPUTED_VALUE"""),"VoltSwap")</f>
        <v>VoltSwap</v>
      </c>
    </row>
    <row r="12758">
      <c r="A12758" s="4" t="str">
        <f>IFERROR(__xludf.DUMMYFUNCTION("""COMPUTED_VALUE"""),"volume-ai")</f>
        <v>volume-ai</v>
      </c>
      <c r="B12758" s="4" t="str">
        <f>IFERROR(__xludf.DUMMYFUNCTION("""COMPUTED_VALUE"""),"vai")</f>
        <v>vai</v>
      </c>
      <c r="C12758" s="4" t="str">
        <f>IFERROR(__xludf.DUMMYFUNCTION("""COMPUTED_VALUE"""),"Volume AI")</f>
        <v>Volume AI</v>
      </c>
    </row>
    <row r="12759">
      <c r="A12759" s="4" t="str">
        <f>IFERROR(__xludf.DUMMYFUNCTION("""COMPUTED_VALUE"""),"volumint")</f>
        <v>volumint</v>
      </c>
      <c r="B12759" s="4" t="str">
        <f>IFERROR(__xludf.DUMMYFUNCTION("""COMPUTED_VALUE"""),"vmint")</f>
        <v>vmint</v>
      </c>
      <c r="C12759" s="4" t="str">
        <f>IFERROR(__xludf.DUMMYFUNCTION("""COMPUTED_VALUE"""),"VoluMint")</f>
        <v>VoluMint</v>
      </c>
    </row>
    <row r="12760">
      <c r="A12760" s="4" t="str">
        <f>IFERROR(__xludf.DUMMYFUNCTION("""COMPUTED_VALUE"""),"voodoo")</f>
        <v>voodoo</v>
      </c>
      <c r="B12760" s="4" t="str">
        <f>IFERROR(__xludf.DUMMYFUNCTION("""COMPUTED_VALUE"""),"ldz")</f>
        <v>ldz</v>
      </c>
      <c r="C12760" s="4" t="str">
        <f>IFERROR(__xludf.DUMMYFUNCTION("""COMPUTED_VALUE"""),"Voodoo")</f>
        <v>Voodoo</v>
      </c>
    </row>
    <row r="12761">
      <c r="A12761" s="4" t="str">
        <f>IFERROR(__xludf.DUMMYFUNCTION("""COMPUTED_VALUE"""),"vortex-ai")</f>
        <v>vortex-ai</v>
      </c>
      <c r="B12761" s="4" t="str">
        <f>IFERROR(__xludf.DUMMYFUNCTION("""COMPUTED_VALUE"""),"vxai")</f>
        <v>vxai</v>
      </c>
      <c r="C12761" s="4" t="str">
        <f>IFERROR(__xludf.DUMMYFUNCTION("""COMPUTED_VALUE"""),"Vortex AI")</f>
        <v>Vortex AI</v>
      </c>
    </row>
    <row r="12762">
      <c r="A12762" s="4" t="str">
        <f>IFERROR(__xludf.DUMMYFUNCTION("""COMPUTED_VALUE"""),"vortex-protocol")</f>
        <v>vortex-protocol</v>
      </c>
      <c r="B12762" s="4" t="str">
        <f>IFERROR(__xludf.DUMMYFUNCTION("""COMPUTED_VALUE"""),"vp")</f>
        <v>vp</v>
      </c>
      <c r="C12762" s="4" t="str">
        <f>IFERROR(__xludf.DUMMYFUNCTION("""COMPUTED_VALUE"""),"Vortex Protocol")</f>
        <v>Vortex Protocol</v>
      </c>
    </row>
    <row r="12763">
      <c r="A12763" s="4" t="str">
        <f>IFERROR(__xludf.DUMMYFUNCTION("""COMPUTED_VALUE"""),"voucher-dot")</f>
        <v>voucher-dot</v>
      </c>
      <c r="B12763" s="4" t="str">
        <f>IFERROR(__xludf.DUMMYFUNCTION("""COMPUTED_VALUE"""),"vdot")</f>
        <v>vdot</v>
      </c>
      <c r="C12763" s="4" t="str">
        <f>IFERROR(__xludf.DUMMYFUNCTION("""COMPUTED_VALUE"""),"Voucher DOT")</f>
        <v>Voucher DOT</v>
      </c>
    </row>
    <row r="12764">
      <c r="A12764" s="4" t="str">
        <f>IFERROR(__xludf.DUMMYFUNCTION("""COMPUTED_VALUE"""),"voucher-ethereum-2-0")</f>
        <v>voucher-ethereum-2-0</v>
      </c>
      <c r="B12764" s="4" t="str">
        <f>IFERROR(__xludf.DUMMYFUNCTION("""COMPUTED_VALUE"""),"veth")</f>
        <v>veth</v>
      </c>
      <c r="C12764" s="4" t="str">
        <f>IFERROR(__xludf.DUMMYFUNCTION("""COMPUTED_VALUE"""),"Voucher Ethereum 2.0")</f>
        <v>Voucher Ethereum 2.0</v>
      </c>
    </row>
    <row r="12765">
      <c r="A12765" s="4" t="str">
        <f>IFERROR(__xludf.DUMMYFUNCTION("""COMPUTED_VALUE"""),"voucher-glmr")</f>
        <v>voucher-glmr</v>
      </c>
      <c r="B12765" s="4" t="str">
        <f>IFERROR(__xludf.DUMMYFUNCTION("""COMPUTED_VALUE"""),"vglmr")</f>
        <v>vglmr</v>
      </c>
      <c r="C12765" s="4" t="str">
        <f>IFERROR(__xludf.DUMMYFUNCTION("""COMPUTED_VALUE"""),"Voucher GLMR")</f>
        <v>Voucher GLMR</v>
      </c>
    </row>
    <row r="12766">
      <c r="A12766" s="4" t="str">
        <f>IFERROR(__xludf.DUMMYFUNCTION("""COMPUTED_VALUE"""),"voucher-ksm")</f>
        <v>voucher-ksm</v>
      </c>
      <c r="B12766" s="4" t="str">
        <f>IFERROR(__xludf.DUMMYFUNCTION("""COMPUTED_VALUE"""),"vksm")</f>
        <v>vksm</v>
      </c>
      <c r="C12766" s="4" t="str">
        <f>IFERROR(__xludf.DUMMYFUNCTION("""COMPUTED_VALUE"""),"Voucher KSM")</f>
        <v>Voucher KSM</v>
      </c>
    </row>
    <row r="12767">
      <c r="A12767" s="4" t="str">
        <f>IFERROR(__xludf.DUMMYFUNCTION("""COMPUTED_VALUE"""),"voucher-movr")</f>
        <v>voucher-movr</v>
      </c>
      <c r="B12767" s="4" t="str">
        <f>IFERROR(__xludf.DUMMYFUNCTION("""COMPUTED_VALUE"""),"vmovr")</f>
        <v>vmovr</v>
      </c>
      <c r="C12767" s="4" t="str">
        <f>IFERROR(__xludf.DUMMYFUNCTION("""COMPUTED_VALUE"""),"Voucher MOVR")</f>
        <v>Voucher MOVR</v>
      </c>
    </row>
    <row r="12768">
      <c r="A12768" s="4" t="str">
        <f>IFERROR(__xludf.DUMMYFUNCTION("""COMPUTED_VALUE"""),"vow")</f>
        <v>vow</v>
      </c>
      <c r="B12768" s="4" t="str">
        <f>IFERROR(__xludf.DUMMYFUNCTION("""COMPUTED_VALUE"""),"vow")</f>
        <v>vow</v>
      </c>
      <c r="C12768" s="4" t="str">
        <f>IFERROR(__xludf.DUMMYFUNCTION("""COMPUTED_VALUE"""),"Vow")</f>
        <v>Vow</v>
      </c>
    </row>
    <row r="12769">
      <c r="A12769" s="4" t="str">
        <f>IFERROR(__xludf.DUMMYFUNCTION("""COMPUTED_VALUE"""),"voxel-ape")</f>
        <v>voxel-ape</v>
      </c>
      <c r="B12769" s="4" t="str">
        <f>IFERROR(__xludf.DUMMYFUNCTION("""COMPUTED_VALUE"""),"voxelape")</f>
        <v>voxelape</v>
      </c>
      <c r="C12769" s="4" t="str">
        <f>IFERROR(__xludf.DUMMYFUNCTION("""COMPUTED_VALUE"""),"Voxel Ape")</f>
        <v>Voxel Ape</v>
      </c>
    </row>
    <row r="12770">
      <c r="A12770" s="4" t="str">
        <f>IFERROR(__xludf.DUMMYFUNCTION("""COMPUTED_VALUE"""),"voxel-x-network")</f>
        <v>voxel-x-network</v>
      </c>
      <c r="B12770" s="4" t="str">
        <f>IFERROR(__xludf.DUMMYFUNCTION("""COMPUTED_VALUE"""),"vxl")</f>
        <v>vxl</v>
      </c>
      <c r="C12770" s="4" t="str">
        <f>IFERROR(__xludf.DUMMYFUNCTION("""COMPUTED_VALUE"""),"Voxel X Network")</f>
        <v>Voxel X Network</v>
      </c>
    </row>
    <row r="12771">
      <c r="A12771" s="4" t="str">
        <f>IFERROR(__xludf.DUMMYFUNCTION("""COMPUTED_VALUE"""),"voxies")</f>
        <v>voxies</v>
      </c>
      <c r="B12771" s="4" t="str">
        <f>IFERROR(__xludf.DUMMYFUNCTION("""COMPUTED_VALUE"""),"voxel")</f>
        <v>voxel</v>
      </c>
      <c r="C12771" s="4" t="str">
        <f>IFERROR(__xludf.DUMMYFUNCTION("""COMPUTED_VALUE"""),"Voxies")</f>
        <v>Voxies</v>
      </c>
    </row>
    <row r="12772">
      <c r="A12772" s="4" t="str">
        <f>IFERROR(__xludf.DUMMYFUNCTION("""COMPUTED_VALUE"""),"voxnet")</f>
        <v>voxnet</v>
      </c>
      <c r="B12772" s="4" t="str">
        <f>IFERROR(__xludf.DUMMYFUNCTION("""COMPUTED_VALUE"""),"vxon")</f>
        <v>vxon</v>
      </c>
      <c r="C12772" s="4" t="str">
        <f>IFERROR(__xludf.DUMMYFUNCTION("""COMPUTED_VALUE"""),"VoxNET")</f>
        <v>VoxNET</v>
      </c>
    </row>
    <row r="12773">
      <c r="A12773" s="4" t="str">
        <f>IFERROR(__xludf.DUMMYFUNCTION("""COMPUTED_VALUE"""),"voxto")</f>
        <v>voxto</v>
      </c>
      <c r="B12773" s="4" t="str">
        <f>IFERROR(__xludf.DUMMYFUNCTION("""COMPUTED_VALUE"""),"vxt")</f>
        <v>vxt</v>
      </c>
      <c r="C12773" s="4" t="str">
        <f>IFERROR(__xludf.DUMMYFUNCTION("""COMPUTED_VALUE"""),"VOXTO")</f>
        <v>VOXTO</v>
      </c>
    </row>
    <row r="12774">
      <c r="A12774" s="4" t="str">
        <f>IFERROR(__xludf.DUMMYFUNCTION("""COMPUTED_VALUE"""),"voy-finance")</f>
        <v>voy-finance</v>
      </c>
      <c r="B12774" s="4" t="str">
        <f>IFERROR(__xludf.DUMMYFUNCTION("""COMPUTED_VALUE"""),"voy")</f>
        <v>voy</v>
      </c>
      <c r="C12774" s="4" t="str">
        <f>IFERROR(__xludf.DUMMYFUNCTION("""COMPUTED_VALUE"""),"Voy Finance")</f>
        <v>Voy Finance</v>
      </c>
    </row>
    <row r="12775">
      <c r="A12775" s="4" t="str">
        <f>IFERROR(__xludf.DUMMYFUNCTION("""COMPUTED_VALUE"""),"vps-ai")</f>
        <v>vps-ai</v>
      </c>
      <c r="B12775" s="4" t="str">
        <f>IFERROR(__xludf.DUMMYFUNCTION("""COMPUTED_VALUE"""),"vps")</f>
        <v>vps</v>
      </c>
      <c r="C12775" s="4" t="str">
        <f>IFERROR(__xludf.DUMMYFUNCTION("""COMPUTED_VALUE"""),"VPS Ai")</f>
        <v>VPS Ai</v>
      </c>
    </row>
    <row r="12776">
      <c r="A12776" s="4" t="str">
        <f>IFERROR(__xludf.DUMMYFUNCTION("""COMPUTED_VALUE"""),"vrmars")</f>
        <v>vrmars</v>
      </c>
      <c r="B12776" s="4" t="str">
        <f>IFERROR(__xludf.DUMMYFUNCTION("""COMPUTED_VALUE"""),"vrm")</f>
        <v>vrm</v>
      </c>
      <c r="C12776" s="4" t="str">
        <f>IFERROR(__xludf.DUMMYFUNCTION("""COMPUTED_VALUE"""),"VRMARS")</f>
        <v>VRMARS</v>
      </c>
    </row>
    <row r="12777">
      <c r="A12777" s="4" t="str">
        <f>IFERROR(__xludf.DUMMYFUNCTION("""COMPUTED_VALUE"""),"vsolidus")</f>
        <v>vsolidus</v>
      </c>
      <c r="B12777" s="4" t="str">
        <f>IFERROR(__xludf.DUMMYFUNCTION("""COMPUTED_VALUE"""),"vsol")</f>
        <v>vsol</v>
      </c>
      <c r="C12777" s="4" t="str">
        <f>IFERROR(__xludf.DUMMYFUNCTION("""COMPUTED_VALUE"""),"VSolidus")</f>
        <v>VSolidus</v>
      </c>
    </row>
    <row r="12778">
      <c r="A12778" s="4" t="str">
        <f>IFERROR(__xludf.DUMMYFUNCTION("""COMPUTED_VALUE"""),"v-systems")</f>
        <v>v-systems</v>
      </c>
      <c r="B12778" s="4" t="str">
        <f>IFERROR(__xludf.DUMMYFUNCTION("""COMPUTED_VALUE"""),"vsys")</f>
        <v>vsys</v>
      </c>
      <c r="C12778" s="4" t="str">
        <f>IFERROR(__xludf.DUMMYFUNCTION("""COMPUTED_VALUE"""),"V.SYSTEMS")</f>
        <v>V.SYSTEMS</v>
      </c>
    </row>
    <row r="12779">
      <c r="A12779" s="4" t="str">
        <f>IFERROR(__xludf.DUMMYFUNCTION("""COMPUTED_VALUE"""),"vtro")</f>
        <v>vtro</v>
      </c>
      <c r="B12779" s="4" t="str">
        <f>IFERROR(__xludf.DUMMYFUNCTION("""COMPUTED_VALUE"""),"vtro")</f>
        <v>vtro</v>
      </c>
      <c r="C12779" s="4" t="str">
        <f>IFERROR(__xludf.DUMMYFUNCTION("""COMPUTED_VALUE"""),"VTRO")</f>
        <v>VTRO</v>
      </c>
    </row>
    <row r="12780">
      <c r="A12780" s="4" t="str">
        <f>IFERROR(__xludf.DUMMYFUNCTION("""COMPUTED_VALUE"""),"vulcan-forged")</f>
        <v>vulcan-forged</v>
      </c>
      <c r="B12780" s="4" t="str">
        <f>IFERROR(__xludf.DUMMYFUNCTION("""COMPUTED_VALUE"""),"pyr")</f>
        <v>pyr</v>
      </c>
      <c r="C12780" s="4" t="str">
        <f>IFERROR(__xludf.DUMMYFUNCTION("""COMPUTED_VALUE"""),"Vulcan Forged")</f>
        <v>Vulcan Forged</v>
      </c>
    </row>
    <row r="12781">
      <c r="A12781" s="4" t="str">
        <f>IFERROR(__xludf.DUMMYFUNCTION("""COMPUTED_VALUE"""),"vulture-peak")</f>
        <v>vulture-peak</v>
      </c>
      <c r="B12781" s="4" t="str">
        <f>IFERROR(__xludf.DUMMYFUNCTION("""COMPUTED_VALUE"""),"vpk")</f>
        <v>vpk</v>
      </c>
      <c r="C12781" s="4" t="str">
        <f>IFERROR(__xludf.DUMMYFUNCTION("""COMPUTED_VALUE"""),"Vulture Peak")</f>
        <v>Vulture Peak</v>
      </c>
    </row>
    <row r="12782">
      <c r="A12782" s="4" t="str">
        <f>IFERROR(__xludf.DUMMYFUNCTION("""COMPUTED_VALUE"""),"vuzzmind")</f>
        <v>vuzzmind</v>
      </c>
      <c r="B12782" s="4" t="str">
        <f>IFERROR(__xludf.DUMMYFUNCTION("""COMPUTED_VALUE"""),"vuzz")</f>
        <v>vuzz</v>
      </c>
      <c r="C12782" s="4" t="str">
        <f>IFERROR(__xludf.DUMMYFUNCTION("""COMPUTED_VALUE"""),"VuzzMind")</f>
        <v>VuzzMind</v>
      </c>
    </row>
    <row r="12783">
      <c r="A12783" s="4" t="str">
        <f>IFERROR(__xludf.DUMMYFUNCTION("""COMPUTED_VALUE"""),"vvs-finance")</f>
        <v>vvs-finance</v>
      </c>
      <c r="B12783" s="4" t="str">
        <f>IFERROR(__xludf.DUMMYFUNCTION("""COMPUTED_VALUE"""),"vvs")</f>
        <v>vvs</v>
      </c>
      <c r="C12783" s="4" t="str">
        <f>IFERROR(__xludf.DUMMYFUNCTION("""COMPUTED_VALUE"""),"VVS Finance")</f>
        <v>VVS Finance</v>
      </c>
    </row>
    <row r="12784">
      <c r="A12784" s="4" t="str">
        <f>IFERROR(__xludf.DUMMYFUNCTION("""COMPUTED_VALUE"""),"vxdefi")</f>
        <v>vxdefi</v>
      </c>
      <c r="B12784" s="4" t="str">
        <f>IFERROR(__xludf.DUMMYFUNCTION("""COMPUTED_VALUE"""),"vxdefi")</f>
        <v>vxdefi</v>
      </c>
      <c r="C12784" s="4" t="str">
        <f>IFERROR(__xludf.DUMMYFUNCTION("""COMPUTED_VALUE"""),"vXDEFI")</f>
        <v>vXDEFI</v>
      </c>
    </row>
    <row r="12785">
      <c r="A12785" s="4" t="str">
        <f>IFERROR(__xludf.DUMMYFUNCTION("""COMPUTED_VALUE"""),"vyfinance")</f>
        <v>vyfinance</v>
      </c>
      <c r="B12785" s="4" t="str">
        <f>IFERROR(__xludf.DUMMYFUNCTION("""COMPUTED_VALUE"""),"vyfi")</f>
        <v>vyfi</v>
      </c>
      <c r="C12785" s="4" t="str">
        <f>IFERROR(__xludf.DUMMYFUNCTION("""COMPUTED_VALUE"""),"VyFinance")</f>
        <v>VyFinance</v>
      </c>
    </row>
    <row r="12786">
      <c r="A12786" s="4" t="str">
        <f>IFERROR(__xludf.DUMMYFUNCTION("""COMPUTED_VALUE"""),"vyvo-smart-chain")</f>
        <v>vyvo-smart-chain</v>
      </c>
      <c r="B12786" s="4" t="str">
        <f>IFERROR(__xludf.DUMMYFUNCTION("""COMPUTED_VALUE"""),"vsc")</f>
        <v>vsc</v>
      </c>
      <c r="C12786" s="4" t="str">
        <f>IFERROR(__xludf.DUMMYFUNCTION("""COMPUTED_VALUE"""),"Vyvo Smart Chain")</f>
        <v>Vyvo Smart Chain</v>
      </c>
    </row>
    <row r="12787">
      <c r="A12787" s="4" t="str">
        <f>IFERROR(__xludf.DUMMYFUNCTION("""COMPUTED_VALUE"""),"vyvo-us-dollar")</f>
        <v>vyvo-us-dollar</v>
      </c>
      <c r="B12787" s="4" t="str">
        <f>IFERROR(__xludf.DUMMYFUNCTION("""COMPUTED_VALUE"""),"usdv")</f>
        <v>usdv</v>
      </c>
      <c r="C12787" s="4" t="str">
        <f>IFERROR(__xludf.DUMMYFUNCTION("""COMPUTED_VALUE"""),"Vyvo US Dollar")</f>
        <v>Vyvo US Dollar</v>
      </c>
    </row>
    <row r="12788">
      <c r="A12788" s="4" t="str">
        <f>IFERROR(__xludf.DUMMYFUNCTION("""COMPUTED_VALUE"""),"vzzn")</f>
        <v>vzzn</v>
      </c>
      <c r="B12788" s="4" t="str">
        <f>IFERROR(__xludf.DUMMYFUNCTION("""COMPUTED_VALUE"""),"vzzn")</f>
        <v>vzzn</v>
      </c>
      <c r="C12788" s="4" t="str">
        <f>IFERROR(__xludf.DUMMYFUNCTION("""COMPUTED_VALUE"""),"VZZN")</f>
        <v>VZZN</v>
      </c>
    </row>
    <row r="12789">
      <c r="A12789" s="4" t="str">
        <f>IFERROR(__xludf.DUMMYFUNCTION("""COMPUTED_VALUE"""),"w3gamez-network")</f>
        <v>w3gamez-network</v>
      </c>
      <c r="B12789" s="4" t="str">
        <f>IFERROR(__xludf.DUMMYFUNCTION("""COMPUTED_VALUE"""),"w3g")</f>
        <v>w3g</v>
      </c>
      <c r="C12789" s="4" t="str">
        <f>IFERROR(__xludf.DUMMYFUNCTION("""COMPUTED_VALUE"""),"W3Gamez Network")</f>
        <v>W3Gamez Network</v>
      </c>
    </row>
    <row r="12790">
      <c r="A12790" s="4" t="str">
        <f>IFERROR(__xludf.DUMMYFUNCTION("""COMPUTED_VALUE"""),"wadzpay-token")</f>
        <v>wadzpay-token</v>
      </c>
      <c r="B12790" s="4" t="str">
        <f>IFERROR(__xludf.DUMMYFUNCTION("""COMPUTED_VALUE"""),"wtk")</f>
        <v>wtk</v>
      </c>
      <c r="C12790" s="4" t="str">
        <f>IFERROR(__xludf.DUMMYFUNCTION("""COMPUTED_VALUE"""),"WadzPay")</f>
        <v>WadzPay</v>
      </c>
    </row>
    <row r="12791">
      <c r="A12791" s="4" t="str">
        <f>IFERROR(__xludf.DUMMYFUNCTION("""COMPUTED_VALUE"""),"wageron")</f>
        <v>wageron</v>
      </c>
      <c r="B12791" s="4" t="str">
        <f>IFERROR(__xludf.DUMMYFUNCTION("""COMPUTED_VALUE"""),"wager")</f>
        <v>wager</v>
      </c>
      <c r="C12791" s="4" t="str">
        <f>IFERROR(__xludf.DUMMYFUNCTION("""COMPUTED_VALUE"""),"WagerOn")</f>
        <v>WagerOn</v>
      </c>
    </row>
    <row r="12792">
      <c r="A12792" s="4" t="str">
        <f>IFERROR(__xludf.DUMMYFUNCTION("""COMPUTED_VALUE"""),"wagerr")</f>
        <v>wagerr</v>
      </c>
      <c r="B12792" s="4" t="str">
        <f>IFERROR(__xludf.DUMMYFUNCTION("""COMPUTED_VALUE"""),"wgr")</f>
        <v>wgr</v>
      </c>
      <c r="C12792" s="4" t="str">
        <f>IFERROR(__xludf.DUMMYFUNCTION("""COMPUTED_VALUE"""),"Wagerr")</f>
        <v>Wagerr</v>
      </c>
    </row>
    <row r="12793">
      <c r="A12793" s="4" t="str">
        <f>IFERROR(__xludf.DUMMYFUNCTION("""COMPUTED_VALUE"""),"waggle-network")</f>
        <v>waggle-network</v>
      </c>
      <c r="B12793" s="4" t="str">
        <f>IFERROR(__xludf.DUMMYFUNCTION("""COMPUTED_VALUE"""),"wag")</f>
        <v>wag</v>
      </c>
      <c r="C12793" s="4" t="str">
        <f>IFERROR(__xludf.DUMMYFUNCTION("""COMPUTED_VALUE"""),"Waggle Network")</f>
        <v>Waggle Network</v>
      </c>
    </row>
    <row r="12794">
      <c r="A12794" s="4" t="str">
        <f>IFERROR(__xludf.DUMMYFUNCTION("""COMPUTED_VALUE"""),"wagie-bot")</f>
        <v>wagie-bot</v>
      </c>
      <c r="B12794" s="4" t="str">
        <f>IFERROR(__xludf.DUMMYFUNCTION("""COMPUTED_VALUE"""),"wagiebot")</f>
        <v>wagiebot</v>
      </c>
      <c r="C12794" s="4" t="str">
        <f>IFERROR(__xludf.DUMMYFUNCTION("""COMPUTED_VALUE"""),"Wagie Bot")</f>
        <v>Wagie Bot</v>
      </c>
    </row>
    <row r="12795">
      <c r="A12795" s="4" t="str">
        <f>IFERROR(__xludf.DUMMYFUNCTION("""COMPUTED_VALUE"""),"wagmi-2")</f>
        <v>wagmi-2</v>
      </c>
      <c r="B12795" s="4" t="str">
        <f>IFERROR(__xludf.DUMMYFUNCTION("""COMPUTED_VALUE"""),"wagmi")</f>
        <v>wagmi</v>
      </c>
      <c r="C12795" s="4" t="str">
        <f>IFERROR(__xludf.DUMMYFUNCTION("""COMPUTED_VALUE"""),"Wagmi")</f>
        <v>Wagmi</v>
      </c>
    </row>
    <row r="12796">
      <c r="A12796" s="4" t="str">
        <f>IFERROR(__xludf.DUMMYFUNCTION("""COMPUTED_VALUE"""),"wagmicatgirlkanye420etfmoon1000x")</f>
        <v>wagmicatgirlkanye420etfmoon1000x</v>
      </c>
      <c r="B12796" s="4" t="str">
        <f>IFERROR(__xludf.DUMMYFUNCTION("""COMPUTED_VALUE"""),"hood")</f>
        <v>hood</v>
      </c>
      <c r="C12796" s="4" t="str">
        <f>IFERROR(__xludf.DUMMYFUNCTION("""COMPUTED_VALUE"""),"wagmicatgirlkanye420etfmoon1000x")</f>
        <v>wagmicatgirlkanye420etfmoon1000x</v>
      </c>
    </row>
    <row r="12797">
      <c r="A12797" s="4" t="str">
        <f>IFERROR(__xludf.DUMMYFUNCTION("""COMPUTED_VALUE"""),"wagmi-coin")</f>
        <v>wagmi-coin</v>
      </c>
      <c r="B12797" s="4" t="str">
        <f>IFERROR(__xludf.DUMMYFUNCTION("""COMPUTED_VALUE"""),"wagmi")</f>
        <v>wagmi</v>
      </c>
      <c r="C12797" s="4" t="str">
        <f>IFERROR(__xludf.DUMMYFUNCTION("""COMPUTED_VALUE"""),"Wagmi Coin")</f>
        <v>Wagmi Coin</v>
      </c>
    </row>
    <row r="12798">
      <c r="A12798" s="4" t="str">
        <f>IFERROR(__xludf.DUMMYFUNCTION("""COMPUTED_VALUE"""),"wagmi-game-2")</f>
        <v>wagmi-game-2</v>
      </c>
      <c r="B12798" s="4" t="str">
        <f>IFERROR(__xludf.DUMMYFUNCTION("""COMPUTED_VALUE"""),"wagmigames")</f>
        <v>wagmigames</v>
      </c>
      <c r="C12798" s="4" t="str">
        <f>IFERROR(__xludf.DUMMYFUNCTION("""COMPUTED_VALUE"""),"WAGMI Games")</f>
        <v>WAGMI Games</v>
      </c>
    </row>
    <row r="12799">
      <c r="A12799" s="4" t="str">
        <f>IFERROR(__xludf.DUMMYFUNCTION("""COMPUTED_VALUE"""),"wagmi-on-solana")</f>
        <v>wagmi-on-solana</v>
      </c>
      <c r="B12799" s="4" t="str">
        <f>IFERROR(__xludf.DUMMYFUNCTION("""COMPUTED_VALUE"""),"wagmi")</f>
        <v>wagmi</v>
      </c>
      <c r="C12799" s="4" t="str">
        <f>IFERROR(__xludf.DUMMYFUNCTION("""COMPUTED_VALUE"""),"WAGMI On Solana")</f>
        <v>WAGMI On Solana</v>
      </c>
    </row>
    <row r="12800">
      <c r="A12800" s="4" t="str">
        <f>IFERROR(__xludf.DUMMYFUNCTION("""COMPUTED_VALUE"""),"wagmi-token")</f>
        <v>wagmi-token</v>
      </c>
      <c r="B12800" s="4" t="str">
        <f>IFERROR(__xludf.DUMMYFUNCTION("""COMPUTED_VALUE"""),"wag")</f>
        <v>wag</v>
      </c>
      <c r="C12800" s="4" t="str">
        <f>IFERROR(__xludf.DUMMYFUNCTION("""COMPUTED_VALUE"""),"WAGMI Token")</f>
        <v>WAGMI Token</v>
      </c>
    </row>
    <row r="12801">
      <c r="A12801" s="4" t="str">
        <f>IFERROR(__xludf.DUMMYFUNCTION("""COMPUTED_VALUE"""),"wagyu")</f>
        <v>wagyu</v>
      </c>
      <c r="B12801" s="4" t="str">
        <f>IFERROR(__xludf.DUMMYFUNCTION("""COMPUTED_VALUE"""),"$wagyu")</f>
        <v>$wagyu</v>
      </c>
      <c r="C12801" s="4" t="str">
        <f>IFERROR(__xludf.DUMMYFUNCTION("""COMPUTED_VALUE"""),"Wagyu")</f>
        <v>Wagyu</v>
      </c>
    </row>
    <row r="12802">
      <c r="A12802" s="4" t="str">
        <f>IFERROR(__xludf.DUMMYFUNCTION("""COMPUTED_VALUE"""),"wagyu-protocol")</f>
        <v>wagyu-protocol</v>
      </c>
      <c r="B12802" s="4" t="str">
        <f>IFERROR(__xludf.DUMMYFUNCTION("""COMPUTED_VALUE"""),"wagyu")</f>
        <v>wagyu</v>
      </c>
      <c r="C12802" s="4" t="str">
        <f>IFERROR(__xludf.DUMMYFUNCTION("""COMPUTED_VALUE"""),"Wagyu Protocol")</f>
        <v>Wagyu Protocol</v>
      </c>
    </row>
    <row r="12803">
      <c r="A12803" s="4" t="str">
        <f>IFERROR(__xludf.DUMMYFUNCTION("""COMPUTED_VALUE"""),"wagyuswap")</f>
        <v>wagyuswap</v>
      </c>
      <c r="B12803" s="4" t="str">
        <f>IFERROR(__xludf.DUMMYFUNCTION("""COMPUTED_VALUE"""),"wag")</f>
        <v>wag</v>
      </c>
      <c r="C12803" s="4" t="str">
        <f>IFERROR(__xludf.DUMMYFUNCTION("""COMPUTED_VALUE"""),"WagyuSwap")</f>
        <v>WagyuSwap</v>
      </c>
    </row>
    <row r="12804">
      <c r="A12804" s="4" t="str">
        <f>IFERROR(__xludf.DUMMYFUNCTION("""COMPUTED_VALUE"""),"waifu")</f>
        <v>waifu</v>
      </c>
      <c r="B12804" s="4" t="str">
        <f>IFERROR(__xludf.DUMMYFUNCTION("""COMPUTED_VALUE"""),"waifu")</f>
        <v>waifu</v>
      </c>
      <c r="C12804" s="4" t="str">
        <f>IFERROR(__xludf.DUMMYFUNCTION("""COMPUTED_VALUE"""),"Waifu")</f>
        <v>Waifu</v>
      </c>
    </row>
    <row r="12805">
      <c r="A12805" s="4" t="str">
        <f>IFERROR(__xludf.DUMMYFUNCTION("""COMPUTED_VALUE"""),"waifuai")</f>
        <v>waifuai</v>
      </c>
      <c r="B12805" s="4" t="str">
        <f>IFERROR(__xludf.DUMMYFUNCTION("""COMPUTED_VALUE"""),"wfai")</f>
        <v>wfai</v>
      </c>
      <c r="C12805" s="4" t="str">
        <f>IFERROR(__xludf.DUMMYFUNCTION("""COMPUTED_VALUE"""),"WaifuAI")</f>
        <v>WaifuAI</v>
      </c>
    </row>
    <row r="12806">
      <c r="A12806" s="4" t="str">
        <f>IFERROR(__xludf.DUMMYFUNCTION("""COMPUTED_VALUE"""),"walc")</f>
        <v>walc</v>
      </c>
      <c r="B12806" s="4" t="str">
        <f>IFERROR(__xludf.DUMMYFUNCTION("""COMPUTED_VALUE"""),"$walc")</f>
        <v>$walc</v>
      </c>
      <c r="C12806" s="4" t="str">
        <f>IFERROR(__xludf.DUMMYFUNCTION("""COMPUTED_VALUE"""),"WALC")</f>
        <v>WALC</v>
      </c>
    </row>
    <row r="12807">
      <c r="A12807" s="4" t="str">
        <f>IFERROR(__xludf.DUMMYFUNCTION("""COMPUTED_VALUE"""),"walk")</f>
        <v>walk</v>
      </c>
      <c r="B12807" s="4" t="str">
        <f>IFERROR(__xludf.DUMMYFUNCTION("""COMPUTED_VALUE"""),"walk")</f>
        <v>walk</v>
      </c>
      <c r="C12807" s="4" t="str">
        <f>IFERROR(__xludf.DUMMYFUNCTION("""COMPUTED_VALUE"""),"Walk")</f>
        <v>Walk</v>
      </c>
    </row>
    <row r="12808">
      <c r="A12808" s="4" t="str">
        <f>IFERROR(__xludf.DUMMYFUNCTION("""COMPUTED_VALUE"""),"walken")</f>
        <v>walken</v>
      </c>
      <c r="B12808" s="4" t="str">
        <f>IFERROR(__xludf.DUMMYFUNCTION("""COMPUTED_VALUE"""),"wlkn")</f>
        <v>wlkn</v>
      </c>
      <c r="C12808" s="4" t="str">
        <f>IFERROR(__xludf.DUMMYFUNCTION("""COMPUTED_VALUE"""),"Walken")</f>
        <v>Walken</v>
      </c>
    </row>
    <row r="12809">
      <c r="A12809" s="4" t="str">
        <f>IFERROR(__xludf.DUMMYFUNCTION("""COMPUTED_VALUE"""),"walk-up")</f>
        <v>walk-up</v>
      </c>
      <c r="B12809" s="4" t="str">
        <f>IFERROR(__xludf.DUMMYFUNCTION("""COMPUTED_VALUE"""),"wut")</f>
        <v>wut</v>
      </c>
      <c r="C12809" s="4" t="str">
        <f>IFERROR(__xludf.DUMMYFUNCTION("""COMPUTED_VALUE"""),"Walk Up")</f>
        <v>Walk Up</v>
      </c>
    </row>
    <row r="12810">
      <c r="A12810" s="4" t="str">
        <f>IFERROR(__xludf.DUMMYFUNCTION("""COMPUTED_VALUE"""),"wallet-defi")</f>
        <v>wallet-defi</v>
      </c>
      <c r="B12810" s="4" t="str">
        <f>IFERROR(__xludf.DUMMYFUNCTION("""COMPUTED_VALUE"""),"wdf")</f>
        <v>wdf</v>
      </c>
      <c r="C12810" s="4" t="str">
        <f>IFERROR(__xludf.DUMMYFUNCTION("""COMPUTED_VALUE"""),"Wallet Defi")</f>
        <v>Wallet Defi</v>
      </c>
    </row>
    <row r="12811">
      <c r="A12811" s="4" t="str">
        <f>IFERROR(__xludf.DUMMYFUNCTION("""COMPUTED_VALUE"""),"walletika")</f>
        <v>walletika</v>
      </c>
      <c r="B12811" s="4" t="str">
        <f>IFERROR(__xludf.DUMMYFUNCTION("""COMPUTED_VALUE"""),"wltk")</f>
        <v>wltk</v>
      </c>
      <c r="C12811" s="4" t="str">
        <f>IFERROR(__xludf.DUMMYFUNCTION("""COMPUTED_VALUE"""),"Walletika")</f>
        <v>Walletika</v>
      </c>
    </row>
    <row r="12812">
      <c r="A12812" s="4" t="str">
        <f>IFERROR(__xludf.DUMMYFUNCTION("""COMPUTED_VALUE"""),"walletnow")</f>
        <v>walletnow</v>
      </c>
      <c r="B12812" s="4" t="str">
        <f>IFERROR(__xludf.DUMMYFUNCTION("""COMPUTED_VALUE"""),"wnow")</f>
        <v>wnow</v>
      </c>
      <c r="C12812" s="4" t="str">
        <f>IFERROR(__xludf.DUMMYFUNCTION("""COMPUTED_VALUE"""),"WalletNow")</f>
        <v>WalletNow</v>
      </c>
    </row>
    <row r="12813">
      <c r="A12813" s="4" t="str">
        <f>IFERROR(__xludf.DUMMYFUNCTION("""COMPUTED_VALUE"""),"wallet-safu")</f>
        <v>wallet-safu</v>
      </c>
      <c r="B12813" s="4" t="str">
        <f>IFERROR(__xludf.DUMMYFUNCTION("""COMPUTED_VALUE"""),"wsafu")</f>
        <v>wsafu</v>
      </c>
      <c r="C12813" s="4" t="str">
        <f>IFERROR(__xludf.DUMMYFUNCTION("""COMPUTED_VALUE"""),"Wallet SAFU")</f>
        <v>Wallet SAFU</v>
      </c>
    </row>
    <row r="12814">
      <c r="A12814" s="4" t="str">
        <f>IFERROR(__xludf.DUMMYFUNCTION("""COMPUTED_VALUE"""),"wallet-sniffer")</f>
        <v>wallet-sniffer</v>
      </c>
      <c r="B12814" s="4" t="str">
        <f>IFERROR(__xludf.DUMMYFUNCTION("""COMPUTED_VALUE"""),"bo")</f>
        <v>bo</v>
      </c>
      <c r="C12814" s="4" t="str">
        <f>IFERROR(__xludf.DUMMYFUNCTION("""COMPUTED_VALUE"""),"Wallet Sniffer")</f>
        <v>Wallet Sniffer</v>
      </c>
    </row>
    <row r="12815">
      <c r="A12815" s="4" t="str">
        <f>IFERROR(__xludf.DUMMYFUNCTION("""COMPUTED_VALUE"""),"wall-street-baby")</f>
        <v>wall-street-baby</v>
      </c>
      <c r="B12815" s="4" t="str">
        <f>IFERROR(__xludf.DUMMYFUNCTION("""COMPUTED_VALUE"""),"wsb")</f>
        <v>wsb</v>
      </c>
      <c r="C12815" s="4" t="str">
        <f>IFERROR(__xludf.DUMMYFUNCTION("""COMPUTED_VALUE"""),"Wall Street Baby")</f>
        <v>Wall Street Baby</v>
      </c>
    </row>
    <row r="12816">
      <c r="A12816" s="4" t="str">
        <f>IFERROR(__xludf.DUMMYFUNCTION("""COMPUTED_VALUE"""),"wall-street-bets")</f>
        <v>wall-street-bets</v>
      </c>
      <c r="B12816" s="4" t="str">
        <f>IFERROR(__xludf.DUMMYFUNCTION("""COMPUTED_VALUE"""),"wsb")</f>
        <v>wsb</v>
      </c>
      <c r="C12816" s="4" t="str">
        <f>IFERROR(__xludf.DUMMYFUNCTION("""COMPUTED_VALUE"""),"Wall Street Bets")</f>
        <v>Wall Street Bets</v>
      </c>
    </row>
    <row r="12817">
      <c r="A12817" s="4" t="str">
        <f>IFERROR(__xludf.DUMMYFUNCTION("""COMPUTED_VALUE"""),"wall-street-bets-dapp")</f>
        <v>wall-street-bets-dapp</v>
      </c>
      <c r="B12817" s="4" t="str">
        <f>IFERROR(__xludf.DUMMYFUNCTION("""COMPUTED_VALUE"""),"wsb")</f>
        <v>wsb</v>
      </c>
      <c r="C12817" s="4" t="str">
        <f>IFERROR(__xludf.DUMMYFUNCTION("""COMPUTED_VALUE"""),"WallStreetBets DApp")</f>
        <v>WallStreetBets DApp</v>
      </c>
    </row>
    <row r="12818">
      <c r="A12818" s="4" t="str">
        <f>IFERROR(__xludf.DUMMYFUNCTION("""COMPUTED_VALUE"""),"wall-street-games")</f>
        <v>wall-street-games</v>
      </c>
      <c r="B12818" s="4" t="str">
        <f>IFERROR(__xludf.DUMMYFUNCTION("""COMPUTED_VALUE"""),"wsg")</f>
        <v>wsg</v>
      </c>
      <c r="C12818" s="4" t="str">
        <f>IFERROR(__xludf.DUMMYFUNCTION("""COMPUTED_VALUE"""),"Wall Street Games [OLD]")</f>
        <v>Wall Street Games [OLD]</v>
      </c>
    </row>
    <row r="12819">
      <c r="A12819" s="4" t="str">
        <f>IFERROR(__xludf.DUMMYFUNCTION("""COMPUTED_VALUE"""),"wall-street-games-2")</f>
        <v>wall-street-games-2</v>
      </c>
      <c r="B12819" s="4" t="str">
        <f>IFERROR(__xludf.DUMMYFUNCTION("""COMPUTED_VALUE"""),"wsg")</f>
        <v>wsg</v>
      </c>
      <c r="C12819" s="4" t="str">
        <f>IFERROR(__xludf.DUMMYFUNCTION("""COMPUTED_VALUE"""),"Wall Street Games")</f>
        <v>Wall Street Games</v>
      </c>
    </row>
    <row r="12820">
      <c r="A12820" s="4" t="str">
        <f>IFERROR(__xludf.DUMMYFUNCTION("""COMPUTED_VALUE"""),"wall-street-memes")</f>
        <v>wall-street-memes</v>
      </c>
      <c r="B12820" s="4" t="str">
        <f>IFERROR(__xludf.DUMMYFUNCTION("""COMPUTED_VALUE"""),"wsm")</f>
        <v>wsm</v>
      </c>
      <c r="C12820" s="4" t="str">
        <f>IFERROR(__xludf.DUMMYFUNCTION("""COMPUTED_VALUE"""),"Wall Street Memes")</f>
        <v>Wall Street Memes</v>
      </c>
    </row>
    <row r="12821">
      <c r="A12821" s="4" t="str">
        <f>IFERROR(__xludf.DUMMYFUNCTION("""COMPUTED_VALUE"""),"wall-street-pepes")</f>
        <v>wall-street-pepes</v>
      </c>
      <c r="B12821" s="4" t="str">
        <f>IFERROR(__xludf.DUMMYFUNCTION("""COMPUTED_VALUE"""),"wsp")</f>
        <v>wsp</v>
      </c>
      <c r="C12821" s="4" t="str">
        <f>IFERROR(__xludf.DUMMYFUNCTION("""COMPUTED_VALUE"""),"Wall Street Pepes")</f>
        <v>Wall Street Pepes</v>
      </c>
    </row>
    <row r="12822">
      <c r="A12822" s="4" t="str">
        <f>IFERROR(__xludf.DUMMYFUNCTION("""COMPUTED_VALUE"""),"wally-bot")</f>
        <v>wally-bot</v>
      </c>
      <c r="B12822" s="4" t="str">
        <f>IFERROR(__xludf.DUMMYFUNCTION("""COMPUTED_VALUE"""),"wally")</f>
        <v>wally</v>
      </c>
      <c r="C12822" s="4" t="str">
        <f>IFERROR(__xludf.DUMMYFUNCTION("""COMPUTED_VALUE"""),"Wally Bot")</f>
        <v>Wally Bot</v>
      </c>
    </row>
    <row r="12823">
      <c r="A12823" s="4" t="str">
        <f>IFERROR(__xludf.DUMMYFUNCTION("""COMPUTED_VALUE"""),"wally-the-whale")</f>
        <v>wally-the-whale</v>
      </c>
      <c r="B12823" s="4" t="str">
        <f>IFERROR(__xludf.DUMMYFUNCTION("""COMPUTED_VALUE"""),"wally")</f>
        <v>wally</v>
      </c>
      <c r="C12823" s="4" t="str">
        <f>IFERROR(__xludf.DUMMYFUNCTION("""COMPUTED_VALUE"""),"Wally The Whale")</f>
        <v>Wally The Whale</v>
      </c>
    </row>
    <row r="12824">
      <c r="A12824" s="4" t="str">
        <f>IFERROR(__xludf.DUMMYFUNCTION("""COMPUTED_VALUE"""),"walrus")</f>
        <v>walrus</v>
      </c>
      <c r="B12824" s="4" t="str">
        <f>IFERROR(__xludf.DUMMYFUNCTION("""COMPUTED_VALUE"""),"wlrs")</f>
        <v>wlrs</v>
      </c>
      <c r="C12824" s="4" t="str">
        <f>IFERROR(__xludf.DUMMYFUNCTION("""COMPUTED_VALUE"""),"Walrus")</f>
        <v>Walrus</v>
      </c>
    </row>
    <row r="12825">
      <c r="A12825" s="4" t="str">
        <f>IFERROR(__xludf.DUMMYFUNCTION("""COMPUTED_VALUE"""),"waltonchain")</f>
        <v>waltonchain</v>
      </c>
      <c r="B12825" s="4" t="str">
        <f>IFERROR(__xludf.DUMMYFUNCTION("""COMPUTED_VALUE"""),"wtc")</f>
        <v>wtc</v>
      </c>
      <c r="C12825" s="4" t="str">
        <f>IFERROR(__xludf.DUMMYFUNCTION("""COMPUTED_VALUE"""),"Waltonchain")</f>
        <v>Waltonchain</v>
      </c>
    </row>
    <row r="12826">
      <c r="A12826" s="4" t="str">
        <f>IFERROR(__xludf.DUMMYFUNCTION("""COMPUTED_VALUE"""),"wam")</f>
        <v>wam</v>
      </c>
      <c r="B12826" s="4" t="str">
        <f>IFERROR(__xludf.DUMMYFUNCTION("""COMPUTED_VALUE"""),"wam")</f>
        <v>wam</v>
      </c>
      <c r="C12826" s="4" t="str">
        <f>IFERROR(__xludf.DUMMYFUNCTION("""COMPUTED_VALUE"""),"Wam")</f>
        <v>Wam</v>
      </c>
    </row>
    <row r="12827">
      <c r="A12827" s="4" t="str">
        <f>IFERROR(__xludf.DUMMYFUNCTION("""COMPUTED_VALUE"""),"wanaka-farm")</f>
        <v>wanaka-farm</v>
      </c>
      <c r="B12827" s="4" t="str">
        <f>IFERROR(__xludf.DUMMYFUNCTION("""COMPUTED_VALUE"""),"wana")</f>
        <v>wana</v>
      </c>
      <c r="C12827" s="4" t="str">
        <f>IFERROR(__xludf.DUMMYFUNCTION("""COMPUTED_VALUE"""),"Wanaka Farm")</f>
        <v>Wanaka Farm</v>
      </c>
    </row>
    <row r="12828">
      <c r="A12828" s="4" t="str">
        <f>IFERROR(__xludf.DUMMYFUNCTION("""COMPUTED_VALUE"""),"wanbtc")</f>
        <v>wanbtc</v>
      </c>
      <c r="B12828" s="4" t="str">
        <f>IFERROR(__xludf.DUMMYFUNCTION("""COMPUTED_VALUE"""),"wanbtc")</f>
        <v>wanbtc</v>
      </c>
      <c r="C12828" s="4" t="str">
        <f>IFERROR(__xludf.DUMMYFUNCTION("""COMPUTED_VALUE"""),"wanBTC")</f>
        <v>wanBTC</v>
      </c>
    </row>
    <row r="12829">
      <c r="A12829" s="4" t="str">
        <f>IFERROR(__xludf.DUMMYFUNCTION("""COMPUTED_VALUE"""),"wanchain")</f>
        <v>wanchain</v>
      </c>
      <c r="B12829" s="4" t="str">
        <f>IFERROR(__xludf.DUMMYFUNCTION("""COMPUTED_VALUE"""),"wan")</f>
        <v>wan</v>
      </c>
      <c r="C12829" s="4" t="str">
        <f>IFERROR(__xludf.DUMMYFUNCTION("""COMPUTED_VALUE"""),"Wanchain")</f>
        <v>Wanchain</v>
      </c>
    </row>
    <row r="12830">
      <c r="A12830" s="4" t="str">
        <f>IFERROR(__xludf.DUMMYFUNCTION("""COMPUTED_VALUE"""),"wanchain-bridged-usdt-xdc-network")</f>
        <v>wanchain-bridged-usdt-xdc-network</v>
      </c>
      <c r="B12830" s="4" t="str">
        <f>IFERROR(__xludf.DUMMYFUNCTION("""COMPUTED_VALUE"""),"xusdt")</f>
        <v>xusdt</v>
      </c>
      <c r="C12830" s="4" t="str">
        <f>IFERROR(__xludf.DUMMYFUNCTION("""COMPUTED_VALUE"""),"Wanchain Bridged USDT (XDC Network)")</f>
        <v>Wanchain Bridged USDT (XDC Network)</v>
      </c>
    </row>
    <row r="12831">
      <c r="A12831" s="4" t="str">
        <f>IFERROR(__xludf.DUMMYFUNCTION("""COMPUTED_VALUE"""),"wand")</f>
        <v>wand</v>
      </c>
      <c r="B12831" s="4" t="str">
        <f>IFERROR(__xludf.DUMMYFUNCTION("""COMPUTED_VALUE"""),"wand")</f>
        <v>wand</v>
      </c>
      <c r="C12831" s="4" t="str">
        <f>IFERROR(__xludf.DUMMYFUNCTION("""COMPUTED_VALUE"""),"Wand")</f>
        <v>Wand</v>
      </c>
    </row>
    <row r="12832">
      <c r="A12832" s="4" t="str">
        <f>IFERROR(__xludf.DUMMYFUNCTION("""COMPUTED_VALUE"""),"waneth")</f>
        <v>waneth</v>
      </c>
      <c r="B12832" s="4" t="str">
        <f>IFERROR(__xludf.DUMMYFUNCTION("""COMPUTED_VALUE"""),"waneth")</f>
        <v>waneth</v>
      </c>
      <c r="C12832" s="4" t="str">
        <f>IFERROR(__xludf.DUMMYFUNCTION("""COMPUTED_VALUE"""),"wanETH")</f>
        <v>wanETH</v>
      </c>
    </row>
    <row r="12833">
      <c r="A12833" s="4" t="str">
        <f>IFERROR(__xludf.DUMMYFUNCTION("""COMPUTED_VALUE"""),"wanna-bot")</f>
        <v>wanna-bot</v>
      </c>
      <c r="B12833" s="4" t="str">
        <f>IFERROR(__xludf.DUMMYFUNCTION("""COMPUTED_VALUE"""),"wanna")</f>
        <v>wanna</v>
      </c>
      <c r="C12833" s="4" t="str">
        <f>IFERROR(__xludf.DUMMYFUNCTION("""COMPUTED_VALUE"""),"Wanna Bot")</f>
        <v>Wanna Bot</v>
      </c>
    </row>
    <row r="12834">
      <c r="A12834" s="4" t="str">
        <f>IFERROR(__xludf.DUMMYFUNCTION("""COMPUTED_VALUE"""),"wannaswap")</f>
        <v>wannaswap</v>
      </c>
      <c r="B12834" s="4" t="str">
        <f>IFERROR(__xludf.DUMMYFUNCTION("""COMPUTED_VALUE"""),"wanna")</f>
        <v>wanna</v>
      </c>
      <c r="C12834" s="4" t="str">
        <f>IFERROR(__xludf.DUMMYFUNCTION("""COMPUTED_VALUE"""),"WannaSwap")</f>
        <v>WannaSwap</v>
      </c>
    </row>
    <row r="12835">
      <c r="A12835" s="4" t="str">
        <f>IFERROR(__xludf.DUMMYFUNCTION("""COMPUTED_VALUE"""),"wanswap")</f>
        <v>wanswap</v>
      </c>
      <c r="B12835" s="4" t="str">
        <f>IFERROR(__xludf.DUMMYFUNCTION("""COMPUTED_VALUE"""),"wasp")</f>
        <v>wasp</v>
      </c>
      <c r="C12835" s="4" t="str">
        <f>IFERROR(__xludf.DUMMYFUNCTION("""COMPUTED_VALUE"""),"WanSwap [OLD]")</f>
        <v>WanSwap [OLD]</v>
      </c>
    </row>
    <row r="12836">
      <c r="A12836" s="4" t="str">
        <f>IFERROR(__xludf.DUMMYFUNCTION("""COMPUTED_VALUE"""),"wanswap-2")</f>
        <v>wanswap-2</v>
      </c>
      <c r="B12836" s="4" t="str">
        <f>IFERROR(__xludf.DUMMYFUNCTION("""COMPUTED_VALUE"""),"wasp")</f>
        <v>wasp</v>
      </c>
      <c r="C12836" s="4" t="str">
        <f>IFERROR(__xludf.DUMMYFUNCTION("""COMPUTED_VALUE"""),"WanSwap")</f>
        <v>WanSwap</v>
      </c>
    </row>
    <row r="12837">
      <c r="A12837" s="4" t="str">
        <f>IFERROR(__xludf.DUMMYFUNCTION("""COMPUTED_VALUE"""),"wanusdc")</f>
        <v>wanusdc</v>
      </c>
      <c r="B12837" s="4" t="str">
        <f>IFERROR(__xludf.DUMMYFUNCTION("""COMPUTED_VALUE"""),"wanusdc")</f>
        <v>wanusdc</v>
      </c>
      <c r="C12837" s="4" t="str">
        <f>IFERROR(__xludf.DUMMYFUNCTION("""COMPUTED_VALUE"""),"Bridged USD Coin (Wanchain)")</f>
        <v>Bridged USD Coin (Wanchain)</v>
      </c>
    </row>
    <row r="12838">
      <c r="A12838" s="4" t="str">
        <f>IFERROR(__xludf.DUMMYFUNCTION("""COMPUTED_VALUE"""),"wanusdt")</f>
        <v>wanusdt</v>
      </c>
      <c r="B12838" s="4" t="str">
        <f>IFERROR(__xludf.DUMMYFUNCTION("""COMPUTED_VALUE"""),"wanusdt")</f>
        <v>wanusdt</v>
      </c>
      <c r="C12838" s="4" t="str">
        <f>IFERROR(__xludf.DUMMYFUNCTION("""COMPUTED_VALUE"""),"Bridged Tether (Wanchain)")</f>
        <v>Bridged Tether (Wanchain)</v>
      </c>
    </row>
    <row r="12839">
      <c r="A12839" s="4" t="str">
        <f>IFERROR(__xludf.DUMMYFUNCTION("""COMPUTED_VALUE"""),"wanxrp")</f>
        <v>wanxrp</v>
      </c>
      <c r="B12839" s="4" t="str">
        <f>IFERROR(__xludf.DUMMYFUNCTION("""COMPUTED_VALUE"""),"wanxrp")</f>
        <v>wanxrp</v>
      </c>
      <c r="C12839" s="4" t="str">
        <f>IFERROR(__xludf.DUMMYFUNCTION("""COMPUTED_VALUE"""),"wanXRP")</f>
        <v>wanXRP</v>
      </c>
    </row>
    <row r="12840">
      <c r="A12840" s="4" t="str">
        <f>IFERROR(__xludf.DUMMYFUNCTION("""COMPUTED_VALUE"""),"wap-ordinals")</f>
        <v>wap-ordinals</v>
      </c>
      <c r="B12840" s="4" t="str">
        <f>IFERROR(__xludf.DUMMYFUNCTION("""COMPUTED_VALUE"""),"$wap")</f>
        <v>$wap</v>
      </c>
      <c r="C12840" s="4" t="str">
        <f>IFERROR(__xludf.DUMMYFUNCTION("""COMPUTED_VALUE"""),"$wap (Ordinals)")</f>
        <v>$wap (Ordinals)</v>
      </c>
    </row>
    <row r="12841">
      <c r="A12841" s="4" t="str">
        <f>IFERROR(__xludf.DUMMYFUNCTION("""COMPUTED_VALUE"""),"war-bond")</f>
        <v>war-bond</v>
      </c>
      <c r="B12841" s="4" t="str">
        <f>IFERROR(__xludf.DUMMYFUNCTION("""COMPUTED_VALUE"""),"wbond")</f>
        <v>wbond</v>
      </c>
      <c r="C12841" s="4" t="str">
        <f>IFERROR(__xludf.DUMMYFUNCTION("""COMPUTED_VALUE"""),"War Bond")</f>
        <v>War Bond</v>
      </c>
    </row>
    <row r="12842">
      <c r="A12842" s="4" t="str">
        <f>IFERROR(__xludf.DUMMYFUNCTION("""COMPUTED_VALUE"""),"war-coin")</f>
        <v>war-coin</v>
      </c>
      <c r="B12842" s="4" t="str">
        <f>IFERROR(__xludf.DUMMYFUNCTION("""COMPUTED_VALUE"""),"war")</f>
        <v>war</v>
      </c>
      <c r="C12842" s="4" t="str">
        <f>IFERROR(__xludf.DUMMYFUNCTION("""COMPUTED_VALUE"""),"War Coin")</f>
        <v>War Coin</v>
      </c>
    </row>
    <row r="12843">
      <c r="A12843" s="4" t="str">
        <f>IFERROR(__xludf.DUMMYFUNCTION("""COMPUTED_VALUE"""),"warena")</f>
        <v>warena</v>
      </c>
      <c r="B12843" s="4" t="str">
        <f>IFERROR(__xludf.DUMMYFUNCTION("""COMPUTED_VALUE"""),"rena")</f>
        <v>rena</v>
      </c>
      <c r="C12843" s="4" t="str">
        <f>IFERROR(__xludf.DUMMYFUNCTION("""COMPUTED_VALUE"""),"Warena")</f>
        <v>Warena</v>
      </c>
    </row>
    <row r="12844">
      <c r="A12844" s="4" t="str">
        <f>IFERROR(__xludf.DUMMYFUNCTION("""COMPUTED_VALUE"""),"warioxrpdumbledoreyugioh69inu")</f>
        <v>warioxrpdumbledoreyugioh69inu</v>
      </c>
      <c r="B12844" s="4" t="str">
        <f>IFERROR(__xludf.DUMMYFUNCTION("""COMPUTED_VALUE"""),"xrp")</f>
        <v>xrp</v>
      </c>
      <c r="C12844" s="4" t="str">
        <f>IFERROR(__xludf.DUMMYFUNCTION("""COMPUTED_VALUE"""),"WarioXRPDumbledoreYugioh69Inu")</f>
        <v>WarioXRPDumbledoreYugioh69Inu</v>
      </c>
    </row>
    <row r="12845">
      <c r="A12845" s="4" t="str">
        <f>IFERROR(__xludf.DUMMYFUNCTION("""COMPUTED_VALUE"""),"warlegends")</f>
        <v>warlegends</v>
      </c>
      <c r="B12845" s="4" t="str">
        <f>IFERROR(__xludf.DUMMYFUNCTION("""COMPUTED_VALUE"""),"war")</f>
        <v>war</v>
      </c>
      <c r="C12845" s="4" t="str">
        <f>IFERROR(__xludf.DUMMYFUNCTION("""COMPUTED_VALUE"""),"War Legends")</f>
        <v>War Legends</v>
      </c>
    </row>
    <row r="12846">
      <c r="A12846" s="4" t="str">
        <f>IFERROR(__xludf.DUMMYFUNCTION("""COMPUTED_VALUE"""),"war-of-meme")</f>
        <v>war-of-meme</v>
      </c>
      <c r="B12846" s="4" t="str">
        <f>IFERROR(__xludf.DUMMYFUNCTION("""COMPUTED_VALUE"""),"wome")</f>
        <v>wome</v>
      </c>
      <c r="C12846" s="4" t="str">
        <f>IFERROR(__xludf.DUMMYFUNCTION("""COMPUTED_VALUE"""),"War Of Meme")</f>
        <v>War Of Meme</v>
      </c>
    </row>
    <row r="12847">
      <c r="A12847" s="4" t="str">
        <f>IFERROR(__xludf.DUMMYFUNCTION("""COMPUTED_VALUE"""),"warp-cash")</f>
        <v>warp-cash</v>
      </c>
      <c r="B12847" s="4" t="str">
        <f>IFERROR(__xludf.DUMMYFUNCTION("""COMPUTED_VALUE"""),"warp")</f>
        <v>warp</v>
      </c>
      <c r="C12847" s="4" t="str">
        <f>IFERROR(__xludf.DUMMYFUNCTION("""COMPUTED_VALUE"""),"Warp Cash")</f>
        <v>Warp Cash</v>
      </c>
    </row>
    <row r="12848">
      <c r="A12848" s="4" t="str">
        <f>IFERROR(__xludf.DUMMYFUNCTION("""COMPUTED_VALUE"""),"warped-games")</f>
        <v>warped-games</v>
      </c>
      <c r="B12848" s="4" t="str">
        <f>IFERROR(__xludf.DUMMYFUNCTION("""COMPUTED_VALUE"""),"warped")</f>
        <v>warped</v>
      </c>
      <c r="C12848" s="4" t="str">
        <f>IFERROR(__xludf.DUMMYFUNCTION("""COMPUTED_VALUE"""),"Warped Games")</f>
        <v>Warped Games</v>
      </c>
    </row>
    <row r="12849">
      <c r="A12849" s="4" t="str">
        <f>IFERROR(__xludf.DUMMYFUNCTION("""COMPUTED_VALUE"""),"warp-finance")</f>
        <v>warp-finance</v>
      </c>
      <c r="B12849" s="4" t="str">
        <f>IFERROR(__xludf.DUMMYFUNCTION("""COMPUTED_VALUE"""),"warp")</f>
        <v>warp</v>
      </c>
      <c r="C12849" s="4" t="str">
        <f>IFERROR(__xludf.DUMMYFUNCTION("""COMPUTED_VALUE"""),"Warp Finance")</f>
        <v>Warp Finance</v>
      </c>
    </row>
    <row r="12850">
      <c r="A12850" s="4" t="str">
        <f>IFERROR(__xludf.DUMMYFUNCTION("""COMPUTED_VALUE"""),"warrior-empires")</f>
        <v>warrior-empires</v>
      </c>
      <c r="B12850" s="4" t="str">
        <f>IFERROR(__xludf.DUMMYFUNCTION("""COMPUTED_VALUE"""),"chaos")</f>
        <v>chaos</v>
      </c>
      <c r="C12850" s="4" t="str">
        <f>IFERROR(__xludf.DUMMYFUNCTION("""COMPUTED_VALUE"""),"Warrior Empires")</f>
        <v>Warrior Empires</v>
      </c>
    </row>
    <row r="12851">
      <c r="A12851" s="4" t="str">
        <f>IFERROR(__xludf.DUMMYFUNCTION("""COMPUTED_VALUE"""),"warthog")</f>
        <v>warthog</v>
      </c>
      <c r="B12851" s="4" t="str">
        <f>IFERROR(__xludf.DUMMYFUNCTION("""COMPUTED_VALUE"""),"wart")</f>
        <v>wart</v>
      </c>
      <c r="C12851" s="4" t="str">
        <f>IFERROR(__xludf.DUMMYFUNCTION("""COMPUTED_VALUE"""),"Warthog")</f>
        <v>Warthog</v>
      </c>
    </row>
    <row r="12852">
      <c r="A12852" s="4" t="str">
        <f>IFERROR(__xludf.DUMMYFUNCTION("""COMPUTED_VALUE"""),"wasder")</f>
        <v>wasder</v>
      </c>
      <c r="B12852" s="4" t="str">
        <f>IFERROR(__xludf.DUMMYFUNCTION("""COMPUTED_VALUE"""),"was")</f>
        <v>was</v>
      </c>
      <c r="C12852" s="4" t="str">
        <f>IFERROR(__xludf.DUMMYFUNCTION("""COMPUTED_VALUE"""),"Wasder")</f>
        <v>Wasder</v>
      </c>
    </row>
    <row r="12853">
      <c r="A12853" s="4" t="str">
        <f>IFERROR(__xludf.DUMMYFUNCTION("""COMPUTED_VALUE"""),"wasd-studios")</f>
        <v>wasd-studios</v>
      </c>
      <c r="B12853" s="4" t="str">
        <f>IFERROR(__xludf.DUMMYFUNCTION("""COMPUTED_VALUE"""),"wasd")</f>
        <v>wasd</v>
      </c>
      <c r="C12853" s="4" t="str">
        <f>IFERROR(__xludf.DUMMYFUNCTION("""COMPUTED_VALUE"""),"WASD Studios")</f>
        <v>WASD Studios</v>
      </c>
    </row>
    <row r="12854">
      <c r="A12854" s="4" t="str">
        <f>IFERROR(__xludf.DUMMYFUNCTION("""COMPUTED_VALUE"""),"wassie")</f>
        <v>wassie</v>
      </c>
      <c r="B12854" s="4" t="str">
        <f>IFERROR(__xludf.DUMMYFUNCTION("""COMPUTED_VALUE"""),"wassie")</f>
        <v>wassie</v>
      </c>
      <c r="C12854" s="4" t="str">
        <f>IFERROR(__xludf.DUMMYFUNCTION("""COMPUTED_VALUE"""),"WASSIE")</f>
        <v>WASSIE</v>
      </c>
    </row>
    <row r="12855">
      <c r="A12855" s="4" t="str">
        <f>IFERROR(__xludf.DUMMYFUNCTION("""COMPUTED_VALUE"""),"waste-coin")</f>
        <v>waste-coin</v>
      </c>
      <c r="B12855" s="4" t="str">
        <f>IFERROR(__xludf.DUMMYFUNCTION("""COMPUTED_VALUE"""),"waco")</f>
        <v>waco</v>
      </c>
      <c r="C12855" s="4" t="str">
        <f>IFERROR(__xludf.DUMMYFUNCTION("""COMPUTED_VALUE"""),"Waste Digital Coin")</f>
        <v>Waste Digital Coin</v>
      </c>
    </row>
    <row r="12856">
      <c r="A12856" s="4" t="str">
        <f>IFERROR(__xludf.DUMMYFUNCTION("""COMPUTED_VALUE"""),"watchdo")</f>
        <v>watchdo</v>
      </c>
      <c r="B12856" s="4" t="str">
        <f>IFERROR(__xludf.DUMMYFUNCTION("""COMPUTED_VALUE"""),"wdo")</f>
        <v>wdo</v>
      </c>
      <c r="C12856" s="4" t="str">
        <f>IFERROR(__xludf.DUMMYFUNCTION("""COMPUTED_VALUE"""),"WatchDO")</f>
        <v>WatchDO</v>
      </c>
    </row>
    <row r="12857">
      <c r="A12857" s="4" t="str">
        <f>IFERROR(__xludf.DUMMYFUNCTION("""COMPUTED_VALUE"""),"watcher-ai")</f>
        <v>watcher-ai</v>
      </c>
      <c r="B12857" s="4" t="str">
        <f>IFERROR(__xludf.DUMMYFUNCTION("""COMPUTED_VALUE"""),"wai")</f>
        <v>wai</v>
      </c>
      <c r="C12857" s="4" t="str">
        <f>IFERROR(__xludf.DUMMYFUNCTION("""COMPUTED_VALUE"""),"Watcher AI")</f>
        <v>Watcher AI</v>
      </c>
    </row>
    <row r="12858">
      <c r="A12858" s="4" t="str">
        <f>IFERROR(__xludf.DUMMYFUNCTION("""COMPUTED_VALUE"""),"watchtowers-ai")</f>
        <v>watchtowers-ai</v>
      </c>
      <c r="B12858" s="4" t="str">
        <f>IFERROR(__xludf.DUMMYFUNCTION("""COMPUTED_VALUE"""),"wts")</f>
        <v>wts</v>
      </c>
      <c r="C12858" s="4" t="str">
        <f>IFERROR(__xludf.DUMMYFUNCTION("""COMPUTED_VALUE"""),"WatchTowers AI")</f>
        <v>WatchTowers AI</v>
      </c>
    </row>
    <row r="12859">
      <c r="A12859" s="4" t="str">
        <f>IFERROR(__xludf.DUMMYFUNCTION("""COMPUTED_VALUE"""),"wateenswap")</f>
        <v>wateenswap</v>
      </c>
      <c r="B12859" s="4" t="str">
        <f>IFERROR(__xludf.DUMMYFUNCTION("""COMPUTED_VALUE"""),"wtn")</f>
        <v>wtn</v>
      </c>
      <c r="C12859" s="4" t="str">
        <f>IFERROR(__xludf.DUMMYFUNCTION("""COMPUTED_VALUE"""),"Wateenswap")</f>
        <v>Wateenswap</v>
      </c>
    </row>
    <row r="12860">
      <c r="A12860" s="4" t="str">
        <f>IFERROR(__xludf.DUMMYFUNCTION("""COMPUTED_VALUE"""),"water-2")</f>
        <v>water-2</v>
      </c>
      <c r="B12860" s="4" t="str">
        <f>IFERROR(__xludf.DUMMYFUNCTION("""COMPUTED_VALUE"""),"water")</f>
        <v>water</v>
      </c>
      <c r="C12860" s="4" t="str">
        <f>IFERROR(__xludf.DUMMYFUNCTION("""COMPUTED_VALUE"""),"WATER")</f>
        <v>WATER</v>
      </c>
    </row>
    <row r="12861">
      <c r="A12861" s="4" t="str">
        <f>IFERROR(__xludf.DUMMYFUNCTION("""COMPUTED_VALUE"""),"water-bsc")</f>
        <v>water-bsc</v>
      </c>
      <c r="B12861" s="4" t="str">
        <f>IFERROR(__xludf.DUMMYFUNCTION("""COMPUTED_VALUE"""),"water")</f>
        <v>water</v>
      </c>
      <c r="C12861" s="4" t="str">
        <f>IFERROR(__xludf.DUMMYFUNCTION("""COMPUTED_VALUE"""),"WATER (BSC)")</f>
        <v>WATER (BSC)</v>
      </c>
    </row>
    <row r="12862">
      <c r="A12862" s="4" t="str">
        <f>IFERROR(__xludf.DUMMYFUNCTION("""COMPUTED_VALUE"""),"waterfall-finance")</f>
        <v>waterfall-finance</v>
      </c>
      <c r="B12862" s="4" t="str">
        <f>IFERROR(__xludf.DUMMYFUNCTION("""COMPUTED_VALUE"""),"waterfall")</f>
        <v>waterfall</v>
      </c>
      <c r="C12862" s="4" t="str">
        <f>IFERROR(__xludf.DUMMYFUNCTION("""COMPUTED_VALUE"""),"Waterfall Finance")</f>
        <v>Waterfall Finance</v>
      </c>
    </row>
    <row r="12863">
      <c r="A12863" s="4" t="str">
        <f>IFERROR(__xludf.DUMMYFUNCTION("""COMPUTED_VALUE"""),"waterfall-governance-token")</f>
        <v>waterfall-governance-token</v>
      </c>
      <c r="B12863" s="4" t="str">
        <f>IFERROR(__xludf.DUMMYFUNCTION("""COMPUTED_VALUE"""),"wtf")</f>
        <v>wtf</v>
      </c>
      <c r="C12863" s="4" t="str">
        <f>IFERROR(__xludf.DUMMYFUNCTION("""COMPUTED_VALUE"""),"Waterfall Governance")</f>
        <v>Waterfall Governance</v>
      </c>
    </row>
    <row r="12864">
      <c r="A12864" s="4" t="str">
        <f>IFERROR(__xludf.DUMMYFUNCTION("""COMPUTED_VALUE"""),"water-rabbit")</f>
        <v>water-rabbit</v>
      </c>
      <c r="B12864" s="4" t="str">
        <f>IFERROR(__xludf.DUMMYFUNCTION("""COMPUTED_VALUE"""),"war")</f>
        <v>war</v>
      </c>
      <c r="C12864" s="4" t="str">
        <f>IFERROR(__xludf.DUMMYFUNCTION("""COMPUTED_VALUE"""),"Water Rabbit")</f>
        <v>Water Rabbit</v>
      </c>
    </row>
    <row r="12865">
      <c r="A12865" s="4" t="str">
        <f>IFERROR(__xludf.DUMMYFUNCTION("""COMPUTED_VALUE"""),"wattton")</f>
        <v>wattton</v>
      </c>
      <c r="B12865" s="4" t="str">
        <f>IFERROR(__xludf.DUMMYFUNCTION("""COMPUTED_VALUE"""),"watt")</f>
        <v>watt</v>
      </c>
      <c r="C12865" s="4" t="str">
        <f>IFERROR(__xludf.DUMMYFUNCTION("""COMPUTED_VALUE"""),"WATTTON")</f>
        <v>WATTTON</v>
      </c>
    </row>
    <row r="12866">
      <c r="A12866" s="4" t="str">
        <f>IFERROR(__xludf.DUMMYFUNCTION("""COMPUTED_VALUE"""),"waultswap")</f>
        <v>waultswap</v>
      </c>
      <c r="B12866" s="4" t="str">
        <f>IFERROR(__xludf.DUMMYFUNCTION("""COMPUTED_VALUE"""),"wex")</f>
        <v>wex</v>
      </c>
      <c r="C12866" s="4" t="str">
        <f>IFERROR(__xludf.DUMMYFUNCTION("""COMPUTED_VALUE"""),"WaultSwap")</f>
        <v>WaultSwap</v>
      </c>
    </row>
    <row r="12867">
      <c r="A12867" s="4" t="str">
        <f>IFERROR(__xludf.DUMMYFUNCTION("""COMPUTED_VALUE"""),"wavelength")</f>
        <v>wavelength</v>
      </c>
      <c r="B12867" s="4" t="str">
        <f>IFERROR(__xludf.DUMMYFUNCTION("""COMPUTED_VALUE"""),"wave")</f>
        <v>wave</v>
      </c>
      <c r="C12867" s="4" t="str">
        <f>IFERROR(__xludf.DUMMYFUNCTION("""COMPUTED_VALUE"""),"Wavelength")</f>
        <v>Wavelength</v>
      </c>
    </row>
    <row r="12868">
      <c r="A12868" s="4" t="str">
        <f>IFERROR(__xludf.DUMMYFUNCTION("""COMPUTED_VALUE"""),"waves")</f>
        <v>waves</v>
      </c>
      <c r="B12868" s="4" t="str">
        <f>IFERROR(__xludf.DUMMYFUNCTION("""COMPUTED_VALUE"""),"waves")</f>
        <v>waves</v>
      </c>
      <c r="C12868" s="4" t="str">
        <f>IFERROR(__xludf.DUMMYFUNCTION("""COMPUTED_VALUE"""),"Waves")</f>
        <v>Waves</v>
      </c>
    </row>
    <row r="12869">
      <c r="A12869" s="4" t="str">
        <f>IFERROR(__xludf.DUMMYFUNCTION("""COMPUTED_VALUE"""),"waves-ducks")</f>
        <v>waves-ducks</v>
      </c>
      <c r="B12869" s="4" t="str">
        <f>IFERROR(__xludf.DUMMYFUNCTION("""COMPUTED_VALUE"""),"egg")</f>
        <v>egg</v>
      </c>
      <c r="C12869" s="4" t="str">
        <f>IFERROR(__xludf.DUMMYFUNCTION("""COMPUTED_VALUE"""),"Waves Ducks")</f>
        <v>Waves Ducks</v>
      </c>
    </row>
    <row r="12870">
      <c r="A12870" s="4" t="str">
        <f>IFERROR(__xludf.DUMMYFUNCTION("""COMPUTED_VALUE"""),"waves-enterprise")</f>
        <v>waves-enterprise</v>
      </c>
      <c r="B12870" s="4" t="str">
        <f>IFERROR(__xludf.DUMMYFUNCTION("""COMPUTED_VALUE"""),"west")</f>
        <v>west</v>
      </c>
      <c r="C12870" s="4" t="str">
        <f>IFERROR(__xludf.DUMMYFUNCTION("""COMPUTED_VALUE"""),"Waves Enterprise")</f>
        <v>Waves Enterprise</v>
      </c>
    </row>
    <row r="12871">
      <c r="A12871" s="4" t="str">
        <f>IFERROR(__xludf.DUMMYFUNCTION("""COMPUTED_VALUE"""),"waves-exchange")</f>
        <v>waves-exchange</v>
      </c>
      <c r="B12871" s="4" t="str">
        <f>IFERROR(__xludf.DUMMYFUNCTION("""COMPUTED_VALUE"""),"wx")</f>
        <v>wx</v>
      </c>
      <c r="C12871" s="4" t="str">
        <f>IFERROR(__xludf.DUMMYFUNCTION("""COMPUTED_VALUE"""),"WX Network Token")</f>
        <v>WX Network Token</v>
      </c>
    </row>
    <row r="12872">
      <c r="A12872" s="4" t="str">
        <f>IFERROR(__xludf.DUMMYFUNCTION("""COMPUTED_VALUE"""),"wavx-exchange")</f>
        <v>wavx-exchange</v>
      </c>
      <c r="B12872" s="4" t="str">
        <f>IFERROR(__xludf.DUMMYFUNCTION("""COMPUTED_VALUE"""),"wavx")</f>
        <v>wavx</v>
      </c>
      <c r="C12872" s="4" t="str">
        <f>IFERROR(__xludf.DUMMYFUNCTION("""COMPUTED_VALUE"""),"WAVX Exchange")</f>
        <v>WAVX Exchange</v>
      </c>
    </row>
    <row r="12873">
      <c r="A12873" s="4" t="str">
        <f>IFERROR(__xludf.DUMMYFUNCTION("""COMPUTED_VALUE"""),"wawacat")</f>
        <v>wawacat</v>
      </c>
      <c r="B12873" s="4" t="str">
        <f>IFERROR(__xludf.DUMMYFUNCTION("""COMPUTED_VALUE"""),"wawa")</f>
        <v>wawa</v>
      </c>
      <c r="C12873" s="4" t="str">
        <f>IFERROR(__xludf.DUMMYFUNCTION("""COMPUTED_VALUE"""),"wawacat")</f>
        <v>wawacat</v>
      </c>
    </row>
    <row r="12874">
      <c r="A12874" s="4" t="str">
        <f>IFERROR(__xludf.DUMMYFUNCTION("""COMPUTED_VALUE"""),"waweswaps-global-token")</f>
        <v>waweswaps-global-token</v>
      </c>
      <c r="B12874" s="4" t="str">
        <f>IFERROR(__xludf.DUMMYFUNCTION("""COMPUTED_VALUE"""),"gbl")</f>
        <v>gbl</v>
      </c>
      <c r="C12874" s="4" t="str">
        <f>IFERROR(__xludf.DUMMYFUNCTION("""COMPUTED_VALUE"""),"WaweSwaps Global Token")</f>
        <v>WaweSwaps Global Token</v>
      </c>
    </row>
    <row r="12875">
      <c r="A12875" s="4" t="str">
        <f>IFERROR(__xludf.DUMMYFUNCTION("""COMPUTED_VALUE"""),"wax")</f>
        <v>wax</v>
      </c>
      <c r="B12875" s="4" t="str">
        <f>IFERROR(__xludf.DUMMYFUNCTION("""COMPUTED_VALUE"""),"waxp")</f>
        <v>waxp</v>
      </c>
      <c r="C12875" s="4" t="str">
        <f>IFERROR(__xludf.DUMMYFUNCTION("""COMPUTED_VALUE"""),"WAX")</f>
        <v>WAX</v>
      </c>
    </row>
    <row r="12876">
      <c r="A12876" s="4" t="str">
        <f>IFERROR(__xludf.DUMMYFUNCTION("""COMPUTED_VALUE"""),"waxe")</f>
        <v>waxe</v>
      </c>
      <c r="B12876" s="4" t="str">
        <f>IFERROR(__xludf.DUMMYFUNCTION("""COMPUTED_VALUE"""),"waxe")</f>
        <v>waxe</v>
      </c>
      <c r="C12876" s="4" t="str">
        <f>IFERROR(__xludf.DUMMYFUNCTION("""COMPUTED_VALUE"""),"WAXE")</f>
        <v>WAXE</v>
      </c>
    </row>
    <row r="12877">
      <c r="A12877" s="4" t="str">
        <f>IFERROR(__xludf.DUMMYFUNCTION("""COMPUTED_VALUE"""),"wayawolfcoin")</f>
        <v>wayawolfcoin</v>
      </c>
      <c r="B12877" s="4" t="str">
        <f>IFERROR(__xludf.DUMMYFUNCTION("""COMPUTED_VALUE"""),"ww")</f>
        <v>ww</v>
      </c>
      <c r="C12877" s="4" t="str">
        <f>IFERROR(__xludf.DUMMYFUNCTION("""COMPUTED_VALUE"""),"WayaWolfCoin")</f>
        <v>WayaWolfCoin</v>
      </c>
    </row>
    <row r="12878">
      <c r="A12878" s="4" t="str">
        <f>IFERROR(__xludf.DUMMYFUNCTION("""COMPUTED_VALUE"""),"waykichain")</f>
        <v>waykichain</v>
      </c>
      <c r="B12878" s="4" t="str">
        <f>IFERROR(__xludf.DUMMYFUNCTION("""COMPUTED_VALUE"""),"wicc")</f>
        <v>wicc</v>
      </c>
      <c r="C12878" s="4" t="str">
        <f>IFERROR(__xludf.DUMMYFUNCTION("""COMPUTED_VALUE"""),"WaykiChain")</f>
        <v>WaykiChain</v>
      </c>
    </row>
    <row r="12879">
      <c r="A12879" s="4" t="str">
        <f>IFERROR(__xludf.DUMMYFUNCTION("""COMPUTED_VALUE"""),"waykichain-governance-coin")</f>
        <v>waykichain-governance-coin</v>
      </c>
      <c r="B12879" s="4" t="str">
        <f>IFERROR(__xludf.DUMMYFUNCTION("""COMPUTED_VALUE"""),"wgrt")</f>
        <v>wgrt</v>
      </c>
      <c r="C12879" s="4" t="str">
        <f>IFERROR(__xludf.DUMMYFUNCTION("""COMPUTED_VALUE"""),"WaykiChain Governance Coin")</f>
        <v>WaykiChain Governance Coin</v>
      </c>
    </row>
    <row r="12880">
      <c r="A12880" s="4" t="str">
        <f>IFERROR(__xludf.DUMMYFUNCTION("""COMPUTED_VALUE"""),"wazirx")</f>
        <v>wazirx</v>
      </c>
      <c r="B12880" s="4" t="str">
        <f>IFERROR(__xludf.DUMMYFUNCTION("""COMPUTED_VALUE"""),"wrx")</f>
        <v>wrx</v>
      </c>
      <c r="C12880" s="4" t="str">
        <f>IFERROR(__xludf.DUMMYFUNCTION("""COMPUTED_VALUE"""),"WazirX")</f>
        <v>WazirX</v>
      </c>
    </row>
    <row r="12881">
      <c r="A12881" s="4" t="str">
        <f>IFERROR(__xludf.DUMMYFUNCTION("""COMPUTED_VALUE"""),"wbnb")</f>
        <v>wbnb</v>
      </c>
      <c r="B12881" s="4" t="str">
        <f>IFERROR(__xludf.DUMMYFUNCTION("""COMPUTED_VALUE"""),"wbnb")</f>
        <v>wbnb</v>
      </c>
      <c r="C12881" s="4" t="str">
        <f>IFERROR(__xludf.DUMMYFUNCTION("""COMPUTED_VALUE"""),"Wrapped BNB")</f>
        <v>Wrapped BNB</v>
      </c>
    </row>
    <row r="12882">
      <c r="A12882" s="4" t="str">
        <f>IFERROR(__xludf.DUMMYFUNCTION("""COMPUTED_VALUE"""),"wbtc-plenty-bridge")</f>
        <v>wbtc-plenty-bridge</v>
      </c>
      <c r="B12882" s="4" t="str">
        <f>IFERROR(__xludf.DUMMYFUNCTION("""COMPUTED_VALUE"""),"wbtc.e")</f>
        <v>wbtc.e</v>
      </c>
      <c r="C12882" s="4" t="str">
        <f>IFERROR(__xludf.DUMMYFUNCTION("""COMPUTED_VALUE"""),"WBTC (Plenty Bridge)")</f>
        <v>WBTC (Plenty Bridge)</v>
      </c>
    </row>
    <row r="12883">
      <c r="A12883" s="4" t="str">
        <f>IFERROR(__xludf.DUMMYFUNCTION("""COMPUTED_VALUE"""),"wbtc-yvault")</f>
        <v>wbtc-yvault</v>
      </c>
      <c r="B12883" s="4" t="str">
        <f>IFERROR(__xludf.DUMMYFUNCTION("""COMPUTED_VALUE"""),"yvwbtc")</f>
        <v>yvwbtc</v>
      </c>
      <c r="C12883" s="4" t="str">
        <f>IFERROR(__xludf.DUMMYFUNCTION("""COMPUTED_VALUE"""),"WBTC yVault")</f>
        <v>WBTC yVault</v>
      </c>
    </row>
    <row r="12884">
      <c r="A12884" s="4" t="str">
        <f>IFERROR(__xludf.DUMMYFUNCTION("""COMPUTED_VALUE"""),"wcapes")</f>
        <v>wcapes</v>
      </c>
      <c r="B12884" s="4" t="str">
        <f>IFERROR(__xludf.DUMMYFUNCTION("""COMPUTED_VALUE"""),"wca")</f>
        <v>wca</v>
      </c>
      <c r="C12884" s="4" t="str">
        <f>IFERROR(__xludf.DUMMYFUNCTION("""COMPUTED_VALUE"""),"WCAPES")</f>
        <v>WCAPES</v>
      </c>
    </row>
    <row r="12885">
      <c r="A12885" s="4" t="str">
        <f>IFERROR(__xludf.DUMMYFUNCTION("""COMPUTED_VALUE"""),"wcdonalds")</f>
        <v>wcdonalds</v>
      </c>
      <c r="B12885" s="4" t="str">
        <f>IFERROR(__xludf.DUMMYFUNCTION("""COMPUTED_VALUE"""),"wcd")</f>
        <v>wcd</v>
      </c>
      <c r="C12885" s="4" t="str">
        <f>IFERROR(__xludf.DUMMYFUNCTION("""COMPUTED_VALUE"""),"WcDonalds")</f>
        <v>WcDonalds</v>
      </c>
    </row>
    <row r="12886">
      <c r="A12886" s="4" t="str">
        <f>IFERROR(__xludf.DUMMYFUNCTION("""COMPUTED_VALUE"""),"wctrades")</f>
        <v>wctrades</v>
      </c>
      <c r="B12886" s="4" t="str">
        <f>IFERROR(__xludf.DUMMYFUNCTION("""COMPUTED_VALUE"""),"wct")</f>
        <v>wct</v>
      </c>
      <c r="C12886" s="4" t="str">
        <f>IFERROR(__xludf.DUMMYFUNCTION("""COMPUTED_VALUE"""),"WCTrades")</f>
        <v>WCTrades</v>
      </c>
    </row>
    <row r="12887">
      <c r="A12887" s="4" t="str">
        <f>IFERROR(__xludf.DUMMYFUNCTION("""COMPUTED_VALUE"""),"wdot")</f>
        <v>wdot</v>
      </c>
      <c r="B12887" s="4" t="str">
        <f>IFERROR(__xludf.DUMMYFUNCTION("""COMPUTED_VALUE"""),"wdot")</f>
        <v>wdot</v>
      </c>
      <c r="C12887" s="4" t="str">
        <f>IFERROR(__xludf.DUMMYFUNCTION("""COMPUTED_VALUE"""),"WDOT")</f>
        <v>WDOT</v>
      </c>
    </row>
    <row r="12888">
      <c r="A12888" s="4" t="str">
        <f>IFERROR(__xludf.DUMMYFUNCTION("""COMPUTED_VALUE"""),"we2net")</f>
        <v>we2net</v>
      </c>
      <c r="B12888" s="4" t="str">
        <f>IFERROR(__xludf.DUMMYFUNCTION("""COMPUTED_VALUE"""),"we2net")</f>
        <v>we2net</v>
      </c>
      <c r="C12888" s="4" t="str">
        <f>IFERROR(__xludf.DUMMYFUNCTION("""COMPUTED_VALUE"""),"We2net")</f>
        <v>We2net</v>
      </c>
    </row>
    <row r="12889">
      <c r="A12889" s="4" t="str">
        <f>IFERROR(__xludf.DUMMYFUNCTION("""COMPUTED_VALUE"""),"we-all-got-mantle-illness")</f>
        <v>we-all-got-mantle-illness</v>
      </c>
      <c r="B12889" s="4" t="str">
        <f>IFERROR(__xludf.DUMMYFUNCTION("""COMPUTED_VALUE"""),"wagmi")</f>
        <v>wagmi</v>
      </c>
      <c r="C12889" s="4" t="str">
        <f>IFERROR(__xludf.DUMMYFUNCTION("""COMPUTED_VALUE"""),"We All Got Mantle Illness")</f>
        <v>We All Got Mantle Illness</v>
      </c>
    </row>
    <row r="12890">
      <c r="A12890" s="4" t="str">
        <f>IFERROR(__xludf.DUMMYFUNCTION("""COMPUTED_VALUE"""),"wealthsecrets")</f>
        <v>wealthsecrets</v>
      </c>
      <c r="B12890" s="4" t="str">
        <f>IFERROR(__xludf.DUMMYFUNCTION("""COMPUTED_VALUE"""),"wsc")</f>
        <v>wsc</v>
      </c>
      <c r="C12890" s="4" t="str">
        <f>IFERROR(__xludf.DUMMYFUNCTION("""COMPUTED_VALUE"""),"WealthSecrets")</f>
        <v>WealthSecrets</v>
      </c>
    </row>
    <row r="12891">
      <c r="A12891" s="4" t="str">
        <f>IFERROR(__xludf.DUMMYFUNCTION("""COMPUTED_VALUE"""),"we-are-all-richard")</f>
        <v>we-are-all-richard</v>
      </c>
      <c r="B12891" s="4" t="str">
        <f>IFERROR(__xludf.DUMMYFUNCTION("""COMPUTED_VALUE"""),"waar")</f>
        <v>waar</v>
      </c>
      <c r="C12891" s="4" t="str">
        <f>IFERROR(__xludf.DUMMYFUNCTION("""COMPUTED_VALUE"""),"We Are All Richard")</f>
        <v>We Are All Richard</v>
      </c>
    </row>
    <row r="12892">
      <c r="A12892" s="4" t="str">
        <f>IFERROR(__xludf.DUMMYFUNCTION("""COMPUTED_VALUE"""),"weave6")</f>
        <v>weave6</v>
      </c>
      <c r="B12892" s="4" t="str">
        <f>IFERROR(__xludf.DUMMYFUNCTION("""COMPUTED_VALUE"""),"wx")</f>
        <v>wx</v>
      </c>
      <c r="C12892" s="4" t="str">
        <f>IFERROR(__xludf.DUMMYFUNCTION("""COMPUTED_VALUE"""),"Weave6")</f>
        <v>Weave6</v>
      </c>
    </row>
    <row r="12893">
      <c r="A12893" s="4" t="str">
        <f>IFERROR(__xludf.DUMMYFUNCTION("""COMPUTED_VALUE"""),"web")</f>
        <v>web</v>
      </c>
      <c r="B12893" s="4" t="str">
        <f>IFERROR(__xludf.DUMMYFUNCTION("""COMPUTED_VALUE"""),"web")</f>
        <v>web</v>
      </c>
      <c r="C12893" s="4" t="str">
        <f>IFERROR(__xludf.DUMMYFUNCTION("""COMPUTED_VALUE"""),"Web")</f>
        <v>Web</v>
      </c>
    </row>
    <row r="12894">
      <c r="A12894" s="4" t="str">
        <f>IFERROR(__xludf.DUMMYFUNCTION("""COMPUTED_VALUE"""),"web3-bets")</f>
        <v>web3-bets</v>
      </c>
      <c r="B12894" s="4" t="str">
        <f>IFERROR(__xludf.DUMMYFUNCTION("""COMPUTED_VALUE"""),"bxb")</f>
        <v>bxb</v>
      </c>
      <c r="C12894" s="4" t="str">
        <f>IFERROR(__xludf.DUMMYFUNCTION("""COMPUTED_VALUE"""),"Web3 Bets")</f>
        <v>Web3 Bets</v>
      </c>
    </row>
    <row r="12895">
      <c r="A12895" s="4" t="str">
        <f>IFERROR(__xludf.DUMMYFUNCTION("""COMPUTED_VALUE"""),"web3camp")</f>
        <v>web3camp</v>
      </c>
      <c r="B12895" s="4" t="str">
        <f>IFERROR(__xludf.DUMMYFUNCTION("""COMPUTED_VALUE"""),"3p")</f>
        <v>3p</v>
      </c>
      <c r="C12895" s="4" t="str">
        <f>IFERROR(__xludf.DUMMYFUNCTION("""COMPUTED_VALUE"""),"Web3Camp [OLD]")</f>
        <v>Web3Camp [OLD]</v>
      </c>
    </row>
    <row r="12896">
      <c r="A12896" s="4" t="str">
        <f>IFERROR(__xludf.DUMMYFUNCTION("""COMPUTED_VALUE"""),"web3camp-2")</f>
        <v>web3camp-2</v>
      </c>
      <c r="B12896" s="4" t="str">
        <f>IFERROR(__xludf.DUMMYFUNCTION("""COMPUTED_VALUE"""),"3p")</f>
        <v>3p</v>
      </c>
      <c r="C12896" s="4" t="str">
        <f>IFERROR(__xludf.DUMMYFUNCTION("""COMPUTED_VALUE"""),"Web3Camp")</f>
        <v>Web3Camp</v>
      </c>
    </row>
    <row r="12897">
      <c r="A12897" s="4" t="str">
        <f>IFERROR(__xludf.DUMMYFUNCTION("""COMPUTED_VALUE"""),"web3frontier")</f>
        <v>web3frontier</v>
      </c>
      <c r="B12897" s="4" t="str">
        <f>IFERROR(__xludf.DUMMYFUNCTION("""COMPUTED_VALUE"""),"w3f")</f>
        <v>w3f</v>
      </c>
      <c r="C12897" s="4" t="str">
        <f>IFERROR(__xludf.DUMMYFUNCTION("""COMPUTED_VALUE"""),"Web3Frontier")</f>
        <v>Web3Frontier</v>
      </c>
    </row>
    <row r="12898">
      <c r="A12898" s="4" t="str">
        <f>IFERROR(__xludf.DUMMYFUNCTION("""COMPUTED_VALUE"""),"web3games-com-token")</f>
        <v>web3games-com-token</v>
      </c>
      <c r="B12898" s="4" t="str">
        <f>IFERROR(__xludf.DUMMYFUNCTION("""COMPUTED_VALUE"""),"wgt")</f>
        <v>wgt</v>
      </c>
      <c r="C12898" s="4" t="str">
        <f>IFERROR(__xludf.DUMMYFUNCTION("""COMPUTED_VALUE"""),"Web3Games.com Token")</f>
        <v>Web3Games.com Token</v>
      </c>
    </row>
    <row r="12899">
      <c r="A12899" s="4" t="str">
        <f>IFERROR(__xludf.DUMMYFUNCTION("""COMPUTED_VALUE"""),"web3-no-value")</f>
        <v>web3-no-value</v>
      </c>
      <c r="B12899" s="4" t="str">
        <f>IFERROR(__xludf.DUMMYFUNCTION("""COMPUTED_VALUE"""),"w3n")</f>
        <v>w3n</v>
      </c>
      <c r="C12899" s="4" t="str">
        <f>IFERROR(__xludf.DUMMYFUNCTION("""COMPUTED_VALUE"""),"Web3 No Value")</f>
        <v>Web3 No Value</v>
      </c>
    </row>
    <row r="12900">
      <c r="A12900" s="4" t="str">
        <f>IFERROR(__xludf.DUMMYFUNCTION("""COMPUTED_VALUE"""),"web3shot")</f>
        <v>web3shot</v>
      </c>
      <c r="B12900" s="4" t="str">
        <f>IFERROR(__xludf.DUMMYFUNCTION("""COMPUTED_VALUE"""),"w3s")</f>
        <v>w3s</v>
      </c>
      <c r="C12900" s="4" t="str">
        <f>IFERROR(__xludf.DUMMYFUNCTION("""COMPUTED_VALUE"""),"Web3Shot")</f>
        <v>Web3Shot</v>
      </c>
    </row>
    <row r="12901">
      <c r="A12901" s="4" t="str">
        <f>IFERROR(__xludf.DUMMYFUNCTION("""COMPUTED_VALUE"""),"web3tools")</f>
        <v>web3tools</v>
      </c>
      <c r="B12901" s="4" t="str">
        <f>IFERROR(__xludf.DUMMYFUNCTION("""COMPUTED_VALUE"""),"web3t")</f>
        <v>web3t</v>
      </c>
      <c r="C12901" s="4" t="str">
        <f>IFERROR(__xludf.DUMMYFUNCTION("""COMPUTED_VALUE"""),"Web3Tools")</f>
        <v>Web3Tools</v>
      </c>
    </row>
    <row r="12902">
      <c r="A12902" s="4" t="str">
        <f>IFERROR(__xludf.DUMMYFUNCTION("""COMPUTED_VALUE"""),"web3war")</f>
        <v>web3war</v>
      </c>
      <c r="B12902" s="4" t="str">
        <f>IFERROR(__xludf.DUMMYFUNCTION("""COMPUTED_VALUE"""),"fps")</f>
        <v>fps</v>
      </c>
      <c r="C12902" s="4" t="str">
        <f>IFERROR(__xludf.DUMMYFUNCTION("""COMPUTED_VALUE"""),"web3war")</f>
        <v>web3war</v>
      </c>
    </row>
    <row r="12903">
      <c r="A12903" s="4" t="str">
        <f>IFERROR(__xludf.DUMMYFUNCTION("""COMPUTED_VALUE"""),"web4-ai")</f>
        <v>web4-ai</v>
      </c>
      <c r="B12903" s="4" t="str">
        <f>IFERROR(__xludf.DUMMYFUNCTION("""COMPUTED_VALUE"""),"web4")</f>
        <v>web4</v>
      </c>
      <c r="C12903" s="4" t="str">
        <f>IFERROR(__xludf.DUMMYFUNCTION("""COMPUTED_VALUE"""),"WEB4 AI")</f>
        <v>WEB4 AI</v>
      </c>
    </row>
    <row r="12904">
      <c r="A12904" s="4" t="str">
        <f>IFERROR(__xludf.DUMMYFUNCTION("""COMPUTED_VALUE"""),"web-ai")</f>
        <v>web-ai</v>
      </c>
      <c r="B12904" s="4" t="str">
        <f>IFERROR(__xludf.DUMMYFUNCTION("""COMPUTED_VALUE"""),"webai")</f>
        <v>webai</v>
      </c>
      <c r="C12904" s="4" t="str">
        <f>IFERROR(__xludf.DUMMYFUNCTION("""COMPUTED_VALUE"""),"Web AI")</f>
        <v>Web AI</v>
      </c>
    </row>
    <row r="12905">
      <c r="A12905" s="4" t="str">
        <f>IFERROR(__xludf.DUMMYFUNCTION("""COMPUTED_VALUE"""),"webcash")</f>
        <v>webcash</v>
      </c>
      <c r="B12905" s="4" t="str">
        <f>IFERROR(__xludf.DUMMYFUNCTION("""COMPUTED_VALUE"""),"web")</f>
        <v>web</v>
      </c>
      <c r="C12905" s="4" t="str">
        <f>IFERROR(__xludf.DUMMYFUNCTION("""COMPUTED_VALUE"""),"Webcash")</f>
        <v>Webcash</v>
      </c>
    </row>
    <row r="12906">
      <c r="A12906" s="4" t="str">
        <f>IFERROR(__xludf.DUMMYFUNCTION("""COMPUTED_VALUE"""),"webchain")</f>
        <v>webchain</v>
      </c>
      <c r="B12906" s="4" t="str">
        <f>IFERROR(__xludf.DUMMYFUNCTION("""COMPUTED_VALUE"""),"mintme")</f>
        <v>mintme</v>
      </c>
      <c r="C12906" s="4" t="str">
        <f>IFERROR(__xludf.DUMMYFUNCTION("""COMPUTED_VALUE"""),"MintMe.com Coin")</f>
        <v>MintMe.com Coin</v>
      </c>
    </row>
    <row r="12907">
      <c r="A12907" s="4" t="str">
        <f>IFERROR(__xludf.DUMMYFUNCTION("""COMPUTED_VALUE"""),"web-four")</f>
        <v>web-four</v>
      </c>
      <c r="B12907" s="4" t="str">
        <f>IFERROR(__xludf.DUMMYFUNCTION("""COMPUTED_VALUE"""),"webfour")</f>
        <v>webfour</v>
      </c>
      <c r="C12907" s="4" t="str">
        <f>IFERROR(__xludf.DUMMYFUNCTION("""COMPUTED_VALUE"""),"WEBFOUR")</f>
        <v>WEBFOUR</v>
      </c>
    </row>
    <row r="12908">
      <c r="A12908" s="4" t="str">
        <f>IFERROR(__xludf.DUMMYFUNCTION("""COMPUTED_VALUE"""),"weble-ecosystem-token")</f>
        <v>weble-ecosystem-token</v>
      </c>
      <c r="B12908" s="4" t="str">
        <f>IFERROR(__xludf.DUMMYFUNCTION("""COMPUTED_VALUE"""),"wet")</f>
        <v>wet</v>
      </c>
      <c r="C12908" s="4" t="str">
        <f>IFERROR(__xludf.DUMMYFUNCTION("""COMPUTED_VALUE"""),"Weble Ecosystem")</f>
        <v>Weble Ecosystem</v>
      </c>
    </row>
    <row r="12909">
      <c r="A12909" s="4" t="str">
        <f>IFERROR(__xludf.DUMMYFUNCTION("""COMPUTED_VALUE"""),"websea")</f>
        <v>websea</v>
      </c>
      <c r="B12909" s="4" t="str">
        <f>IFERROR(__xludf.DUMMYFUNCTION("""COMPUTED_VALUE"""),"wbs")</f>
        <v>wbs</v>
      </c>
      <c r="C12909" s="4" t="str">
        <f>IFERROR(__xludf.DUMMYFUNCTION("""COMPUTED_VALUE"""),"Websea")</f>
        <v>Websea</v>
      </c>
    </row>
    <row r="12910">
      <c r="A12910" s="4" t="str">
        <f>IFERROR(__xludf.DUMMYFUNCTION("""COMPUTED_VALUE"""),"website-ai")</f>
        <v>website-ai</v>
      </c>
      <c r="B12910" s="4" t="str">
        <f>IFERROR(__xludf.DUMMYFUNCTION("""COMPUTED_VALUE"""),"webai")</f>
        <v>webai</v>
      </c>
      <c r="C12910" s="4" t="str">
        <f>IFERROR(__xludf.DUMMYFUNCTION("""COMPUTED_VALUE"""),"Website AI")</f>
        <v>Website AI</v>
      </c>
    </row>
    <row r="12911">
      <c r="A12911" s="4" t="str">
        <f>IFERROR(__xludf.DUMMYFUNCTION("""COMPUTED_VALUE"""),"webuy")</f>
        <v>webuy</v>
      </c>
      <c r="B12911" s="4" t="str">
        <f>IFERROR(__xludf.DUMMYFUNCTION("""COMPUTED_VALUE"""),"we")</f>
        <v>we</v>
      </c>
      <c r="C12911" s="4" t="str">
        <f>IFERROR(__xludf.DUMMYFUNCTION("""COMPUTED_VALUE"""),"WeBuy")</f>
        <v>WeBuy</v>
      </c>
    </row>
    <row r="12912">
      <c r="A12912" s="4" t="str">
        <f>IFERROR(__xludf.DUMMYFUNCTION("""COMPUTED_VALUE"""),"wecan")</f>
        <v>wecan</v>
      </c>
      <c r="B12912" s="4" t="str">
        <f>IFERROR(__xludf.DUMMYFUNCTION("""COMPUTED_VALUE"""),"wecan")</f>
        <v>wecan</v>
      </c>
      <c r="C12912" s="4" t="str">
        <f>IFERROR(__xludf.DUMMYFUNCTION("""COMPUTED_VALUE"""),"Wecan")</f>
        <v>Wecan</v>
      </c>
    </row>
    <row r="12913">
      <c r="A12913" s="4" t="str">
        <f>IFERROR(__xludf.DUMMYFUNCTION("""COMPUTED_VALUE"""),"wecashcoin")</f>
        <v>wecashcoin</v>
      </c>
      <c r="B12913" s="4" t="str">
        <f>IFERROR(__xludf.DUMMYFUNCTION("""COMPUTED_VALUE"""),"wch")</f>
        <v>wch</v>
      </c>
      <c r="C12913" s="4" t="str">
        <f>IFERROR(__xludf.DUMMYFUNCTION("""COMPUTED_VALUE"""),"WeCash")</f>
        <v>WeCash</v>
      </c>
    </row>
    <row r="12914">
      <c r="A12914" s="4" t="str">
        <f>IFERROR(__xludf.DUMMYFUNCTION("""COMPUTED_VALUE"""),"wecoin")</f>
        <v>wecoin</v>
      </c>
      <c r="B12914" s="4" t="str">
        <f>IFERROR(__xludf.DUMMYFUNCTION("""COMPUTED_VALUE"""),"weco")</f>
        <v>weco</v>
      </c>
      <c r="C12914" s="4" t="str">
        <f>IFERROR(__xludf.DUMMYFUNCTION("""COMPUTED_VALUE"""),"WECOIN")</f>
        <v>WECOIN</v>
      </c>
    </row>
    <row r="12915">
      <c r="A12915" s="4" t="str">
        <f>IFERROR(__xludf.DUMMYFUNCTION("""COMPUTED_VALUE"""),"wecoown")</f>
        <v>wecoown</v>
      </c>
      <c r="B12915" s="4" t="str">
        <f>IFERROR(__xludf.DUMMYFUNCTION("""COMPUTED_VALUE"""),"wcx")</f>
        <v>wcx</v>
      </c>
      <c r="C12915" s="4" t="str">
        <f>IFERROR(__xludf.DUMMYFUNCTION("""COMPUTED_VALUE"""),"WeCoOwn")</f>
        <v>WeCoOwn</v>
      </c>
    </row>
    <row r="12916">
      <c r="A12916" s="4" t="str">
        <f>IFERROR(__xludf.DUMMYFUNCTION("""COMPUTED_VALUE"""),"wefi-finance")</f>
        <v>wefi-finance</v>
      </c>
      <c r="B12916" s="4" t="str">
        <f>IFERROR(__xludf.DUMMYFUNCTION("""COMPUTED_VALUE"""),"wefi")</f>
        <v>wefi</v>
      </c>
      <c r="C12916" s="4" t="str">
        <f>IFERROR(__xludf.DUMMYFUNCTION("""COMPUTED_VALUE"""),"Wefi Finance")</f>
        <v>Wefi Finance</v>
      </c>
    </row>
    <row r="12917">
      <c r="A12917" s="4" t="str">
        <f>IFERROR(__xludf.DUMMYFUNCTION("""COMPUTED_VALUE"""),"weft-finance")</f>
        <v>weft-finance</v>
      </c>
      <c r="B12917" s="4" t="str">
        <f>IFERROR(__xludf.DUMMYFUNCTION("""COMPUTED_VALUE"""),"weft")</f>
        <v>weft</v>
      </c>
      <c r="C12917" s="4" t="str">
        <f>IFERROR(__xludf.DUMMYFUNCTION("""COMPUTED_VALUE"""),"Weft Finance")</f>
        <v>Weft Finance</v>
      </c>
    </row>
    <row r="12918">
      <c r="A12918" s="4" t="str">
        <f>IFERROR(__xludf.DUMMYFUNCTION("""COMPUTED_VALUE"""),"wegro")</f>
        <v>wegro</v>
      </c>
      <c r="B12918" s="4" t="str">
        <f>IFERROR(__xludf.DUMMYFUNCTION("""COMPUTED_VALUE"""),"wegro")</f>
        <v>wegro</v>
      </c>
      <c r="C12918" s="4" t="str">
        <f>IFERROR(__xludf.DUMMYFUNCTION("""COMPUTED_VALUE"""),"WeGro")</f>
        <v>WeGro</v>
      </c>
    </row>
    <row r="12919">
      <c r="A12919" s="4" t="str">
        <f>IFERROR(__xludf.DUMMYFUNCTION("""COMPUTED_VALUE"""),"weirdo")</f>
        <v>weirdo</v>
      </c>
      <c r="B12919" s="4" t="str">
        <f>IFERROR(__xludf.DUMMYFUNCTION("""COMPUTED_VALUE"""),"weirdo")</f>
        <v>weirdo</v>
      </c>
      <c r="C12919" s="4" t="str">
        <f>IFERROR(__xludf.DUMMYFUNCTION("""COMPUTED_VALUE"""),"weirdo")</f>
        <v>weirdo</v>
      </c>
    </row>
    <row r="12920">
      <c r="A12920" s="4" t="str">
        <f>IFERROR(__xludf.DUMMYFUNCTION("""COMPUTED_VALUE"""),"weld")</f>
        <v>weld</v>
      </c>
      <c r="B12920" s="4" t="str">
        <f>IFERROR(__xludf.DUMMYFUNCTION("""COMPUTED_VALUE"""),"weld")</f>
        <v>weld</v>
      </c>
      <c r="C12920" s="4" t="str">
        <f>IFERROR(__xludf.DUMMYFUNCTION("""COMPUTED_VALUE"""),"WELD")</f>
        <v>WELD</v>
      </c>
    </row>
    <row r="12921">
      <c r="A12921" s="4" t="str">
        <f>IFERROR(__xludf.DUMMYFUNCTION("""COMPUTED_VALUE"""),"wellnode")</f>
        <v>wellnode</v>
      </c>
      <c r="B12921" s="4" t="str">
        <f>IFERROR(__xludf.DUMMYFUNCTION("""COMPUTED_VALUE"""),"wend")</f>
        <v>wend</v>
      </c>
      <c r="C12921" s="4" t="str">
        <f>IFERROR(__xludf.DUMMYFUNCTION("""COMPUTED_VALUE"""),"Wellnode")</f>
        <v>Wellnode</v>
      </c>
    </row>
    <row r="12922">
      <c r="A12922" s="4" t="str">
        <f>IFERROR(__xludf.DUMMYFUNCTION("""COMPUTED_VALUE"""),"welsh-corgi")</f>
        <v>welsh-corgi</v>
      </c>
      <c r="B12922" s="4" t="str">
        <f>IFERROR(__xludf.DUMMYFUNCTION("""COMPUTED_VALUE"""),"corgi")</f>
        <v>corgi</v>
      </c>
      <c r="C12922" s="4" t="str">
        <f>IFERROR(__xludf.DUMMYFUNCTION("""COMPUTED_VALUE"""),"Welsh Corgi")</f>
        <v>Welsh Corgi</v>
      </c>
    </row>
    <row r="12923">
      <c r="A12923" s="4" t="str">
        <f>IFERROR(__xludf.DUMMYFUNCTION("""COMPUTED_VALUE"""),"welsh-corgi-coin")</f>
        <v>welsh-corgi-coin</v>
      </c>
      <c r="B12923" s="4" t="str">
        <f>IFERROR(__xludf.DUMMYFUNCTION("""COMPUTED_VALUE"""),"welsh")</f>
        <v>welsh</v>
      </c>
      <c r="C12923" s="4" t="str">
        <f>IFERROR(__xludf.DUMMYFUNCTION("""COMPUTED_VALUE"""),"WELSH CORGI COIN")</f>
        <v>WELSH CORGI COIN</v>
      </c>
    </row>
    <row r="12924">
      <c r="A12924" s="4" t="str">
        <f>IFERROR(__xludf.DUMMYFUNCTION("""COMPUTED_VALUE"""),"welups-blockchain")</f>
        <v>welups-blockchain</v>
      </c>
      <c r="B12924" s="4" t="str">
        <f>IFERROR(__xludf.DUMMYFUNCTION("""COMPUTED_VALUE"""),"welups")</f>
        <v>welups</v>
      </c>
      <c r="C12924" s="4" t="str">
        <f>IFERROR(__xludf.DUMMYFUNCTION("""COMPUTED_VALUE"""),"Welups Blockchain")</f>
        <v>Welups Blockchain</v>
      </c>
    </row>
    <row r="12925">
      <c r="A12925" s="4" t="str">
        <f>IFERROR(__xludf.DUMMYFUNCTION("""COMPUTED_VALUE"""),"wemix-token")</f>
        <v>wemix-token</v>
      </c>
      <c r="B12925" s="4" t="str">
        <f>IFERROR(__xludf.DUMMYFUNCTION("""COMPUTED_VALUE"""),"wemix")</f>
        <v>wemix</v>
      </c>
      <c r="C12925" s="4" t="str">
        <f>IFERROR(__xludf.DUMMYFUNCTION("""COMPUTED_VALUE"""),"WEMIX")</f>
        <v>WEMIX</v>
      </c>
    </row>
    <row r="12926">
      <c r="A12926" s="4" t="str">
        <f>IFERROR(__xludf.DUMMYFUNCTION("""COMPUTED_VALUE"""),"wen")</f>
        <v>wen</v>
      </c>
      <c r="B12926" s="4" t="str">
        <f>IFERROR(__xludf.DUMMYFUNCTION("""COMPUTED_VALUE"""),"$wen")</f>
        <v>$wen</v>
      </c>
      <c r="C12926" s="4" t="str">
        <f>IFERROR(__xludf.DUMMYFUNCTION("""COMPUTED_VALUE"""),"WEN")</f>
        <v>WEN</v>
      </c>
    </row>
    <row r="12927">
      <c r="A12927" s="4" t="str">
        <f>IFERROR(__xludf.DUMMYFUNCTION("""COMPUTED_VALUE"""),"wen-2")</f>
        <v>wen-2</v>
      </c>
      <c r="B12927" s="4" t="str">
        <f>IFERROR(__xludf.DUMMYFUNCTION("""COMPUTED_VALUE"""),"$wen")</f>
        <v>$wen</v>
      </c>
      <c r="C12927" s="4" t="str">
        <f>IFERROR(__xludf.DUMMYFUNCTION("""COMPUTED_VALUE"""),"WEN")</f>
        <v>WEN</v>
      </c>
    </row>
    <row r="12928">
      <c r="A12928" s="4" t="str">
        <f>IFERROR(__xludf.DUMMYFUNCTION("""COMPUTED_VALUE"""),"wen-3")</f>
        <v>wen-3</v>
      </c>
      <c r="B12928" s="4" t="str">
        <f>IFERROR(__xludf.DUMMYFUNCTION("""COMPUTED_VALUE"""),"wen")</f>
        <v>wen</v>
      </c>
      <c r="C12928" s="4" t="str">
        <f>IFERROR(__xludf.DUMMYFUNCTION("""COMPUTED_VALUE"""),"WEN")</f>
        <v>WEN</v>
      </c>
    </row>
    <row r="12929">
      <c r="A12929" s="4" t="str">
        <f>IFERROR(__xludf.DUMMYFUNCTION("""COMPUTED_VALUE"""),"wen-4")</f>
        <v>wen-4</v>
      </c>
      <c r="B12929" s="4" t="str">
        <f>IFERROR(__xludf.DUMMYFUNCTION("""COMPUTED_VALUE"""),"$wen")</f>
        <v>$wen</v>
      </c>
      <c r="C12929" s="4" t="str">
        <f>IFERROR(__xludf.DUMMYFUNCTION("""COMPUTED_VALUE"""),"Wen")</f>
        <v>Wen</v>
      </c>
    </row>
    <row r="12930">
      <c r="A12930" s="4" t="str">
        <f>IFERROR(__xludf.DUMMYFUNCTION("""COMPUTED_VALUE"""),"wen-token")</f>
        <v>wen-token</v>
      </c>
      <c r="B12930" s="4" t="str">
        <f>IFERROR(__xludf.DUMMYFUNCTION("""COMPUTED_VALUE"""),"wen")</f>
        <v>wen</v>
      </c>
      <c r="C12930" s="4" t="str">
        <f>IFERROR(__xludf.DUMMYFUNCTION("""COMPUTED_VALUE"""),"WEN Token")</f>
        <v>WEN Token</v>
      </c>
    </row>
    <row r="12931">
      <c r="A12931" s="4" t="str">
        <f>IFERROR(__xludf.DUMMYFUNCTION("""COMPUTED_VALUE"""),"wenwifhat")</f>
        <v>wenwifhat</v>
      </c>
      <c r="B12931" s="4" t="str">
        <f>IFERROR(__xludf.DUMMYFUNCTION("""COMPUTED_VALUE"""),"why")</f>
        <v>why</v>
      </c>
      <c r="C12931" s="4" t="str">
        <f>IFERROR(__xludf.DUMMYFUNCTION("""COMPUTED_VALUE"""),"WenWifHat")</f>
        <v>WenWifHat</v>
      </c>
    </row>
    <row r="12932">
      <c r="A12932" s="4" t="str">
        <f>IFERROR(__xludf.DUMMYFUNCTION("""COMPUTED_VALUE"""),"wepiggy-coin")</f>
        <v>wepiggy-coin</v>
      </c>
      <c r="B12932" s="4" t="str">
        <f>IFERROR(__xludf.DUMMYFUNCTION("""COMPUTED_VALUE"""),"wpc")</f>
        <v>wpc</v>
      </c>
      <c r="C12932" s="4" t="str">
        <f>IFERROR(__xludf.DUMMYFUNCTION("""COMPUTED_VALUE"""),"WePiggy Coin")</f>
        <v>WePiggy Coin</v>
      </c>
    </row>
    <row r="12933">
      <c r="A12933" s="4" t="str">
        <f>IFERROR(__xludf.DUMMYFUNCTION("""COMPUTED_VALUE"""),"wepower")</f>
        <v>wepower</v>
      </c>
      <c r="B12933" s="4" t="str">
        <f>IFERROR(__xludf.DUMMYFUNCTION("""COMPUTED_VALUE"""),"wpr")</f>
        <v>wpr</v>
      </c>
      <c r="C12933" s="4" t="str">
        <f>IFERROR(__xludf.DUMMYFUNCTION("""COMPUTED_VALUE"""),"WePower")</f>
        <v>WePower</v>
      </c>
    </row>
    <row r="12934">
      <c r="A12934" s="4" t="str">
        <f>IFERROR(__xludf.DUMMYFUNCTION("""COMPUTED_VALUE"""),"we-re-so-back")</f>
        <v>we-re-so-back</v>
      </c>
      <c r="B12934" s="4" t="str">
        <f>IFERROR(__xludf.DUMMYFUNCTION("""COMPUTED_VALUE"""),"back")</f>
        <v>back</v>
      </c>
      <c r="C12934" s="4" t="str">
        <f>IFERROR(__xludf.DUMMYFUNCTION("""COMPUTED_VALUE"""),"We're so back")</f>
        <v>We're so back</v>
      </c>
    </row>
    <row r="12935">
      <c r="A12935" s="4" t="str">
        <f>IFERROR(__xludf.DUMMYFUNCTION("""COMPUTED_VALUE"""),"wesendit")</f>
        <v>wesendit</v>
      </c>
      <c r="B12935" s="4" t="str">
        <f>IFERROR(__xludf.DUMMYFUNCTION("""COMPUTED_VALUE"""),"wsi")</f>
        <v>wsi</v>
      </c>
      <c r="C12935" s="4" t="str">
        <f>IFERROR(__xludf.DUMMYFUNCTION("""COMPUTED_VALUE"""),"WeSendit")</f>
        <v>WeSendit</v>
      </c>
    </row>
    <row r="12936">
      <c r="A12936" s="4" t="str">
        <f>IFERROR(__xludf.DUMMYFUNCTION("""COMPUTED_VALUE"""),"westarter")</f>
        <v>westarter</v>
      </c>
      <c r="B12936" s="4" t="str">
        <f>IFERROR(__xludf.DUMMYFUNCTION("""COMPUTED_VALUE"""),"war")</f>
        <v>war</v>
      </c>
      <c r="C12936" s="4" t="str">
        <f>IFERROR(__xludf.DUMMYFUNCTION("""COMPUTED_VALUE"""),"WeStarter")</f>
        <v>WeStarter</v>
      </c>
    </row>
    <row r="12937">
      <c r="A12937" s="4" t="str">
        <f>IFERROR(__xludf.DUMMYFUNCTION("""COMPUTED_VALUE"""),"wetc-hebeswap")</f>
        <v>wetc-hebeswap</v>
      </c>
      <c r="B12937" s="4" t="str">
        <f>IFERROR(__xludf.DUMMYFUNCTION("""COMPUTED_VALUE"""),"wetc")</f>
        <v>wetc</v>
      </c>
      <c r="C12937" s="4" t="str">
        <f>IFERROR(__xludf.DUMMYFUNCTION("""COMPUTED_VALUE"""),"Wrapped ETC")</f>
        <v>Wrapped ETC</v>
      </c>
    </row>
    <row r="12938">
      <c r="A12938" s="4" t="str">
        <f>IFERROR(__xludf.DUMMYFUNCTION("""COMPUTED_VALUE"""),"weth")</f>
        <v>weth</v>
      </c>
      <c r="B12938" s="4" t="str">
        <f>IFERROR(__xludf.DUMMYFUNCTION("""COMPUTED_VALUE"""),"weth")</f>
        <v>weth</v>
      </c>
      <c r="C12938" s="4" t="str">
        <f>IFERROR(__xludf.DUMMYFUNCTION("""COMPUTED_VALUE"""),"WETH")</f>
        <v>WETH</v>
      </c>
    </row>
    <row r="12939">
      <c r="A12939" s="4" t="str">
        <f>IFERROR(__xludf.DUMMYFUNCTION("""COMPUTED_VALUE"""),"weth-plenty-bridge")</f>
        <v>weth-plenty-bridge</v>
      </c>
      <c r="B12939" s="4" t="str">
        <f>IFERROR(__xludf.DUMMYFUNCTION("""COMPUTED_VALUE"""),"weth.p")</f>
        <v>weth.p</v>
      </c>
      <c r="C12939" s="4" t="str">
        <f>IFERROR(__xludf.DUMMYFUNCTION("""COMPUTED_VALUE"""),"Polygon WETH (Plenty Bridge)")</f>
        <v>Polygon WETH (Plenty Bridge)</v>
      </c>
    </row>
    <row r="12940">
      <c r="A12940" s="4" t="str">
        <f>IFERROR(__xludf.DUMMYFUNCTION("""COMPUTED_VALUE"""),"weth-plenty-bridge-65aa5342-507c-4f67-8634-1f4376ffdf9a")</f>
        <v>weth-plenty-bridge-65aa5342-507c-4f67-8634-1f4376ffdf9a</v>
      </c>
      <c r="B12940" s="4" t="str">
        <f>IFERROR(__xludf.DUMMYFUNCTION("""COMPUTED_VALUE"""),"weth.e")</f>
        <v>weth.e</v>
      </c>
      <c r="C12940" s="4" t="str">
        <f>IFERROR(__xludf.DUMMYFUNCTION("""COMPUTED_VALUE"""),"WETH (Plenty Bridge)")</f>
        <v>WETH (Plenty Bridge)</v>
      </c>
    </row>
    <row r="12941">
      <c r="A12941" s="4" t="str">
        <f>IFERROR(__xludf.DUMMYFUNCTION("""COMPUTED_VALUE"""),"weth-yvault")</f>
        <v>weth-yvault</v>
      </c>
      <c r="B12941" s="4" t="str">
        <f>IFERROR(__xludf.DUMMYFUNCTION("""COMPUTED_VALUE"""),"yvweth")</f>
        <v>yvweth</v>
      </c>
      <c r="C12941" s="4" t="str">
        <f>IFERROR(__xludf.DUMMYFUNCTION("""COMPUTED_VALUE"""),"WETH yVault")</f>
        <v>WETH yVault</v>
      </c>
    </row>
    <row r="12942">
      <c r="A12942" s="4" t="str">
        <f>IFERROR(__xludf.DUMMYFUNCTION("""COMPUTED_VALUE"""),"weway")</f>
        <v>weway</v>
      </c>
      <c r="B12942" s="4" t="str">
        <f>IFERROR(__xludf.DUMMYFUNCTION("""COMPUTED_VALUE"""),"wwy")</f>
        <v>wwy</v>
      </c>
      <c r="C12942" s="4" t="str">
        <f>IFERROR(__xludf.DUMMYFUNCTION("""COMPUTED_VALUE"""),"WeWay")</f>
        <v>WeWay</v>
      </c>
    </row>
    <row r="12943">
      <c r="A12943" s="4" t="str">
        <f>IFERROR(__xludf.DUMMYFUNCTION("""COMPUTED_VALUE"""),"wewe")</f>
        <v>wewe</v>
      </c>
      <c r="B12943" s="4" t="str">
        <f>IFERROR(__xludf.DUMMYFUNCTION("""COMPUTED_VALUE"""),"wewe")</f>
        <v>wewe</v>
      </c>
      <c r="C12943" s="4" t="str">
        <f>IFERROR(__xludf.DUMMYFUNCTION("""COMPUTED_VALUE"""),"WEWE")</f>
        <v>WEWE</v>
      </c>
    </row>
    <row r="12944">
      <c r="A12944" s="4" t="str">
        <f>IFERROR(__xludf.DUMMYFUNCTION("""COMPUTED_VALUE"""),"wexo")</f>
        <v>wexo</v>
      </c>
      <c r="B12944" s="4" t="str">
        <f>IFERROR(__xludf.DUMMYFUNCTION("""COMPUTED_VALUE"""),"wexo")</f>
        <v>wexo</v>
      </c>
      <c r="C12944" s="4" t="str">
        <f>IFERROR(__xludf.DUMMYFUNCTION("""COMPUTED_VALUE"""),"Wexo")</f>
        <v>Wexo</v>
      </c>
    </row>
    <row r="12945">
      <c r="A12945" s="4" t="str">
        <f>IFERROR(__xludf.DUMMYFUNCTION("""COMPUTED_VALUE"""),"weyu")</f>
        <v>weyu</v>
      </c>
      <c r="B12945" s="4" t="str">
        <f>IFERROR(__xludf.DUMMYFUNCTION("""COMPUTED_VALUE"""),"weyu")</f>
        <v>weyu</v>
      </c>
      <c r="C12945" s="4" t="str">
        <f>IFERROR(__xludf.DUMMYFUNCTION("""COMPUTED_VALUE"""),"WEYU")</f>
        <v>WEYU</v>
      </c>
    </row>
    <row r="12946">
      <c r="A12946" s="4" t="str">
        <f>IFERROR(__xludf.DUMMYFUNCTION("""COMPUTED_VALUE"""),"wfca")</f>
        <v>wfca</v>
      </c>
      <c r="B12946" s="4" t="str">
        <f>IFERROR(__xludf.DUMMYFUNCTION("""COMPUTED_VALUE"""),"wfca")</f>
        <v>wfca</v>
      </c>
      <c r="C12946" s="4" t="str">
        <f>IFERROR(__xludf.DUMMYFUNCTION("""COMPUTED_VALUE"""),"World Friendship Cash")</f>
        <v>World Friendship Cash</v>
      </c>
    </row>
    <row r="12947">
      <c r="A12947" s="4" t="str">
        <f>IFERROR(__xludf.DUMMYFUNCTION("""COMPUTED_VALUE"""),"wfdp")</f>
        <v>wfdp</v>
      </c>
      <c r="B12947" s="4" t="str">
        <f>IFERROR(__xludf.DUMMYFUNCTION("""COMPUTED_VALUE"""),"wfdp")</f>
        <v>wfdp</v>
      </c>
      <c r="C12947" s="4" t="str">
        <f>IFERROR(__xludf.DUMMYFUNCTION("""COMPUTED_VALUE"""),"WFDP")</f>
        <v>WFDP</v>
      </c>
    </row>
    <row r="12948">
      <c r="A12948" s="4" t="str">
        <f>IFERROR(__xludf.DUMMYFUNCTION("""COMPUTED_VALUE"""),"whale")</f>
        <v>whale</v>
      </c>
      <c r="B12948" s="4" t="str">
        <f>IFERROR(__xludf.DUMMYFUNCTION("""COMPUTED_VALUE"""),"whale")</f>
        <v>whale</v>
      </c>
      <c r="C12948" s="4" t="str">
        <f>IFERROR(__xludf.DUMMYFUNCTION("""COMPUTED_VALUE"""),"WHALE")</f>
        <v>WHALE</v>
      </c>
    </row>
    <row r="12949">
      <c r="A12949" s="4" t="str">
        <f>IFERROR(__xludf.DUMMYFUNCTION("""COMPUTED_VALUE"""),"whalebert")</f>
        <v>whalebert</v>
      </c>
      <c r="B12949" s="4" t="str">
        <f>IFERROR(__xludf.DUMMYFUNCTION("""COMPUTED_VALUE"""),"whale")</f>
        <v>whale</v>
      </c>
      <c r="C12949" s="4" t="str">
        <f>IFERROR(__xludf.DUMMYFUNCTION("""COMPUTED_VALUE"""),"Whalebert")</f>
        <v>Whalebert</v>
      </c>
    </row>
    <row r="12950">
      <c r="A12950" s="4" t="str">
        <f>IFERROR(__xludf.DUMMYFUNCTION("""COMPUTED_VALUE"""),"whaleroom")</f>
        <v>whaleroom</v>
      </c>
      <c r="B12950" s="4" t="str">
        <f>IFERROR(__xludf.DUMMYFUNCTION("""COMPUTED_VALUE"""),"whl")</f>
        <v>whl</v>
      </c>
      <c r="C12950" s="4" t="str">
        <f>IFERROR(__xludf.DUMMYFUNCTION("""COMPUTED_VALUE"""),"WhaleRoom")</f>
        <v>WhaleRoom</v>
      </c>
    </row>
    <row r="12951">
      <c r="A12951" s="4" t="str">
        <f>IFERROR(__xludf.DUMMYFUNCTION("""COMPUTED_VALUE"""),"whalescandypls-com")</f>
        <v>whalescandypls-com</v>
      </c>
      <c r="B12951" s="4" t="str">
        <f>IFERROR(__xludf.DUMMYFUNCTION("""COMPUTED_VALUE"""),"wc")</f>
        <v>wc</v>
      </c>
      <c r="C12951" s="5" t="str">
        <f>IFERROR(__xludf.DUMMYFUNCTION("""COMPUTED_VALUE"""),"WhalesCandyPLS.com")</f>
        <v>WhalesCandyPLS.com</v>
      </c>
    </row>
    <row r="12952">
      <c r="A12952" s="4" t="str">
        <f>IFERROR(__xludf.DUMMYFUNCTION("""COMPUTED_VALUE"""),"whales-club")</f>
        <v>whales-club</v>
      </c>
      <c r="B12952" s="4" t="str">
        <f>IFERROR(__xludf.DUMMYFUNCTION("""COMPUTED_VALUE"""),"whc")</f>
        <v>whc</v>
      </c>
      <c r="C12952" s="4" t="str">
        <f>IFERROR(__xludf.DUMMYFUNCTION("""COMPUTED_VALUE"""),"Whales Club")</f>
        <v>Whales Club</v>
      </c>
    </row>
    <row r="12953">
      <c r="A12953" s="4" t="str">
        <f>IFERROR(__xludf.DUMMYFUNCTION("""COMPUTED_VALUE"""),"whale-sei")</f>
        <v>whale-sei</v>
      </c>
      <c r="B12953" s="4" t="str">
        <f>IFERROR(__xludf.DUMMYFUNCTION("""COMPUTED_VALUE"""),"whale")</f>
        <v>whale</v>
      </c>
      <c r="C12953" s="4" t="str">
        <f>IFERROR(__xludf.DUMMYFUNCTION("""COMPUTED_VALUE"""),"Whale (SEI)")</f>
        <v>Whale (SEI)</v>
      </c>
    </row>
    <row r="12954">
      <c r="A12954" s="4" t="str">
        <f>IFERROR(__xludf.DUMMYFUNCTION("""COMPUTED_VALUE"""),"whales-market")</f>
        <v>whales-market</v>
      </c>
      <c r="B12954" s="4" t="str">
        <f>IFERROR(__xludf.DUMMYFUNCTION("""COMPUTED_VALUE"""),"whales")</f>
        <v>whales</v>
      </c>
      <c r="C12954" s="4" t="str">
        <f>IFERROR(__xludf.DUMMYFUNCTION("""COMPUTED_VALUE"""),"Whales Market")</f>
        <v>Whales Market</v>
      </c>
    </row>
    <row r="12955">
      <c r="A12955" s="4" t="str">
        <f>IFERROR(__xludf.DUMMYFUNCTION("""COMPUTED_VALUE"""),"whatbot")</f>
        <v>whatbot</v>
      </c>
      <c r="B12955" s="4" t="str">
        <f>IFERROR(__xludf.DUMMYFUNCTION("""COMPUTED_VALUE"""),"what")</f>
        <v>what</v>
      </c>
      <c r="C12955" s="4" t="str">
        <f>IFERROR(__xludf.DUMMYFUNCTION("""COMPUTED_VALUE"""),"WhatBot")</f>
        <v>WhatBot</v>
      </c>
    </row>
    <row r="12956">
      <c r="A12956" s="4" t="str">
        <f>IFERROR(__xludf.DUMMYFUNCTION("""COMPUTED_VALUE"""),"what-do-you-meme")</f>
        <v>what-do-you-meme</v>
      </c>
      <c r="B12956" s="4" t="str">
        <f>IFERROR(__xludf.DUMMYFUNCTION("""COMPUTED_VALUE"""),"w3w")</f>
        <v>w3w</v>
      </c>
      <c r="C12956" s="4" t="str">
        <f>IFERROR(__xludf.DUMMYFUNCTION("""COMPUTED_VALUE"""),"Web3 Whales")</f>
        <v>Web3 Whales</v>
      </c>
    </row>
    <row r="12957">
      <c r="A12957" s="4" t="str">
        <f>IFERROR(__xludf.DUMMYFUNCTION("""COMPUTED_VALUE"""),"what-in-tarnation")</f>
        <v>what-in-tarnation</v>
      </c>
      <c r="B12957" s="4" t="str">
        <f>IFERROR(__xludf.DUMMYFUNCTION("""COMPUTED_VALUE"""),"wit")</f>
        <v>wit</v>
      </c>
      <c r="C12957" s="4" t="str">
        <f>IFERROR(__xludf.DUMMYFUNCTION("""COMPUTED_VALUE"""),"What in Tarnation?")</f>
        <v>What in Tarnation?</v>
      </c>
    </row>
    <row r="12958">
      <c r="A12958" s="4" t="str">
        <f>IFERROR(__xludf.DUMMYFUNCTION("""COMPUTED_VALUE"""),"what-s-updog")</f>
        <v>what-s-updog</v>
      </c>
      <c r="B12958" s="4" t="str">
        <f>IFERROR(__xludf.DUMMYFUNCTION("""COMPUTED_VALUE"""),"$updog")</f>
        <v>$updog</v>
      </c>
      <c r="C12958" s="4" t="str">
        <f>IFERROR(__xludf.DUMMYFUNCTION("""COMPUTED_VALUE"""),"What’s Updog?")</f>
        <v>What’s Updog?</v>
      </c>
    </row>
    <row r="12959">
      <c r="A12959" s="4" t="str">
        <f>IFERROR(__xludf.DUMMYFUNCTION("""COMPUTED_VALUE"""),"wheat")</f>
        <v>wheat</v>
      </c>
      <c r="B12959" s="4" t="str">
        <f>IFERROR(__xludf.DUMMYFUNCTION("""COMPUTED_VALUE"""),"wheat")</f>
        <v>wheat</v>
      </c>
      <c r="C12959" s="4" t="str">
        <f>IFERROR(__xludf.DUMMYFUNCTION("""COMPUTED_VALUE"""),"Wheat")</f>
        <v>Wheat</v>
      </c>
    </row>
    <row r="12960">
      <c r="A12960" s="4" t="str">
        <f>IFERROR(__xludf.DUMMYFUNCTION("""COMPUTED_VALUE"""),"whee")</f>
        <v>whee</v>
      </c>
      <c r="B12960" s="4" t="str">
        <f>IFERROR(__xludf.DUMMYFUNCTION("""COMPUTED_VALUE"""),"whee")</f>
        <v>whee</v>
      </c>
      <c r="C12960" s="4" t="str">
        <f>IFERROR(__xludf.DUMMYFUNCTION("""COMPUTED_VALUE"""),"WHEE")</f>
        <v>WHEE</v>
      </c>
    </row>
    <row r="12961">
      <c r="A12961" s="4" t="str">
        <f>IFERROR(__xludf.DUMMYFUNCTION("""COMPUTED_VALUE"""),"when")</f>
        <v>when</v>
      </c>
      <c r="B12961" s="4" t="str">
        <f>IFERROR(__xludf.DUMMYFUNCTION("""COMPUTED_VALUE"""),"when")</f>
        <v>when</v>
      </c>
      <c r="C12961" s="4" t="str">
        <f>IFERROR(__xludf.DUMMYFUNCTION("""COMPUTED_VALUE"""),"when")</f>
        <v>when</v>
      </c>
    </row>
    <row r="12962">
      <c r="A12962" s="4" t="str">
        <f>IFERROR(__xludf.DUMMYFUNCTION("""COMPUTED_VALUE"""),"where-did-the-eth-go")</f>
        <v>where-did-the-eth-go</v>
      </c>
      <c r="B12962" s="4" t="str">
        <f>IFERROR(__xludf.DUMMYFUNCTION("""COMPUTED_VALUE"""),"wheth")</f>
        <v>wheth</v>
      </c>
      <c r="C12962" s="4" t="str">
        <f>IFERROR(__xludf.DUMMYFUNCTION("""COMPUTED_VALUE"""),"Where Did The ETH Go?")</f>
        <v>Where Did The ETH Go?</v>
      </c>
    </row>
    <row r="12963">
      <c r="A12963" s="4" t="str">
        <f>IFERROR(__xludf.DUMMYFUNCTION("""COMPUTED_VALUE"""),"where-did-the-eth-go-pulsechain")</f>
        <v>where-did-the-eth-go-pulsechain</v>
      </c>
      <c r="B12963" s="4" t="str">
        <f>IFERROR(__xludf.DUMMYFUNCTION("""COMPUTED_VALUE"""),"wheth")</f>
        <v>wheth</v>
      </c>
      <c r="C12963" s="4" t="str">
        <f>IFERROR(__xludf.DUMMYFUNCTION("""COMPUTED_VALUE"""),"Where Did The ETH Go? (Pulsechain)")</f>
        <v>Where Did The ETH Go? (Pulsechain)</v>
      </c>
    </row>
    <row r="12964">
      <c r="A12964" s="4" t="str">
        <f>IFERROR(__xludf.DUMMYFUNCTION("""COMPUTED_VALUE"""),"whey-token")</f>
        <v>whey-token</v>
      </c>
      <c r="B12964" s="4" t="str">
        <f>IFERROR(__xludf.DUMMYFUNCTION("""COMPUTED_VALUE"""),"whey")</f>
        <v>whey</v>
      </c>
      <c r="C12964" s="4" t="str">
        <f>IFERROR(__xludf.DUMMYFUNCTION("""COMPUTED_VALUE"""),"Shredded Apes Whey")</f>
        <v>Shredded Apes Whey</v>
      </c>
    </row>
    <row r="12965">
      <c r="A12965" s="4" t="str">
        <f>IFERROR(__xludf.DUMMYFUNCTION("""COMPUTED_VALUE"""),"whirl-privacy")</f>
        <v>whirl-privacy</v>
      </c>
      <c r="B12965" s="4" t="str">
        <f>IFERROR(__xludf.DUMMYFUNCTION("""COMPUTED_VALUE"""),"whirl")</f>
        <v>whirl</v>
      </c>
      <c r="C12965" s="4" t="str">
        <f>IFERROR(__xludf.DUMMYFUNCTION("""COMPUTED_VALUE"""),"Whirl")</f>
        <v>Whirl</v>
      </c>
    </row>
    <row r="12966">
      <c r="A12966" s="4" t="str">
        <f>IFERROR(__xludf.DUMMYFUNCTION("""COMPUTED_VALUE"""),"whisper")</f>
        <v>whisper</v>
      </c>
      <c r="B12966" s="4" t="str">
        <f>IFERROR(__xludf.DUMMYFUNCTION("""COMPUTED_VALUE"""),"wisp")</f>
        <v>wisp</v>
      </c>
      <c r="C12966" s="4" t="str">
        <f>IFERROR(__xludf.DUMMYFUNCTION("""COMPUTED_VALUE"""),"Whisper")</f>
        <v>Whisper</v>
      </c>
    </row>
    <row r="12967">
      <c r="A12967" s="4" t="str">
        <f>IFERROR(__xludf.DUMMYFUNCTION("""COMPUTED_VALUE"""),"whisperbot")</f>
        <v>whisperbot</v>
      </c>
      <c r="B12967" s="4" t="str">
        <f>IFERROR(__xludf.DUMMYFUNCTION("""COMPUTED_VALUE"""),"wsp")</f>
        <v>wsp</v>
      </c>
      <c r="C12967" s="4" t="str">
        <f>IFERROR(__xludf.DUMMYFUNCTION("""COMPUTED_VALUE"""),"WhisperBot")</f>
        <v>WhisperBot</v>
      </c>
    </row>
    <row r="12968">
      <c r="A12968" s="4" t="str">
        <f>IFERROR(__xludf.DUMMYFUNCTION("""COMPUTED_VALUE"""),"whitebit")</f>
        <v>whitebit</v>
      </c>
      <c r="B12968" s="4" t="str">
        <f>IFERROR(__xludf.DUMMYFUNCTION("""COMPUTED_VALUE"""),"wbt")</f>
        <v>wbt</v>
      </c>
      <c r="C12968" s="4" t="str">
        <f>IFERROR(__xludf.DUMMYFUNCTION("""COMPUTED_VALUE"""),"WhiteBIT Coin")</f>
        <v>WhiteBIT Coin</v>
      </c>
    </row>
    <row r="12969">
      <c r="A12969" s="4" t="str">
        <f>IFERROR(__xludf.DUMMYFUNCTION("""COMPUTED_VALUE"""),"white-coffee-cat")</f>
        <v>white-coffee-cat</v>
      </c>
      <c r="B12969" s="4" t="str">
        <f>IFERROR(__xludf.DUMMYFUNCTION("""COMPUTED_VALUE"""),"wcc")</f>
        <v>wcc</v>
      </c>
      <c r="C12969" s="4" t="str">
        <f>IFERROR(__xludf.DUMMYFUNCTION("""COMPUTED_VALUE"""),"White Coffee Cat")</f>
        <v>White Coffee Cat</v>
      </c>
    </row>
    <row r="12970">
      <c r="A12970" s="4" t="str">
        <f>IFERROR(__xludf.DUMMYFUNCTION("""COMPUTED_VALUE"""),"whitecoin")</f>
        <v>whitecoin</v>
      </c>
      <c r="B12970" s="4" t="str">
        <f>IFERROR(__xludf.DUMMYFUNCTION("""COMPUTED_VALUE"""),"xwc")</f>
        <v>xwc</v>
      </c>
      <c r="C12970" s="4" t="str">
        <f>IFERROR(__xludf.DUMMYFUNCTION("""COMPUTED_VALUE"""),"Whitecoin")</f>
        <v>Whitecoin</v>
      </c>
    </row>
    <row r="12971">
      <c r="A12971" s="4" t="str">
        <f>IFERROR(__xludf.DUMMYFUNCTION("""COMPUTED_VALUE"""),"whiteheart")</f>
        <v>whiteheart</v>
      </c>
      <c r="B12971" s="4" t="str">
        <f>IFERROR(__xludf.DUMMYFUNCTION("""COMPUTED_VALUE"""),"white")</f>
        <v>white</v>
      </c>
      <c r="C12971" s="4" t="str">
        <f>IFERROR(__xludf.DUMMYFUNCTION("""COMPUTED_VALUE"""),"Whiteheart")</f>
        <v>Whiteheart</v>
      </c>
    </row>
    <row r="12972">
      <c r="A12972" s="4" t="str">
        <f>IFERROR(__xludf.DUMMYFUNCTION("""COMPUTED_VALUE"""),"white-hive")</f>
        <v>white-hive</v>
      </c>
      <c r="B12972" s="4" t="str">
        <f>IFERROR(__xludf.DUMMYFUNCTION("""COMPUTED_VALUE"""),"hive")</f>
        <v>hive</v>
      </c>
      <c r="C12972" s="4" t="str">
        <f>IFERROR(__xludf.DUMMYFUNCTION("""COMPUTED_VALUE"""),"Wh1t3h1v3")</f>
        <v>Wh1t3h1v3</v>
      </c>
    </row>
    <row r="12973">
      <c r="A12973" s="4" t="str">
        <f>IFERROR(__xludf.DUMMYFUNCTION("""COMPUTED_VALUE"""),"white-lotus")</f>
        <v>white-lotus</v>
      </c>
      <c r="B12973" s="4" t="str">
        <f>IFERROR(__xludf.DUMMYFUNCTION("""COMPUTED_VALUE"""),"lotus")</f>
        <v>lotus</v>
      </c>
      <c r="C12973" s="4" t="str">
        <f>IFERROR(__xludf.DUMMYFUNCTION("""COMPUTED_VALUE"""),"White Lotus")</f>
        <v>White Lotus</v>
      </c>
    </row>
    <row r="12974">
      <c r="A12974" s="4" t="str">
        <f>IFERROR(__xludf.DUMMYFUNCTION("""COMPUTED_VALUE"""),"white-rhinoceros")</f>
        <v>white-rhinoceros</v>
      </c>
      <c r="B12974" s="4" t="str">
        <f>IFERROR(__xludf.DUMMYFUNCTION("""COMPUTED_VALUE"""),"whrh")</f>
        <v>whrh</v>
      </c>
      <c r="C12974" s="4" t="str">
        <f>IFERROR(__xludf.DUMMYFUNCTION("""COMPUTED_VALUE"""),"White Rhinoceros")</f>
        <v>White Rhinoceros</v>
      </c>
    </row>
    <row r="12975">
      <c r="A12975" s="4" t="str">
        <f>IFERROR(__xludf.DUMMYFUNCTION("""COMPUTED_VALUE"""),"white-whale")</f>
        <v>white-whale</v>
      </c>
      <c r="B12975" s="4" t="str">
        <f>IFERROR(__xludf.DUMMYFUNCTION("""COMPUTED_VALUE"""),"whale")</f>
        <v>whale</v>
      </c>
      <c r="C12975" s="4" t="str">
        <f>IFERROR(__xludf.DUMMYFUNCTION("""COMPUTED_VALUE"""),"White Whale")</f>
        <v>White Whale</v>
      </c>
    </row>
    <row r="12976">
      <c r="A12976" s="4" t="str">
        <f>IFERROR(__xludf.DUMMYFUNCTION("""COMPUTED_VALUE"""),"white-yorkshire")</f>
        <v>white-yorkshire</v>
      </c>
      <c r="B12976" s="4" t="str">
        <f>IFERROR(__xludf.DUMMYFUNCTION("""COMPUTED_VALUE"""),"wsh")</f>
        <v>wsh</v>
      </c>
      <c r="C12976" s="4" t="str">
        <f>IFERROR(__xludf.DUMMYFUNCTION("""COMPUTED_VALUE"""),"White Yorkshire")</f>
        <v>White Yorkshire</v>
      </c>
    </row>
    <row r="12977">
      <c r="A12977" s="4" t="str">
        <f>IFERROR(__xludf.DUMMYFUNCTION("""COMPUTED_VALUE"""),"whole-earth-coin")</f>
        <v>whole-earth-coin</v>
      </c>
      <c r="B12977" s="4" t="str">
        <f>IFERROR(__xludf.DUMMYFUNCTION("""COMPUTED_VALUE"""),"wec")</f>
        <v>wec</v>
      </c>
      <c r="C12977" s="4" t="str">
        <f>IFERROR(__xludf.DUMMYFUNCTION("""COMPUTED_VALUE"""),"Whole Earth Coin")</f>
        <v>Whole Earth Coin</v>
      </c>
    </row>
    <row r="12978">
      <c r="A12978" s="4" t="str">
        <f>IFERROR(__xludf.DUMMYFUNCTION("""COMPUTED_VALUE"""),"why")</f>
        <v>why</v>
      </c>
      <c r="B12978" s="4" t="str">
        <f>IFERROR(__xludf.DUMMYFUNCTION("""COMPUTED_VALUE"""),"why")</f>
        <v>why</v>
      </c>
      <c r="C12978" s="4" t="str">
        <f>IFERROR(__xludf.DUMMYFUNCTION("""COMPUTED_VALUE"""),"WHY")</f>
        <v>WHY</v>
      </c>
    </row>
    <row r="12979">
      <c r="A12979" s="4" t="str">
        <f>IFERROR(__xludf.DUMMYFUNCTION("""COMPUTED_VALUE"""),"wibx")</f>
        <v>wibx</v>
      </c>
      <c r="B12979" s="4" t="str">
        <f>IFERROR(__xludf.DUMMYFUNCTION("""COMPUTED_VALUE"""),"wbx")</f>
        <v>wbx</v>
      </c>
      <c r="C12979" s="4" t="str">
        <f>IFERROR(__xludf.DUMMYFUNCTION("""COMPUTED_VALUE"""),"WiBX")</f>
        <v>WiBX</v>
      </c>
    </row>
    <row r="12980">
      <c r="A12980" s="4" t="str">
        <f>IFERROR(__xludf.DUMMYFUNCTION("""COMPUTED_VALUE"""),"wickedbet-casino")</f>
        <v>wickedbet-casino</v>
      </c>
      <c r="B12980" s="4" t="str">
        <f>IFERROR(__xludf.DUMMYFUNCTION("""COMPUTED_VALUE"""),"wik")</f>
        <v>wik</v>
      </c>
      <c r="C12980" s="4" t="str">
        <f>IFERROR(__xludf.DUMMYFUNCTION("""COMPUTED_VALUE"""),"WickedBet Casino")</f>
        <v>WickedBet Casino</v>
      </c>
    </row>
    <row r="12981">
      <c r="A12981" s="4" t="str">
        <f>IFERROR(__xludf.DUMMYFUNCTION("""COMPUTED_VALUE"""),"wicked-moai")</f>
        <v>wicked-moai</v>
      </c>
      <c r="B12981" s="4" t="str">
        <f>IFERROR(__xludf.DUMMYFUNCTION("""COMPUTED_VALUE"""),"moai")</f>
        <v>moai</v>
      </c>
      <c r="C12981" s="4" t="str">
        <f>IFERROR(__xludf.DUMMYFUNCTION("""COMPUTED_VALUE"""),"Wicked Moai")</f>
        <v>Wicked Moai</v>
      </c>
    </row>
    <row r="12982">
      <c r="A12982" s="4" t="str">
        <f>IFERROR(__xludf.DUMMYFUNCTION("""COMPUTED_VALUE"""),"wicrypt")</f>
        <v>wicrypt</v>
      </c>
      <c r="B12982" s="4" t="str">
        <f>IFERROR(__xludf.DUMMYFUNCTION("""COMPUTED_VALUE"""),"wnt")</f>
        <v>wnt</v>
      </c>
      <c r="C12982" s="4" t="str">
        <f>IFERROR(__xludf.DUMMYFUNCTION("""COMPUTED_VALUE"""),"Wicrypt")</f>
        <v>Wicrypt</v>
      </c>
    </row>
    <row r="12983">
      <c r="A12983" s="4" t="str">
        <f>IFERROR(__xludf.DUMMYFUNCTION("""COMPUTED_VALUE"""),"widecoin")</f>
        <v>widecoin</v>
      </c>
      <c r="B12983" s="4" t="str">
        <f>IFERROR(__xludf.DUMMYFUNCTION("""COMPUTED_VALUE"""),"wcn")</f>
        <v>wcn</v>
      </c>
      <c r="C12983" s="4" t="str">
        <f>IFERROR(__xludf.DUMMYFUNCTION("""COMPUTED_VALUE"""),"Widecoin")</f>
        <v>Widecoin</v>
      </c>
    </row>
    <row r="12984">
      <c r="A12984" s="4" t="str">
        <f>IFERROR(__xludf.DUMMYFUNCTION("""COMPUTED_VALUE"""),"wife-changing-money")</f>
        <v>wife-changing-money</v>
      </c>
      <c r="B12984" s="4" t="str">
        <f>IFERROR(__xludf.DUMMYFUNCTION("""COMPUTED_VALUE"""),"wife")</f>
        <v>wife</v>
      </c>
      <c r="C12984" s="4" t="str">
        <f>IFERROR(__xludf.DUMMYFUNCTION("""COMPUTED_VALUE"""),"Wife Changing Money")</f>
        <v>Wife Changing Money</v>
      </c>
    </row>
    <row r="12985">
      <c r="A12985" s="4" t="str">
        <f>IFERROR(__xludf.DUMMYFUNCTION("""COMPUTED_VALUE"""),"wifedoge")</f>
        <v>wifedoge</v>
      </c>
      <c r="B12985" s="4" t="str">
        <f>IFERROR(__xludf.DUMMYFUNCTION("""COMPUTED_VALUE"""),"wifedoge")</f>
        <v>wifedoge</v>
      </c>
      <c r="C12985" s="4" t="str">
        <f>IFERROR(__xludf.DUMMYFUNCTION("""COMPUTED_VALUE"""),"Wifedoge")</f>
        <v>Wifedoge</v>
      </c>
    </row>
    <row r="12986">
      <c r="A12986" s="4" t="str">
        <f>IFERROR(__xludf.DUMMYFUNCTION("""COMPUTED_VALUE"""),"wifi")</f>
        <v>wifi</v>
      </c>
      <c r="B12986" s="4" t="str">
        <f>IFERROR(__xludf.DUMMYFUNCTION("""COMPUTED_VALUE"""),"wifi")</f>
        <v>wifi</v>
      </c>
      <c r="C12986" s="4" t="str">
        <f>IFERROR(__xludf.DUMMYFUNCTION("""COMPUTED_VALUE"""),"WiFi Map")</f>
        <v>WiFi Map</v>
      </c>
    </row>
    <row r="12987">
      <c r="A12987" s="4" t="str">
        <f>IFERROR(__xludf.DUMMYFUNCTION("""COMPUTED_VALUE"""),"wifpepemoginu")</f>
        <v>wifpepemoginu</v>
      </c>
      <c r="B12987" s="4" t="str">
        <f>IFERROR(__xludf.DUMMYFUNCTION("""COMPUTED_VALUE"""),"wifpepemog")</f>
        <v>wifpepemog</v>
      </c>
      <c r="C12987" s="4" t="str">
        <f>IFERROR(__xludf.DUMMYFUNCTION("""COMPUTED_VALUE"""),"WIFPEPEMOGINU")</f>
        <v>WIFPEPEMOGINU</v>
      </c>
    </row>
    <row r="12988">
      <c r="A12988" s="4" t="str">
        <f>IFERROR(__xludf.DUMMYFUNCTION("""COMPUTED_VALUE"""),"wigger")</f>
        <v>wigger</v>
      </c>
      <c r="B12988" s="4" t="str">
        <f>IFERROR(__xludf.DUMMYFUNCTION("""COMPUTED_VALUE"""),"wigger")</f>
        <v>wigger</v>
      </c>
      <c r="C12988" s="4" t="str">
        <f>IFERROR(__xludf.DUMMYFUNCTION("""COMPUTED_VALUE"""),"Wigger")</f>
        <v>Wigger</v>
      </c>
    </row>
    <row r="12989">
      <c r="A12989" s="4" t="str">
        <f>IFERROR(__xludf.DUMMYFUNCTION("""COMPUTED_VALUE"""),"wigoswap")</f>
        <v>wigoswap</v>
      </c>
      <c r="B12989" s="4" t="str">
        <f>IFERROR(__xludf.DUMMYFUNCTION("""COMPUTED_VALUE"""),"wigo")</f>
        <v>wigo</v>
      </c>
      <c r="C12989" s="4" t="str">
        <f>IFERROR(__xludf.DUMMYFUNCTION("""COMPUTED_VALUE"""),"WigoSwap")</f>
        <v>WigoSwap</v>
      </c>
    </row>
    <row r="12990">
      <c r="A12990" s="4" t="str">
        <f>IFERROR(__xludf.DUMMYFUNCTION("""COMPUTED_VALUE"""),"wiki-cat")</f>
        <v>wiki-cat</v>
      </c>
      <c r="B12990" s="4" t="str">
        <f>IFERROR(__xludf.DUMMYFUNCTION("""COMPUTED_VALUE"""),"wkc")</f>
        <v>wkc</v>
      </c>
      <c r="C12990" s="4" t="str">
        <f>IFERROR(__xludf.DUMMYFUNCTION("""COMPUTED_VALUE"""),"Wiki Cat")</f>
        <v>Wiki Cat</v>
      </c>
    </row>
    <row r="12991">
      <c r="A12991" s="4" t="str">
        <f>IFERROR(__xludf.DUMMYFUNCTION("""COMPUTED_VALUE"""),"wild-base")</f>
        <v>wild-base</v>
      </c>
      <c r="B12991" s="4" t="str">
        <f>IFERROR(__xludf.DUMMYFUNCTION("""COMPUTED_VALUE"""),"bwild")</f>
        <v>bwild</v>
      </c>
      <c r="C12991" s="4" t="str">
        <f>IFERROR(__xludf.DUMMYFUNCTION("""COMPUTED_VALUE"""),"Wild Base")</f>
        <v>Wild Base</v>
      </c>
    </row>
    <row r="12992">
      <c r="A12992" s="4" t="str">
        <f>IFERROR(__xludf.DUMMYFUNCTION("""COMPUTED_VALUE"""),"wilder-world")</f>
        <v>wilder-world</v>
      </c>
      <c r="B12992" s="4" t="str">
        <f>IFERROR(__xludf.DUMMYFUNCTION("""COMPUTED_VALUE"""),"wild")</f>
        <v>wild</v>
      </c>
      <c r="C12992" s="4" t="str">
        <f>IFERROR(__xludf.DUMMYFUNCTION("""COMPUTED_VALUE"""),"Wilder World")</f>
        <v>Wilder World</v>
      </c>
    </row>
    <row r="12993">
      <c r="A12993" s="4" t="str">
        <f>IFERROR(__xludf.DUMMYFUNCTION("""COMPUTED_VALUE"""),"wild-goat-coin")</f>
        <v>wild-goat-coin</v>
      </c>
      <c r="B12993" s="4" t="str">
        <f>IFERROR(__xludf.DUMMYFUNCTION("""COMPUTED_VALUE"""),"wgc")</f>
        <v>wgc</v>
      </c>
      <c r="C12993" s="4" t="str">
        <f>IFERROR(__xludf.DUMMYFUNCTION("""COMPUTED_VALUE"""),"Wild Goat Coin")</f>
        <v>Wild Goat Coin</v>
      </c>
    </row>
    <row r="12994">
      <c r="A12994" s="4" t="str">
        <f>IFERROR(__xludf.DUMMYFUNCTION("""COMPUTED_VALUE"""),"wild-island-game")</f>
        <v>wild-island-game</v>
      </c>
      <c r="B12994" s="4" t="str">
        <f>IFERROR(__xludf.DUMMYFUNCTION("""COMPUTED_VALUE"""),"wild")</f>
        <v>wild</v>
      </c>
      <c r="C12994" s="4" t="str">
        <f>IFERROR(__xludf.DUMMYFUNCTION("""COMPUTED_VALUE"""),"Wild Island Game")</f>
        <v>Wild Island Game</v>
      </c>
    </row>
    <row r="12995">
      <c r="A12995" s="4" t="str">
        <f>IFERROR(__xludf.DUMMYFUNCTION("""COMPUTED_VALUE"""),"wildx")</f>
        <v>wildx</v>
      </c>
      <c r="B12995" s="4" t="str">
        <f>IFERROR(__xludf.DUMMYFUNCTION("""COMPUTED_VALUE"""),"wild")</f>
        <v>wild</v>
      </c>
      <c r="C12995" s="4" t="str">
        <f>IFERROR(__xludf.DUMMYFUNCTION("""COMPUTED_VALUE"""),"WILDx")</f>
        <v>WILDx</v>
      </c>
    </row>
    <row r="12996">
      <c r="A12996" s="4" t="str">
        <f>IFERROR(__xludf.DUMMYFUNCTION("""COMPUTED_VALUE"""),"willy")</f>
        <v>willy</v>
      </c>
      <c r="B12996" s="4" t="str">
        <f>IFERROR(__xludf.DUMMYFUNCTION("""COMPUTED_VALUE"""),"willy")</f>
        <v>willy</v>
      </c>
      <c r="C12996" s="4" t="str">
        <f>IFERROR(__xludf.DUMMYFUNCTION("""COMPUTED_VALUE"""),"Willy")</f>
        <v>Willy</v>
      </c>
    </row>
    <row r="12997">
      <c r="A12997" s="4" t="str">
        <f>IFERROR(__xludf.DUMMYFUNCTION("""COMPUTED_VALUE"""),"winamp")</f>
        <v>winamp</v>
      </c>
      <c r="B12997" s="4" t="str">
        <f>IFERROR(__xludf.DUMMYFUNCTION("""COMPUTED_VALUE"""),"winamp")</f>
        <v>winamp</v>
      </c>
      <c r="C12997" s="4" t="str">
        <f>IFERROR(__xludf.DUMMYFUNCTION("""COMPUTED_VALUE"""),"WINAMP")</f>
        <v>WINAMP</v>
      </c>
    </row>
    <row r="12998">
      <c r="A12998" s="4" t="str">
        <f>IFERROR(__xludf.DUMMYFUNCTION("""COMPUTED_VALUE"""),"windfall-token")</f>
        <v>windfall-token</v>
      </c>
      <c r="B12998" s="4" t="str">
        <f>IFERROR(__xludf.DUMMYFUNCTION("""COMPUTED_VALUE"""),"wft")</f>
        <v>wft</v>
      </c>
      <c r="C12998" s="4" t="str">
        <f>IFERROR(__xludf.DUMMYFUNCTION("""COMPUTED_VALUE"""),"Windfall")</f>
        <v>Windfall</v>
      </c>
    </row>
    <row r="12999">
      <c r="A12999" s="4" t="str">
        <f>IFERROR(__xludf.DUMMYFUNCTION("""COMPUTED_VALUE"""),"windoge98")</f>
        <v>windoge98</v>
      </c>
      <c r="B12999" s="4" t="str">
        <f>IFERROR(__xludf.DUMMYFUNCTION("""COMPUTED_VALUE"""),"exe")</f>
        <v>exe</v>
      </c>
      <c r="C12999" s="4" t="str">
        <f>IFERROR(__xludf.DUMMYFUNCTION("""COMPUTED_VALUE"""),"Windoge98")</f>
        <v>Windoge98</v>
      </c>
    </row>
    <row r="13000">
      <c r="A13000" s="4" t="str">
        <f>IFERROR(__xludf.DUMMYFUNCTION("""COMPUTED_VALUE"""),"winerz")</f>
        <v>winerz</v>
      </c>
      <c r="B13000" s="4" t="str">
        <f>IFERROR(__xludf.DUMMYFUNCTION("""COMPUTED_VALUE"""),"$wnz")</f>
        <v>$wnz</v>
      </c>
      <c r="C13000" s="4" t="str">
        <f>IFERROR(__xludf.DUMMYFUNCTION("""COMPUTED_VALUE"""),"Winerz")</f>
        <v>Winerz</v>
      </c>
    </row>
    <row r="13001">
      <c r="A13001" s="4" t="str">
        <f>IFERROR(__xludf.DUMMYFUNCTION("""COMPUTED_VALUE"""),"wine-shares")</f>
        <v>wine-shares</v>
      </c>
      <c r="B13001" s="4" t="str">
        <f>IFERROR(__xludf.DUMMYFUNCTION("""COMPUTED_VALUE"""),"wine")</f>
        <v>wine</v>
      </c>
      <c r="C13001" s="4" t="str">
        <f>IFERROR(__xludf.DUMMYFUNCTION("""COMPUTED_VALUE"""),"Wine Shares")</f>
        <v>Wine Shares</v>
      </c>
    </row>
    <row r="13002">
      <c r="A13002" s="4" t="str">
        <f>IFERROR(__xludf.DUMMYFUNCTION("""COMPUTED_VALUE"""),"wing-finance")</f>
        <v>wing-finance</v>
      </c>
      <c r="B13002" s="4" t="str">
        <f>IFERROR(__xludf.DUMMYFUNCTION("""COMPUTED_VALUE"""),"wing")</f>
        <v>wing</v>
      </c>
      <c r="C13002" s="4" t="str">
        <f>IFERROR(__xludf.DUMMYFUNCTION("""COMPUTED_VALUE"""),"Wing Finance")</f>
        <v>Wing Finance</v>
      </c>
    </row>
    <row r="13003">
      <c r="A13003" s="4" t="str">
        <f>IFERROR(__xludf.DUMMYFUNCTION("""COMPUTED_VALUE"""),"wingriders")</f>
        <v>wingriders</v>
      </c>
      <c r="B13003" s="4" t="str">
        <f>IFERROR(__xludf.DUMMYFUNCTION("""COMPUTED_VALUE"""),"wrt")</f>
        <v>wrt</v>
      </c>
      <c r="C13003" s="4" t="str">
        <f>IFERROR(__xludf.DUMMYFUNCTION("""COMPUTED_VALUE"""),"WingRiders")</f>
        <v>WingRiders</v>
      </c>
    </row>
    <row r="13004">
      <c r="A13004" s="4" t="str">
        <f>IFERROR(__xludf.DUMMYFUNCTION("""COMPUTED_VALUE"""),"wingswap")</f>
        <v>wingswap</v>
      </c>
      <c r="B13004" s="4" t="str">
        <f>IFERROR(__xludf.DUMMYFUNCTION("""COMPUTED_VALUE"""),"wis")</f>
        <v>wis</v>
      </c>
      <c r="C13004" s="4" t="str">
        <f>IFERROR(__xludf.DUMMYFUNCTION("""COMPUTED_VALUE"""),"WingSwap")</f>
        <v>WingSwap</v>
      </c>
    </row>
    <row r="13005">
      <c r="A13005" s="4" t="str">
        <f>IFERROR(__xludf.DUMMYFUNCTION("""COMPUTED_VALUE"""),"wink")</f>
        <v>wink</v>
      </c>
      <c r="B13005" s="4" t="str">
        <f>IFERROR(__xludf.DUMMYFUNCTION("""COMPUTED_VALUE"""),"win")</f>
        <v>win</v>
      </c>
      <c r="C13005" s="4" t="str">
        <f>IFERROR(__xludf.DUMMYFUNCTION("""COMPUTED_VALUE"""),"WINkLink")</f>
        <v>WINkLink</v>
      </c>
    </row>
    <row r="13006">
      <c r="A13006" s="4" t="str">
        <f>IFERROR(__xludf.DUMMYFUNCTION("""COMPUTED_VALUE"""),"winkhub")</f>
        <v>winkhub</v>
      </c>
      <c r="B13006" s="4" t="str">
        <f>IFERROR(__xludf.DUMMYFUNCTION("""COMPUTED_VALUE"""),"wink")</f>
        <v>wink</v>
      </c>
      <c r="C13006" s="4" t="str">
        <f>IFERROR(__xludf.DUMMYFUNCTION("""COMPUTED_VALUE"""),"WinkHub")</f>
        <v>WinkHub</v>
      </c>
    </row>
    <row r="13007">
      <c r="A13007" s="4" t="str">
        <f>IFERROR(__xludf.DUMMYFUNCTION("""COMPUTED_VALUE"""),"winklink-bsc")</f>
        <v>winklink-bsc</v>
      </c>
      <c r="B13007" s="4" t="str">
        <f>IFERROR(__xludf.DUMMYFUNCTION("""COMPUTED_VALUE"""),"win")</f>
        <v>win</v>
      </c>
      <c r="C13007" s="4" t="str">
        <f>IFERROR(__xludf.DUMMYFUNCTION("""COMPUTED_VALUE"""),"WINkLink BSC")</f>
        <v>WINkLink BSC</v>
      </c>
    </row>
    <row r="13008">
      <c r="A13008" s="4" t="str">
        <f>IFERROR(__xludf.DUMMYFUNCTION("""COMPUTED_VALUE"""),"winners-coin")</f>
        <v>winners-coin</v>
      </c>
      <c r="B13008" s="4" t="str">
        <f>IFERROR(__xludf.DUMMYFUNCTION("""COMPUTED_VALUE"""),"tw")</f>
        <v>tw</v>
      </c>
      <c r="C13008" s="4" t="str">
        <f>IFERROR(__xludf.DUMMYFUNCTION("""COMPUTED_VALUE"""),"Winners Coin")</f>
        <v>Winners Coin</v>
      </c>
    </row>
    <row r="13009">
      <c r="A13009" s="4" t="str">
        <f>IFERROR(__xludf.DUMMYFUNCTION("""COMPUTED_VALUE"""),"winnerz")</f>
        <v>winnerz</v>
      </c>
      <c r="B13009" s="4" t="str">
        <f>IFERROR(__xludf.DUMMYFUNCTION("""COMPUTED_VALUE"""),"wnz")</f>
        <v>wnz</v>
      </c>
      <c r="C13009" s="4" t="str">
        <f>IFERROR(__xludf.DUMMYFUNCTION("""COMPUTED_VALUE"""),"Winnerz")</f>
        <v>Winnerz</v>
      </c>
    </row>
    <row r="13010">
      <c r="A13010" s="4" t="str">
        <f>IFERROR(__xludf.DUMMYFUNCTION("""COMPUTED_VALUE"""),"winr-protocol")</f>
        <v>winr-protocol</v>
      </c>
      <c r="B13010" s="4" t="str">
        <f>IFERROR(__xludf.DUMMYFUNCTION("""COMPUTED_VALUE"""),"winr")</f>
        <v>winr</v>
      </c>
      <c r="C13010" s="4" t="str">
        <f>IFERROR(__xludf.DUMMYFUNCTION("""COMPUTED_VALUE"""),"WINR Protocol")</f>
        <v>WINR Protocol</v>
      </c>
    </row>
    <row r="13011">
      <c r="A13011" s="4" t="str">
        <f>IFERROR(__xludf.DUMMYFUNCTION("""COMPUTED_VALUE"""),"wins")</f>
        <v>wins</v>
      </c>
      <c r="B13011" s="4" t="str">
        <f>IFERROR(__xludf.DUMMYFUNCTION("""COMPUTED_VALUE"""),"wins")</f>
        <v>wins</v>
      </c>
      <c r="C13011" s="4" t="str">
        <f>IFERROR(__xludf.DUMMYFUNCTION("""COMPUTED_VALUE"""),"Trophy")</f>
        <v>Trophy</v>
      </c>
    </row>
    <row r="13012">
      <c r="A13012" s="4" t="str">
        <f>IFERROR(__xludf.DUMMYFUNCTION("""COMPUTED_VALUE"""),"winter")</f>
        <v>winter</v>
      </c>
      <c r="B13012" s="4" t="str">
        <f>IFERROR(__xludf.DUMMYFUNCTION("""COMPUTED_VALUE"""),"winter")</f>
        <v>winter</v>
      </c>
      <c r="C13012" s="4" t="str">
        <f>IFERROR(__xludf.DUMMYFUNCTION("""COMPUTED_VALUE"""),"Winter")</f>
        <v>Winter</v>
      </c>
    </row>
    <row r="13013">
      <c r="A13013" s="4" t="str">
        <f>IFERROR(__xludf.DUMMYFUNCTION("""COMPUTED_VALUE"""),"winterdog")</f>
        <v>winterdog</v>
      </c>
      <c r="B13013" s="4" t="str">
        <f>IFERROR(__xludf.DUMMYFUNCTION("""COMPUTED_VALUE"""),"wdog")</f>
        <v>wdog</v>
      </c>
      <c r="C13013" s="4" t="str">
        <f>IFERROR(__xludf.DUMMYFUNCTION("""COMPUTED_VALUE"""),"Winterdog")</f>
        <v>Winterdog</v>
      </c>
    </row>
    <row r="13014">
      <c r="A13014" s="4" t="str">
        <f>IFERROR(__xludf.DUMMYFUNCTION("""COMPUTED_VALUE"""),"wipemyass")</f>
        <v>wipemyass</v>
      </c>
      <c r="B13014" s="4" t="str">
        <f>IFERROR(__xludf.DUMMYFUNCTION("""COMPUTED_VALUE"""),"wipe")</f>
        <v>wipe</v>
      </c>
      <c r="C13014" s="4" t="str">
        <f>IFERROR(__xludf.DUMMYFUNCTION("""COMPUTED_VALUE"""),"WipeMyAss")</f>
        <v>WipeMyAss</v>
      </c>
    </row>
    <row r="13015">
      <c r="A13015" s="4" t="str">
        <f>IFERROR(__xludf.DUMMYFUNCTION("""COMPUTED_VALUE"""),"wireshape")</f>
        <v>wireshape</v>
      </c>
      <c r="B13015" s="4" t="str">
        <f>IFERROR(__xludf.DUMMYFUNCTION("""COMPUTED_VALUE"""),"wire")</f>
        <v>wire</v>
      </c>
      <c r="C13015" s="4" t="str">
        <f>IFERROR(__xludf.DUMMYFUNCTION("""COMPUTED_VALUE"""),"Wireshape")</f>
        <v>Wireshape</v>
      </c>
    </row>
    <row r="13016">
      <c r="A13016" s="4" t="str">
        <f>IFERROR(__xludf.DUMMYFUNCTION("""COMPUTED_VALUE"""),"wirex")</f>
        <v>wirex</v>
      </c>
      <c r="B13016" s="4" t="str">
        <f>IFERROR(__xludf.DUMMYFUNCTION("""COMPUTED_VALUE"""),"wxt")</f>
        <v>wxt</v>
      </c>
      <c r="C13016" s="4" t="str">
        <f>IFERROR(__xludf.DUMMYFUNCTION("""COMPUTED_VALUE"""),"WXT Token")</f>
        <v>WXT Token</v>
      </c>
    </row>
    <row r="13017">
      <c r="A13017" s="4" t="str">
        <f>IFERROR(__xludf.DUMMYFUNCTION("""COMPUTED_VALUE"""),"wirtual")</f>
        <v>wirtual</v>
      </c>
      <c r="B13017" s="4" t="str">
        <f>IFERROR(__xludf.DUMMYFUNCTION("""COMPUTED_VALUE"""),"wirtual")</f>
        <v>wirtual</v>
      </c>
      <c r="C13017" s="4" t="str">
        <f>IFERROR(__xludf.DUMMYFUNCTION("""COMPUTED_VALUE"""),"Wirtual")</f>
        <v>Wirtual</v>
      </c>
    </row>
    <row r="13018">
      <c r="A13018" s="4" t="str">
        <f>IFERROR(__xludf.DUMMYFUNCTION("""COMPUTED_VALUE"""),"wisdomise")</f>
        <v>wisdomise</v>
      </c>
      <c r="B13018" s="4" t="str">
        <f>IFERROR(__xludf.DUMMYFUNCTION("""COMPUTED_VALUE"""),"wsdm")</f>
        <v>wsdm</v>
      </c>
      <c r="C13018" s="4" t="str">
        <f>IFERROR(__xludf.DUMMYFUNCTION("""COMPUTED_VALUE"""),"Wisdomise")</f>
        <v>Wisdomise</v>
      </c>
    </row>
    <row r="13019">
      <c r="A13019" s="4" t="str">
        <f>IFERROR(__xludf.DUMMYFUNCTION("""COMPUTED_VALUE"""),"wise-token11")</f>
        <v>wise-token11</v>
      </c>
      <c r="B13019" s="4" t="str">
        <f>IFERROR(__xludf.DUMMYFUNCTION("""COMPUTED_VALUE"""),"wise")</f>
        <v>wise</v>
      </c>
      <c r="C13019" s="4" t="str">
        <f>IFERROR(__xludf.DUMMYFUNCTION("""COMPUTED_VALUE"""),"Wise")</f>
        <v>Wise</v>
      </c>
    </row>
    <row r="13020">
      <c r="A13020" s="4" t="str">
        <f>IFERROR(__xludf.DUMMYFUNCTION("""COMPUTED_VALUE"""),"wish-me-luck")</f>
        <v>wish-me-luck</v>
      </c>
      <c r="B13020" s="4" t="str">
        <f>IFERROR(__xludf.DUMMYFUNCTION("""COMPUTED_VALUE"""),"wml")</f>
        <v>wml</v>
      </c>
      <c r="C13020" s="4" t="str">
        <f>IFERROR(__xludf.DUMMYFUNCTION("""COMPUTED_VALUE"""),"Wish Me Luck")</f>
        <v>Wish Me Luck</v>
      </c>
    </row>
    <row r="13021">
      <c r="A13021" s="4" t="str">
        <f>IFERROR(__xludf.DUMMYFUNCTION("""COMPUTED_VALUE"""),"wiskers")</f>
        <v>wiskers</v>
      </c>
      <c r="B13021" s="4" t="str">
        <f>IFERROR(__xludf.DUMMYFUNCTION("""COMPUTED_VALUE"""),"wskr")</f>
        <v>wskr</v>
      </c>
      <c r="C13021" s="4" t="str">
        <f>IFERROR(__xludf.DUMMYFUNCTION("""COMPUTED_VALUE"""),"Wiskers")</f>
        <v>Wiskers</v>
      </c>
    </row>
    <row r="13022">
      <c r="A13022" s="4" t="str">
        <f>IFERROR(__xludf.DUMMYFUNCTION("""COMPUTED_VALUE"""),"wispswap")</f>
        <v>wispswap</v>
      </c>
      <c r="B13022" s="4" t="str">
        <f>IFERROR(__xludf.DUMMYFUNCTION("""COMPUTED_VALUE"""),"wisp")</f>
        <v>wisp</v>
      </c>
      <c r="C13022" s="4" t="str">
        <f>IFERROR(__xludf.DUMMYFUNCTION("""COMPUTED_VALUE"""),"WispSwap")</f>
        <v>WispSwap</v>
      </c>
    </row>
    <row r="13023">
      <c r="A13023" s="4" t="str">
        <f>IFERROR(__xludf.DUMMYFUNCTION("""COMPUTED_VALUE"""),"wistaverse")</f>
        <v>wistaverse</v>
      </c>
      <c r="B13023" s="4" t="str">
        <f>IFERROR(__xludf.DUMMYFUNCTION("""COMPUTED_VALUE"""),"wista")</f>
        <v>wista</v>
      </c>
      <c r="C13023" s="4" t="str">
        <f>IFERROR(__xludf.DUMMYFUNCTION("""COMPUTED_VALUE"""),"Wistaverse")</f>
        <v>Wistaverse</v>
      </c>
    </row>
    <row r="13024">
      <c r="A13024" s="4" t="str">
        <f>IFERROR(__xludf.DUMMYFUNCTION("""COMPUTED_VALUE"""),"witch-token")</f>
        <v>witch-token</v>
      </c>
      <c r="B13024" s="4" t="str">
        <f>IFERROR(__xludf.DUMMYFUNCTION("""COMPUTED_VALUE"""),"witch")</f>
        <v>witch</v>
      </c>
      <c r="C13024" s="4" t="str">
        <f>IFERROR(__xludf.DUMMYFUNCTION("""COMPUTED_VALUE"""),"Witch Token")</f>
        <v>Witch Token</v>
      </c>
    </row>
    <row r="13025">
      <c r="A13025" s="4" t="str">
        <f>IFERROR(__xludf.DUMMYFUNCTION("""COMPUTED_VALUE"""),"witnet")</f>
        <v>witnet</v>
      </c>
      <c r="B13025" s="4" t="str">
        <f>IFERROR(__xludf.DUMMYFUNCTION("""COMPUTED_VALUE"""),"wit")</f>
        <v>wit</v>
      </c>
      <c r="C13025" s="4" t="str">
        <f>IFERROR(__xludf.DUMMYFUNCTION("""COMPUTED_VALUE"""),"Witnet")</f>
        <v>Witnet</v>
      </c>
    </row>
    <row r="13026">
      <c r="A13026" s="4" t="str">
        <f>IFERROR(__xludf.DUMMYFUNCTION("""COMPUTED_VALUE"""),"wizardia")</f>
        <v>wizardia</v>
      </c>
      <c r="B13026" s="4" t="str">
        <f>IFERROR(__xludf.DUMMYFUNCTION("""COMPUTED_VALUE"""),"wzrd")</f>
        <v>wzrd</v>
      </c>
      <c r="C13026" s="4" t="str">
        <f>IFERROR(__xludf.DUMMYFUNCTION("""COMPUTED_VALUE"""),"Wizardia")</f>
        <v>Wizardia</v>
      </c>
    </row>
    <row r="13027">
      <c r="A13027" s="4" t="str">
        <f>IFERROR(__xludf.DUMMYFUNCTION("""COMPUTED_VALUE"""),"wizard-token-8fc587d7-4b79-4f5a-89c9-475f528c6d47")</f>
        <v>wizard-token-8fc587d7-4b79-4f5a-89c9-475f528c6d47</v>
      </c>
      <c r="B13027" s="4" t="str">
        <f>IFERROR(__xludf.DUMMYFUNCTION("""COMPUTED_VALUE"""),"wizt")</f>
        <v>wizt</v>
      </c>
      <c r="C13027" s="4" t="str">
        <f>IFERROR(__xludf.DUMMYFUNCTION("""COMPUTED_VALUE"""),"Wizard Token")</f>
        <v>Wizard Token</v>
      </c>
    </row>
    <row r="13028">
      <c r="A13028" s="4" t="str">
        <f>IFERROR(__xludf.DUMMYFUNCTION("""COMPUTED_VALUE"""),"wizard-vault-nftx")</f>
        <v>wizard-vault-nftx</v>
      </c>
      <c r="B13028" s="4" t="str">
        <f>IFERROR(__xludf.DUMMYFUNCTION("""COMPUTED_VALUE"""),"wizard")</f>
        <v>wizard</v>
      </c>
      <c r="C13028" s="4" t="str">
        <f>IFERROR(__xludf.DUMMYFUNCTION("""COMPUTED_VALUE"""),"WIZARD Vault (NFTX)")</f>
        <v>WIZARD Vault (NFTX)</v>
      </c>
    </row>
    <row r="13029">
      <c r="A13029" s="4" t="str">
        <f>IFERROR(__xludf.DUMMYFUNCTION("""COMPUTED_VALUE"""),"wizarre-scroll")</f>
        <v>wizarre-scroll</v>
      </c>
      <c r="B13029" s="4" t="str">
        <f>IFERROR(__xludf.DUMMYFUNCTION("""COMPUTED_VALUE"""),"scrl")</f>
        <v>scrl</v>
      </c>
      <c r="C13029" s="4" t="str">
        <f>IFERROR(__xludf.DUMMYFUNCTION("""COMPUTED_VALUE"""),"Wizarre Scroll")</f>
        <v>Wizarre Scroll</v>
      </c>
    </row>
    <row r="13030">
      <c r="A13030" s="4" t="str">
        <f>IFERROR(__xludf.DUMMYFUNCTION("""COMPUTED_VALUE"""),"wjewel")</f>
        <v>wjewel</v>
      </c>
      <c r="B13030" s="4" t="str">
        <f>IFERROR(__xludf.DUMMYFUNCTION("""COMPUTED_VALUE"""),"wjewel")</f>
        <v>wjewel</v>
      </c>
      <c r="C13030" s="4" t="str">
        <f>IFERROR(__xludf.DUMMYFUNCTION("""COMPUTED_VALUE"""),"WJEWEL")</f>
        <v>WJEWEL</v>
      </c>
    </row>
    <row r="13031">
      <c r="A13031" s="4" t="str">
        <f>IFERROR(__xludf.DUMMYFUNCTION("""COMPUTED_VALUE"""),"wliti")</f>
        <v>wliti</v>
      </c>
      <c r="B13031" s="4" t="str">
        <f>IFERROR(__xludf.DUMMYFUNCTION("""COMPUTED_VALUE"""),"wliti")</f>
        <v>wliti</v>
      </c>
      <c r="C13031" s="4" t="str">
        <f>IFERROR(__xludf.DUMMYFUNCTION("""COMPUTED_VALUE"""),"wLITI")</f>
        <v>wLITI</v>
      </c>
    </row>
    <row r="13032">
      <c r="A13032" s="4" t="str">
        <f>IFERROR(__xludf.DUMMYFUNCTION("""COMPUTED_VALUE"""),"wlitidao")</f>
        <v>wlitidao</v>
      </c>
      <c r="B13032" s="4" t="str">
        <f>IFERROR(__xludf.DUMMYFUNCTION("""COMPUTED_VALUE"""),"wwd")</f>
        <v>wwd</v>
      </c>
      <c r="C13032" s="4" t="str">
        <f>IFERROR(__xludf.DUMMYFUNCTION("""COMPUTED_VALUE"""),"WolfWorksDAO")</f>
        <v>WolfWorksDAO</v>
      </c>
    </row>
    <row r="13033">
      <c r="A13033" s="4" t="str">
        <f>IFERROR(__xludf.DUMMYFUNCTION("""COMPUTED_VALUE"""),"wmatic")</f>
        <v>wmatic</v>
      </c>
      <c r="B13033" s="4" t="str">
        <f>IFERROR(__xludf.DUMMYFUNCTION("""COMPUTED_VALUE"""),"wmatic")</f>
        <v>wmatic</v>
      </c>
      <c r="C13033" s="4" t="str">
        <f>IFERROR(__xludf.DUMMYFUNCTION("""COMPUTED_VALUE"""),"Wrapped Matic")</f>
        <v>Wrapped Matic</v>
      </c>
    </row>
    <row r="13034">
      <c r="A13034" s="4" t="str">
        <f>IFERROR(__xludf.DUMMYFUNCTION("""COMPUTED_VALUE"""),"wmatic-plenty-bridge")</f>
        <v>wmatic-plenty-bridge</v>
      </c>
      <c r="B13034" s="4" t="str">
        <f>IFERROR(__xludf.DUMMYFUNCTION("""COMPUTED_VALUE"""),"wmatic.p")</f>
        <v>wmatic.p</v>
      </c>
      <c r="C13034" s="4" t="str">
        <f>IFERROR(__xludf.DUMMYFUNCTION("""COMPUTED_VALUE"""),"WMATIC (Plenty Bridge)")</f>
        <v>WMATIC (Plenty Bridge)</v>
      </c>
    </row>
    <row r="13035">
      <c r="A13035" s="4" t="str">
        <f>IFERROR(__xludf.DUMMYFUNCTION("""COMPUTED_VALUE"""),"wmetis")</f>
        <v>wmetis</v>
      </c>
      <c r="B13035" s="4" t="str">
        <f>IFERROR(__xludf.DUMMYFUNCTION("""COMPUTED_VALUE"""),"wmetis")</f>
        <v>wmetis</v>
      </c>
      <c r="C13035" s="4" t="str">
        <f>IFERROR(__xludf.DUMMYFUNCTION("""COMPUTED_VALUE"""),"Wrapped Metis")</f>
        <v>Wrapped Metis</v>
      </c>
    </row>
    <row r="13036">
      <c r="A13036" s="4" t="str">
        <f>IFERROR(__xludf.DUMMYFUNCTION("""COMPUTED_VALUE"""),"wmlp")</f>
        <v>wmlp</v>
      </c>
      <c r="B13036" s="4" t="str">
        <f>IFERROR(__xludf.DUMMYFUNCTION("""COMPUTED_VALUE"""),"wmlpv2")</f>
        <v>wmlpv2</v>
      </c>
      <c r="C13036" s="4" t="str">
        <f>IFERROR(__xludf.DUMMYFUNCTION("""COMPUTED_VALUE"""),"wMLP")</f>
        <v>wMLP</v>
      </c>
    </row>
    <row r="13037">
      <c r="A13037" s="4" t="str">
        <f>IFERROR(__xludf.DUMMYFUNCTION("""COMPUTED_VALUE"""),"wodo")</f>
        <v>wodo</v>
      </c>
      <c r="B13037" s="4" t="str">
        <f>IFERROR(__xludf.DUMMYFUNCTION("""COMPUTED_VALUE"""),"wodo")</f>
        <v>wodo</v>
      </c>
      <c r="C13037" s="4" t="str">
        <f>IFERROR(__xludf.DUMMYFUNCTION("""COMPUTED_VALUE"""),"Wodo")</f>
        <v>Wodo</v>
      </c>
    </row>
    <row r="13038">
      <c r="A13038" s="4" t="str">
        <f>IFERROR(__xludf.DUMMYFUNCTION("""COMPUTED_VALUE"""),"wodo-gaming")</f>
        <v>wodo-gaming</v>
      </c>
      <c r="B13038" s="4" t="str">
        <f>IFERROR(__xludf.DUMMYFUNCTION("""COMPUTED_VALUE"""),"xwgt")</f>
        <v>xwgt</v>
      </c>
      <c r="C13038" s="4" t="str">
        <f>IFERROR(__xludf.DUMMYFUNCTION("""COMPUTED_VALUE"""),"Wodo Gaming")</f>
        <v>Wodo Gaming</v>
      </c>
    </row>
    <row r="13039">
      <c r="A13039" s="4" t="str">
        <f>IFERROR(__xludf.DUMMYFUNCTION("""COMPUTED_VALUE"""),"wojak")</f>
        <v>wojak</v>
      </c>
      <c r="B13039" s="4" t="str">
        <f>IFERROR(__xludf.DUMMYFUNCTION("""COMPUTED_VALUE"""),"wojak")</f>
        <v>wojak</v>
      </c>
      <c r="C13039" s="4" t="str">
        <f>IFERROR(__xludf.DUMMYFUNCTION("""COMPUTED_VALUE"""),"Wojak")</f>
        <v>Wojak</v>
      </c>
    </row>
    <row r="13040">
      <c r="A13040" s="4" t="str">
        <f>IFERROR(__xludf.DUMMYFUNCTION("""COMPUTED_VALUE"""),"wojak-2-0-coin")</f>
        <v>wojak-2-0-coin</v>
      </c>
      <c r="B13040" s="4" t="str">
        <f>IFERROR(__xludf.DUMMYFUNCTION("""COMPUTED_VALUE"""),"wojak 2.0")</f>
        <v>wojak 2.0</v>
      </c>
      <c r="C13040" s="4" t="str">
        <f>IFERROR(__xludf.DUMMYFUNCTION("""COMPUTED_VALUE"""),"Wojak 2.0 Coin")</f>
        <v>Wojak 2.0 Coin</v>
      </c>
    </row>
    <row r="13041">
      <c r="A13041" s="4" t="str">
        <f>IFERROR(__xludf.DUMMYFUNCTION("""COMPUTED_VALUE"""),"wojak-2-69")</f>
        <v>wojak-2-69</v>
      </c>
      <c r="B13041" s="4" t="str">
        <f>IFERROR(__xludf.DUMMYFUNCTION("""COMPUTED_VALUE"""),"wojak2.69")</f>
        <v>wojak2.69</v>
      </c>
      <c r="C13041" s="4" t="str">
        <f>IFERROR(__xludf.DUMMYFUNCTION("""COMPUTED_VALUE"""),"Wojak 2.69")</f>
        <v>Wojak 2.69</v>
      </c>
    </row>
    <row r="13042">
      <c r="A13042" s="4" t="str">
        <f>IFERROR(__xludf.DUMMYFUNCTION("""COMPUTED_VALUE"""),"wojak-finance")</f>
        <v>wojak-finance</v>
      </c>
      <c r="B13042" s="4" t="str">
        <f>IFERROR(__xludf.DUMMYFUNCTION("""COMPUTED_VALUE"""),"woj")</f>
        <v>woj</v>
      </c>
      <c r="C13042" s="4" t="str">
        <f>IFERROR(__xludf.DUMMYFUNCTION("""COMPUTED_VALUE"""),"Wojak Finance")</f>
        <v>Wojak Finance</v>
      </c>
    </row>
    <row r="13043">
      <c r="A13043" s="4" t="str">
        <f>IFERROR(__xludf.DUMMYFUNCTION("""COMPUTED_VALUE"""),"woke")</f>
        <v>woke</v>
      </c>
      <c r="B13043" s="4" t="str">
        <f>IFERROR(__xludf.DUMMYFUNCTION("""COMPUTED_VALUE"""),"woke")</f>
        <v>woke</v>
      </c>
      <c r="C13043" s="4" t="str">
        <f>IFERROR(__xludf.DUMMYFUNCTION("""COMPUTED_VALUE"""),"Woke")</f>
        <v>Woke</v>
      </c>
    </row>
    <row r="13044">
      <c r="A13044" s="4" t="str">
        <f>IFERROR(__xludf.DUMMYFUNCTION("""COMPUTED_VALUE"""),"woke-frens")</f>
        <v>woke-frens</v>
      </c>
      <c r="B13044" s="4" t="str">
        <f>IFERROR(__xludf.DUMMYFUNCTION("""COMPUTED_VALUE"""),"woke")</f>
        <v>woke</v>
      </c>
      <c r="C13044" s="4" t="str">
        <f>IFERROR(__xludf.DUMMYFUNCTION("""COMPUTED_VALUE"""),"Woke Frens")</f>
        <v>Woke Frens</v>
      </c>
    </row>
    <row r="13045">
      <c r="A13045" s="4" t="str">
        <f>IFERROR(__xludf.DUMMYFUNCTION("""COMPUTED_VALUE"""),"wolfcoin")</f>
        <v>wolfcoin</v>
      </c>
      <c r="B13045" s="4" t="str">
        <f>IFERROR(__xludf.DUMMYFUNCTION("""COMPUTED_VALUE"""),"wolf")</f>
        <v>wolf</v>
      </c>
      <c r="C13045" s="4" t="str">
        <f>IFERROR(__xludf.DUMMYFUNCTION("""COMPUTED_VALUE"""),"WOLFCOIN")</f>
        <v>WOLFCOIN</v>
      </c>
    </row>
    <row r="13046">
      <c r="A13046" s="4" t="str">
        <f>IFERROR(__xludf.DUMMYFUNCTION("""COMPUTED_VALUE"""),"wolf-game-wool")</f>
        <v>wolf-game-wool</v>
      </c>
      <c r="B13046" s="4" t="str">
        <f>IFERROR(__xludf.DUMMYFUNCTION("""COMPUTED_VALUE"""),"wool")</f>
        <v>wool</v>
      </c>
      <c r="C13046" s="4" t="str">
        <f>IFERROR(__xludf.DUMMYFUNCTION("""COMPUTED_VALUE"""),"Wolf Game Wool")</f>
        <v>Wolf Game Wool</v>
      </c>
    </row>
    <row r="13047">
      <c r="A13047" s="4" t="str">
        <f>IFERROR(__xludf.DUMMYFUNCTION("""COMPUTED_VALUE"""),"wolf-inu")</f>
        <v>wolf-inu</v>
      </c>
      <c r="B13047" s="4" t="str">
        <f>IFERROR(__xludf.DUMMYFUNCTION("""COMPUTED_VALUE"""),"wolf inu")</f>
        <v>wolf inu</v>
      </c>
      <c r="C13047" s="4" t="str">
        <f>IFERROR(__xludf.DUMMYFUNCTION("""COMPUTED_VALUE"""),"WOLF INU")</f>
        <v>WOLF INU</v>
      </c>
    </row>
    <row r="13048">
      <c r="A13048" s="4" t="str">
        <f>IFERROR(__xludf.DUMMYFUNCTION("""COMPUTED_VALUE"""),"wolf-of-wall-street")</f>
        <v>wolf-of-wall-street</v>
      </c>
      <c r="B13048" s="4" t="str">
        <f>IFERROR(__xludf.DUMMYFUNCTION("""COMPUTED_VALUE"""),"$wolf")</f>
        <v>$wolf</v>
      </c>
      <c r="C13048" s="4" t="str">
        <f>IFERROR(__xludf.DUMMYFUNCTION("""COMPUTED_VALUE"""),"Wolf of Wall Street")</f>
        <v>Wolf of Wall Street</v>
      </c>
    </row>
    <row r="13049">
      <c r="A13049" s="4" t="str">
        <f>IFERROR(__xludf.DUMMYFUNCTION("""COMPUTED_VALUE"""),"wolf-on-solana")</f>
        <v>wolf-on-solana</v>
      </c>
      <c r="B13049" s="4" t="str">
        <f>IFERROR(__xludf.DUMMYFUNCTION("""COMPUTED_VALUE"""),"wolf")</f>
        <v>wolf</v>
      </c>
      <c r="C13049" s="4" t="str">
        <f>IFERROR(__xludf.DUMMYFUNCTION("""COMPUTED_VALUE"""),"Wolf On Solana")</f>
        <v>Wolf On Solana</v>
      </c>
    </row>
    <row r="13050">
      <c r="A13050" s="4" t="str">
        <f>IFERROR(__xludf.DUMMYFUNCTION("""COMPUTED_VALUE"""),"wolf-pups-2")</f>
        <v>wolf-pups-2</v>
      </c>
      <c r="B13050" s="4" t="str">
        <f>IFERROR(__xludf.DUMMYFUNCTION("""COMPUTED_VALUE"""),"wolfies")</f>
        <v>wolfies</v>
      </c>
      <c r="C13050" s="4" t="str">
        <f>IFERROR(__xludf.DUMMYFUNCTION("""COMPUTED_VALUE"""),"WOLF PUPS")</f>
        <v>WOLF PUPS</v>
      </c>
    </row>
    <row r="13051">
      <c r="A13051" s="4" t="str">
        <f>IFERROR(__xludf.DUMMYFUNCTION("""COMPUTED_VALUE"""),"wolfsafepoorpeople")</f>
        <v>wolfsafepoorpeople</v>
      </c>
      <c r="B13051" s="4" t="str">
        <f>IFERROR(__xludf.DUMMYFUNCTION("""COMPUTED_VALUE"""),"wspp")</f>
        <v>wspp</v>
      </c>
      <c r="C13051" s="4" t="str">
        <f>IFERROR(__xludf.DUMMYFUNCTION("""COMPUTED_VALUE"""),"WolfSafePoorPeople")</f>
        <v>WolfSafePoorPeople</v>
      </c>
    </row>
    <row r="13052">
      <c r="A13052" s="4" t="str">
        <f>IFERROR(__xludf.DUMMYFUNCTION("""COMPUTED_VALUE"""),"wolfsafepoorpeople-polygon")</f>
        <v>wolfsafepoorpeople-polygon</v>
      </c>
      <c r="B13052" s="4" t="str">
        <f>IFERROR(__xludf.DUMMYFUNCTION("""COMPUTED_VALUE"""),"wspp")</f>
        <v>wspp</v>
      </c>
      <c r="C13052" s="4" t="str">
        <f>IFERROR(__xludf.DUMMYFUNCTION("""COMPUTED_VALUE"""),"WolfSafePoorPeople Polygon")</f>
        <v>WolfSafePoorPeople Polygon</v>
      </c>
    </row>
    <row r="13053">
      <c r="A13053" s="4" t="str">
        <f>IFERROR(__xludf.DUMMYFUNCTION("""COMPUTED_VALUE"""),"wolf-solana")</f>
        <v>wolf-solana</v>
      </c>
      <c r="B13053" s="4" t="str">
        <f>IFERROR(__xludf.DUMMYFUNCTION("""COMPUTED_VALUE"""),"wolf")</f>
        <v>wolf</v>
      </c>
      <c r="C13053" s="4" t="str">
        <f>IFERROR(__xludf.DUMMYFUNCTION("""COMPUTED_VALUE"""),"WOLF SOLANA")</f>
        <v>WOLF SOLANA</v>
      </c>
    </row>
    <row r="13054">
      <c r="A13054" s="4" t="str">
        <f>IFERROR(__xludf.DUMMYFUNCTION("""COMPUTED_VALUE"""),"wolf-ventures")</f>
        <v>wolf-ventures</v>
      </c>
      <c r="B13054" s="4" t="str">
        <f>IFERROR(__xludf.DUMMYFUNCTION("""COMPUTED_VALUE"""),"$wv")</f>
        <v>$wv</v>
      </c>
      <c r="C13054" s="4" t="str">
        <f>IFERROR(__xludf.DUMMYFUNCTION("""COMPUTED_VALUE"""),"Wolf Ventures")</f>
        <v>Wolf Ventures</v>
      </c>
    </row>
    <row r="13055">
      <c r="A13055" s="4" t="str">
        <f>IFERROR(__xludf.DUMMYFUNCTION("""COMPUTED_VALUE"""),"wolfwifballz")</f>
        <v>wolfwifballz</v>
      </c>
      <c r="B13055" s="4" t="str">
        <f>IFERROR(__xludf.DUMMYFUNCTION("""COMPUTED_VALUE"""),"ballz")</f>
        <v>ballz</v>
      </c>
      <c r="C13055" s="4" t="str">
        <f>IFERROR(__xludf.DUMMYFUNCTION("""COMPUTED_VALUE"""),"WolfWifBallz")</f>
        <v>WolfWifBallz</v>
      </c>
    </row>
    <row r="13056">
      <c r="A13056" s="4" t="str">
        <f>IFERROR(__xludf.DUMMYFUNCTION("""COMPUTED_VALUE"""),"wolverinu-2")</f>
        <v>wolverinu-2</v>
      </c>
      <c r="B13056" s="4" t="str">
        <f>IFERROR(__xludf.DUMMYFUNCTION("""COMPUTED_VALUE"""),"wolverinu")</f>
        <v>wolverinu</v>
      </c>
      <c r="C13056" s="4" t="str">
        <f>IFERROR(__xludf.DUMMYFUNCTION("""COMPUTED_VALUE"""),"Wolverinu")</f>
        <v>Wolverinu</v>
      </c>
    </row>
    <row r="13057">
      <c r="A13057" s="4" t="str">
        <f>IFERROR(__xludf.DUMMYFUNCTION("""COMPUTED_VALUE"""),"wombat")</f>
        <v>wombat</v>
      </c>
      <c r="B13057" s="4" t="str">
        <f>IFERROR(__xludf.DUMMYFUNCTION("""COMPUTED_VALUE"""),"wombat")</f>
        <v>wombat</v>
      </c>
      <c r="C13057" s="4" t="str">
        <f>IFERROR(__xludf.DUMMYFUNCTION("""COMPUTED_VALUE"""),"Wombat")</f>
        <v>Wombat</v>
      </c>
    </row>
    <row r="13058">
      <c r="A13058" s="4" t="str">
        <f>IFERROR(__xludf.DUMMYFUNCTION("""COMPUTED_VALUE"""),"wombat-exchange")</f>
        <v>wombat-exchange</v>
      </c>
      <c r="B13058" s="4" t="str">
        <f>IFERROR(__xludf.DUMMYFUNCTION("""COMPUTED_VALUE"""),"wom")</f>
        <v>wom</v>
      </c>
      <c r="C13058" s="4" t="str">
        <f>IFERROR(__xludf.DUMMYFUNCTION("""COMPUTED_VALUE"""),"Wombat Exchange")</f>
        <v>Wombat Exchange</v>
      </c>
    </row>
    <row r="13059">
      <c r="A13059" s="4" t="str">
        <f>IFERROR(__xludf.DUMMYFUNCTION("""COMPUTED_VALUE"""),"wombex")</f>
        <v>wombex</v>
      </c>
      <c r="B13059" s="4" t="str">
        <f>IFERROR(__xludf.DUMMYFUNCTION("""COMPUTED_VALUE"""),"wmx")</f>
        <v>wmx</v>
      </c>
      <c r="C13059" s="4" t="str">
        <f>IFERROR(__xludf.DUMMYFUNCTION("""COMPUTED_VALUE"""),"Wombex")</f>
        <v>Wombex</v>
      </c>
    </row>
    <row r="13060">
      <c r="A13060" s="4" t="str">
        <f>IFERROR(__xludf.DUMMYFUNCTION("""COMPUTED_VALUE"""),"wom-token")</f>
        <v>wom-token</v>
      </c>
      <c r="B13060" s="4" t="str">
        <f>IFERROR(__xludf.DUMMYFUNCTION("""COMPUTED_VALUE"""),"wom")</f>
        <v>wom</v>
      </c>
      <c r="C13060" s="4" t="str">
        <f>IFERROR(__xludf.DUMMYFUNCTION("""COMPUTED_VALUE"""),"WOM Protocol")</f>
        <v>WOM Protocol</v>
      </c>
    </row>
    <row r="13061">
      <c r="A13061" s="4" t="str">
        <f>IFERROR(__xludf.DUMMYFUNCTION("""COMPUTED_VALUE"""),"wonderland")</f>
        <v>wonderland</v>
      </c>
      <c r="B13061" s="4" t="str">
        <f>IFERROR(__xludf.DUMMYFUNCTION("""COMPUTED_VALUE"""),"time")</f>
        <v>time</v>
      </c>
      <c r="C13061" s="4" t="str">
        <f>IFERROR(__xludf.DUMMYFUNCTION("""COMPUTED_VALUE"""),"Wonderland TIME")</f>
        <v>Wonderland TIME</v>
      </c>
    </row>
    <row r="13062">
      <c r="A13062" s="4" t="str">
        <f>IFERROR(__xludf.DUMMYFUNCTION("""COMPUTED_VALUE"""),"wonderland-capital")</f>
        <v>wonderland-capital</v>
      </c>
      <c r="B13062" s="4" t="str">
        <f>IFERROR(__xludf.DUMMYFUNCTION("""COMPUTED_VALUE"""),"alice")</f>
        <v>alice</v>
      </c>
      <c r="C13062" s="4" t="str">
        <f>IFERROR(__xludf.DUMMYFUNCTION("""COMPUTED_VALUE"""),"Wonderland Capital")</f>
        <v>Wonderland Capital</v>
      </c>
    </row>
    <row r="13063">
      <c r="A13063" s="4" t="str">
        <f>IFERROR(__xludf.DUMMYFUNCTION("""COMPUTED_VALUE"""),"wonderly-finance")</f>
        <v>wonderly-finance</v>
      </c>
      <c r="B13063" s="4" t="str">
        <f>IFERROR(__xludf.DUMMYFUNCTION("""COMPUTED_VALUE"""),"afx")</f>
        <v>afx</v>
      </c>
      <c r="C13063" s="4" t="str">
        <f>IFERROR(__xludf.DUMMYFUNCTION("""COMPUTED_VALUE"""),"Wonderly Finance")</f>
        <v>Wonderly Finance</v>
      </c>
    </row>
    <row r="13064">
      <c r="A13064" s="4" t="str">
        <f>IFERROR(__xludf.DUMMYFUNCTION("""COMPUTED_VALUE"""),"wonderman-nation")</f>
        <v>wonderman-nation</v>
      </c>
      <c r="B13064" s="4" t="str">
        <f>IFERROR(__xludf.DUMMYFUNCTION("""COMPUTED_VALUE"""),"wndr")</f>
        <v>wndr</v>
      </c>
      <c r="C13064" s="4" t="str">
        <f>IFERROR(__xludf.DUMMYFUNCTION("""COMPUTED_VALUE"""),"Wonderman Nation")</f>
        <v>Wonderman Nation</v>
      </c>
    </row>
    <row r="13065">
      <c r="A13065" s="4" t="str">
        <f>IFERROR(__xludf.DUMMYFUNCTION("""COMPUTED_VALUE"""),"wonderverse")</f>
        <v>wonderverse</v>
      </c>
      <c r="B13065" s="4" t="str">
        <f>IFERROR(__xludf.DUMMYFUNCTION("""COMPUTED_VALUE"""),"wonder")</f>
        <v>wonder</v>
      </c>
      <c r="C13065" s="4" t="str">
        <f>IFERROR(__xludf.DUMMYFUNCTION("""COMPUTED_VALUE"""),"Wonderverse")</f>
        <v>Wonderverse</v>
      </c>
    </row>
    <row r="13066">
      <c r="A13066" s="4" t="str">
        <f>IFERROR(__xludf.DUMMYFUNCTION("""COMPUTED_VALUE"""),"woodcoin")</f>
        <v>woodcoin</v>
      </c>
      <c r="B13066" s="4" t="str">
        <f>IFERROR(__xludf.DUMMYFUNCTION("""COMPUTED_VALUE"""),"log")</f>
        <v>log</v>
      </c>
      <c r="C13066" s="4" t="str">
        <f>IFERROR(__xludf.DUMMYFUNCTION("""COMPUTED_VALUE"""),"Woodcoin")</f>
        <v>Woodcoin</v>
      </c>
    </row>
    <row r="13067">
      <c r="A13067" s="4" t="str">
        <f>IFERROR(__xludf.DUMMYFUNCTION("""COMPUTED_VALUE"""),"woof")</f>
        <v>woof</v>
      </c>
      <c r="B13067" s="4" t="str">
        <f>IFERROR(__xludf.DUMMYFUNCTION("""COMPUTED_VALUE"""),"fine")</f>
        <v>fine</v>
      </c>
      <c r="C13067" s="4" t="str">
        <f>IFERROR(__xludf.DUMMYFUNCTION("""COMPUTED_VALUE"""),"This is Fine (SOL)")</f>
        <v>This is Fine (SOL)</v>
      </c>
    </row>
    <row r="13068">
      <c r="A13068" s="4" t="str">
        <f>IFERROR(__xludf.DUMMYFUNCTION("""COMPUTED_VALUE"""),"wooforacle")</f>
        <v>wooforacle</v>
      </c>
      <c r="B13068" s="4" t="str">
        <f>IFERROR(__xludf.DUMMYFUNCTION("""COMPUTED_VALUE"""),"wfo")</f>
        <v>wfo</v>
      </c>
      <c r="C13068" s="4" t="str">
        <f>IFERROR(__xludf.DUMMYFUNCTION("""COMPUTED_VALUE"""),"WoofOracle")</f>
        <v>WoofOracle</v>
      </c>
    </row>
    <row r="13069">
      <c r="A13069" s="4" t="str">
        <f>IFERROR(__xludf.DUMMYFUNCTION("""COMPUTED_VALUE"""),"woofswap-woof")</f>
        <v>woofswap-woof</v>
      </c>
      <c r="B13069" s="4" t="str">
        <f>IFERROR(__xludf.DUMMYFUNCTION("""COMPUTED_VALUE"""),"woof")</f>
        <v>woof</v>
      </c>
      <c r="C13069" s="4" t="str">
        <f>IFERROR(__xludf.DUMMYFUNCTION("""COMPUTED_VALUE"""),"WOOF")</f>
        <v>WOOF</v>
      </c>
    </row>
    <row r="13070">
      <c r="A13070" s="4" t="str">
        <f>IFERROR(__xludf.DUMMYFUNCTION("""COMPUTED_VALUE"""),"woof-token")</f>
        <v>woof-token</v>
      </c>
      <c r="B13070" s="4" t="str">
        <f>IFERROR(__xludf.DUMMYFUNCTION("""COMPUTED_VALUE"""),"woof")</f>
        <v>woof</v>
      </c>
      <c r="C13070" s="4" t="str">
        <f>IFERROR(__xludf.DUMMYFUNCTION("""COMPUTED_VALUE"""),"WOOF")</f>
        <v>WOOF</v>
      </c>
    </row>
    <row r="13071">
      <c r="A13071" s="4" t="str">
        <f>IFERROR(__xludf.DUMMYFUNCTION("""COMPUTED_VALUE"""),"woofwork-io")</f>
        <v>woofwork-io</v>
      </c>
      <c r="B13071" s="4" t="str">
        <f>IFERROR(__xludf.DUMMYFUNCTION("""COMPUTED_VALUE"""),"woof")</f>
        <v>woof</v>
      </c>
      <c r="C13071" s="5" t="str">
        <f>IFERROR(__xludf.DUMMYFUNCTION("""COMPUTED_VALUE"""),"WoofWork.io")</f>
        <v>WoofWork.io</v>
      </c>
    </row>
    <row r="13072">
      <c r="A13072" s="4" t="str">
        <f>IFERROR(__xludf.DUMMYFUNCTION("""COMPUTED_VALUE"""),"woo-network")</f>
        <v>woo-network</v>
      </c>
      <c r="B13072" s="4" t="str">
        <f>IFERROR(__xludf.DUMMYFUNCTION("""COMPUTED_VALUE"""),"woo")</f>
        <v>woo</v>
      </c>
      <c r="C13072" s="4" t="str">
        <f>IFERROR(__xludf.DUMMYFUNCTION("""COMPUTED_VALUE"""),"WOO")</f>
        <v>WOO</v>
      </c>
    </row>
    <row r="13073">
      <c r="A13073" s="4" t="str">
        <f>IFERROR(__xludf.DUMMYFUNCTION("""COMPUTED_VALUE"""),"woonkly-power")</f>
        <v>woonkly-power</v>
      </c>
      <c r="B13073" s="4" t="str">
        <f>IFERROR(__xludf.DUMMYFUNCTION("""COMPUTED_VALUE"""),"woop")</f>
        <v>woop</v>
      </c>
      <c r="C13073" s="4" t="str">
        <f>IFERROR(__xludf.DUMMYFUNCTION("""COMPUTED_VALUE"""),"Woonkly Power")</f>
        <v>Woonkly Power</v>
      </c>
    </row>
    <row r="13074">
      <c r="A13074" s="4" t="str">
        <f>IFERROR(__xludf.DUMMYFUNCTION("""COMPUTED_VALUE"""),"wooonen")</f>
        <v>wooonen</v>
      </c>
      <c r="B13074" s="4" t="str">
        <f>IFERROR(__xludf.DUMMYFUNCTION("""COMPUTED_VALUE"""),"wooo")</f>
        <v>wooo</v>
      </c>
      <c r="C13074" s="4" t="str">
        <f>IFERROR(__xludf.DUMMYFUNCTION("""COMPUTED_VALUE"""),"Wooonen")</f>
        <v>Wooonen</v>
      </c>
    </row>
    <row r="13075">
      <c r="A13075" s="4" t="str">
        <f>IFERROR(__xludf.DUMMYFUNCTION("""COMPUTED_VALUE"""),"woop")</f>
        <v>woop</v>
      </c>
      <c r="B13075" s="4" t="str">
        <f>IFERROR(__xludf.DUMMYFUNCTION("""COMPUTED_VALUE"""),"woop")</f>
        <v>woop</v>
      </c>
      <c r="C13075" s="4" t="str">
        <f>IFERROR(__xludf.DUMMYFUNCTION("""COMPUTED_VALUE"""),"WOOP")</f>
        <v>WOOP</v>
      </c>
    </row>
    <row r="13076">
      <c r="A13076" s="4" t="str">
        <f>IFERROR(__xludf.DUMMYFUNCTION("""COMPUTED_VALUE"""),"woosh")</f>
        <v>woosh</v>
      </c>
      <c r="B13076" s="4" t="str">
        <f>IFERROR(__xludf.DUMMYFUNCTION("""COMPUTED_VALUE"""),"woosh")</f>
        <v>woosh</v>
      </c>
      <c r="C13076" s="4" t="str">
        <f>IFERROR(__xludf.DUMMYFUNCTION("""COMPUTED_VALUE"""),"woosh")</f>
        <v>woosh</v>
      </c>
    </row>
    <row r="13077">
      <c r="A13077" s="4" t="str">
        <f>IFERROR(__xludf.DUMMYFUNCTION("""COMPUTED_VALUE"""),"woozoo-music")</f>
        <v>woozoo-music</v>
      </c>
      <c r="B13077" s="4" t="str">
        <f>IFERROR(__xludf.DUMMYFUNCTION("""COMPUTED_VALUE"""),"wzm")</f>
        <v>wzm</v>
      </c>
      <c r="C13077" s="4" t="str">
        <f>IFERROR(__xludf.DUMMYFUNCTION("""COMPUTED_VALUE"""),"Woozoo Music")</f>
        <v>Woozoo Music</v>
      </c>
    </row>
    <row r="13078">
      <c r="A13078" s="4" t="str">
        <f>IFERROR(__xludf.DUMMYFUNCTION("""COMPUTED_VALUE"""),"work-quest-2")</f>
        <v>work-quest-2</v>
      </c>
      <c r="B13078" s="4" t="str">
        <f>IFERROR(__xludf.DUMMYFUNCTION("""COMPUTED_VALUE"""),"wqt")</f>
        <v>wqt</v>
      </c>
      <c r="C13078" s="4" t="str">
        <f>IFERROR(__xludf.DUMMYFUNCTION("""COMPUTED_VALUE"""),"Work Quest")</f>
        <v>Work Quest</v>
      </c>
    </row>
    <row r="13079">
      <c r="A13079" s="4" t="str">
        <f>IFERROR(__xludf.DUMMYFUNCTION("""COMPUTED_VALUE"""),"work-x")</f>
        <v>work-x</v>
      </c>
      <c r="B13079" s="4" t="str">
        <f>IFERROR(__xludf.DUMMYFUNCTION("""COMPUTED_VALUE"""),"work")</f>
        <v>work</v>
      </c>
      <c r="C13079" s="4" t="str">
        <f>IFERROR(__xludf.DUMMYFUNCTION("""COMPUTED_VALUE"""),"Work X")</f>
        <v>Work X</v>
      </c>
    </row>
    <row r="13080">
      <c r="A13080" s="4" t="str">
        <f>IFERROR(__xludf.DUMMYFUNCTION("""COMPUTED_VALUE"""),"world-ai")</f>
        <v>world-ai</v>
      </c>
      <c r="B13080" s="4" t="str">
        <f>IFERROR(__xludf.DUMMYFUNCTION("""COMPUTED_VALUE"""),"worldai")</f>
        <v>worldai</v>
      </c>
      <c r="C13080" s="4" t="str">
        <f>IFERROR(__xludf.DUMMYFUNCTION("""COMPUTED_VALUE"""),"World AI")</f>
        <v>World AI</v>
      </c>
    </row>
    <row r="13081">
      <c r="A13081" s="4" t="str">
        <f>IFERROR(__xludf.DUMMYFUNCTION("""COMPUTED_VALUE"""),"world-cause-coin")</f>
        <v>world-cause-coin</v>
      </c>
      <c r="B13081" s="4" t="str">
        <f>IFERROR(__xludf.DUMMYFUNCTION("""COMPUTED_VALUE"""),"cause")</f>
        <v>cause</v>
      </c>
      <c r="C13081" s="4" t="str">
        <f>IFERROR(__xludf.DUMMYFUNCTION("""COMPUTED_VALUE"""),"World Cause Coin")</f>
        <v>World Cause Coin</v>
      </c>
    </row>
    <row r="13082">
      <c r="A13082" s="4" t="str">
        <f>IFERROR(__xludf.DUMMYFUNCTION("""COMPUTED_VALUE"""),"worldcoin")</f>
        <v>worldcoin</v>
      </c>
      <c r="B13082" s="4" t="str">
        <f>IFERROR(__xludf.DUMMYFUNCTION("""COMPUTED_VALUE"""),"wdc")</f>
        <v>wdc</v>
      </c>
      <c r="C13082" s="4" t="str">
        <f>IFERROR(__xludf.DUMMYFUNCTION("""COMPUTED_VALUE"""),"WorldCoin")</f>
        <v>WorldCoin</v>
      </c>
    </row>
    <row r="13083">
      <c r="A13083" s="4" t="str">
        <f>IFERROR(__xludf.DUMMYFUNCTION("""COMPUTED_VALUE"""),"worldcoin-wld")</f>
        <v>worldcoin-wld</v>
      </c>
      <c r="B13083" s="4" t="str">
        <f>IFERROR(__xludf.DUMMYFUNCTION("""COMPUTED_VALUE"""),"wld")</f>
        <v>wld</v>
      </c>
      <c r="C13083" s="4" t="str">
        <f>IFERROR(__xludf.DUMMYFUNCTION("""COMPUTED_VALUE"""),"Worldcoin")</f>
        <v>Worldcoin</v>
      </c>
    </row>
    <row r="13084">
      <c r="A13084" s="4" t="str">
        <f>IFERROR(__xludf.DUMMYFUNCTION("""COMPUTED_VALUE"""),"worldcore")</f>
        <v>worldcore</v>
      </c>
      <c r="B13084" s="4" t="str">
        <f>IFERROR(__xludf.DUMMYFUNCTION("""COMPUTED_VALUE"""),"wrc")</f>
        <v>wrc</v>
      </c>
      <c r="C13084" s="4" t="str">
        <f>IFERROR(__xludf.DUMMYFUNCTION("""COMPUTED_VALUE"""),"Worldcore [OLD]")</f>
        <v>Worldcore [OLD]</v>
      </c>
    </row>
    <row r="13085">
      <c r="A13085" s="4" t="str">
        <f>IFERROR(__xludf.DUMMYFUNCTION("""COMPUTED_VALUE"""),"worldcore-2")</f>
        <v>worldcore-2</v>
      </c>
      <c r="B13085" s="4" t="str">
        <f>IFERROR(__xludf.DUMMYFUNCTION("""COMPUTED_VALUE"""),"wcc")</f>
        <v>wcc</v>
      </c>
      <c r="C13085" s="4" t="str">
        <f>IFERROR(__xludf.DUMMYFUNCTION("""COMPUTED_VALUE"""),"Worldcore coin")</f>
        <v>Worldcore coin</v>
      </c>
    </row>
    <row r="13086">
      <c r="A13086" s="4" t="str">
        <f>IFERROR(__xludf.DUMMYFUNCTION("""COMPUTED_VALUE"""),"world-football1")</f>
        <v>world-football1</v>
      </c>
      <c r="B13086" s="4" t="str">
        <f>IFERROR(__xludf.DUMMYFUNCTION("""COMPUTED_VALUE"""),"wofo1")</f>
        <v>wofo1</v>
      </c>
      <c r="C13086" s="4" t="str">
        <f>IFERROR(__xludf.DUMMYFUNCTION("""COMPUTED_VALUE"""),"WORLD FOOTBALL1")</f>
        <v>WORLD FOOTBALL1</v>
      </c>
    </row>
    <row r="13087">
      <c r="A13087" s="4" t="str">
        <f>IFERROR(__xludf.DUMMYFUNCTION("""COMPUTED_VALUE"""),"world-id")</f>
        <v>world-id</v>
      </c>
      <c r="B13087" s="4" t="str">
        <f>IFERROR(__xludf.DUMMYFUNCTION("""COMPUTED_VALUE"""),"woid")</f>
        <v>woid</v>
      </c>
      <c r="C13087" s="4" t="str">
        <f>IFERROR(__xludf.DUMMYFUNCTION("""COMPUTED_VALUE"""),"WORLD ID")</f>
        <v>WORLD ID</v>
      </c>
    </row>
    <row r="13088">
      <c r="A13088" s="4" t="str">
        <f>IFERROR(__xludf.DUMMYFUNCTION("""COMPUTED_VALUE"""),"world-mobile-token")</f>
        <v>world-mobile-token</v>
      </c>
      <c r="B13088" s="4" t="str">
        <f>IFERROR(__xludf.DUMMYFUNCTION("""COMPUTED_VALUE"""),"wmt")</f>
        <v>wmt</v>
      </c>
      <c r="C13088" s="4" t="str">
        <f>IFERROR(__xludf.DUMMYFUNCTION("""COMPUTED_VALUE"""),"World Mobile Token")</f>
        <v>World Mobile Token</v>
      </c>
    </row>
    <row r="13089">
      <c r="A13089" s="4" t="str">
        <f>IFERROR(__xludf.DUMMYFUNCTION("""COMPUTED_VALUE"""),"world-of-defish")</f>
        <v>world-of-defish</v>
      </c>
      <c r="B13089" s="4" t="str">
        <f>IFERROR(__xludf.DUMMYFUNCTION("""COMPUTED_VALUE"""),"wod")</f>
        <v>wod</v>
      </c>
      <c r="C13089" s="4" t="str">
        <f>IFERROR(__xludf.DUMMYFUNCTION("""COMPUTED_VALUE"""),"World of Defish")</f>
        <v>World of Defish</v>
      </c>
    </row>
    <row r="13090">
      <c r="A13090" s="4" t="str">
        <f>IFERROR(__xludf.DUMMYFUNCTION("""COMPUTED_VALUE"""),"world-of-legends")</f>
        <v>world-of-legends</v>
      </c>
      <c r="B13090" s="4" t="str">
        <f>IFERROR(__xludf.DUMMYFUNCTION("""COMPUTED_VALUE"""),"wol")</f>
        <v>wol</v>
      </c>
      <c r="C13090" s="4" t="str">
        <f>IFERROR(__xludf.DUMMYFUNCTION("""COMPUTED_VALUE"""),"World of Legends")</f>
        <v>World of Legends</v>
      </c>
    </row>
    <row r="13091">
      <c r="A13091" s="4" t="str">
        <f>IFERROR(__xludf.DUMMYFUNCTION("""COMPUTED_VALUE"""),"world-pay-token")</f>
        <v>world-pay-token</v>
      </c>
      <c r="B13091" s="4" t="str">
        <f>IFERROR(__xludf.DUMMYFUNCTION("""COMPUTED_VALUE"""),"wpay")</f>
        <v>wpay</v>
      </c>
      <c r="C13091" s="4" t="str">
        <f>IFERROR(__xludf.DUMMYFUNCTION("""COMPUTED_VALUE"""),"World Pay Token")</f>
        <v>World Pay Token</v>
      </c>
    </row>
    <row r="13092">
      <c r="A13092" s="4" t="str">
        <f>IFERROR(__xludf.DUMMYFUNCTION("""COMPUTED_VALUE"""),"world-peace-coin")</f>
        <v>world-peace-coin</v>
      </c>
      <c r="B13092" s="4" t="str">
        <f>IFERROR(__xludf.DUMMYFUNCTION("""COMPUTED_VALUE"""),"wpc")</f>
        <v>wpc</v>
      </c>
      <c r="C13092" s="4" t="str">
        <f>IFERROR(__xludf.DUMMYFUNCTION("""COMPUTED_VALUE"""),"WORLD PEACE COIN")</f>
        <v>WORLD PEACE COIN</v>
      </c>
    </row>
    <row r="13093">
      <c r="A13093" s="4" t="str">
        <f>IFERROR(__xludf.DUMMYFUNCTION("""COMPUTED_VALUE"""),"world-record-banana")</f>
        <v>world-record-banana</v>
      </c>
      <c r="B13093" s="4" t="str">
        <f>IFERROR(__xludf.DUMMYFUNCTION("""COMPUTED_VALUE"""),"banana")</f>
        <v>banana</v>
      </c>
      <c r="C13093" s="4" t="str">
        <f>IFERROR(__xludf.DUMMYFUNCTION("""COMPUTED_VALUE"""),"World Record Banana")</f>
        <v>World Record Banana</v>
      </c>
    </row>
    <row r="13094">
      <c r="A13094" s="4" t="str">
        <f>IFERROR(__xludf.DUMMYFUNCTION("""COMPUTED_VALUE"""),"worldtao")</f>
        <v>worldtao</v>
      </c>
      <c r="B13094" s="4" t="str">
        <f>IFERROR(__xludf.DUMMYFUNCTION("""COMPUTED_VALUE"""),"wtao")</f>
        <v>wtao</v>
      </c>
      <c r="C13094" s="4" t="str">
        <f>IFERROR(__xludf.DUMMYFUNCTION("""COMPUTED_VALUE"""),"WorldTao")</f>
        <v>WorldTao</v>
      </c>
    </row>
    <row r="13095">
      <c r="A13095" s="4" t="str">
        <f>IFERROR(__xludf.DUMMYFUNCTION("""COMPUTED_VALUE"""),"worldtoken")</f>
        <v>worldtoken</v>
      </c>
      <c r="B13095" s="4" t="str">
        <f>IFERROR(__xludf.DUMMYFUNCTION("""COMPUTED_VALUE"""),"world")</f>
        <v>world</v>
      </c>
      <c r="C13095" s="4" t="str">
        <f>IFERROR(__xludf.DUMMYFUNCTION("""COMPUTED_VALUE"""),"WorldToken")</f>
        <v>WorldToken</v>
      </c>
    </row>
    <row r="13096">
      <c r="A13096" s="4" t="str">
        <f>IFERROR(__xludf.DUMMYFUNCTION("""COMPUTED_VALUE"""),"worldwide")</f>
        <v>worldwide</v>
      </c>
      <c r="B13096" s="4" t="str">
        <f>IFERROR(__xludf.DUMMYFUNCTION("""COMPUTED_VALUE"""),"world")</f>
        <v>world</v>
      </c>
      <c r="C13096" s="4" t="str">
        <f>IFERROR(__xludf.DUMMYFUNCTION("""COMPUTED_VALUE"""),"WORLDWIDE")</f>
        <v>WORLDWIDE</v>
      </c>
    </row>
    <row r="13097">
      <c r="A13097" s="4" t="str">
        <f>IFERROR(__xludf.DUMMYFUNCTION("""COMPUTED_VALUE"""),"worldwide-usd")</f>
        <v>worldwide-usd</v>
      </c>
      <c r="B13097" s="4" t="str">
        <f>IFERROR(__xludf.DUMMYFUNCTION("""COMPUTED_VALUE"""),"wusd")</f>
        <v>wusd</v>
      </c>
      <c r="C13097" s="4" t="str">
        <f>IFERROR(__xludf.DUMMYFUNCTION("""COMPUTED_VALUE"""),"Worldwide USD")</f>
        <v>Worldwide USD</v>
      </c>
    </row>
    <row r="13098">
      <c r="A13098" s="4" t="str">
        <f>IFERROR(__xludf.DUMMYFUNCTION("""COMPUTED_VALUE"""),"wormhole")</f>
        <v>wormhole</v>
      </c>
      <c r="B13098" s="4" t="str">
        <f>IFERROR(__xludf.DUMMYFUNCTION("""COMPUTED_VALUE"""),"w")</f>
        <v>w</v>
      </c>
      <c r="C13098" s="4" t="str">
        <f>IFERROR(__xludf.DUMMYFUNCTION("""COMPUTED_VALUE"""),"Wormhole")</f>
        <v>Wormhole</v>
      </c>
    </row>
    <row r="13099">
      <c r="A13099" s="4" t="str">
        <f>IFERROR(__xludf.DUMMYFUNCTION("""COMPUTED_VALUE"""),"wormz")</f>
        <v>wormz</v>
      </c>
      <c r="B13099" s="4" t="str">
        <f>IFERROR(__xludf.DUMMYFUNCTION("""COMPUTED_VALUE"""),"wormz")</f>
        <v>wormz</v>
      </c>
      <c r="C13099" s="4" t="str">
        <f>IFERROR(__xludf.DUMMYFUNCTION("""COMPUTED_VALUE"""),"WORMZ")</f>
        <v>WORMZ</v>
      </c>
    </row>
    <row r="13100">
      <c r="A13100" s="4" t="str">
        <f>IFERROR(__xludf.DUMMYFUNCTION("""COMPUTED_VALUE"""),"wortheum")</f>
        <v>wortheum</v>
      </c>
      <c r="B13100" s="4" t="str">
        <f>IFERROR(__xludf.DUMMYFUNCTION("""COMPUTED_VALUE"""),"worth")</f>
        <v>worth</v>
      </c>
      <c r="C13100" s="4" t="str">
        <f>IFERROR(__xludf.DUMMYFUNCTION("""COMPUTED_VALUE"""),"Wortheum")</f>
        <v>Wortheum</v>
      </c>
    </row>
    <row r="13101">
      <c r="A13101" s="4" t="str">
        <f>IFERROR(__xludf.DUMMYFUNCTION("""COMPUTED_VALUE"""),"wow")</f>
        <v>wow</v>
      </c>
      <c r="B13101" s="4" t="str">
        <f>IFERROR(__xludf.DUMMYFUNCTION("""COMPUTED_VALUE"""),"!")</f>
        <v>!</v>
      </c>
      <c r="C13101" s="4" t="str">
        <f>IFERROR(__xludf.DUMMYFUNCTION("""COMPUTED_VALUE"""),"WOW")</f>
        <v>WOW</v>
      </c>
    </row>
    <row r="13102">
      <c r="A13102" s="4" t="str">
        <f>IFERROR(__xludf.DUMMYFUNCTION("""COMPUTED_VALUE"""),"wownero")</f>
        <v>wownero</v>
      </c>
      <c r="B13102" s="4" t="str">
        <f>IFERROR(__xludf.DUMMYFUNCTION("""COMPUTED_VALUE"""),"wow")</f>
        <v>wow</v>
      </c>
      <c r="C13102" s="4" t="str">
        <f>IFERROR(__xludf.DUMMYFUNCTION("""COMPUTED_VALUE"""),"Wownero")</f>
        <v>Wownero</v>
      </c>
    </row>
    <row r="13103">
      <c r="A13103" s="4" t="str">
        <f>IFERROR(__xludf.DUMMYFUNCTION("""COMPUTED_VALUE"""),"wowswap")</f>
        <v>wowswap</v>
      </c>
      <c r="B13103" s="4" t="str">
        <f>IFERROR(__xludf.DUMMYFUNCTION("""COMPUTED_VALUE"""),"wow")</f>
        <v>wow</v>
      </c>
      <c r="C13103" s="4" t="str">
        <f>IFERROR(__xludf.DUMMYFUNCTION("""COMPUTED_VALUE"""),"WOWswap")</f>
        <v>WOWswap</v>
      </c>
    </row>
    <row r="13104">
      <c r="A13104" s="4" t="str">
        <f>IFERROR(__xludf.DUMMYFUNCTION("""COMPUTED_VALUE"""),"wozx")</f>
        <v>wozx</v>
      </c>
      <c r="B13104" s="4" t="str">
        <f>IFERROR(__xludf.DUMMYFUNCTION("""COMPUTED_VALUE"""),"wozx")</f>
        <v>wozx</v>
      </c>
      <c r="C13104" s="4" t="str">
        <f>IFERROR(__xludf.DUMMYFUNCTION("""COMPUTED_VALUE"""),"Efforce")</f>
        <v>Efforce</v>
      </c>
    </row>
    <row r="13105">
      <c r="A13105" s="4" t="str">
        <f>IFERROR(__xludf.DUMMYFUNCTION("""COMPUTED_VALUE"""),"wpt-investing-corp")</f>
        <v>wpt-investing-corp</v>
      </c>
      <c r="B13105" s="4" t="str">
        <f>IFERROR(__xludf.DUMMYFUNCTION("""COMPUTED_VALUE"""),"wpt")</f>
        <v>wpt</v>
      </c>
      <c r="C13105" s="4" t="str">
        <f>IFERROR(__xludf.DUMMYFUNCTION("""COMPUTED_VALUE"""),"WPT Investing Corp")</f>
        <v>WPT Investing Corp</v>
      </c>
    </row>
    <row r="13106">
      <c r="A13106" s="4" t="str">
        <f>IFERROR(__xludf.DUMMYFUNCTION("""COMPUTED_VALUE"""),"wrap-governance-token")</f>
        <v>wrap-governance-token</v>
      </c>
      <c r="B13106" s="4" t="str">
        <f>IFERROR(__xludf.DUMMYFUNCTION("""COMPUTED_VALUE"""),"wrap")</f>
        <v>wrap</v>
      </c>
      <c r="C13106" s="4" t="str">
        <f>IFERROR(__xludf.DUMMYFUNCTION("""COMPUTED_VALUE"""),"WRAP Governance")</f>
        <v>WRAP Governance</v>
      </c>
    </row>
    <row r="13107">
      <c r="A13107" s="4" t="str">
        <f>IFERROR(__xludf.DUMMYFUNCTION("""COMPUTED_VALUE"""),"wrapped-accumulate")</f>
        <v>wrapped-accumulate</v>
      </c>
      <c r="B13107" s="4" t="str">
        <f>IFERROR(__xludf.DUMMYFUNCTION("""COMPUTED_VALUE"""),"wacme")</f>
        <v>wacme</v>
      </c>
      <c r="C13107" s="4" t="str">
        <f>IFERROR(__xludf.DUMMYFUNCTION("""COMPUTED_VALUE"""),"Wrapped Accumulate")</f>
        <v>Wrapped Accumulate</v>
      </c>
    </row>
    <row r="13108">
      <c r="A13108" s="4" t="str">
        <f>IFERROR(__xludf.DUMMYFUNCTION("""COMPUTED_VALUE"""),"wrapped-ada")</f>
        <v>wrapped-ada</v>
      </c>
      <c r="B13108" s="4" t="str">
        <f>IFERROR(__xludf.DUMMYFUNCTION("""COMPUTED_VALUE"""),"wada")</f>
        <v>wada</v>
      </c>
      <c r="C13108" s="4" t="str">
        <f>IFERROR(__xludf.DUMMYFUNCTION("""COMPUTED_VALUE"""),"Wrapped ADA")</f>
        <v>Wrapped ADA</v>
      </c>
    </row>
    <row r="13109">
      <c r="A13109" s="4" t="str">
        <f>IFERROR(__xludf.DUMMYFUNCTION("""COMPUTED_VALUE"""),"wrapped-ada-21-co")</f>
        <v>wrapped-ada-21-co</v>
      </c>
      <c r="B13109" s="4" t="str">
        <f>IFERROR(__xludf.DUMMYFUNCTION("""COMPUTED_VALUE"""),"21ada")</f>
        <v>21ada</v>
      </c>
      <c r="C13109" s="4" t="str">
        <f>IFERROR(__xludf.DUMMYFUNCTION("""COMPUTED_VALUE"""),"21.co Wrapped ADA")</f>
        <v>21.co Wrapped ADA</v>
      </c>
    </row>
    <row r="13110">
      <c r="A13110" s="4" t="str">
        <f>IFERROR(__xludf.DUMMYFUNCTION("""COMPUTED_VALUE"""),"wrapped-algo")</f>
        <v>wrapped-algo</v>
      </c>
      <c r="B13110" s="4" t="str">
        <f>IFERROR(__xludf.DUMMYFUNCTION("""COMPUTED_VALUE"""),"xalgo")</f>
        <v>xalgo</v>
      </c>
      <c r="C13110" s="4" t="str">
        <f>IFERROR(__xludf.DUMMYFUNCTION("""COMPUTED_VALUE"""),"Wrapped ALGO")</f>
        <v>Wrapped ALGO</v>
      </c>
    </row>
    <row r="13111">
      <c r="A13111" s="4" t="str">
        <f>IFERROR(__xludf.DUMMYFUNCTION("""COMPUTED_VALUE"""),"wrapped-ampleforth")</f>
        <v>wrapped-ampleforth</v>
      </c>
      <c r="B13111" s="4" t="str">
        <f>IFERROR(__xludf.DUMMYFUNCTION("""COMPUTED_VALUE"""),"wampl")</f>
        <v>wampl</v>
      </c>
      <c r="C13111" s="4" t="str">
        <f>IFERROR(__xludf.DUMMYFUNCTION("""COMPUTED_VALUE"""),"Wrapped Ampleforth")</f>
        <v>Wrapped Ampleforth</v>
      </c>
    </row>
    <row r="13112">
      <c r="A13112" s="4" t="str">
        <f>IFERROR(__xludf.DUMMYFUNCTION("""COMPUTED_VALUE"""),"wrappedarc")</f>
        <v>wrappedarc</v>
      </c>
      <c r="B13112" s="4" t="str">
        <f>IFERROR(__xludf.DUMMYFUNCTION("""COMPUTED_VALUE"""),"warc")</f>
        <v>warc</v>
      </c>
      <c r="C13112" s="4" t="str">
        <f>IFERROR(__xludf.DUMMYFUNCTION("""COMPUTED_VALUE"""),"WrappedARC")</f>
        <v>WrappedARC</v>
      </c>
    </row>
    <row r="13113">
      <c r="A13113" s="4" t="str">
        <f>IFERROR(__xludf.DUMMYFUNCTION("""COMPUTED_VALUE"""),"wrapped-astar")</f>
        <v>wrapped-astar</v>
      </c>
      <c r="B13113" s="4" t="str">
        <f>IFERROR(__xludf.DUMMYFUNCTION("""COMPUTED_VALUE"""),"wastr")</f>
        <v>wastr</v>
      </c>
      <c r="C13113" s="4" t="str">
        <f>IFERROR(__xludf.DUMMYFUNCTION("""COMPUTED_VALUE"""),"Wrapped ASTR")</f>
        <v>Wrapped ASTR</v>
      </c>
    </row>
    <row r="13114">
      <c r="A13114" s="4" t="str">
        <f>IFERROR(__xludf.DUMMYFUNCTION("""COMPUTED_VALUE"""),"wrapped-avax")</f>
        <v>wrapped-avax</v>
      </c>
      <c r="B13114" s="4" t="str">
        <f>IFERROR(__xludf.DUMMYFUNCTION("""COMPUTED_VALUE"""),"wavax")</f>
        <v>wavax</v>
      </c>
      <c r="C13114" s="4" t="str">
        <f>IFERROR(__xludf.DUMMYFUNCTION("""COMPUTED_VALUE"""),"Wrapped AVAX")</f>
        <v>Wrapped AVAX</v>
      </c>
    </row>
    <row r="13115">
      <c r="A13115" s="4" t="str">
        <f>IFERROR(__xludf.DUMMYFUNCTION("""COMPUTED_VALUE"""),"wrapped-avax-21-co")</f>
        <v>wrapped-avax-21-co</v>
      </c>
      <c r="B13115" s="4" t="str">
        <f>IFERROR(__xludf.DUMMYFUNCTION("""COMPUTED_VALUE"""),"21avax")</f>
        <v>21avax</v>
      </c>
      <c r="C13115" s="4" t="str">
        <f>IFERROR(__xludf.DUMMYFUNCTION("""COMPUTED_VALUE"""),"21.co Wrapped AVAX")</f>
        <v>21.co Wrapped AVAX</v>
      </c>
    </row>
    <row r="13116">
      <c r="A13116" s="4" t="str">
        <f>IFERROR(__xludf.DUMMYFUNCTION("""COMPUTED_VALUE"""),"wrapped-axelar")</f>
        <v>wrapped-axelar</v>
      </c>
      <c r="B13116" s="4" t="str">
        <f>IFERROR(__xludf.DUMMYFUNCTION("""COMPUTED_VALUE"""),"waxl")</f>
        <v>waxl</v>
      </c>
      <c r="C13116" s="4" t="str">
        <f>IFERROR(__xludf.DUMMYFUNCTION("""COMPUTED_VALUE"""),"Wrapped Axelar")</f>
        <v>Wrapped Axelar</v>
      </c>
    </row>
    <row r="13117">
      <c r="A13117" s="4" t="str">
        <f>IFERROR(__xludf.DUMMYFUNCTION("""COMPUTED_VALUE"""),"wrapped-banano")</f>
        <v>wrapped-banano</v>
      </c>
      <c r="B13117" s="4" t="str">
        <f>IFERROR(__xludf.DUMMYFUNCTION("""COMPUTED_VALUE"""),"wban")</f>
        <v>wban</v>
      </c>
      <c r="C13117" s="4" t="str">
        <f>IFERROR(__xludf.DUMMYFUNCTION("""COMPUTED_VALUE"""),"Wrapped Banano")</f>
        <v>Wrapped Banano</v>
      </c>
    </row>
    <row r="13118">
      <c r="A13118" s="4" t="str">
        <f>IFERROR(__xludf.DUMMYFUNCTION("""COMPUTED_VALUE"""),"wrapped-bch")</f>
        <v>wrapped-bch</v>
      </c>
      <c r="B13118" s="4" t="str">
        <f>IFERROR(__xludf.DUMMYFUNCTION("""COMPUTED_VALUE"""),"wbch")</f>
        <v>wbch</v>
      </c>
      <c r="C13118" s="4" t="str">
        <f>IFERROR(__xludf.DUMMYFUNCTION("""COMPUTED_VALUE"""),"Wrapped BCH")</f>
        <v>Wrapped BCH</v>
      </c>
    </row>
    <row r="13119">
      <c r="A13119" s="4" t="str">
        <f>IFERROR(__xludf.DUMMYFUNCTION("""COMPUTED_VALUE"""),"wrapped-bch-21-co")</f>
        <v>wrapped-bch-21-co</v>
      </c>
      <c r="B13119" s="4" t="str">
        <f>IFERROR(__xludf.DUMMYFUNCTION("""COMPUTED_VALUE"""),"21bch")</f>
        <v>21bch</v>
      </c>
      <c r="C13119" s="4" t="str">
        <f>IFERROR(__xludf.DUMMYFUNCTION("""COMPUTED_VALUE"""),"21.co Wrapped BCH")</f>
        <v>21.co Wrapped BCH</v>
      </c>
    </row>
    <row r="13120">
      <c r="A13120" s="4" t="str">
        <f>IFERROR(__xludf.DUMMYFUNCTION("""COMPUTED_VALUE"""),"wrapped-beacon-eth")</f>
        <v>wrapped-beacon-eth</v>
      </c>
      <c r="B13120" s="4" t="str">
        <f>IFERROR(__xludf.DUMMYFUNCTION("""COMPUTED_VALUE"""),"wbeth")</f>
        <v>wbeth</v>
      </c>
      <c r="C13120" s="4" t="str">
        <f>IFERROR(__xludf.DUMMYFUNCTION("""COMPUTED_VALUE"""),"Wrapped Beacon ETH")</f>
        <v>Wrapped Beacon ETH</v>
      </c>
    </row>
    <row r="13121">
      <c r="A13121" s="4" t="str">
        <f>IFERROR(__xludf.DUMMYFUNCTION("""COMPUTED_VALUE"""),"wrapped-bitcoin")</f>
        <v>wrapped-bitcoin</v>
      </c>
      <c r="B13121" s="4" t="str">
        <f>IFERROR(__xludf.DUMMYFUNCTION("""COMPUTED_VALUE"""),"wbtc")</f>
        <v>wbtc</v>
      </c>
      <c r="C13121" s="4" t="str">
        <f>IFERROR(__xludf.DUMMYFUNCTION("""COMPUTED_VALUE"""),"Wrapped Bitcoin")</f>
        <v>Wrapped Bitcoin</v>
      </c>
    </row>
    <row r="13122">
      <c r="A13122" s="4" t="str">
        <f>IFERROR(__xludf.DUMMYFUNCTION("""COMPUTED_VALUE"""),"wrapped-bitcoin-celer")</f>
        <v>wrapped-bitcoin-celer</v>
      </c>
      <c r="B13122" s="4" t="str">
        <f>IFERROR(__xludf.DUMMYFUNCTION("""COMPUTED_VALUE"""),"cewbtc")</f>
        <v>cewbtc</v>
      </c>
      <c r="C13122" s="4" t="str">
        <f>IFERROR(__xludf.DUMMYFUNCTION("""COMPUTED_VALUE"""),"Wrapped Bitcoin - Celer")</f>
        <v>Wrapped Bitcoin - Celer</v>
      </c>
    </row>
    <row r="13123">
      <c r="A13123" s="4" t="str">
        <f>IFERROR(__xludf.DUMMYFUNCTION("""COMPUTED_VALUE"""),"wrapped-bitcoin-sollet")</f>
        <v>wrapped-bitcoin-sollet</v>
      </c>
      <c r="B13123" s="4" t="str">
        <f>IFERROR(__xludf.DUMMYFUNCTION("""COMPUTED_VALUE"""),"sobtc")</f>
        <v>sobtc</v>
      </c>
      <c r="C13123" s="4" t="str">
        <f>IFERROR(__xludf.DUMMYFUNCTION("""COMPUTED_VALUE"""),"Wrapped Bitcoin (Sollet)")</f>
        <v>Wrapped Bitcoin (Sollet)</v>
      </c>
    </row>
    <row r="13124">
      <c r="A13124" s="4" t="str">
        <f>IFERROR(__xludf.DUMMYFUNCTION("""COMPUTED_VALUE"""),"wrapped-bitcoin-stacks")</f>
        <v>wrapped-bitcoin-stacks</v>
      </c>
      <c r="B13124" s="4" t="str">
        <f>IFERROR(__xludf.DUMMYFUNCTION("""COMPUTED_VALUE"""),"xbtc")</f>
        <v>xbtc</v>
      </c>
      <c r="C13124" s="4" t="str">
        <f>IFERROR(__xludf.DUMMYFUNCTION("""COMPUTED_VALUE"""),"Wrapped Bitcoin-Stacks")</f>
        <v>Wrapped Bitcoin-Stacks</v>
      </c>
    </row>
    <row r="13125">
      <c r="A13125" s="4" t="str">
        <f>IFERROR(__xludf.DUMMYFUNCTION("""COMPUTED_VALUE"""),"wrapped-bitrock")</f>
        <v>wrapped-bitrock</v>
      </c>
      <c r="B13125" s="4" t="str">
        <f>IFERROR(__xludf.DUMMYFUNCTION("""COMPUTED_VALUE"""),"wbrock")</f>
        <v>wbrock</v>
      </c>
      <c r="C13125" s="4" t="str">
        <f>IFERROR(__xludf.DUMMYFUNCTION("""COMPUTED_VALUE"""),"Wrapped Bitrock")</f>
        <v>Wrapped Bitrock</v>
      </c>
    </row>
    <row r="13126">
      <c r="A13126" s="4" t="str">
        <f>IFERROR(__xludf.DUMMYFUNCTION("""COMPUTED_VALUE"""),"wrapped-bmx-liquidity-token")</f>
        <v>wrapped-bmx-liquidity-token</v>
      </c>
      <c r="B13126" s="4" t="str">
        <f>IFERROR(__xludf.DUMMYFUNCTION("""COMPUTED_VALUE"""),"wblt")</f>
        <v>wblt</v>
      </c>
      <c r="C13126" s="4" t="str">
        <f>IFERROR(__xludf.DUMMYFUNCTION("""COMPUTED_VALUE"""),"Wrapped BMX Liquidity Token")</f>
        <v>Wrapped BMX Liquidity Token</v>
      </c>
    </row>
    <row r="13127">
      <c r="A13127" s="4" t="str">
        <f>IFERROR(__xludf.DUMMYFUNCTION("""COMPUTED_VALUE"""),"wrapped-bnb-21-co")</f>
        <v>wrapped-bnb-21-co</v>
      </c>
      <c r="B13127" s="4" t="str">
        <f>IFERROR(__xludf.DUMMYFUNCTION("""COMPUTED_VALUE"""),"21bnb")</f>
        <v>21bnb</v>
      </c>
      <c r="C13127" s="4" t="str">
        <f>IFERROR(__xludf.DUMMYFUNCTION("""COMPUTED_VALUE"""),"21.co Wrapped BNB")</f>
        <v>21.co Wrapped BNB</v>
      </c>
    </row>
    <row r="13128">
      <c r="A13128" s="4" t="str">
        <f>IFERROR(__xludf.DUMMYFUNCTION("""COMPUTED_VALUE"""),"wrapped-bnb-celer")</f>
        <v>wrapped-bnb-celer</v>
      </c>
      <c r="B13128" s="4" t="str">
        <f>IFERROR(__xludf.DUMMYFUNCTION("""COMPUTED_VALUE"""),"cewbnb")</f>
        <v>cewbnb</v>
      </c>
      <c r="C13128" s="4" t="str">
        <f>IFERROR(__xludf.DUMMYFUNCTION("""COMPUTED_VALUE"""),"Wrapped BNB - Celer")</f>
        <v>Wrapped BNB - Celer</v>
      </c>
    </row>
    <row r="13129">
      <c r="A13129" s="4" t="str">
        <f>IFERROR(__xludf.DUMMYFUNCTION("""COMPUTED_VALUE"""),"wrapped-btc-21-co")</f>
        <v>wrapped-btc-21-co</v>
      </c>
      <c r="B13129" s="4" t="str">
        <f>IFERROR(__xludf.DUMMYFUNCTION("""COMPUTED_VALUE"""),"21btc")</f>
        <v>21btc</v>
      </c>
      <c r="C13129" s="4" t="str">
        <f>IFERROR(__xludf.DUMMYFUNCTION("""COMPUTED_VALUE"""),"21.co Wrapped BTC")</f>
        <v>21.co Wrapped BTC</v>
      </c>
    </row>
    <row r="13130">
      <c r="A13130" s="4" t="str">
        <f>IFERROR(__xludf.DUMMYFUNCTION("""COMPUTED_VALUE"""),"wrapped-btc-caviarnine")</f>
        <v>wrapped-btc-caviarnine</v>
      </c>
      <c r="B13130" s="4" t="str">
        <f>IFERROR(__xludf.DUMMYFUNCTION("""COMPUTED_VALUE"""),"xwbtc")</f>
        <v>xwbtc</v>
      </c>
      <c r="C13130" s="4" t="str">
        <f>IFERROR(__xludf.DUMMYFUNCTION("""COMPUTED_VALUE"""),"Instabridge Wrapped BTC (Radix)")</f>
        <v>Instabridge Wrapped BTC (Radix)</v>
      </c>
    </row>
    <row r="13131">
      <c r="A13131" s="4" t="str">
        <f>IFERROR(__xludf.DUMMYFUNCTION("""COMPUTED_VALUE"""),"wrapped-btc-wormhole")</f>
        <v>wrapped-btc-wormhole</v>
      </c>
      <c r="B13131" s="4" t="str">
        <f>IFERROR(__xludf.DUMMYFUNCTION("""COMPUTED_VALUE"""),"wbtc")</f>
        <v>wbtc</v>
      </c>
      <c r="C13131" s="4" t="str">
        <f>IFERROR(__xludf.DUMMYFUNCTION("""COMPUTED_VALUE"""),"Wrapped BTC (Wormhole)")</f>
        <v>Wrapped BTC (Wormhole)</v>
      </c>
    </row>
    <row r="13132">
      <c r="A13132" s="4" t="str">
        <f>IFERROR(__xludf.DUMMYFUNCTION("""COMPUTED_VALUE"""),"wrapped-btt")</f>
        <v>wrapped-btt</v>
      </c>
      <c r="B13132" s="4" t="str">
        <f>IFERROR(__xludf.DUMMYFUNCTION("""COMPUTED_VALUE"""),"wbtt")</f>
        <v>wbtt</v>
      </c>
      <c r="C13132" s="4" t="str">
        <f>IFERROR(__xludf.DUMMYFUNCTION("""COMPUTED_VALUE"""),"Wrapped BTT")</f>
        <v>Wrapped BTT</v>
      </c>
    </row>
    <row r="13133">
      <c r="A13133" s="4" t="str">
        <f>IFERROR(__xludf.DUMMYFUNCTION("""COMPUTED_VALUE"""),"wrapped-busd")</f>
        <v>wrapped-busd</v>
      </c>
      <c r="B13133" s="4" t="str">
        <f>IFERROR(__xludf.DUMMYFUNCTION("""COMPUTED_VALUE"""),"wbusd")</f>
        <v>wbusd</v>
      </c>
      <c r="C13133" s="4" t="str">
        <f>IFERROR(__xludf.DUMMYFUNCTION("""COMPUTED_VALUE"""),"Wrapped BUSD")</f>
        <v>Wrapped BUSD</v>
      </c>
    </row>
    <row r="13134">
      <c r="A13134" s="4" t="str">
        <f>IFERROR(__xludf.DUMMYFUNCTION("""COMPUTED_VALUE"""),"wrapped-busd-allbridge-from-bsc")</f>
        <v>wrapped-busd-allbridge-from-bsc</v>
      </c>
      <c r="B13134" s="4" t="str">
        <f>IFERROR(__xludf.DUMMYFUNCTION("""COMPUTED_VALUE"""),"abbusd")</f>
        <v>abbusd</v>
      </c>
      <c r="C13134" s="4" t="str">
        <f>IFERROR(__xludf.DUMMYFUNCTION("""COMPUTED_VALUE"""),"Wrapped BUSD (Allbridge from BSC)")</f>
        <v>Wrapped BUSD (Allbridge from BSC)</v>
      </c>
    </row>
    <row r="13135">
      <c r="A13135" s="4" t="str">
        <f>IFERROR(__xludf.DUMMYFUNCTION("""COMPUTED_VALUE"""),"wrapped-cellmates")</f>
        <v>wrapped-cellmates</v>
      </c>
      <c r="B13135" s="4" t="str">
        <f>IFERROR(__xludf.DUMMYFUNCTION("""COMPUTED_VALUE"""),"wcell")</f>
        <v>wcell</v>
      </c>
      <c r="C13135" s="4" t="str">
        <f>IFERROR(__xludf.DUMMYFUNCTION("""COMPUTED_VALUE"""),"Wrapped CellMates")</f>
        <v>Wrapped CellMates</v>
      </c>
    </row>
    <row r="13136">
      <c r="A13136" s="4" t="str">
        <f>IFERROR(__xludf.DUMMYFUNCTION("""COMPUTED_VALUE"""),"wrapped-centrifuge")</f>
        <v>wrapped-centrifuge</v>
      </c>
      <c r="B13136" s="4" t="str">
        <f>IFERROR(__xludf.DUMMYFUNCTION("""COMPUTED_VALUE"""),"wcfg")</f>
        <v>wcfg</v>
      </c>
      <c r="C13136" s="4" t="str">
        <f>IFERROR(__xludf.DUMMYFUNCTION("""COMPUTED_VALUE"""),"Wrapped Centrifuge")</f>
        <v>Wrapped Centrifuge</v>
      </c>
    </row>
    <row r="13137">
      <c r="A13137" s="4" t="str">
        <f>IFERROR(__xludf.DUMMYFUNCTION("""COMPUTED_VALUE"""),"wrapped-chiliz")</f>
        <v>wrapped-chiliz</v>
      </c>
      <c r="B13137" s="4" t="str">
        <f>IFERROR(__xludf.DUMMYFUNCTION("""COMPUTED_VALUE"""),"wchz")</f>
        <v>wchz</v>
      </c>
      <c r="C13137" s="4" t="str">
        <f>IFERROR(__xludf.DUMMYFUNCTION("""COMPUTED_VALUE"""),"Wrapped Chiliz")</f>
        <v>Wrapped Chiliz</v>
      </c>
    </row>
    <row r="13138">
      <c r="A13138" s="4" t="str">
        <f>IFERROR(__xludf.DUMMYFUNCTION("""COMPUTED_VALUE"""),"wrapped-ckb")</f>
        <v>wrapped-ckb</v>
      </c>
      <c r="B13138" s="4" t="str">
        <f>IFERROR(__xludf.DUMMYFUNCTION("""COMPUTED_VALUE"""),"wckb")</f>
        <v>wckb</v>
      </c>
      <c r="C13138" s="4" t="str">
        <f>IFERROR(__xludf.DUMMYFUNCTION("""COMPUTED_VALUE"""),"Wrapped CKB")</f>
        <v>Wrapped CKB</v>
      </c>
    </row>
    <row r="13139">
      <c r="A13139" s="4" t="str">
        <f>IFERROR(__xludf.DUMMYFUNCTION("""COMPUTED_VALUE"""),"wrapped-conflux")</f>
        <v>wrapped-conflux</v>
      </c>
      <c r="B13139" s="4" t="str">
        <f>IFERROR(__xludf.DUMMYFUNCTION("""COMPUTED_VALUE"""),"wcfx")</f>
        <v>wcfx</v>
      </c>
      <c r="C13139" s="4" t="str">
        <f>IFERROR(__xludf.DUMMYFUNCTION("""COMPUTED_VALUE"""),"Wrapped Conflux")</f>
        <v>Wrapped Conflux</v>
      </c>
    </row>
    <row r="13140">
      <c r="A13140" s="4" t="str">
        <f>IFERROR(__xludf.DUMMYFUNCTION("""COMPUTED_VALUE"""),"wrapped-core")</f>
        <v>wrapped-core</v>
      </c>
      <c r="B13140" s="4" t="str">
        <f>IFERROR(__xludf.DUMMYFUNCTION("""COMPUTED_VALUE"""),"wcore")</f>
        <v>wcore</v>
      </c>
      <c r="C13140" s="4" t="str">
        <f>IFERROR(__xludf.DUMMYFUNCTION("""COMPUTED_VALUE"""),"Wrapped CORE")</f>
        <v>Wrapped CORE</v>
      </c>
    </row>
    <row r="13141">
      <c r="A13141" s="4" t="str">
        <f>IFERROR(__xludf.DUMMYFUNCTION("""COMPUTED_VALUE"""),"wrapped-cro")</f>
        <v>wrapped-cro</v>
      </c>
      <c r="B13141" s="4" t="str">
        <f>IFERROR(__xludf.DUMMYFUNCTION("""COMPUTED_VALUE"""),"wcro")</f>
        <v>wcro</v>
      </c>
      <c r="C13141" s="4" t="str">
        <f>IFERROR(__xludf.DUMMYFUNCTION("""COMPUTED_VALUE"""),"Wrapped CRO")</f>
        <v>Wrapped CRO</v>
      </c>
    </row>
    <row r="13142">
      <c r="A13142" s="4" t="str">
        <f>IFERROR(__xludf.DUMMYFUNCTION("""COMPUTED_VALUE"""),"wrapped-cusd-allbridge-from-celo")</f>
        <v>wrapped-cusd-allbridge-from-celo</v>
      </c>
      <c r="B13142" s="4" t="str">
        <f>IFERROR(__xludf.DUMMYFUNCTION("""COMPUTED_VALUE"""),"acusd")</f>
        <v>acusd</v>
      </c>
      <c r="C13142" s="4" t="str">
        <f>IFERROR(__xludf.DUMMYFUNCTION("""COMPUTED_VALUE"""),"Wrapped CUSD (Allbridge from Celo)")</f>
        <v>Wrapped CUSD (Allbridge from Celo)</v>
      </c>
    </row>
    <row r="13143">
      <c r="A13143" s="4" t="str">
        <f>IFERROR(__xludf.DUMMYFUNCTION("""COMPUTED_VALUE"""),"wrapped-cybria")</f>
        <v>wrapped-cybria</v>
      </c>
      <c r="B13143" s="4" t="str">
        <f>IFERROR(__xludf.DUMMYFUNCTION("""COMPUTED_VALUE"""),"wcyba")</f>
        <v>wcyba</v>
      </c>
      <c r="C13143" s="4" t="str">
        <f>IFERROR(__xludf.DUMMYFUNCTION("""COMPUTED_VALUE"""),"Wrapped Cybria")</f>
        <v>Wrapped Cybria</v>
      </c>
    </row>
    <row r="13144">
      <c r="A13144" s="4" t="str">
        <f>IFERROR(__xludf.DUMMYFUNCTION("""COMPUTED_VALUE"""),"wrapped-degen")</f>
        <v>wrapped-degen</v>
      </c>
      <c r="B13144" s="4" t="str">
        <f>IFERROR(__xludf.DUMMYFUNCTION("""COMPUTED_VALUE"""),"wdegen")</f>
        <v>wdegen</v>
      </c>
      <c r="C13144" s="4" t="str">
        <f>IFERROR(__xludf.DUMMYFUNCTION("""COMPUTED_VALUE"""),"Wrapped DEGEN")</f>
        <v>Wrapped DEGEN</v>
      </c>
    </row>
    <row r="13145">
      <c r="A13145" s="4" t="str">
        <f>IFERROR(__xludf.DUMMYFUNCTION("""COMPUTED_VALUE"""),"wrapped-doge-21-co")</f>
        <v>wrapped-doge-21-co</v>
      </c>
      <c r="B13145" s="4" t="str">
        <f>IFERROR(__xludf.DUMMYFUNCTION("""COMPUTED_VALUE"""),"21doge")</f>
        <v>21doge</v>
      </c>
      <c r="C13145" s="4" t="str">
        <f>IFERROR(__xludf.DUMMYFUNCTION("""COMPUTED_VALUE"""),"21.co Wrapped DOGE")</f>
        <v>21.co Wrapped DOGE</v>
      </c>
    </row>
    <row r="13146">
      <c r="A13146" s="4" t="str">
        <f>IFERROR(__xludf.DUMMYFUNCTION("""COMPUTED_VALUE"""),"wrapped-dot-21-co")</f>
        <v>wrapped-dot-21-co</v>
      </c>
      <c r="B13146" s="4" t="str">
        <f>IFERROR(__xludf.DUMMYFUNCTION("""COMPUTED_VALUE"""),"21dot")</f>
        <v>21dot</v>
      </c>
      <c r="C13146" s="4" t="str">
        <f>IFERROR(__xludf.DUMMYFUNCTION("""COMPUTED_VALUE"""),"21.co Wrapped DOT")</f>
        <v>21.co Wrapped DOT</v>
      </c>
    </row>
    <row r="13147">
      <c r="A13147" s="4" t="str">
        <f>IFERROR(__xludf.DUMMYFUNCTION("""COMPUTED_VALUE"""),"wrapped-ecomi")</f>
        <v>wrapped-ecomi</v>
      </c>
      <c r="B13147" s="4" t="str">
        <f>IFERROR(__xludf.DUMMYFUNCTION("""COMPUTED_VALUE"""),"womi")</f>
        <v>womi</v>
      </c>
      <c r="C13147" s="4" t="str">
        <f>IFERROR(__xludf.DUMMYFUNCTION("""COMPUTED_VALUE"""),"Wrapped ECOMI")</f>
        <v>Wrapped ECOMI</v>
      </c>
    </row>
    <row r="13148">
      <c r="A13148" s="4" t="str">
        <f>IFERROR(__xludf.DUMMYFUNCTION("""COMPUTED_VALUE"""),"wrapped-eeth")</f>
        <v>wrapped-eeth</v>
      </c>
      <c r="B13148" s="4" t="str">
        <f>IFERROR(__xludf.DUMMYFUNCTION("""COMPUTED_VALUE"""),"weeth")</f>
        <v>weeth</v>
      </c>
      <c r="C13148" s="4" t="str">
        <f>IFERROR(__xludf.DUMMYFUNCTION("""COMPUTED_VALUE"""),"Wrapped eETH")</f>
        <v>Wrapped eETH</v>
      </c>
    </row>
    <row r="13149">
      <c r="A13149" s="4" t="str">
        <f>IFERROR(__xludf.DUMMYFUNCTION("""COMPUTED_VALUE"""),"wrapped-ehmnd")</f>
        <v>wrapped-ehmnd</v>
      </c>
      <c r="B13149" s="4" t="str">
        <f>IFERROR(__xludf.DUMMYFUNCTION("""COMPUTED_VALUE"""),"wehmnd")</f>
        <v>wehmnd</v>
      </c>
      <c r="C13149" s="4" t="str">
        <f>IFERROR(__xludf.DUMMYFUNCTION("""COMPUTED_VALUE"""),"Wrapped eHMND")</f>
        <v>Wrapped eHMND</v>
      </c>
    </row>
    <row r="13150">
      <c r="A13150" s="4" t="str">
        <f>IFERROR(__xludf.DUMMYFUNCTION("""COMPUTED_VALUE"""),"wrapped-elastos")</f>
        <v>wrapped-elastos</v>
      </c>
      <c r="B13150" s="4" t="str">
        <f>IFERROR(__xludf.DUMMYFUNCTION("""COMPUTED_VALUE"""),"wela")</f>
        <v>wela</v>
      </c>
      <c r="C13150" s="4" t="str">
        <f>IFERROR(__xludf.DUMMYFUNCTION("""COMPUTED_VALUE"""),"Wrapped Elastos")</f>
        <v>Wrapped Elastos</v>
      </c>
    </row>
    <row r="13151">
      <c r="A13151" s="4" t="str">
        <f>IFERROR(__xludf.DUMMYFUNCTION("""COMPUTED_VALUE"""),"wrapped-elrond")</f>
        <v>wrapped-elrond</v>
      </c>
      <c r="B13151" s="4" t="str">
        <f>IFERROR(__xludf.DUMMYFUNCTION("""COMPUTED_VALUE"""),"wegld")</f>
        <v>wegld</v>
      </c>
      <c r="C13151" s="4" t="str">
        <f>IFERROR(__xludf.DUMMYFUNCTION("""COMPUTED_VALUE"""),"Wrapped EGLD")</f>
        <v>Wrapped EGLD</v>
      </c>
    </row>
    <row r="13152">
      <c r="A13152" s="4" t="str">
        <f>IFERROR(__xludf.DUMMYFUNCTION("""COMPUTED_VALUE"""),"wrapped-energi")</f>
        <v>wrapped-energi</v>
      </c>
      <c r="B13152" s="4" t="str">
        <f>IFERROR(__xludf.DUMMYFUNCTION("""COMPUTED_VALUE"""),"wnrg")</f>
        <v>wnrg</v>
      </c>
      <c r="C13152" s="4" t="str">
        <f>IFERROR(__xludf.DUMMYFUNCTION("""COMPUTED_VALUE"""),"Wrapped Energi")</f>
        <v>Wrapped Energi</v>
      </c>
    </row>
    <row r="13153">
      <c r="A13153" s="4" t="str">
        <f>IFERROR(__xludf.DUMMYFUNCTION("""COMPUTED_VALUE"""),"wrapped-eos")</f>
        <v>wrapped-eos</v>
      </c>
      <c r="B13153" s="4" t="str">
        <f>IFERROR(__xludf.DUMMYFUNCTION("""COMPUTED_VALUE"""),"weos")</f>
        <v>weos</v>
      </c>
      <c r="C13153" s="4" t="str">
        <f>IFERROR(__xludf.DUMMYFUNCTION("""COMPUTED_VALUE"""),"Wrapped EOS")</f>
        <v>Wrapped EOS</v>
      </c>
    </row>
    <row r="13154">
      <c r="A13154" s="4" t="str">
        <f>IFERROR(__xludf.DUMMYFUNCTION("""COMPUTED_VALUE"""),"wrapped-ether-celer")</f>
        <v>wrapped-ether-celer</v>
      </c>
      <c r="B13154" s="4" t="str">
        <f>IFERROR(__xludf.DUMMYFUNCTION("""COMPUTED_VALUE"""),"ceweth")</f>
        <v>ceweth</v>
      </c>
      <c r="C13154" s="4" t="str">
        <f>IFERROR(__xludf.DUMMYFUNCTION("""COMPUTED_VALUE"""),"Wrapped Ether - Celer")</f>
        <v>Wrapped Ether - Celer</v>
      </c>
    </row>
    <row r="13155">
      <c r="A13155" s="4" t="str">
        <f>IFERROR(__xludf.DUMMYFUNCTION("""COMPUTED_VALUE"""),"wrapped-ethereum-sollet")</f>
        <v>wrapped-ethereum-sollet</v>
      </c>
      <c r="B13155" s="4" t="str">
        <f>IFERROR(__xludf.DUMMYFUNCTION("""COMPUTED_VALUE"""),"soeth")</f>
        <v>soeth</v>
      </c>
      <c r="C13155" s="4" t="str">
        <f>IFERROR(__xludf.DUMMYFUNCTION("""COMPUTED_VALUE"""),"Wrapped Ethereum (Sollet)")</f>
        <v>Wrapped Ethereum (Sollet)</v>
      </c>
    </row>
    <row r="13156">
      <c r="A13156" s="4" t="str">
        <f>IFERROR(__xludf.DUMMYFUNCTION("""COMPUTED_VALUE"""),"wrapped-ether-linea")</f>
        <v>wrapped-ether-linea</v>
      </c>
      <c r="B13156" s="4" t="str">
        <f>IFERROR(__xludf.DUMMYFUNCTION("""COMPUTED_VALUE"""),"weth")</f>
        <v>weth</v>
      </c>
      <c r="C13156" s="4" t="str">
        <f>IFERROR(__xludf.DUMMYFUNCTION("""COMPUTED_VALUE"""),"Bridged Wrapped Ether (Linea)")</f>
        <v>Bridged Wrapped Ether (Linea)</v>
      </c>
    </row>
    <row r="13157">
      <c r="A13157" s="4" t="str">
        <f>IFERROR(__xludf.DUMMYFUNCTION("""COMPUTED_VALUE"""),"wrapped-ether-mantle-bridge")</f>
        <v>wrapped-ether-mantle-bridge</v>
      </c>
      <c r="B13157" s="4" t="str">
        <f>IFERROR(__xludf.DUMMYFUNCTION("""COMPUTED_VALUE"""),"weth")</f>
        <v>weth</v>
      </c>
      <c r="C13157" s="4" t="str">
        <f>IFERROR(__xludf.DUMMYFUNCTION("""COMPUTED_VALUE"""),"Wrapped Ether (Mantle Bridge)")</f>
        <v>Wrapped Ether (Mantle Bridge)</v>
      </c>
    </row>
    <row r="13158">
      <c r="A13158" s="4" t="str">
        <f>IFERROR(__xludf.DUMMYFUNCTION("""COMPUTED_VALUE"""),"wrapped-ethw")</f>
        <v>wrapped-ethw</v>
      </c>
      <c r="B13158" s="4" t="str">
        <f>IFERROR(__xludf.DUMMYFUNCTION("""COMPUTED_VALUE"""),"wethw")</f>
        <v>wethw</v>
      </c>
      <c r="C13158" s="4" t="str">
        <f>IFERROR(__xludf.DUMMYFUNCTION("""COMPUTED_VALUE"""),"Wrapped ETHW")</f>
        <v>Wrapped ETHW</v>
      </c>
    </row>
    <row r="13159">
      <c r="A13159" s="4" t="str">
        <f>IFERROR(__xludf.DUMMYFUNCTION("""COMPUTED_VALUE"""),"wrapped-ever")</f>
        <v>wrapped-ever</v>
      </c>
      <c r="B13159" s="4" t="str">
        <f>IFERROR(__xludf.DUMMYFUNCTION("""COMPUTED_VALUE"""),"wever")</f>
        <v>wever</v>
      </c>
      <c r="C13159" s="4" t="str">
        <f>IFERROR(__xludf.DUMMYFUNCTION("""COMPUTED_VALUE"""),"Wrapped Ever")</f>
        <v>Wrapped Ever</v>
      </c>
    </row>
    <row r="13160">
      <c r="A13160" s="4" t="str">
        <f>IFERROR(__xludf.DUMMYFUNCTION("""COMPUTED_VALUE"""),"wrapped-fantom")</f>
        <v>wrapped-fantom</v>
      </c>
      <c r="B13160" s="4" t="str">
        <f>IFERROR(__xludf.DUMMYFUNCTION("""COMPUTED_VALUE"""),"wftm")</f>
        <v>wftm</v>
      </c>
      <c r="C13160" s="4" t="str">
        <f>IFERROR(__xludf.DUMMYFUNCTION("""COMPUTED_VALUE"""),"Wrapped Fantom")</f>
        <v>Wrapped Fantom</v>
      </c>
    </row>
    <row r="13161">
      <c r="A13161" s="4" t="str">
        <f>IFERROR(__xludf.DUMMYFUNCTION("""COMPUTED_VALUE"""),"wrapped-fil")</f>
        <v>wrapped-fil</v>
      </c>
      <c r="B13161" s="4" t="str">
        <f>IFERROR(__xludf.DUMMYFUNCTION("""COMPUTED_VALUE"""),"wfil")</f>
        <v>wfil</v>
      </c>
      <c r="C13161" s="4" t="str">
        <f>IFERROR(__xludf.DUMMYFUNCTION("""COMPUTED_VALUE"""),"Wrapped FIL")</f>
        <v>Wrapped FIL</v>
      </c>
    </row>
    <row r="13162">
      <c r="A13162" s="4" t="str">
        <f>IFERROR(__xludf.DUMMYFUNCTION("""COMPUTED_VALUE"""),"wrapped-fio")</f>
        <v>wrapped-fio</v>
      </c>
      <c r="B13162" s="4" t="str">
        <f>IFERROR(__xludf.DUMMYFUNCTION("""COMPUTED_VALUE"""),"wfio")</f>
        <v>wfio</v>
      </c>
      <c r="C13162" s="4" t="str">
        <f>IFERROR(__xludf.DUMMYFUNCTION("""COMPUTED_VALUE"""),"Wrapped FIO")</f>
        <v>Wrapped FIO</v>
      </c>
    </row>
    <row r="13163">
      <c r="A13163" s="4" t="str">
        <f>IFERROR(__xludf.DUMMYFUNCTION("""COMPUTED_VALUE"""),"wrapped-flare")</f>
        <v>wrapped-flare</v>
      </c>
      <c r="B13163" s="4" t="str">
        <f>IFERROR(__xludf.DUMMYFUNCTION("""COMPUTED_VALUE"""),"wflr")</f>
        <v>wflr</v>
      </c>
      <c r="C13163" s="4" t="str">
        <f>IFERROR(__xludf.DUMMYFUNCTION("""COMPUTED_VALUE"""),"Wrapped Flare")</f>
        <v>Wrapped Flare</v>
      </c>
    </row>
    <row r="13164">
      <c r="A13164" s="4" t="str">
        <f>IFERROR(__xludf.DUMMYFUNCTION("""COMPUTED_VALUE"""),"wrapped-flow")</f>
        <v>wrapped-flow</v>
      </c>
      <c r="B13164" s="4" t="str">
        <f>IFERROR(__xludf.DUMMYFUNCTION("""COMPUTED_VALUE"""),"wflow")</f>
        <v>wflow</v>
      </c>
      <c r="C13164" s="4" t="str">
        <f>IFERROR(__xludf.DUMMYFUNCTION("""COMPUTED_VALUE"""),"Wrapped Flow")</f>
        <v>Wrapped Flow</v>
      </c>
    </row>
    <row r="13165">
      <c r="A13165" s="4" t="str">
        <f>IFERROR(__xludf.DUMMYFUNCTION("""COMPUTED_VALUE"""),"wrapped-frxeth")</f>
        <v>wrapped-frxeth</v>
      </c>
      <c r="B13165" s="4" t="str">
        <f>IFERROR(__xludf.DUMMYFUNCTION("""COMPUTED_VALUE"""),"wfrxeth")</f>
        <v>wfrxeth</v>
      </c>
      <c r="C13165" s="4" t="str">
        <f>IFERROR(__xludf.DUMMYFUNCTION("""COMPUTED_VALUE"""),"Wrapped frxETH")</f>
        <v>Wrapped frxETH</v>
      </c>
    </row>
    <row r="13166">
      <c r="A13166" s="4" t="str">
        <f>IFERROR(__xludf.DUMMYFUNCTION("""COMPUTED_VALUE"""),"wrapped-fuse")</f>
        <v>wrapped-fuse</v>
      </c>
      <c r="B13166" s="4" t="str">
        <f>IFERROR(__xludf.DUMMYFUNCTION("""COMPUTED_VALUE"""),"wfuse")</f>
        <v>wfuse</v>
      </c>
      <c r="C13166" s="4" t="str">
        <f>IFERROR(__xludf.DUMMYFUNCTION("""COMPUTED_VALUE"""),"Wrapped FUSE")</f>
        <v>Wrapped FUSE</v>
      </c>
    </row>
    <row r="13167">
      <c r="A13167" s="4" t="str">
        <f>IFERROR(__xludf.DUMMYFUNCTION("""COMPUTED_VALUE"""),"wrapped-hbar")</f>
        <v>wrapped-hbar</v>
      </c>
      <c r="B13167" s="4" t="str">
        <f>IFERROR(__xludf.DUMMYFUNCTION("""COMPUTED_VALUE"""),"whbar")</f>
        <v>whbar</v>
      </c>
      <c r="C13167" s="4" t="str">
        <f>IFERROR(__xludf.DUMMYFUNCTION("""COMPUTED_VALUE"""),"Wrapped HBAR (SaucerSwap)")</f>
        <v>Wrapped HBAR (SaucerSwap)</v>
      </c>
    </row>
    <row r="13168">
      <c r="A13168" s="4" t="str">
        <f>IFERROR(__xludf.DUMMYFUNCTION("""COMPUTED_VALUE"""),"wrapped-hec")</f>
        <v>wrapped-hec</v>
      </c>
      <c r="B13168" s="4" t="str">
        <f>IFERROR(__xludf.DUMMYFUNCTION("""COMPUTED_VALUE"""),"wshec")</f>
        <v>wshec</v>
      </c>
      <c r="C13168" s="4" t="str">
        <f>IFERROR(__xludf.DUMMYFUNCTION("""COMPUTED_VALUE"""),"Wrapped HEC")</f>
        <v>Wrapped HEC</v>
      </c>
    </row>
    <row r="13169">
      <c r="A13169" s="4" t="str">
        <f>IFERROR(__xludf.DUMMYFUNCTION("""COMPUTED_VALUE"""),"wrapped-huobi-token")</f>
        <v>wrapped-huobi-token</v>
      </c>
      <c r="B13169" s="4" t="str">
        <f>IFERROR(__xludf.DUMMYFUNCTION("""COMPUTED_VALUE"""),"wht")</f>
        <v>wht</v>
      </c>
      <c r="C13169" s="4" t="str">
        <f>IFERROR(__xludf.DUMMYFUNCTION("""COMPUTED_VALUE"""),"Wrapped Huobi")</f>
        <v>Wrapped Huobi</v>
      </c>
    </row>
    <row r="13170">
      <c r="A13170" s="4" t="str">
        <f>IFERROR(__xludf.DUMMYFUNCTION("""COMPUTED_VALUE"""),"wrapped-hyp")</f>
        <v>wrapped-hyp</v>
      </c>
      <c r="B13170" s="4" t="str">
        <f>IFERROR(__xludf.DUMMYFUNCTION("""COMPUTED_VALUE"""),"whyp")</f>
        <v>whyp</v>
      </c>
      <c r="C13170" s="4" t="str">
        <f>IFERROR(__xludf.DUMMYFUNCTION("""COMPUTED_VALUE"""),"Wrapped HYP")</f>
        <v>Wrapped HYP</v>
      </c>
    </row>
    <row r="13171">
      <c r="A13171" s="4" t="str">
        <f>IFERROR(__xludf.DUMMYFUNCTION("""COMPUTED_VALUE"""),"wrapped-icp")</f>
        <v>wrapped-icp</v>
      </c>
      <c r="B13171" s="4" t="str">
        <f>IFERROR(__xludf.DUMMYFUNCTION("""COMPUTED_VALUE"""),"wicp")</f>
        <v>wicp</v>
      </c>
      <c r="C13171" s="4" t="str">
        <f>IFERROR(__xludf.DUMMYFUNCTION("""COMPUTED_VALUE"""),"Wrapped ICP")</f>
        <v>Wrapped ICP</v>
      </c>
    </row>
    <row r="13172">
      <c r="A13172" s="4" t="str">
        <f>IFERROR(__xludf.DUMMYFUNCTION("""COMPUTED_VALUE"""),"wrapped-immutable")</f>
        <v>wrapped-immutable</v>
      </c>
      <c r="B13172" s="4" t="str">
        <f>IFERROR(__xludf.DUMMYFUNCTION("""COMPUTED_VALUE"""),"wimx")</f>
        <v>wimx</v>
      </c>
      <c r="C13172" s="4" t="str">
        <f>IFERROR(__xludf.DUMMYFUNCTION("""COMPUTED_VALUE"""),"Wrapped IMX")</f>
        <v>Wrapped IMX</v>
      </c>
    </row>
    <row r="13173">
      <c r="A13173" s="4" t="str">
        <f>IFERROR(__xludf.DUMMYFUNCTION("""COMPUTED_VALUE"""),"wrapped-iotex")</f>
        <v>wrapped-iotex</v>
      </c>
      <c r="B13173" s="4" t="str">
        <f>IFERROR(__xludf.DUMMYFUNCTION("""COMPUTED_VALUE"""),"wiotx")</f>
        <v>wiotx</v>
      </c>
      <c r="C13173" s="4" t="str">
        <f>IFERROR(__xludf.DUMMYFUNCTION("""COMPUTED_VALUE"""),"Wrapped IoTex")</f>
        <v>Wrapped IoTex</v>
      </c>
    </row>
    <row r="13174">
      <c r="A13174" s="4" t="str">
        <f>IFERROR(__xludf.DUMMYFUNCTION("""COMPUTED_VALUE"""),"wrapped-jones-aura")</f>
        <v>wrapped-jones-aura</v>
      </c>
      <c r="B13174" s="4" t="str">
        <f>IFERROR(__xludf.DUMMYFUNCTION("""COMPUTED_VALUE"""),"wjaura")</f>
        <v>wjaura</v>
      </c>
      <c r="C13174" s="4" t="str">
        <f>IFERROR(__xludf.DUMMYFUNCTION("""COMPUTED_VALUE"""),"Wrapped Jones AURA")</f>
        <v>Wrapped Jones AURA</v>
      </c>
    </row>
    <row r="13175">
      <c r="A13175" s="4" t="str">
        <f>IFERROR(__xludf.DUMMYFUNCTION("""COMPUTED_VALUE"""),"wrapped-kaspa")</f>
        <v>wrapped-kaspa</v>
      </c>
      <c r="B13175" s="4" t="str">
        <f>IFERROR(__xludf.DUMMYFUNCTION("""COMPUTED_VALUE"""),"kas")</f>
        <v>kas</v>
      </c>
      <c r="C13175" s="4" t="str">
        <f>IFERROR(__xludf.DUMMYFUNCTION("""COMPUTED_VALUE"""),"Wrapped Kaspa")</f>
        <v>Wrapped Kaspa</v>
      </c>
    </row>
    <row r="13176">
      <c r="A13176" s="4" t="str">
        <f>IFERROR(__xludf.DUMMYFUNCTION("""COMPUTED_VALUE"""),"wrapped-kava")</f>
        <v>wrapped-kava</v>
      </c>
      <c r="B13176" s="4" t="str">
        <f>IFERROR(__xludf.DUMMYFUNCTION("""COMPUTED_VALUE"""),"wkava")</f>
        <v>wkava</v>
      </c>
      <c r="C13176" s="4" t="str">
        <f>IFERROR(__xludf.DUMMYFUNCTION("""COMPUTED_VALUE"""),"Wrapped Kava")</f>
        <v>Wrapped Kava</v>
      </c>
    </row>
    <row r="13177">
      <c r="A13177" s="4" t="str">
        <f>IFERROR(__xludf.DUMMYFUNCTION("""COMPUTED_VALUE"""),"wrapped-kcs")</f>
        <v>wrapped-kcs</v>
      </c>
      <c r="B13177" s="4" t="str">
        <f>IFERROR(__xludf.DUMMYFUNCTION("""COMPUTED_VALUE"""),"wkcs")</f>
        <v>wkcs</v>
      </c>
      <c r="C13177" s="4" t="str">
        <f>IFERROR(__xludf.DUMMYFUNCTION("""COMPUTED_VALUE"""),"Wrapped KCS")</f>
        <v>Wrapped KCS</v>
      </c>
    </row>
    <row r="13178">
      <c r="A13178" s="4" t="str">
        <f>IFERROR(__xludf.DUMMYFUNCTION("""COMPUTED_VALUE"""),"wrapped-klay")</f>
        <v>wrapped-klay</v>
      </c>
      <c r="B13178" s="4" t="str">
        <f>IFERROR(__xludf.DUMMYFUNCTION("""COMPUTED_VALUE"""),"wklay")</f>
        <v>wklay</v>
      </c>
      <c r="C13178" s="4" t="str">
        <f>IFERROR(__xludf.DUMMYFUNCTION("""COMPUTED_VALUE"""),"Wrapped KLAY")</f>
        <v>Wrapped KLAY</v>
      </c>
    </row>
    <row r="13179">
      <c r="A13179" s="4" t="str">
        <f>IFERROR(__xludf.DUMMYFUNCTION("""COMPUTED_VALUE"""),"wrapped-libertas-omnibus")</f>
        <v>wrapped-libertas-omnibus</v>
      </c>
      <c r="B13179" s="4" t="str">
        <f>IFERROR(__xludf.DUMMYFUNCTION("""COMPUTED_VALUE"""),"libertas")</f>
        <v>libertas</v>
      </c>
      <c r="C13179" s="4" t="str">
        <f>IFERROR(__xludf.DUMMYFUNCTION("""COMPUTED_VALUE"""),"Wrapped LIBERTAS OMNIBUS")</f>
        <v>Wrapped LIBERTAS OMNIBUS</v>
      </c>
    </row>
    <row r="13180">
      <c r="A13180" s="4" t="str">
        <f>IFERROR(__xludf.DUMMYFUNCTION("""COMPUTED_VALUE"""),"wrapped-ltc-21-co")</f>
        <v>wrapped-ltc-21-co</v>
      </c>
      <c r="B13180" s="4" t="str">
        <f>IFERROR(__xludf.DUMMYFUNCTION("""COMPUTED_VALUE"""),"21ltc")</f>
        <v>21ltc</v>
      </c>
      <c r="C13180" s="4" t="str">
        <f>IFERROR(__xludf.DUMMYFUNCTION("""COMPUTED_VALUE"""),"21.co Wrapped LTC")</f>
        <v>21.co Wrapped LTC</v>
      </c>
    </row>
    <row r="13181">
      <c r="A13181" s="4" t="str">
        <f>IFERROR(__xludf.DUMMYFUNCTION("""COMPUTED_VALUE"""),"wrapped-lunagens")</f>
        <v>wrapped-lunagens</v>
      </c>
      <c r="B13181" s="4" t="str">
        <f>IFERROR(__xludf.DUMMYFUNCTION("""COMPUTED_VALUE"""),"wlung")</f>
        <v>wlung</v>
      </c>
      <c r="C13181" s="4" t="str">
        <f>IFERROR(__xludf.DUMMYFUNCTION("""COMPUTED_VALUE"""),"Wrapped LunaGens")</f>
        <v>Wrapped LunaGens</v>
      </c>
    </row>
    <row r="13182">
      <c r="A13182" s="4" t="str">
        <f>IFERROR(__xludf.DUMMYFUNCTION("""COMPUTED_VALUE"""),"wrapped-lyx-sigmaswap")</f>
        <v>wrapped-lyx-sigmaswap</v>
      </c>
      <c r="B13182" s="4" t="str">
        <f>IFERROR(__xludf.DUMMYFUNCTION("""COMPUTED_VALUE"""),"wlyx")</f>
        <v>wlyx</v>
      </c>
      <c r="C13182" s="4" t="str">
        <f>IFERROR(__xludf.DUMMYFUNCTION("""COMPUTED_VALUE"""),"Wrapped LYX (SigmaSwap)")</f>
        <v>Wrapped LYX (SigmaSwap)</v>
      </c>
    </row>
    <row r="13183">
      <c r="A13183" s="4" t="str">
        <f>IFERROR(__xludf.DUMMYFUNCTION("""COMPUTED_VALUE"""),"wrapped-mantle")</f>
        <v>wrapped-mantle</v>
      </c>
      <c r="B13183" s="4" t="str">
        <f>IFERROR(__xludf.DUMMYFUNCTION("""COMPUTED_VALUE"""),"wmnt")</f>
        <v>wmnt</v>
      </c>
      <c r="C13183" s="4" t="str">
        <f>IFERROR(__xludf.DUMMYFUNCTION("""COMPUTED_VALUE"""),"Wrapped Mantle")</f>
        <v>Wrapped Mantle</v>
      </c>
    </row>
    <row r="13184">
      <c r="A13184" s="4" t="str">
        <f>IFERROR(__xludf.DUMMYFUNCTION("""COMPUTED_VALUE"""),"wrapped-memory")</f>
        <v>wrapped-memory</v>
      </c>
      <c r="B13184" s="4" t="str">
        <f>IFERROR(__xludf.DUMMYFUNCTION("""COMPUTED_VALUE"""),"wmemo")</f>
        <v>wmemo</v>
      </c>
      <c r="C13184" s="4" t="str">
        <f>IFERROR(__xludf.DUMMYFUNCTION("""COMPUTED_VALUE"""),"Wonderful Memories")</f>
        <v>Wonderful Memories</v>
      </c>
    </row>
    <row r="13185">
      <c r="A13185" s="4" t="str">
        <f>IFERROR(__xludf.DUMMYFUNCTION("""COMPUTED_VALUE"""),"wrapped-merit-circle")</f>
        <v>wrapped-merit-circle</v>
      </c>
      <c r="B13185" s="4" t="str">
        <f>IFERROR(__xludf.DUMMYFUNCTION("""COMPUTED_VALUE"""),"wbeam")</f>
        <v>wbeam</v>
      </c>
      <c r="C13185" s="4" t="str">
        <f>IFERROR(__xludf.DUMMYFUNCTION("""COMPUTED_VALUE"""),"Wrapped BEAM")</f>
        <v>Wrapped BEAM</v>
      </c>
    </row>
    <row r="13186">
      <c r="A13186" s="4" t="str">
        <f>IFERROR(__xludf.DUMMYFUNCTION("""COMPUTED_VALUE"""),"wrapped-metrix")</f>
        <v>wrapped-metrix</v>
      </c>
      <c r="B13186" s="4" t="str">
        <f>IFERROR(__xludf.DUMMYFUNCTION("""COMPUTED_VALUE"""),"mrxb")</f>
        <v>mrxb</v>
      </c>
      <c r="C13186" s="4" t="str">
        <f>IFERROR(__xludf.DUMMYFUNCTION("""COMPUTED_VALUE"""),"Wrapped Metrix")</f>
        <v>Wrapped Metrix</v>
      </c>
    </row>
    <row r="13187">
      <c r="A13187" s="4" t="str">
        <f>IFERROR(__xludf.DUMMYFUNCTION("""COMPUTED_VALUE"""),"wrapped-millix")</f>
        <v>wrapped-millix</v>
      </c>
      <c r="B13187" s="4" t="str">
        <f>IFERROR(__xludf.DUMMYFUNCTION("""COMPUTED_VALUE"""),"wmlx")</f>
        <v>wmlx</v>
      </c>
      <c r="C13187" s="4" t="str">
        <f>IFERROR(__xludf.DUMMYFUNCTION("""COMPUTED_VALUE"""),"Wrapped Millix")</f>
        <v>Wrapped Millix</v>
      </c>
    </row>
    <row r="13188">
      <c r="A13188" s="4" t="str">
        <f>IFERROR(__xludf.DUMMYFUNCTION("""COMPUTED_VALUE"""),"wrapped-minima")</f>
        <v>wrapped-minima</v>
      </c>
      <c r="B13188" s="4" t="str">
        <f>IFERROR(__xludf.DUMMYFUNCTION("""COMPUTED_VALUE"""),"wminima")</f>
        <v>wminima</v>
      </c>
      <c r="C13188" s="4" t="str">
        <f>IFERROR(__xludf.DUMMYFUNCTION("""COMPUTED_VALUE"""),"Wrapped Minima")</f>
        <v>Wrapped Minima</v>
      </c>
    </row>
    <row r="13189">
      <c r="A13189" s="4" t="str">
        <f>IFERROR(__xludf.DUMMYFUNCTION("""COMPUTED_VALUE"""),"wrapped-mistcoin")</f>
        <v>wrapped-mistcoin</v>
      </c>
      <c r="B13189" s="4" t="str">
        <f>IFERROR(__xludf.DUMMYFUNCTION("""COMPUTED_VALUE"""),"wmc")</f>
        <v>wmc</v>
      </c>
      <c r="C13189" s="4" t="str">
        <f>IFERROR(__xludf.DUMMYFUNCTION("""COMPUTED_VALUE"""),"Wrapped MistCoin")</f>
        <v>Wrapped MistCoin</v>
      </c>
    </row>
    <row r="13190">
      <c r="A13190" s="4" t="str">
        <f>IFERROR(__xludf.DUMMYFUNCTION("""COMPUTED_VALUE"""),"wrapped-moonbeam")</f>
        <v>wrapped-moonbeam</v>
      </c>
      <c r="B13190" s="4" t="str">
        <f>IFERROR(__xludf.DUMMYFUNCTION("""COMPUTED_VALUE"""),"wglmr")</f>
        <v>wglmr</v>
      </c>
      <c r="C13190" s="4" t="str">
        <f>IFERROR(__xludf.DUMMYFUNCTION("""COMPUTED_VALUE"""),"Wrapped Moonbeam")</f>
        <v>Wrapped Moonbeam</v>
      </c>
    </row>
    <row r="13191">
      <c r="A13191" s="4" t="str">
        <f>IFERROR(__xludf.DUMMYFUNCTION("""COMPUTED_VALUE"""),"wrapped-moxy")</f>
        <v>wrapped-moxy</v>
      </c>
      <c r="B13191" s="4" t="str">
        <f>IFERROR(__xludf.DUMMYFUNCTION("""COMPUTED_VALUE"""),"wmoxy")</f>
        <v>wmoxy</v>
      </c>
      <c r="C13191" s="4" t="str">
        <f>IFERROR(__xludf.DUMMYFUNCTION("""COMPUTED_VALUE"""),"Wrapped MOXY")</f>
        <v>Wrapped MOXY</v>
      </c>
    </row>
    <row r="13192">
      <c r="A13192" s="4" t="str">
        <f>IFERROR(__xludf.DUMMYFUNCTION("""COMPUTED_VALUE"""),"wrapped-ncg")</f>
        <v>wrapped-ncg</v>
      </c>
      <c r="B13192" s="4" t="str">
        <f>IFERROR(__xludf.DUMMYFUNCTION("""COMPUTED_VALUE"""),"wncg")</f>
        <v>wncg</v>
      </c>
      <c r="C13192" s="4" t="str">
        <f>IFERROR(__xludf.DUMMYFUNCTION("""COMPUTED_VALUE"""),"Wrapped NCG")</f>
        <v>Wrapped NCG</v>
      </c>
    </row>
    <row r="13193">
      <c r="A13193" s="4" t="str">
        <f>IFERROR(__xludf.DUMMYFUNCTION("""COMPUTED_VALUE"""),"wrapped-near")</f>
        <v>wrapped-near</v>
      </c>
      <c r="B13193" s="4" t="str">
        <f>IFERROR(__xludf.DUMMYFUNCTION("""COMPUTED_VALUE"""),"wnear")</f>
        <v>wnear</v>
      </c>
      <c r="C13193" s="4" t="str">
        <f>IFERROR(__xludf.DUMMYFUNCTION("""COMPUTED_VALUE"""),"Wrapped Near")</f>
        <v>Wrapped Near</v>
      </c>
    </row>
    <row r="13194">
      <c r="A13194" s="4" t="str">
        <f>IFERROR(__xludf.DUMMYFUNCTION("""COMPUTED_VALUE"""),"wrapped-neon")</f>
        <v>wrapped-neon</v>
      </c>
      <c r="B13194" s="4" t="str">
        <f>IFERROR(__xludf.DUMMYFUNCTION("""COMPUTED_VALUE"""),"wneon")</f>
        <v>wneon</v>
      </c>
      <c r="C13194" s="4" t="str">
        <f>IFERROR(__xludf.DUMMYFUNCTION("""COMPUTED_VALUE"""),"Wrapped Neon")</f>
        <v>Wrapped Neon</v>
      </c>
    </row>
    <row r="13195">
      <c r="A13195" s="4" t="str">
        <f>IFERROR(__xludf.DUMMYFUNCTION("""COMPUTED_VALUE"""),"wrapped-newyorkcoin")</f>
        <v>wrapped-newyorkcoin</v>
      </c>
      <c r="B13195" s="4" t="str">
        <f>IFERROR(__xludf.DUMMYFUNCTION("""COMPUTED_VALUE"""),"wnyc")</f>
        <v>wnyc</v>
      </c>
      <c r="C13195" s="4" t="str">
        <f>IFERROR(__xludf.DUMMYFUNCTION("""COMPUTED_VALUE"""),"Wrapped NewYorkCoin")</f>
        <v>Wrapped NewYorkCoin</v>
      </c>
    </row>
    <row r="13196">
      <c r="A13196" s="4" t="str">
        <f>IFERROR(__xludf.DUMMYFUNCTION("""COMPUTED_VALUE"""),"wrapped-nxm")</f>
        <v>wrapped-nxm</v>
      </c>
      <c r="B13196" s="4" t="str">
        <f>IFERROR(__xludf.DUMMYFUNCTION("""COMPUTED_VALUE"""),"wnxm")</f>
        <v>wnxm</v>
      </c>
      <c r="C13196" s="4" t="str">
        <f>IFERROR(__xludf.DUMMYFUNCTION("""COMPUTED_VALUE"""),"Wrapped NXM")</f>
        <v>Wrapped NXM</v>
      </c>
    </row>
    <row r="13197">
      <c r="A13197" s="4" t="str">
        <f>IFERROR(__xludf.DUMMYFUNCTION("""COMPUTED_VALUE"""),"wrapped-nybc")</f>
        <v>wrapped-nybc</v>
      </c>
      <c r="B13197" s="4" t="str">
        <f>IFERROR(__xludf.DUMMYFUNCTION("""COMPUTED_VALUE"""),"wnybc")</f>
        <v>wnybc</v>
      </c>
      <c r="C13197" s="4" t="str">
        <f>IFERROR(__xludf.DUMMYFUNCTION("""COMPUTED_VALUE"""),"Wrapped NYBC")</f>
        <v>Wrapped NYBC</v>
      </c>
    </row>
    <row r="13198">
      <c r="A13198" s="4" t="str">
        <f>IFERROR(__xludf.DUMMYFUNCTION("""COMPUTED_VALUE"""),"wrapped-oas")</f>
        <v>wrapped-oas</v>
      </c>
      <c r="B13198" s="4" t="str">
        <f>IFERROR(__xludf.DUMMYFUNCTION("""COMPUTED_VALUE"""),"woas")</f>
        <v>woas</v>
      </c>
      <c r="C13198" s="4" t="str">
        <f>IFERROR(__xludf.DUMMYFUNCTION("""COMPUTED_VALUE"""),"Wrapped OAS")</f>
        <v>Wrapped OAS</v>
      </c>
    </row>
    <row r="13199">
      <c r="A13199" s="4" t="str">
        <f>IFERROR(__xludf.DUMMYFUNCTION("""COMPUTED_VALUE"""),"wrapped-oeth")</f>
        <v>wrapped-oeth</v>
      </c>
      <c r="B13199" s="4" t="str">
        <f>IFERROR(__xludf.DUMMYFUNCTION("""COMPUTED_VALUE"""),"woeth")</f>
        <v>woeth</v>
      </c>
      <c r="C13199" s="4" t="str">
        <f>IFERROR(__xludf.DUMMYFUNCTION("""COMPUTED_VALUE"""),"Wrapped OETH")</f>
        <v>Wrapped OETH</v>
      </c>
    </row>
    <row r="13200">
      <c r="A13200" s="4" t="str">
        <f>IFERROR(__xludf.DUMMYFUNCTION("""COMPUTED_VALUE"""),"wrapped-omax")</f>
        <v>wrapped-omax</v>
      </c>
      <c r="B13200" s="4" t="str">
        <f>IFERROR(__xludf.DUMMYFUNCTION("""COMPUTED_VALUE"""),"womax")</f>
        <v>womax</v>
      </c>
      <c r="C13200" s="4" t="str">
        <f>IFERROR(__xludf.DUMMYFUNCTION("""COMPUTED_VALUE"""),"Wrapped OMAX")</f>
        <v>Wrapped OMAX</v>
      </c>
    </row>
    <row r="13201">
      <c r="A13201" s="4" t="str">
        <f>IFERROR(__xludf.DUMMYFUNCTION("""COMPUTED_VALUE"""),"wrapped-one")</f>
        <v>wrapped-one</v>
      </c>
      <c r="B13201" s="4" t="str">
        <f>IFERROR(__xludf.DUMMYFUNCTION("""COMPUTED_VALUE"""),"wone")</f>
        <v>wone</v>
      </c>
      <c r="C13201" s="4" t="str">
        <f>IFERROR(__xludf.DUMMYFUNCTION("""COMPUTED_VALUE"""),"Wrapped One")</f>
        <v>Wrapped One</v>
      </c>
    </row>
    <row r="13202">
      <c r="A13202" s="4" t="str">
        <f>IFERROR(__xludf.DUMMYFUNCTION("""COMPUTED_VALUE"""),"wrapped-optidoge")</f>
        <v>wrapped-optidoge</v>
      </c>
      <c r="B13202" s="4" t="str">
        <f>IFERROR(__xludf.DUMMYFUNCTION("""COMPUTED_VALUE"""),"woptidoge")</f>
        <v>woptidoge</v>
      </c>
      <c r="C13202" s="4" t="str">
        <f>IFERROR(__xludf.DUMMYFUNCTION("""COMPUTED_VALUE"""),"Wrapped OptiDoge")</f>
        <v>Wrapped OptiDoge</v>
      </c>
    </row>
    <row r="13203">
      <c r="A13203" s="4" t="str">
        <f>IFERROR(__xludf.DUMMYFUNCTION("""COMPUTED_VALUE"""),"wrapped-ousd")</f>
        <v>wrapped-ousd</v>
      </c>
      <c r="B13203" s="4" t="str">
        <f>IFERROR(__xludf.DUMMYFUNCTION("""COMPUTED_VALUE"""),"wousd")</f>
        <v>wousd</v>
      </c>
      <c r="C13203" s="4" t="str">
        <f>IFERROR(__xludf.DUMMYFUNCTION("""COMPUTED_VALUE"""),"Wrapped OUSD")</f>
        <v>Wrapped OUSD</v>
      </c>
    </row>
    <row r="13204">
      <c r="A13204" s="4" t="str">
        <f>IFERROR(__xludf.DUMMYFUNCTION("""COMPUTED_VALUE"""),"wrapped-paycoin")</f>
        <v>wrapped-paycoin</v>
      </c>
      <c r="B13204" s="4" t="str">
        <f>IFERROR(__xludf.DUMMYFUNCTION("""COMPUTED_VALUE"""),"wpci")</f>
        <v>wpci</v>
      </c>
      <c r="C13204" s="4" t="str">
        <f>IFERROR(__xludf.DUMMYFUNCTION("""COMPUTED_VALUE"""),"Wrapped Paycoin")</f>
        <v>Wrapped Paycoin</v>
      </c>
    </row>
    <row r="13205">
      <c r="A13205" s="4" t="str">
        <f>IFERROR(__xludf.DUMMYFUNCTION("""COMPUTED_VALUE"""),"wrapped-pepe")</f>
        <v>wrapped-pepe</v>
      </c>
      <c r="B13205" s="4" t="str">
        <f>IFERROR(__xludf.DUMMYFUNCTION("""COMPUTED_VALUE"""),"wpepe")</f>
        <v>wpepe</v>
      </c>
      <c r="C13205" s="4" t="str">
        <f>IFERROR(__xludf.DUMMYFUNCTION("""COMPUTED_VALUE"""),"Wrapped Pepe")</f>
        <v>Wrapped Pepe</v>
      </c>
    </row>
    <row r="13206">
      <c r="A13206" s="4" t="str">
        <f>IFERROR(__xludf.DUMMYFUNCTION("""COMPUTED_VALUE"""),"wrapped-pfil")</f>
        <v>wrapped-pfil</v>
      </c>
      <c r="B13206" s="4" t="str">
        <f>IFERROR(__xludf.DUMMYFUNCTION("""COMPUTED_VALUE"""),"wpfil")</f>
        <v>wpfil</v>
      </c>
      <c r="C13206" s="4" t="str">
        <f>IFERROR(__xludf.DUMMYFUNCTION("""COMPUTED_VALUE"""),"Wrapped pFIL")</f>
        <v>Wrapped pFIL</v>
      </c>
    </row>
    <row r="13207">
      <c r="A13207" s="4" t="str">
        <f>IFERROR(__xludf.DUMMYFUNCTION("""COMPUTED_VALUE"""),"wrapped-platform")</f>
        <v>wrapped-platform</v>
      </c>
      <c r="B13207" s="4" t="str">
        <f>IFERROR(__xludf.DUMMYFUNCTION("""COMPUTED_VALUE"""),"wrap")</f>
        <v>wrap</v>
      </c>
      <c r="C13207" s="4" t="str">
        <f>IFERROR(__xludf.DUMMYFUNCTION("""COMPUTED_VALUE"""),"Wrapped Platform")</f>
        <v>Wrapped Platform</v>
      </c>
    </row>
    <row r="13208">
      <c r="A13208" s="4" t="str">
        <f>IFERROR(__xludf.DUMMYFUNCTION("""COMPUTED_VALUE"""),"wrapped-pokt")</f>
        <v>wrapped-pokt</v>
      </c>
      <c r="B13208" s="4" t="str">
        <f>IFERROR(__xludf.DUMMYFUNCTION("""COMPUTED_VALUE"""),"wpokt")</f>
        <v>wpokt</v>
      </c>
      <c r="C13208" s="4" t="str">
        <f>IFERROR(__xludf.DUMMYFUNCTION("""COMPUTED_VALUE"""),"Wrapped POKT")</f>
        <v>Wrapped POKT</v>
      </c>
    </row>
    <row r="13209">
      <c r="A13209" s="4" t="str">
        <f>IFERROR(__xludf.DUMMYFUNCTION("""COMPUTED_VALUE"""),"wrapped-pom")</f>
        <v>wrapped-pom</v>
      </c>
      <c r="B13209" s="4" t="str">
        <f>IFERROR(__xludf.DUMMYFUNCTION("""COMPUTED_VALUE"""),"wpom")</f>
        <v>wpom</v>
      </c>
      <c r="C13209" s="4" t="str">
        <f>IFERROR(__xludf.DUMMYFUNCTION("""COMPUTED_VALUE"""),"Wrapped POM")</f>
        <v>Wrapped POM</v>
      </c>
    </row>
    <row r="13210">
      <c r="A13210" s="4" t="str">
        <f>IFERROR(__xludf.DUMMYFUNCTION("""COMPUTED_VALUE"""),"wrapped-pulse-wpls")</f>
        <v>wrapped-pulse-wpls</v>
      </c>
      <c r="B13210" s="4" t="str">
        <f>IFERROR(__xludf.DUMMYFUNCTION("""COMPUTED_VALUE"""),"wpls")</f>
        <v>wpls</v>
      </c>
      <c r="C13210" s="4" t="str">
        <f>IFERROR(__xludf.DUMMYFUNCTION("""COMPUTED_VALUE"""),"Wrapped Pulse")</f>
        <v>Wrapped Pulse</v>
      </c>
    </row>
    <row r="13211">
      <c r="A13211" s="4" t="str">
        <f>IFERROR(__xludf.DUMMYFUNCTION("""COMPUTED_VALUE"""),"wrapped-rose")</f>
        <v>wrapped-rose</v>
      </c>
      <c r="B13211" s="4" t="str">
        <f>IFERROR(__xludf.DUMMYFUNCTION("""COMPUTED_VALUE"""),"wrose")</f>
        <v>wrose</v>
      </c>
      <c r="C13211" s="4" t="str">
        <f>IFERROR(__xludf.DUMMYFUNCTION("""COMPUTED_VALUE"""),"Wrapped ROSE")</f>
        <v>Wrapped ROSE</v>
      </c>
    </row>
    <row r="13212">
      <c r="A13212" s="4" t="str">
        <f>IFERROR(__xludf.DUMMYFUNCTION("""COMPUTED_VALUE"""),"wrapped-shiden-network")</f>
        <v>wrapped-shiden-network</v>
      </c>
      <c r="B13212" s="4" t="str">
        <f>IFERROR(__xludf.DUMMYFUNCTION("""COMPUTED_VALUE"""),"sdn")</f>
        <v>sdn</v>
      </c>
      <c r="C13212" s="4" t="str">
        <f>IFERROR(__xludf.DUMMYFUNCTION("""COMPUTED_VALUE"""),"Wrapped Shiden Network")</f>
        <v>Wrapped Shiden Network</v>
      </c>
    </row>
    <row r="13213">
      <c r="A13213" s="4" t="str">
        <f>IFERROR(__xludf.DUMMYFUNCTION("""COMPUTED_VALUE"""),"wrapped-sol-21-co")</f>
        <v>wrapped-sol-21-co</v>
      </c>
      <c r="B13213" s="4" t="str">
        <f>IFERROR(__xludf.DUMMYFUNCTION("""COMPUTED_VALUE"""),"21sol")</f>
        <v>21sol</v>
      </c>
      <c r="C13213" s="4" t="str">
        <f>IFERROR(__xludf.DUMMYFUNCTION("""COMPUTED_VALUE"""),"21.co Wrapped SOL")</f>
        <v>21.co Wrapped SOL</v>
      </c>
    </row>
    <row r="13214">
      <c r="A13214" s="4" t="str">
        <f>IFERROR(__xludf.DUMMYFUNCTION("""COMPUTED_VALUE"""),"wrapped-solana")</f>
        <v>wrapped-solana</v>
      </c>
      <c r="B13214" s="4" t="str">
        <f>IFERROR(__xludf.DUMMYFUNCTION("""COMPUTED_VALUE"""),"sol")</f>
        <v>sol</v>
      </c>
      <c r="C13214" s="4" t="str">
        <f>IFERROR(__xludf.DUMMYFUNCTION("""COMPUTED_VALUE"""),"Wrapped Solana")</f>
        <v>Wrapped Solana</v>
      </c>
    </row>
    <row r="13215">
      <c r="A13215" s="4" t="str">
        <f>IFERROR(__xludf.DUMMYFUNCTION("""COMPUTED_VALUE"""),"wrapped-songbird")</f>
        <v>wrapped-songbird</v>
      </c>
      <c r="B13215" s="4" t="str">
        <f>IFERROR(__xludf.DUMMYFUNCTION("""COMPUTED_VALUE"""),"wsgb")</f>
        <v>wsgb</v>
      </c>
      <c r="C13215" s="4" t="str">
        <f>IFERROR(__xludf.DUMMYFUNCTION("""COMPUTED_VALUE"""),"Wrapped Songbird")</f>
        <v>Wrapped Songbird</v>
      </c>
    </row>
    <row r="13216">
      <c r="A13216" s="4" t="str">
        <f>IFERROR(__xludf.DUMMYFUNCTION("""COMPUTED_VALUE"""),"wrapped-staked-link")</f>
        <v>wrapped-staked-link</v>
      </c>
      <c r="B13216" s="4" t="str">
        <f>IFERROR(__xludf.DUMMYFUNCTION("""COMPUTED_VALUE"""),"wstlink")</f>
        <v>wstlink</v>
      </c>
      <c r="C13216" s="4" t="str">
        <f>IFERROR(__xludf.DUMMYFUNCTION("""COMPUTED_VALUE"""),"Wrapped Staked LINK")</f>
        <v>Wrapped Staked LINK</v>
      </c>
    </row>
    <row r="13217">
      <c r="A13217" s="4" t="str">
        <f>IFERROR(__xludf.DUMMYFUNCTION("""COMPUTED_VALUE"""),"wrapped-staked-usdt")</f>
        <v>wrapped-staked-usdt</v>
      </c>
      <c r="B13217" s="4" t="str">
        <f>IFERROR(__xludf.DUMMYFUNCTION("""COMPUTED_VALUE"""),"wstusdt")</f>
        <v>wstusdt</v>
      </c>
      <c r="C13217" s="4" t="str">
        <f>IFERROR(__xludf.DUMMYFUNCTION("""COMPUTED_VALUE"""),"Wrapped Staked Tether")</f>
        <v>Wrapped Staked Tether</v>
      </c>
    </row>
    <row r="13218">
      <c r="A13218" s="4" t="str">
        <f>IFERROR(__xludf.DUMMYFUNCTION("""COMPUTED_VALUE"""),"wrapped-statera")</f>
        <v>wrapped-statera</v>
      </c>
      <c r="B13218" s="4" t="str">
        <f>IFERROR(__xludf.DUMMYFUNCTION("""COMPUTED_VALUE"""),"wsta")</f>
        <v>wsta</v>
      </c>
      <c r="C13218" s="4" t="str">
        <f>IFERROR(__xludf.DUMMYFUNCTION("""COMPUTED_VALUE"""),"Wrapped Statera")</f>
        <v>Wrapped Statera</v>
      </c>
    </row>
    <row r="13219">
      <c r="A13219" s="4" t="str">
        <f>IFERROR(__xludf.DUMMYFUNCTION("""COMPUTED_VALUE"""),"wrapped-steth")</f>
        <v>wrapped-steth</v>
      </c>
      <c r="B13219" s="4" t="str">
        <f>IFERROR(__xludf.DUMMYFUNCTION("""COMPUTED_VALUE"""),"wsteth")</f>
        <v>wsteth</v>
      </c>
      <c r="C13219" s="4" t="str">
        <f>IFERROR(__xludf.DUMMYFUNCTION("""COMPUTED_VALUE"""),"Wrapped stETH")</f>
        <v>Wrapped stETH</v>
      </c>
    </row>
    <row r="13220">
      <c r="A13220" s="4" t="str">
        <f>IFERROR(__xludf.DUMMYFUNCTION("""COMPUTED_VALUE"""),"wrapped-syscoin")</f>
        <v>wrapped-syscoin</v>
      </c>
      <c r="B13220" s="4" t="str">
        <f>IFERROR(__xludf.DUMMYFUNCTION("""COMPUTED_VALUE"""),"wsys")</f>
        <v>wsys</v>
      </c>
      <c r="C13220" s="4" t="str">
        <f>IFERROR(__xludf.DUMMYFUNCTION("""COMPUTED_VALUE"""),"Wrapped Syscoin")</f>
        <v>Wrapped Syscoin</v>
      </c>
    </row>
    <row r="13221">
      <c r="A13221" s="4" t="str">
        <f>IFERROR(__xludf.DUMMYFUNCTION("""COMPUTED_VALUE"""),"wrapped-tao")</f>
        <v>wrapped-tao</v>
      </c>
      <c r="B13221" s="4" t="str">
        <f>IFERROR(__xludf.DUMMYFUNCTION("""COMPUTED_VALUE"""),"wtao")</f>
        <v>wtao</v>
      </c>
      <c r="C13221" s="4" t="str">
        <f>IFERROR(__xludf.DUMMYFUNCTION("""COMPUTED_VALUE"""),"Wrapped TAO")</f>
        <v>Wrapped TAO</v>
      </c>
    </row>
    <row r="13222">
      <c r="A13222" s="4" t="str">
        <f>IFERROR(__xludf.DUMMYFUNCTION("""COMPUTED_VALUE"""),"wrapped-telos")</f>
        <v>wrapped-telos</v>
      </c>
      <c r="B13222" s="4" t="str">
        <f>IFERROR(__xludf.DUMMYFUNCTION("""COMPUTED_VALUE"""),"wtlos")</f>
        <v>wtlos</v>
      </c>
      <c r="C13222" s="4" t="str">
        <f>IFERROR(__xludf.DUMMYFUNCTION("""COMPUTED_VALUE"""),"Wrapped Telos")</f>
        <v>Wrapped Telos</v>
      </c>
    </row>
    <row r="13223">
      <c r="A13223" s="4" t="str">
        <f>IFERROR(__xludf.DUMMYFUNCTION("""COMPUTED_VALUE"""),"wrapped-terra")</f>
        <v>wrapped-terra</v>
      </c>
      <c r="B13223" s="4" t="str">
        <f>IFERROR(__xludf.DUMMYFUNCTION("""COMPUTED_VALUE"""),"lunc")</f>
        <v>lunc</v>
      </c>
      <c r="C13223" s="4" t="str">
        <f>IFERROR(__xludf.DUMMYFUNCTION("""COMPUTED_VALUE"""),"Wrapped Terra Classic")</f>
        <v>Wrapped Terra Classic</v>
      </c>
    </row>
    <row r="13224">
      <c r="A13224" s="4" t="str">
        <f>IFERROR(__xludf.DUMMYFUNCTION("""COMPUTED_VALUE"""),"wrapped-tezos")</f>
        <v>wrapped-tezos</v>
      </c>
      <c r="B13224" s="4" t="str">
        <f>IFERROR(__xludf.DUMMYFUNCTION("""COMPUTED_VALUE"""),"wxtz")</f>
        <v>wxtz</v>
      </c>
      <c r="C13224" s="4" t="str">
        <f>IFERROR(__xludf.DUMMYFUNCTION("""COMPUTED_VALUE"""),"StakerDAO Wrapped Tezos")</f>
        <v>StakerDAO Wrapped Tezos</v>
      </c>
    </row>
    <row r="13225">
      <c r="A13225" s="4" t="str">
        <f>IFERROR(__xludf.DUMMYFUNCTION("""COMPUTED_VALUE"""),"wrapped-thunderpokt")</f>
        <v>wrapped-thunderpokt</v>
      </c>
      <c r="B13225" s="4" t="str">
        <f>IFERROR(__xludf.DUMMYFUNCTION("""COMPUTED_VALUE"""),"wtpokt")</f>
        <v>wtpokt</v>
      </c>
      <c r="C13225" s="4" t="str">
        <f>IFERROR(__xludf.DUMMYFUNCTION("""COMPUTED_VALUE"""),"Wrapped ThunderPOKT")</f>
        <v>Wrapped ThunderPOKT</v>
      </c>
    </row>
    <row r="13226">
      <c r="A13226" s="4" t="str">
        <f>IFERROR(__xludf.DUMMYFUNCTION("""COMPUTED_VALUE"""),"wrapped-thunder-token")</f>
        <v>wrapped-thunder-token</v>
      </c>
      <c r="B13226" s="4" t="str">
        <f>IFERROR(__xludf.DUMMYFUNCTION("""COMPUTED_VALUE"""),"wtt")</f>
        <v>wtt</v>
      </c>
      <c r="C13226" s="4" t="str">
        <f>IFERROR(__xludf.DUMMYFUNCTION("""COMPUTED_VALUE"""),"Wrapped Thunder Token")</f>
        <v>Wrapped Thunder Token</v>
      </c>
    </row>
    <row r="13227">
      <c r="A13227" s="4" t="str">
        <f>IFERROR(__xludf.DUMMYFUNCTION("""COMPUTED_VALUE"""),"wrapped-tomo")</f>
        <v>wrapped-tomo</v>
      </c>
      <c r="B13227" s="4" t="str">
        <f>IFERROR(__xludf.DUMMYFUNCTION("""COMPUTED_VALUE"""),"wtomo")</f>
        <v>wtomo</v>
      </c>
      <c r="C13227" s="4" t="str">
        <f>IFERROR(__xludf.DUMMYFUNCTION("""COMPUTED_VALUE"""),"Wrapped TOMO")</f>
        <v>Wrapped TOMO</v>
      </c>
    </row>
    <row r="13228">
      <c r="A13228" s="4" t="str">
        <f>IFERROR(__xludf.DUMMYFUNCTION("""COMPUTED_VALUE"""),"wrapped-trade-ai")</f>
        <v>wrapped-trade-ai</v>
      </c>
      <c r="B13228" s="4" t="str">
        <f>IFERROR(__xludf.DUMMYFUNCTION("""COMPUTED_VALUE"""),"wtai")</f>
        <v>wtai</v>
      </c>
      <c r="C13228" s="4" t="str">
        <f>IFERROR(__xludf.DUMMYFUNCTION("""COMPUTED_VALUE"""),"Wrapped Trade AI")</f>
        <v>Wrapped Trade AI</v>
      </c>
    </row>
    <row r="13229">
      <c r="A13229" s="4" t="str">
        <f>IFERROR(__xludf.DUMMYFUNCTION("""COMPUTED_VALUE"""),"wrapped-tron")</f>
        <v>wrapped-tron</v>
      </c>
      <c r="B13229" s="4" t="str">
        <f>IFERROR(__xludf.DUMMYFUNCTION("""COMPUTED_VALUE"""),"wtrx")</f>
        <v>wtrx</v>
      </c>
      <c r="C13229" s="4" t="str">
        <f>IFERROR(__xludf.DUMMYFUNCTION("""COMPUTED_VALUE"""),"Wrapped Tron")</f>
        <v>Wrapped Tron</v>
      </c>
    </row>
    <row r="13230">
      <c r="A13230" s="4" t="str">
        <f>IFERROR(__xludf.DUMMYFUNCTION("""COMPUTED_VALUE"""),"wrapped-turtlecoin")</f>
        <v>wrapped-turtlecoin</v>
      </c>
      <c r="B13230" s="4" t="str">
        <f>IFERROR(__xludf.DUMMYFUNCTION("""COMPUTED_VALUE"""),"wtrtl")</f>
        <v>wtrtl</v>
      </c>
      <c r="C13230" s="4" t="str">
        <f>IFERROR(__xludf.DUMMYFUNCTION("""COMPUTED_VALUE"""),"Wrapped TurtleCoin")</f>
        <v>Wrapped TurtleCoin</v>
      </c>
    </row>
    <row r="13231">
      <c r="A13231" s="4" t="str">
        <f>IFERROR(__xludf.DUMMYFUNCTION("""COMPUTED_VALUE"""),"wrapped-usdc")</f>
        <v>wrapped-usdc</v>
      </c>
      <c r="B13231" s="4" t="str">
        <f>IFERROR(__xludf.DUMMYFUNCTION("""COMPUTED_VALUE"""),"xusd")</f>
        <v>xusd</v>
      </c>
      <c r="C13231" s="4" t="str">
        <f>IFERROR(__xludf.DUMMYFUNCTION("""COMPUTED_VALUE"""),"Bridged USD Coin (Wrapped)")</f>
        <v>Bridged USD Coin (Wrapped)</v>
      </c>
    </row>
    <row r="13232">
      <c r="A13232" s="4" t="str">
        <f>IFERROR(__xludf.DUMMYFUNCTION("""COMPUTED_VALUE"""),"wrapped-usdc-caviarnine")</f>
        <v>wrapped-usdc-caviarnine</v>
      </c>
      <c r="B13232" s="4" t="str">
        <f>IFERROR(__xludf.DUMMYFUNCTION("""COMPUTED_VALUE"""),"xusdc")</f>
        <v>xusdc</v>
      </c>
      <c r="C13232" s="4" t="str">
        <f>IFERROR(__xludf.DUMMYFUNCTION("""COMPUTED_VALUE"""),"Instabridge Wrapped USDC (Radix)")</f>
        <v>Instabridge Wrapped USDC (Radix)</v>
      </c>
    </row>
    <row r="13233">
      <c r="A13233" s="4" t="str">
        <f>IFERROR(__xludf.DUMMYFUNCTION("""COMPUTED_VALUE"""),"wrapped-usdm")</f>
        <v>wrapped-usdm</v>
      </c>
      <c r="B13233" s="4" t="str">
        <f>IFERROR(__xludf.DUMMYFUNCTION("""COMPUTED_VALUE"""),"wusdm")</f>
        <v>wusdm</v>
      </c>
      <c r="C13233" s="4" t="str">
        <f>IFERROR(__xludf.DUMMYFUNCTION("""COMPUTED_VALUE"""),"Wrapped USDM")</f>
        <v>Wrapped USDM</v>
      </c>
    </row>
    <row r="13234">
      <c r="A13234" s="4" t="str">
        <f>IFERROR(__xludf.DUMMYFUNCTION("""COMPUTED_VALUE"""),"wrapped-usdr")</f>
        <v>wrapped-usdr</v>
      </c>
      <c r="B13234" s="4" t="str">
        <f>IFERROR(__xludf.DUMMYFUNCTION("""COMPUTED_VALUE"""),"wusdr")</f>
        <v>wusdr</v>
      </c>
      <c r="C13234" s="4" t="str">
        <f>IFERROR(__xludf.DUMMYFUNCTION("""COMPUTED_VALUE"""),"Wrapped USDR")</f>
        <v>Wrapped USDR</v>
      </c>
    </row>
    <row r="13235">
      <c r="A13235" s="4" t="str">
        <f>IFERROR(__xludf.DUMMYFUNCTION("""COMPUTED_VALUE"""),"wrapped-usdt-allbridge-from-polygon")</f>
        <v>wrapped-usdt-allbridge-from-polygon</v>
      </c>
      <c r="B13235" s="4" t="str">
        <f>IFERROR(__xludf.DUMMYFUNCTION("""COMPUTED_VALUE"""),"apusdt")</f>
        <v>apusdt</v>
      </c>
      <c r="C13235" s="4" t="str">
        <f>IFERROR(__xludf.DUMMYFUNCTION("""COMPUTED_VALUE"""),"Bridged Tether (Allbridge)")</f>
        <v>Bridged Tether (Allbridge)</v>
      </c>
    </row>
    <row r="13236">
      <c r="A13236" s="4" t="str">
        <f>IFERROR(__xludf.DUMMYFUNCTION("""COMPUTED_VALUE"""),"wrapped-ust")</f>
        <v>wrapped-ust</v>
      </c>
      <c r="B13236" s="4" t="str">
        <f>IFERROR(__xludf.DUMMYFUNCTION("""COMPUTED_VALUE"""),"ustc")</f>
        <v>ustc</v>
      </c>
      <c r="C13236" s="4" t="str">
        <f>IFERROR(__xludf.DUMMYFUNCTION("""COMPUTED_VALUE"""),"Wrapped USTC")</f>
        <v>Wrapped USTC</v>
      </c>
    </row>
    <row r="13237">
      <c r="A13237" s="4" t="str">
        <f>IFERROR(__xludf.DUMMYFUNCTION("""COMPUTED_VALUE"""),"wrapped-velas")</f>
        <v>wrapped-velas</v>
      </c>
      <c r="B13237" s="4" t="str">
        <f>IFERROR(__xludf.DUMMYFUNCTION("""COMPUTED_VALUE"""),"wvlx")</f>
        <v>wvlx</v>
      </c>
      <c r="C13237" s="4" t="str">
        <f>IFERROR(__xludf.DUMMYFUNCTION("""COMPUTED_VALUE"""),"Wrapped Velas")</f>
        <v>Wrapped Velas</v>
      </c>
    </row>
    <row r="13238">
      <c r="A13238" s="4" t="str">
        <f>IFERROR(__xludf.DUMMYFUNCTION("""COMPUTED_VALUE"""),"wrapped-virgin-gen-0-cryptokitties")</f>
        <v>wrapped-virgin-gen-0-cryptokitties</v>
      </c>
      <c r="B13238" s="4" t="str">
        <f>IFERROR(__xludf.DUMMYFUNCTION("""COMPUTED_VALUE"""),"wvg0")</f>
        <v>wvg0</v>
      </c>
      <c r="C13238" s="4" t="str">
        <f>IFERROR(__xludf.DUMMYFUNCTION("""COMPUTED_VALUE"""),"Wrapped Virgin Gen-0 CryptoKittties")</f>
        <v>Wrapped Virgin Gen-0 CryptoKittties</v>
      </c>
    </row>
    <row r="13239">
      <c r="A13239" s="4" t="str">
        <f>IFERROR(__xludf.DUMMYFUNCTION("""COMPUTED_VALUE"""),"wrapped-vtru")</f>
        <v>wrapped-vtru</v>
      </c>
      <c r="B13239" s="4" t="str">
        <f>IFERROR(__xludf.DUMMYFUNCTION("""COMPUTED_VALUE"""),"wvtru")</f>
        <v>wvtru</v>
      </c>
      <c r="C13239" s="4" t="str">
        <f>IFERROR(__xludf.DUMMYFUNCTION("""COMPUTED_VALUE"""),"Wrapped VTRU")</f>
        <v>Wrapped VTRU</v>
      </c>
    </row>
    <row r="13240">
      <c r="A13240" s="4" t="str">
        <f>IFERROR(__xludf.DUMMYFUNCTION("""COMPUTED_VALUE"""),"wrapped-wan")</f>
        <v>wrapped-wan</v>
      </c>
      <c r="B13240" s="4" t="str">
        <f>IFERROR(__xludf.DUMMYFUNCTION("""COMPUTED_VALUE"""),"wwan")</f>
        <v>wwan</v>
      </c>
      <c r="C13240" s="4" t="str">
        <f>IFERROR(__xludf.DUMMYFUNCTION("""COMPUTED_VALUE"""),"Wrapped Wan")</f>
        <v>Wrapped Wan</v>
      </c>
    </row>
    <row r="13241">
      <c r="A13241" s="4" t="str">
        <f>IFERROR(__xludf.DUMMYFUNCTION("""COMPUTED_VALUE"""),"wrapped-wdoge")</f>
        <v>wrapped-wdoge</v>
      </c>
      <c r="B13241" s="4" t="str">
        <f>IFERROR(__xludf.DUMMYFUNCTION("""COMPUTED_VALUE"""),"wwdoge")</f>
        <v>wwdoge</v>
      </c>
      <c r="C13241" s="4" t="str">
        <f>IFERROR(__xludf.DUMMYFUNCTION("""COMPUTED_VALUE"""),"Wrapped WDOGE")</f>
        <v>Wrapped WDOGE</v>
      </c>
    </row>
    <row r="13242">
      <c r="A13242" s="4" t="str">
        <f>IFERROR(__xludf.DUMMYFUNCTION("""COMPUTED_VALUE"""),"wrapped-xdai")</f>
        <v>wrapped-xdai</v>
      </c>
      <c r="B13242" s="4" t="str">
        <f>IFERROR(__xludf.DUMMYFUNCTION("""COMPUTED_VALUE"""),"wxdai")</f>
        <v>wxdai</v>
      </c>
      <c r="C13242" s="4" t="str">
        <f>IFERROR(__xludf.DUMMYFUNCTION("""COMPUTED_VALUE"""),"Wrapped XDAI")</f>
        <v>Wrapped XDAI</v>
      </c>
    </row>
    <row r="13243">
      <c r="A13243" s="4" t="str">
        <f>IFERROR(__xludf.DUMMYFUNCTION("""COMPUTED_VALUE"""),"wrapped-xdc")</f>
        <v>wrapped-xdc</v>
      </c>
      <c r="B13243" s="4" t="str">
        <f>IFERROR(__xludf.DUMMYFUNCTION("""COMPUTED_VALUE"""),"wxdc")</f>
        <v>wxdc</v>
      </c>
      <c r="C13243" s="4" t="str">
        <f>IFERROR(__xludf.DUMMYFUNCTION("""COMPUTED_VALUE"""),"Wrapped XDC")</f>
        <v>Wrapped XDC</v>
      </c>
    </row>
    <row r="13244">
      <c r="A13244" s="4" t="str">
        <f>IFERROR(__xludf.DUMMYFUNCTION("""COMPUTED_VALUE"""),"wrapped-xrp")</f>
        <v>wrapped-xrp</v>
      </c>
      <c r="B13244" s="4" t="str">
        <f>IFERROR(__xludf.DUMMYFUNCTION("""COMPUTED_VALUE"""),"wxrp")</f>
        <v>wxrp</v>
      </c>
      <c r="C13244" s="4" t="str">
        <f>IFERROR(__xludf.DUMMYFUNCTION("""COMPUTED_VALUE"""),"Wrapped XRP")</f>
        <v>Wrapped XRP</v>
      </c>
    </row>
    <row r="13245">
      <c r="A13245" s="4" t="str">
        <f>IFERROR(__xludf.DUMMYFUNCTION("""COMPUTED_VALUE"""),"wrapped-xrp-21-co")</f>
        <v>wrapped-xrp-21-co</v>
      </c>
      <c r="B13245" s="4" t="str">
        <f>IFERROR(__xludf.DUMMYFUNCTION("""COMPUTED_VALUE"""),"21xrp")</f>
        <v>21xrp</v>
      </c>
      <c r="C13245" s="4" t="str">
        <f>IFERROR(__xludf.DUMMYFUNCTION("""COMPUTED_VALUE"""),"21.co Wrapped XRP")</f>
        <v>21.co Wrapped XRP</v>
      </c>
    </row>
    <row r="13246">
      <c r="A13246" s="4" t="str">
        <f>IFERROR(__xludf.DUMMYFUNCTION("""COMPUTED_VALUE"""),"wrapped-zetachain")</f>
        <v>wrapped-zetachain</v>
      </c>
      <c r="B13246" s="4" t="str">
        <f>IFERROR(__xludf.DUMMYFUNCTION("""COMPUTED_VALUE"""),"wzeta")</f>
        <v>wzeta</v>
      </c>
      <c r="C13246" s="4" t="str">
        <f>IFERROR(__xludf.DUMMYFUNCTION("""COMPUTED_VALUE"""),"Wrapped ZETA")</f>
        <v>Wrapped ZETA</v>
      </c>
    </row>
    <row r="13247">
      <c r="A13247" s="4" t="str">
        <f>IFERROR(__xludf.DUMMYFUNCTION("""COMPUTED_VALUE"""),"wrestling-shiba")</f>
        <v>wrestling-shiba</v>
      </c>
      <c r="B13247" s="4" t="str">
        <f>IFERROR(__xludf.DUMMYFUNCTION("""COMPUTED_VALUE"""),"wwe")</f>
        <v>wwe</v>
      </c>
      <c r="C13247" s="4" t="str">
        <f>IFERROR(__xludf.DUMMYFUNCTION("""COMPUTED_VALUE"""),"Wrestling Shiba")</f>
        <v>Wrestling Shiba</v>
      </c>
    </row>
    <row r="13248">
      <c r="A13248" s="4" t="str">
        <f>IFERROR(__xludf.DUMMYFUNCTION("""COMPUTED_VALUE"""),"wsb-classic")</f>
        <v>wsb-classic</v>
      </c>
      <c r="B13248" s="4" t="str">
        <f>IFERROR(__xludf.DUMMYFUNCTION("""COMPUTED_VALUE"""),"wsbc")</f>
        <v>wsbc</v>
      </c>
      <c r="C13248" s="4" t="str">
        <f>IFERROR(__xludf.DUMMYFUNCTION("""COMPUTED_VALUE"""),"WSB Classic")</f>
        <v>WSB Classic</v>
      </c>
    </row>
    <row r="13249">
      <c r="A13249" s="4" t="str">
        <f>IFERROR(__xludf.DUMMYFUNCTION("""COMPUTED_VALUE"""),"wsb-coin")</f>
        <v>wsb-coin</v>
      </c>
      <c r="B13249" s="4" t="str">
        <f>IFERROR(__xludf.DUMMYFUNCTION("""COMPUTED_VALUE"""),"wsb")</f>
        <v>wsb</v>
      </c>
      <c r="C13249" s="4" t="str">
        <f>IFERROR(__xludf.DUMMYFUNCTION("""COMPUTED_VALUE"""),"WSB Coin")</f>
        <v>WSB Coin</v>
      </c>
    </row>
    <row r="13250">
      <c r="A13250" s="4" t="str">
        <f>IFERROR(__xludf.DUMMYFUNCTION("""COMPUTED_VALUE"""),"wusd")</f>
        <v>wusd</v>
      </c>
      <c r="B13250" s="4" t="str">
        <f>IFERROR(__xludf.DUMMYFUNCTION("""COMPUTED_VALUE"""),"wusd")</f>
        <v>wusd</v>
      </c>
      <c r="C13250" s="4" t="str">
        <f>IFERROR(__xludf.DUMMYFUNCTION("""COMPUTED_VALUE"""),"Wrapped USD")</f>
        <v>Wrapped USD</v>
      </c>
    </row>
    <row r="13251">
      <c r="A13251" s="4" t="str">
        <f>IFERROR(__xludf.DUMMYFUNCTION("""COMPUTED_VALUE"""),"wut")</f>
        <v>wut</v>
      </c>
      <c r="B13251" s="4" t="str">
        <f>IFERROR(__xludf.DUMMYFUNCTION("""COMPUTED_VALUE"""),"wut")</f>
        <v>wut</v>
      </c>
      <c r="C13251" s="4" t="str">
        <f>IFERROR(__xludf.DUMMYFUNCTION("""COMPUTED_VALUE"""),"WUT")</f>
        <v>WUT</v>
      </c>
    </row>
    <row r="13252">
      <c r="A13252" s="4" t="str">
        <f>IFERROR(__xludf.DUMMYFUNCTION("""COMPUTED_VALUE"""),"wynd")</f>
        <v>wynd</v>
      </c>
      <c r="B13252" s="4" t="str">
        <f>IFERROR(__xludf.DUMMYFUNCTION("""COMPUTED_VALUE"""),"wynd")</f>
        <v>wynd</v>
      </c>
      <c r="C13252" s="4" t="str">
        <f>IFERROR(__xludf.DUMMYFUNCTION("""COMPUTED_VALUE"""),"WYND")</f>
        <v>WYND</v>
      </c>
    </row>
    <row r="13253">
      <c r="A13253" s="4" t="str">
        <f>IFERROR(__xludf.DUMMYFUNCTION("""COMPUTED_VALUE"""),"wyscale")</f>
        <v>wyscale</v>
      </c>
      <c r="B13253" s="4" t="str">
        <f>IFERROR(__xludf.DUMMYFUNCTION("""COMPUTED_VALUE"""),"wys")</f>
        <v>wys</v>
      </c>
      <c r="C13253" s="4" t="str">
        <f>IFERROR(__xludf.DUMMYFUNCTION("""COMPUTED_VALUE"""),"WYscale")</f>
        <v>WYscale</v>
      </c>
    </row>
    <row r="13254">
      <c r="A13254" s="4" t="str">
        <f>IFERROR(__xludf.DUMMYFUNCTION("""COMPUTED_VALUE"""),"x0")</f>
        <v>x0</v>
      </c>
      <c r="B13254" s="4" t="str">
        <f>IFERROR(__xludf.DUMMYFUNCTION("""COMPUTED_VALUE"""),"x0")</f>
        <v>x0</v>
      </c>
      <c r="C13254" s="4" t="str">
        <f>IFERROR(__xludf.DUMMYFUNCTION("""COMPUTED_VALUE"""),"X0")</f>
        <v>X0</v>
      </c>
    </row>
    <row r="13255">
      <c r="A13255" s="4" t="str">
        <f>IFERROR(__xludf.DUMMYFUNCTION("""COMPUTED_VALUE"""),"x-2")</f>
        <v>x-2</v>
      </c>
      <c r="B13255" s="4" t="str">
        <f>IFERROR(__xludf.DUMMYFUNCTION("""COMPUTED_VALUE"""),"x")</f>
        <v>x</v>
      </c>
      <c r="C13255" s="4" t="str">
        <f>IFERROR(__xludf.DUMMYFUNCTION("""COMPUTED_VALUE"""),"X")</f>
        <v>X</v>
      </c>
    </row>
    <row r="13256">
      <c r="A13256" s="4" t="str">
        <f>IFERROR(__xludf.DUMMYFUNCTION("""COMPUTED_VALUE"""),"x2y2")</f>
        <v>x2y2</v>
      </c>
      <c r="B13256" s="4" t="str">
        <f>IFERROR(__xludf.DUMMYFUNCTION("""COMPUTED_VALUE"""),"x2y2")</f>
        <v>x2y2</v>
      </c>
      <c r="C13256" s="4" t="str">
        <f>IFERROR(__xludf.DUMMYFUNCTION("""COMPUTED_VALUE"""),"X2Y2")</f>
        <v>X2Y2</v>
      </c>
    </row>
    <row r="13257">
      <c r="A13257" s="4" t="str">
        <f>IFERROR(__xludf.DUMMYFUNCTION("""COMPUTED_VALUE"""),"x42-protocol")</f>
        <v>x42-protocol</v>
      </c>
      <c r="B13257" s="4" t="str">
        <f>IFERROR(__xludf.DUMMYFUNCTION("""COMPUTED_VALUE"""),"x42")</f>
        <v>x42</v>
      </c>
      <c r="C13257" s="4" t="str">
        <f>IFERROR(__xludf.DUMMYFUNCTION("""COMPUTED_VALUE"""),"X42 Protocol")</f>
        <v>X42 Protocol</v>
      </c>
    </row>
    <row r="13258">
      <c r="A13258" s="4" t="str">
        <f>IFERROR(__xludf.DUMMYFUNCTION("""COMPUTED_VALUE"""),"x7101")</f>
        <v>x7101</v>
      </c>
      <c r="B13258" s="4" t="str">
        <f>IFERROR(__xludf.DUMMYFUNCTION("""COMPUTED_VALUE"""),"x7101")</f>
        <v>x7101</v>
      </c>
      <c r="C13258" s="4" t="str">
        <f>IFERROR(__xludf.DUMMYFUNCTION("""COMPUTED_VALUE"""),"X7101")</f>
        <v>X7101</v>
      </c>
    </row>
    <row r="13259">
      <c r="A13259" s="4" t="str">
        <f>IFERROR(__xludf.DUMMYFUNCTION("""COMPUTED_VALUE"""),"x7102")</f>
        <v>x7102</v>
      </c>
      <c r="B13259" s="4" t="str">
        <f>IFERROR(__xludf.DUMMYFUNCTION("""COMPUTED_VALUE"""),"x7102")</f>
        <v>x7102</v>
      </c>
      <c r="C13259" s="4" t="str">
        <f>IFERROR(__xludf.DUMMYFUNCTION("""COMPUTED_VALUE"""),"X7102")</f>
        <v>X7102</v>
      </c>
    </row>
    <row r="13260">
      <c r="A13260" s="4" t="str">
        <f>IFERROR(__xludf.DUMMYFUNCTION("""COMPUTED_VALUE"""),"x7103")</f>
        <v>x7103</v>
      </c>
      <c r="B13260" s="4" t="str">
        <f>IFERROR(__xludf.DUMMYFUNCTION("""COMPUTED_VALUE"""),"x7103")</f>
        <v>x7103</v>
      </c>
      <c r="C13260" s="4" t="str">
        <f>IFERROR(__xludf.DUMMYFUNCTION("""COMPUTED_VALUE"""),"X7103")</f>
        <v>X7103</v>
      </c>
    </row>
    <row r="13261">
      <c r="A13261" s="4" t="str">
        <f>IFERROR(__xludf.DUMMYFUNCTION("""COMPUTED_VALUE"""),"x7104")</f>
        <v>x7104</v>
      </c>
      <c r="B13261" s="4" t="str">
        <f>IFERROR(__xludf.DUMMYFUNCTION("""COMPUTED_VALUE"""),"x7104")</f>
        <v>x7104</v>
      </c>
      <c r="C13261" s="4" t="str">
        <f>IFERROR(__xludf.DUMMYFUNCTION("""COMPUTED_VALUE"""),"X7104")</f>
        <v>X7104</v>
      </c>
    </row>
    <row r="13262">
      <c r="A13262" s="4" t="str">
        <f>IFERROR(__xludf.DUMMYFUNCTION("""COMPUTED_VALUE"""),"x7105")</f>
        <v>x7105</v>
      </c>
      <c r="B13262" s="4" t="str">
        <f>IFERROR(__xludf.DUMMYFUNCTION("""COMPUTED_VALUE"""),"x7105")</f>
        <v>x7105</v>
      </c>
      <c r="C13262" s="4" t="str">
        <f>IFERROR(__xludf.DUMMYFUNCTION("""COMPUTED_VALUE"""),"X7105")</f>
        <v>X7105</v>
      </c>
    </row>
    <row r="13263">
      <c r="A13263" s="4" t="str">
        <f>IFERROR(__xludf.DUMMYFUNCTION("""COMPUTED_VALUE"""),"x7-coin")</f>
        <v>x7-coin</v>
      </c>
      <c r="B13263" s="4" t="str">
        <f>IFERROR(__xludf.DUMMYFUNCTION("""COMPUTED_VALUE"""),"x7c")</f>
        <v>x7c</v>
      </c>
      <c r="C13263" s="4" t="str">
        <f>IFERROR(__xludf.DUMMYFUNCTION("""COMPUTED_VALUE"""),"X7 Coin")</f>
        <v>X7 Coin</v>
      </c>
    </row>
    <row r="13264">
      <c r="A13264" s="4" t="str">
        <f>IFERROR(__xludf.DUMMYFUNCTION("""COMPUTED_VALUE"""),"x7dao")</f>
        <v>x7dao</v>
      </c>
      <c r="B13264" s="4" t="str">
        <f>IFERROR(__xludf.DUMMYFUNCTION("""COMPUTED_VALUE"""),"x7dao")</f>
        <v>x7dao</v>
      </c>
      <c r="C13264" s="4" t="str">
        <f>IFERROR(__xludf.DUMMYFUNCTION("""COMPUTED_VALUE"""),"X7DAO")</f>
        <v>X7DAO</v>
      </c>
    </row>
    <row r="13265">
      <c r="A13265" s="4" t="str">
        <f>IFERROR(__xludf.DUMMYFUNCTION("""COMPUTED_VALUE"""),"x7r")</f>
        <v>x7r</v>
      </c>
      <c r="B13265" s="4" t="str">
        <f>IFERROR(__xludf.DUMMYFUNCTION("""COMPUTED_VALUE"""),"x7r")</f>
        <v>x7r</v>
      </c>
      <c r="C13265" s="4" t="str">
        <f>IFERROR(__xludf.DUMMYFUNCTION("""COMPUTED_VALUE"""),"X7R")</f>
        <v>X7R</v>
      </c>
    </row>
    <row r="13266">
      <c r="A13266" s="4" t="str">
        <f>IFERROR(__xludf.DUMMYFUNCTION("""COMPUTED_VALUE"""),"x8-project")</f>
        <v>x8-project</v>
      </c>
      <c r="B13266" s="4" t="str">
        <f>IFERROR(__xludf.DUMMYFUNCTION("""COMPUTED_VALUE"""),"x8x")</f>
        <v>x8x</v>
      </c>
      <c r="C13266" s="4" t="str">
        <f>IFERROR(__xludf.DUMMYFUNCTION("""COMPUTED_VALUE"""),"X8X")</f>
        <v>X8X</v>
      </c>
    </row>
    <row r="13267">
      <c r="A13267" s="4" t="str">
        <f>IFERROR(__xludf.DUMMYFUNCTION("""COMPUTED_VALUE"""),"xactrewards")</f>
        <v>xactrewards</v>
      </c>
      <c r="B13267" s="4" t="str">
        <f>IFERROR(__xludf.DUMMYFUNCTION("""COMPUTED_VALUE"""),"xact")</f>
        <v>xact</v>
      </c>
      <c r="C13267" s="4" t="str">
        <f>IFERROR(__xludf.DUMMYFUNCTION("""COMPUTED_VALUE"""),"XActRewards")</f>
        <v>XActRewards</v>
      </c>
    </row>
    <row r="13268">
      <c r="A13268" s="4" t="str">
        <f>IFERROR(__xludf.DUMMYFUNCTION("""COMPUTED_VALUE"""),"xahau")</f>
        <v>xahau</v>
      </c>
      <c r="B13268" s="4" t="str">
        <f>IFERROR(__xludf.DUMMYFUNCTION("""COMPUTED_VALUE"""),"xah")</f>
        <v>xah</v>
      </c>
      <c r="C13268" s="4" t="str">
        <f>IFERROR(__xludf.DUMMYFUNCTION("""COMPUTED_VALUE"""),"Xahau")</f>
        <v>Xahau</v>
      </c>
    </row>
    <row r="13269">
      <c r="A13269" s="4" t="str">
        <f>IFERROR(__xludf.DUMMYFUNCTION("""COMPUTED_VALUE"""),"xai")</f>
        <v>xai</v>
      </c>
      <c r="B13269" s="4" t="str">
        <f>IFERROR(__xludf.DUMMYFUNCTION("""COMPUTED_VALUE"""),"xai")</f>
        <v>xai</v>
      </c>
      <c r="C13269" s="4" t="str">
        <f>IFERROR(__xludf.DUMMYFUNCTION("""COMPUTED_VALUE"""),"XAI Stablecoin")</f>
        <v>XAI Stablecoin</v>
      </c>
    </row>
    <row r="13270">
      <c r="A13270" s="4" t="str">
        <f>IFERROR(__xludf.DUMMYFUNCTION("""COMPUTED_VALUE"""),"x-ai")</f>
        <v>x-ai</v>
      </c>
      <c r="B13270" s="4" t="str">
        <f>IFERROR(__xludf.DUMMYFUNCTION("""COMPUTED_VALUE"""),"x")</f>
        <v>x</v>
      </c>
      <c r="C13270" s="4" t="str">
        <f>IFERROR(__xludf.DUMMYFUNCTION("""COMPUTED_VALUE"""),"X AI")</f>
        <v>X AI</v>
      </c>
    </row>
    <row r="13271">
      <c r="A13271" s="4" t="str">
        <f>IFERROR(__xludf.DUMMYFUNCTION("""COMPUTED_VALUE"""),"xai-2")</f>
        <v>xai-2</v>
      </c>
      <c r="B13271" s="4" t="str">
        <f>IFERROR(__xludf.DUMMYFUNCTION("""COMPUTED_VALUE"""),"x")</f>
        <v>x</v>
      </c>
      <c r="C13271" s="4" t="str">
        <f>IFERROR(__xludf.DUMMYFUNCTION("""COMPUTED_VALUE"""),"XAI")</f>
        <v>XAI</v>
      </c>
    </row>
    <row r="13272">
      <c r="A13272" s="4" t="str">
        <f>IFERROR(__xludf.DUMMYFUNCTION("""COMPUTED_VALUE"""),"xai-3")</f>
        <v>xai-3</v>
      </c>
      <c r="B13272" s="4" t="str">
        <f>IFERROR(__xludf.DUMMYFUNCTION("""COMPUTED_VALUE"""),"xai")</f>
        <v>xai</v>
      </c>
      <c r="C13272" s="4" t="str">
        <f>IFERROR(__xludf.DUMMYFUNCTION("""COMPUTED_VALUE"""),"xAI")</f>
        <v>xAI</v>
      </c>
    </row>
    <row r="13273">
      <c r="A13273" s="4" t="str">
        <f>IFERROR(__xludf.DUMMYFUNCTION("""COMPUTED_VALUE"""),"xai-blockchain")</f>
        <v>xai-blockchain</v>
      </c>
      <c r="B13273" s="4" t="str">
        <f>IFERROR(__xludf.DUMMYFUNCTION("""COMPUTED_VALUE"""),"xai")</f>
        <v>xai</v>
      </c>
      <c r="C13273" s="4" t="str">
        <f>IFERROR(__xludf.DUMMYFUNCTION("""COMPUTED_VALUE"""),"Xai")</f>
        <v>Xai</v>
      </c>
    </row>
    <row r="13274">
      <c r="A13274" s="4" t="str">
        <f>IFERROR(__xludf.DUMMYFUNCTION("""COMPUTED_VALUE"""),"xai-corp")</f>
        <v>xai-corp</v>
      </c>
      <c r="B13274" s="4" t="str">
        <f>IFERROR(__xludf.DUMMYFUNCTION("""COMPUTED_VALUE"""),"xai")</f>
        <v>xai</v>
      </c>
      <c r="C13274" s="4" t="str">
        <f>IFERROR(__xludf.DUMMYFUNCTION("""COMPUTED_VALUE"""),"XAI Corp")</f>
        <v>XAI Corp</v>
      </c>
    </row>
    <row r="13275">
      <c r="A13275" s="4" t="str">
        <f>IFERROR(__xludf.DUMMYFUNCTION("""COMPUTED_VALUE"""),"xaigrok")</f>
        <v>xaigrok</v>
      </c>
      <c r="B13275" s="4" t="str">
        <f>IFERROR(__xludf.DUMMYFUNCTION("""COMPUTED_VALUE"""),"xaigrok")</f>
        <v>xaigrok</v>
      </c>
      <c r="C13275" s="4" t="str">
        <f>IFERROR(__xludf.DUMMYFUNCTION("""COMPUTED_VALUE"""),"XAIGROK")</f>
        <v>XAIGROK</v>
      </c>
    </row>
    <row r="13276">
      <c r="A13276" s="4" t="str">
        <f>IFERROR(__xludf.DUMMYFUNCTION("""COMPUTED_VALUE"""),"x-akamaru-inu")</f>
        <v>x-akamaru-inu</v>
      </c>
      <c r="B13276" s="4" t="str">
        <f>IFERROR(__xludf.DUMMYFUNCTION("""COMPUTED_VALUE"""),"aka")</f>
        <v>aka</v>
      </c>
      <c r="C13276" s="4" t="str">
        <f>IFERROR(__xludf.DUMMYFUNCTION("""COMPUTED_VALUE"""),"X Akamaru Inu")</f>
        <v>X Akamaru Inu</v>
      </c>
    </row>
    <row r="13277">
      <c r="A13277" s="4" t="str">
        <f>IFERROR(__xludf.DUMMYFUNCTION("""COMPUTED_VALUE"""),"xakt_astrovault")</f>
        <v>xakt_astrovault</v>
      </c>
      <c r="B13277" s="4" t="str">
        <f>IFERROR(__xludf.DUMMYFUNCTION("""COMPUTED_VALUE"""),"xakt")</f>
        <v>xakt</v>
      </c>
      <c r="C13277" s="4" t="str">
        <f>IFERROR(__xludf.DUMMYFUNCTION("""COMPUTED_VALUE"""),"xAKT_Astrovault")</f>
        <v>xAKT_Astrovault</v>
      </c>
    </row>
    <row r="13278">
      <c r="A13278" s="4" t="str">
        <f>IFERROR(__xludf.DUMMYFUNCTION("""COMPUTED_VALUE"""),"xalpha-ai")</f>
        <v>xalpha-ai</v>
      </c>
      <c r="B13278" s="4" t="str">
        <f>IFERROR(__xludf.DUMMYFUNCTION("""COMPUTED_VALUE"""),"xalpha")</f>
        <v>xalpha</v>
      </c>
      <c r="C13278" s="5" t="str">
        <f>IFERROR(__xludf.DUMMYFUNCTION("""COMPUTED_VALUE"""),"XALPHA.AI")</f>
        <v>XALPHA.AI</v>
      </c>
    </row>
    <row r="13279">
      <c r="A13279" s="4" t="str">
        <f>IFERROR(__xludf.DUMMYFUNCTION("""COMPUTED_VALUE"""),"xana")</f>
        <v>xana</v>
      </c>
      <c r="B13279" s="4" t="str">
        <f>IFERROR(__xludf.DUMMYFUNCTION("""COMPUTED_VALUE"""),"xeta")</f>
        <v>xeta</v>
      </c>
      <c r="C13279" s="4" t="str">
        <f>IFERROR(__xludf.DUMMYFUNCTION("""COMPUTED_VALUE"""),"XANA")</f>
        <v>XANA</v>
      </c>
    </row>
    <row r="13280">
      <c r="A13280" s="4" t="str">
        <f>IFERROR(__xludf.DUMMYFUNCTION("""COMPUTED_VALUE"""),"xapis")</f>
        <v>xapis</v>
      </c>
      <c r="B13280" s="4" t="str">
        <f>IFERROR(__xludf.DUMMYFUNCTION("""COMPUTED_VALUE"""),"wax")</f>
        <v>wax</v>
      </c>
      <c r="C13280" s="4" t="str">
        <f>IFERROR(__xludf.DUMMYFUNCTION("""COMPUTED_VALUE"""),"XApis")</f>
        <v>XApis</v>
      </c>
    </row>
    <row r="13281">
      <c r="A13281" s="4" t="str">
        <f>IFERROR(__xludf.DUMMYFUNCTION("""COMPUTED_VALUE"""),"xaurum")</f>
        <v>xaurum</v>
      </c>
      <c r="B13281" s="4" t="str">
        <f>IFERROR(__xludf.DUMMYFUNCTION("""COMPUTED_VALUE"""),"xaur")</f>
        <v>xaur</v>
      </c>
      <c r="C13281" s="4" t="str">
        <f>IFERROR(__xludf.DUMMYFUNCTION("""COMPUTED_VALUE"""),"Xaurum")</f>
        <v>Xaurum</v>
      </c>
    </row>
    <row r="13282">
      <c r="A13282" s="4" t="str">
        <f>IFERROR(__xludf.DUMMYFUNCTION("""COMPUTED_VALUE"""),"xave-coin")</f>
        <v>xave-coin</v>
      </c>
      <c r="B13282" s="4" t="str">
        <f>IFERROR(__xludf.DUMMYFUNCTION("""COMPUTED_VALUE"""),"xvc")</f>
        <v>xvc</v>
      </c>
      <c r="C13282" s="4" t="str">
        <f>IFERROR(__xludf.DUMMYFUNCTION("""COMPUTED_VALUE"""),"Xave Coin")</f>
        <v>Xave Coin</v>
      </c>
    </row>
    <row r="13283">
      <c r="A13283" s="4" t="str">
        <f>IFERROR(__xludf.DUMMYFUNCTION("""COMPUTED_VALUE"""),"xave-token")</f>
        <v>xave-token</v>
      </c>
      <c r="B13283" s="4" t="str">
        <f>IFERROR(__xludf.DUMMYFUNCTION("""COMPUTED_VALUE"""),"xav")</f>
        <v>xav</v>
      </c>
      <c r="C13283" s="4" t="str">
        <f>IFERROR(__xludf.DUMMYFUNCTION("""COMPUTED_VALUE"""),"Xave")</f>
        <v>Xave</v>
      </c>
    </row>
    <row r="13284">
      <c r="A13284" s="4" t="str">
        <f>IFERROR(__xludf.DUMMYFUNCTION("""COMPUTED_VALUE"""),"xbanking")</f>
        <v>xbanking</v>
      </c>
      <c r="B13284" s="4" t="str">
        <f>IFERROR(__xludf.DUMMYFUNCTION("""COMPUTED_VALUE"""),"xb")</f>
        <v>xb</v>
      </c>
      <c r="C13284" s="4" t="str">
        <f>IFERROR(__xludf.DUMMYFUNCTION("""COMPUTED_VALUE"""),"XBANKING")</f>
        <v>XBANKING</v>
      </c>
    </row>
    <row r="13285">
      <c r="A13285" s="4" t="str">
        <f>IFERROR(__xludf.DUMMYFUNCTION("""COMPUTED_VALUE"""),"xbcna_astrovault")</f>
        <v>xbcna_astrovault</v>
      </c>
      <c r="B13285" s="4" t="str">
        <f>IFERROR(__xludf.DUMMYFUNCTION("""COMPUTED_VALUE"""),"xbcna")</f>
        <v>xbcna</v>
      </c>
      <c r="C13285" s="4" t="str">
        <f>IFERROR(__xludf.DUMMYFUNCTION("""COMPUTED_VALUE"""),"xBCNA_Astrovault")</f>
        <v>xBCNA_Astrovault</v>
      </c>
    </row>
    <row r="13286">
      <c r="A13286" s="4" t="str">
        <f>IFERROR(__xludf.DUMMYFUNCTION("""COMPUTED_VALUE"""),"xbid")</f>
        <v>xbid</v>
      </c>
      <c r="B13286" s="4" t="str">
        <f>IFERROR(__xludf.DUMMYFUNCTION("""COMPUTED_VALUE"""),"xbid")</f>
        <v>xbid</v>
      </c>
      <c r="C13286" s="4" t="str">
        <f>IFERROR(__xludf.DUMMYFUNCTION("""COMPUTED_VALUE"""),"xBid")</f>
        <v>xBid</v>
      </c>
    </row>
    <row r="13287">
      <c r="A13287" s="4" t="str">
        <f>IFERROR(__xludf.DUMMYFUNCTION("""COMPUTED_VALUE"""),"xbit")</f>
        <v>xbit</v>
      </c>
      <c r="B13287" s="4" t="str">
        <f>IFERROR(__xludf.DUMMYFUNCTION("""COMPUTED_VALUE"""),"xbt")</f>
        <v>xbt</v>
      </c>
      <c r="C13287" s="4" t="str">
        <f>IFERROR(__xludf.DUMMYFUNCTION("""COMPUTED_VALUE"""),"Xbit")</f>
        <v>Xbit</v>
      </c>
    </row>
    <row r="13288">
      <c r="A13288" s="4" t="str">
        <f>IFERROR(__xludf.DUMMYFUNCTION("""COMPUTED_VALUE"""),"xbld_astrovault")</f>
        <v>xbld_astrovault</v>
      </c>
      <c r="B13288" s="4" t="str">
        <f>IFERROR(__xludf.DUMMYFUNCTION("""COMPUTED_VALUE"""),"xbld")</f>
        <v>xbld</v>
      </c>
      <c r="C13288" s="4" t="str">
        <f>IFERROR(__xludf.DUMMYFUNCTION("""COMPUTED_VALUE"""),"xBLD_Astrovault")</f>
        <v>xBLD_Astrovault</v>
      </c>
    </row>
    <row r="13289">
      <c r="A13289" s="4" t="str">
        <f>IFERROR(__xludf.DUMMYFUNCTION("""COMPUTED_VALUE"""),"xblue-finance")</f>
        <v>xblue-finance</v>
      </c>
      <c r="B13289" s="4" t="str">
        <f>IFERROR(__xludf.DUMMYFUNCTION("""COMPUTED_VALUE"""),"xb")</f>
        <v>xb</v>
      </c>
      <c r="C13289" s="4" t="str">
        <f>IFERROR(__xludf.DUMMYFUNCTION("""COMPUTED_VALUE"""),"XBlue Finance")</f>
        <v>XBlue Finance</v>
      </c>
    </row>
    <row r="13290">
      <c r="A13290" s="4" t="str">
        <f>IFERROR(__xludf.DUMMYFUNCTION("""COMPUTED_VALUE"""),"xbomb")</f>
        <v>xbomb</v>
      </c>
      <c r="B13290" s="4" t="str">
        <f>IFERROR(__xludf.DUMMYFUNCTION("""COMPUTED_VALUE"""),"xbomb")</f>
        <v>xbomb</v>
      </c>
      <c r="C13290" s="4" t="str">
        <f>IFERROR(__xludf.DUMMYFUNCTION("""COMPUTED_VALUE"""),"xbomb")</f>
        <v>xbomb</v>
      </c>
    </row>
    <row r="13291">
      <c r="A13291" s="4" t="str">
        <f>IFERROR(__xludf.DUMMYFUNCTION("""COMPUTED_VALUE"""),"xbot")</f>
        <v>xbot</v>
      </c>
      <c r="B13291" s="4" t="str">
        <f>IFERROR(__xludf.DUMMYFUNCTION("""COMPUTED_VALUE"""),"xbot")</f>
        <v>xbot</v>
      </c>
      <c r="C13291" s="4" t="str">
        <f>IFERROR(__xludf.DUMMYFUNCTION("""COMPUTED_VALUE"""),"XBot")</f>
        <v>XBot</v>
      </c>
    </row>
    <row r="13292">
      <c r="A13292" s="4" t="str">
        <f>IFERROR(__xludf.DUMMYFUNCTION("""COMPUTED_VALUE"""),"x-bridge-bot")</f>
        <v>x-bridge-bot</v>
      </c>
      <c r="B13292" s="4" t="str">
        <f>IFERROR(__xludf.DUMMYFUNCTION("""COMPUTED_VALUE"""),"xfer")</f>
        <v>xfer</v>
      </c>
      <c r="C13292" s="4" t="str">
        <f>IFERROR(__xludf.DUMMYFUNCTION("""COMPUTED_VALUE"""),"X Bridge Bot")</f>
        <v>X Bridge Bot</v>
      </c>
    </row>
    <row r="13293">
      <c r="A13293" s="4" t="str">
        <f>IFERROR(__xludf.DUMMYFUNCTION("""COMPUTED_VALUE"""),"xbullion_silver")</f>
        <v>xbullion_silver</v>
      </c>
      <c r="B13293" s="4" t="str">
        <f>IFERROR(__xludf.DUMMYFUNCTION("""COMPUTED_VALUE"""),"silv")</f>
        <v>silv</v>
      </c>
      <c r="C13293" s="4" t="str">
        <f>IFERROR(__xludf.DUMMYFUNCTION("""COMPUTED_VALUE"""),"XBullion Silver")</f>
        <v>XBullion Silver</v>
      </c>
    </row>
    <row r="13294">
      <c r="A13294" s="4" t="str">
        <f>IFERROR(__xludf.DUMMYFUNCTION("""COMPUTED_VALUE"""),"xcad-network")</f>
        <v>xcad-network</v>
      </c>
      <c r="B13294" s="4" t="str">
        <f>IFERROR(__xludf.DUMMYFUNCTION("""COMPUTED_VALUE"""),"xcad")</f>
        <v>xcad</v>
      </c>
      <c r="C13294" s="4" t="str">
        <f>IFERROR(__xludf.DUMMYFUNCTION("""COMPUTED_VALUE"""),"XCAD Network")</f>
        <v>XCAD Network</v>
      </c>
    </row>
    <row r="13295">
      <c r="A13295" s="4" t="str">
        <f>IFERROR(__xludf.DUMMYFUNCTION("""COMPUTED_VALUE"""),"xcad-network-play")</f>
        <v>xcad-network-play</v>
      </c>
      <c r="B13295" s="4" t="str">
        <f>IFERROR(__xludf.DUMMYFUNCTION("""COMPUTED_VALUE"""),"play")</f>
        <v>play</v>
      </c>
      <c r="C13295" s="4" t="str">
        <f>IFERROR(__xludf.DUMMYFUNCTION("""COMPUTED_VALUE"""),"Play Token")</f>
        <v>Play Token</v>
      </c>
    </row>
    <row r="13296">
      <c r="A13296" s="4" t="str">
        <f>IFERROR(__xludf.DUMMYFUNCTION("""COMPUTED_VALUE"""),"xcarnival")</f>
        <v>xcarnival</v>
      </c>
      <c r="B13296" s="4" t="str">
        <f>IFERROR(__xludf.DUMMYFUNCTION("""COMPUTED_VALUE"""),"xcv")</f>
        <v>xcv</v>
      </c>
      <c r="C13296" s="4" t="str">
        <f>IFERROR(__xludf.DUMMYFUNCTION("""COMPUTED_VALUE"""),"XCarnival")</f>
        <v>XCarnival</v>
      </c>
    </row>
    <row r="13297">
      <c r="A13297" s="4" t="str">
        <f>IFERROR(__xludf.DUMMYFUNCTION("""COMPUTED_VALUE"""),"x-cash")</f>
        <v>x-cash</v>
      </c>
      <c r="B13297" s="4" t="str">
        <f>IFERROR(__xludf.DUMMYFUNCTION("""COMPUTED_VALUE"""),"xcash")</f>
        <v>xcash</v>
      </c>
      <c r="C13297" s="4" t="str">
        <f>IFERROR(__xludf.DUMMYFUNCTION("""COMPUTED_VALUE"""),"X-CASH")</f>
        <v>X-CASH</v>
      </c>
    </row>
    <row r="13298">
      <c r="A13298" s="4" t="str">
        <f>IFERROR(__xludf.DUMMYFUNCTION("""COMPUTED_VALUE"""),"xccelerate")</f>
        <v>xccelerate</v>
      </c>
      <c r="B13298" s="4" t="str">
        <f>IFERROR(__xludf.DUMMYFUNCTION("""COMPUTED_VALUE"""),"xlrt")</f>
        <v>xlrt</v>
      </c>
      <c r="C13298" s="4" t="str">
        <f>IFERROR(__xludf.DUMMYFUNCTION("""COMPUTED_VALUE"""),"Xccelerate")</f>
        <v>Xccelerate</v>
      </c>
    </row>
    <row r="13299">
      <c r="A13299" s="4" t="str">
        <f>IFERROR(__xludf.DUMMYFUNCTION("""COMPUTED_VALUE"""),"xcdot")</f>
        <v>xcdot</v>
      </c>
      <c r="B13299" s="4" t="str">
        <f>IFERROR(__xludf.DUMMYFUNCTION("""COMPUTED_VALUE"""),"dot")</f>
        <v>dot</v>
      </c>
      <c r="C13299" s="4" t="str">
        <f>IFERROR(__xludf.DUMMYFUNCTION("""COMPUTED_VALUE"""),"xcDOT")</f>
        <v>xcDOT</v>
      </c>
    </row>
    <row r="13300">
      <c r="A13300" s="4" t="str">
        <f>IFERROR(__xludf.DUMMYFUNCTION("""COMPUTED_VALUE"""),"xcel-swap")</f>
        <v>xcel-swap</v>
      </c>
      <c r="B13300" s="4" t="str">
        <f>IFERROR(__xludf.DUMMYFUNCTION("""COMPUTED_VALUE"""),"xld")</f>
        <v>xld</v>
      </c>
      <c r="C13300" s="4" t="str">
        <f>IFERROR(__xludf.DUMMYFUNCTION("""COMPUTED_VALUE"""),"Xcel Defi")</f>
        <v>Xcel Defi</v>
      </c>
    </row>
    <row r="13301">
      <c r="A13301" s="4" t="str">
        <f>IFERROR(__xludf.DUMMYFUNCTION("""COMPUTED_VALUE"""),"xceltoken-plus")</f>
        <v>xceltoken-plus</v>
      </c>
      <c r="B13301" s="4" t="str">
        <f>IFERROR(__xludf.DUMMYFUNCTION("""COMPUTED_VALUE"""),"xlab")</f>
        <v>xlab</v>
      </c>
      <c r="C13301" s="4" t="str">
        <f>IFERROR(__xludf.DUMMYFUNCTION("""COMPUTED_VALUE"""),"XCELTOKEN PLUS")</f>
        <v>XCELTOKEN PLUS</v>
      </c>
    </row>
    <row r="13302">
      <c r="A13302" s="4" t="str">
        <f>IFERROR(__xludf.DUMMYFUNCTION("""COMPUTED_VALUE"""),"xception")</f>
        <v>xception</v>
      </c>
      <c r="B13302" s="4" t="str">
        <f>IFERROR(__xludf.DUMMYFUNCTION("""COMPUTED_VALUE"""),"xcept")</f>
        <v>xcept</v>
      </c>
      <c r="C13302" s="4" t="str">
        <f>IFERROR(__xludf.DUMMYFUNCTION("""COMPUTED_VALUE"""),"XCeption")</f>
        <v>XCeption</v>
      </c>
    </row>
    <row r="13303">
      <c r="A13303" s="4" t="str">
        <f>IFERROR(__xludf.DUMMYFUNCTION("""COMPUTED_VALUE"""),"xcksm")</f>
        <v>xcksm</v>
      </c>
      <c r="B13303" s="4" t="str">
        <f>IFERROR(__xludf.DUMMYFUNCTION("""COMPUTED_VALUE"""),"xcksm")</f>
        <v>xcksm</v>
      </c>
      <c r="C13303" s="4" t="str">
        <f>IFERROR(__xludf.DUMMYFUNCTION("""COMPUTED_VALUE"""),"xcKSM")</f>
        <v>xcKSM</v>
      </c>
    </row>
    <row r="13304">
      <c r="A13304" s="4" t="str">
        <f>IFERROR(__xludf.DUMMYFUNCTION("""COMPUTED_VALUE"""),"xcmdx_astrovault")</f>
        <v>xcmdx_astrovault</v>
      </c>
      <c r="B13304" s="4" t="str">
        <f>IFERROR(__xludf.DUMMYFUNCTION("""COMPUTED_VALUE"""),"xcmdx")</f>
        <v>xcmdx</v>
      </c>
      <c r="C13304" s="4" t="str">
        <f>IFERROR(__xludf.DUMMYFUNCTION("""COMPUTED_VALUE"""),"xCMDX_Astrovault")</f>
        <v>xCMDX_Astrovault</v>
      </c>
    </row>
    <row r="13305">
      <c r="A13305" s="4" t="str">
        <f>IFERROR(__xludf.DUMMYFUNCTION("""COMPUTED_VALUE"""),"xcoinmeme")</f>
        <v>xcoinmeme</v>
      </c>
      <c r="B13305" s="4" t="str">
        <f>IFERROR(__xludf.DUMMYFUNCTION("""COMPUTED_VALUE"""),"x")</f>
        <v>x</v>
      </c>
      <c r="C13305" s="4" t="str">
        <f>IFERROR(__xludf.DUMMYFUNCTION("""COMPUTED_VALUE"""),"Xcoinmeme")</f>
        <v>Xcoinmeme</v>
      </c>
    </row>
    <row r="13306">
      <c r="A13306" s="4" t="str">
        <f>IFERROR(__xludf.DUMMYFUNCTION("""COMPUTED_VALUE"""),"x-com")</f>
        <v>x-com</v>
      </c>
      <c r="B13306" s="4" t="str">
        <f>IFERROR(__xludf.DUMMYFUNCTION("""COMPUTED_VALUE"""),"x")</f>
        <v>x</v>
      </c>
      <c r="C13306" s="4" t="str">
        <f>IFERROR(__xludf.DUMMYFUNCTION("""COMPUTED_VALUE"""),"CruxDecussata")</f>
        <v>CruxDecussata</v>
      </c>
    </row>
    <row r="13307">
      <c r="A13307" s="4" t="str">
        <f>IFERROR(__xludf.DUMMYFUNCTION("""COMPUTED_VALUE"""),"xcrx")</f>
        <v>xcrx</v>
      </c>
      <c r="B13307" s="4" t="str">
        <f>IFERROR(__xludf.DUMMYFUNCTION("""COMPUTED_VALUE"""),"xcrx")</f>
        <v>xcrx</v>
      </c>
      <c r="C13307" s="4" t="str">
        <f>IFERROR(__xludf.DUMMYFUNCTION("""COMPUTED_VALUE"""),"xCRX")</f>
        <v>xCRX</v>
      </c>
    </row>
    <row r="13308">
      <c r="A13308" s="4" t="str">
        <f>IFERROR(__xludf.DUMMYFUNCTION("""COMPUTED_VALUE"""),"xcusdt")</f>
        <v>xcusdt</v>
      </c>
      <c r="B13308" s="4" t="str">
        <f>IFERROR(__xludf.DUMMYFUNCTION("""COMPUTED_VALUE"""),"xcusdt")</f>
        <v>xcusdt</v>
      </c>
      <c r="C13308" s="4" t="str">
        <f>IFERROR(__xludf.DUMMYFUNCTION("""COMPUTED_VALUE"""),"xcUSDT")</f>
        <v>xcUSDT</v>
      </c>
    </row>
    <row r="13309">
      <c r="A13309" s="4" t="str">
        <f>IFERROR(__xludf.DUMMYFUNCTION("""COMPUTED_VALUE"""),"xd")</f>
        <v>xd</v>
      </c>
      <c r="B13309" s="4" t="str">
        <f>IFERROR(__xludf.DUMMYFUNCTION("""COMPUTED_VALUE"""),"xd")</f>
        <v>xd</v>
      </c>
      <c r="C13309" s="4" t="str">
        <f>IFERROR(__xludf.DUMMYFUNCTION("""COMPUTED_VALUE"""),"LENX XD")</f>
        <v>LENX XD</v>
      </c>
    </row>
    <row r="13310">
      <c r="A13310" s="4" t="str">
        <f>IFERROR(__xludf.DUMMYFUNCTION("""COMPUTED_VALUE"""),"xdai")</f>
        <v>xdai</v>
      </c>
      <c r="B13310" s="4" t="str">
        <f>IFERROR(__xludf.DUMMYFUNCTION("""COMPUTED_VALUE"""),"xdai")</f>
        <v>xdai</v>
      </c>
      <c r="C13310" s="4" t="str">
        <f>IFERROR(__xludf.DUMMYFUNCTION("""COMPUTED_VALUE"""),"XDAI")</f>
        <v>XDAI</v>
      </c>
    </row>
    <row r="13311">
      <c r="A13311" s="4" t="str">
        <f>IFERROR(__xludf.DUMMYFUNCTION("""COMPUTED_VALUE"""),"xdai-native-comb")</f>
        <v>xdai-native-comb</v>
      </c>
      <c r="B13311" s="4" t="str">
        <f>IFERROR(__xludf.DUMMYFUNCTION("""COMPUTED_VALUE"""),"xcomb")</f>
        <v>xcomb</v>
      </c>
      <c r="C13311" s="4" t="str">
        <f>IFERROR(__xludf.DUMMYFUNCTION("""COMPUTED_VALUE"""),"xDai Native Comb")</f>
        <v>xDai Native Comb</v>
      </c>
    </row>
    <row r="13312">
      <c r="A13312" s="4" t="str">
        <f>IFERROR(__xludf.DUMMYFUNCTION("""COMPUTED_VALUE"""),"xdai-stake")</f>
        <v>xdai-stake</v>
      </c>
      <c r="B13312" s="4" t="str">
        <f>IFERROR(__xludf.DUMMYFUNCTION("""COMPUTED_VALUE"""),"stake")</f>
        <v>stake</v>
      </c>
      <c r="C13312" s="4" t="str">
        <f>IFERROR(__xludf.DUMMYFUNCTION("""COMPUTED_VALUE"""),"STAKE")</f>
        <v>STAKE</v>
      </c>
    </row>
    <row r="13313">
      <c r="A13313" s="4" t="str">
        <f>IFERROR(__xludf.DUMMYFUNCTION("""COMPUTED_VALUE"""),"xdao")</f>
        <v>xdao</v>
      </c>
      <c r="B13313" s="4" t="str">
        <f>IFERROR(__xludf.DUMMYFUNCTION("""COMPUTED_VALUE"""),"xdao")</f>
        <v>xdao</v>
      </c>
      <c r="C13313" s="4" t="str">
        <f>IFERROR(__xludf.DUMMYFUNCTION("""COMPUTED_VALUE"""),"XDAO")</f>
        <v>XDAO</v>
      </c>
    </row>
    <row r="13314">
      <c r="A13314" s="4" t="str">
        <f>IFERROR(__xludf.DUMMYFUNCTION("""COMPUTED_VALUE"""),"xdce-crowd-sale")</f>
        <v>xdce-crowd-sale</v>
      </c>
      <c r="B13314" s="4" t="str">
        <f>IFERROR(__xludf.DUMMYFUNCTION("""COMPUTED_VALUE"""),"xdc")</f>
        <v>xdc</v>
      </c>
      <c r="C13314" s="4" t="str">
        <f>IFERROR(__xludf.DUMMYFUNCTION("""COMPUTED_VALUE"""),"XDC Network")</f>
        <v>XDC Network</v>
      </c>
    </row>
    <row r="13315">
      <c r="A13315" s="4" t="str">
        <f>IFERROR(__xludf.DUMMYFUNCTION("""COMPUTED_VALUE"""),"xdec-astrovault")</f>
        <v>xdec-astrovault</v>
      </c>
      <c r="B13315" s="4" t="str">
        <f>IFERROR(__xludf.DUMMYFUNCTION("""COMPUTED_VALUE"""),"xdec")</f>
        <v>xdec</v>
      </c>
      <c r="C13315" s="4" t="str">
        <f>IFERROR(__xludf.DUMMYFUNCTION("""COMPUTED_VALUE"""),"xDEC_Astrovault")</f>
        <v>xDEC_Astrovault</v>
      </c>
    </row>
    <row r="13316">
      <c r="A13316" s="4" t="str">
        <f>IFERROR(__xludf.DUMMYFUNCTION("""COMPUTED_VALUE"""),"xdefi")</f>
        <v>xdefi</v>
      </c>
      <c r="B13316" s="4" t="str">
        <f>IFERROR(__xludf.DUMMYFUNCTION("""COMPUTED_VALUE"""),"xdefi")</f>
        <v>xdefi</v>
      </c>
      <c r="C13316" s="4" t="str">
        <f>IFERROR(__xludf.DUMMYFUNCTION("""COMPUTED_VALUE"""),"XDEFI")</f>
        <v>XDEFI</v>
      </c>
    </row>
    <row r="13317">
      <c r="A13317" s="4" t="str">
        <f>IFERROR(__xludf.DUMMYFUNCTION("""COMPUTED_VALUE"""),"xdoge")</f>
        <v>xdoge</v>
      </c>
      <c r="B13317" s="4" t="str">
        <f>IFERROR(__xludf.DUMMYFUNCTION("""COMPUTED_VALUE"""),"xdoge")</f>
        <v>xdoge</v>
      </c>
      <c r="C13317" s="4" t="str">
        <f>IFERROR(__xludf.DUMMYFUNCTION("""COMPUTED_VALUE"""),"Xdoge")</f>
        <v>Xdoge</v>
      </c>
    </row>
    <row r="13318">
      <c r="A13318" s="4" t="str">
        <f>IFERROR(__xludf.DUMMYFUNCTION("""COMPUTED_VALUE"""),"xdoge-2")</f>
        <v>xdoge-2</v>
      </c>
      <c r="B13318" s="4" t="str">
        <f>IFERROR(__xludf.DUMMYFUNCTION("""COMPUTED_VALUE"""),"xdoge")</f>
        <v>xdoge</v>
      </c>
      <c r="C13318" s="4" t="str">
        <f>IFERROR(__xludf.DUMMYFUNCTION("""COMPUTED_VALUE"""),"XDOGE")</f>
        <v>XDOGE</v>
      </c>
    </row>
    <row r="13319">
      <c r="A13319" s="4" t="str">
        <f>IFERROR(__xludf.DUMMYFUNCTION("""COMPUTED_VALUE"""),"xdoge-3")</f>
        <v>xdoge-3</v>
      </c>
      <c r="B13319" s="4" t="str">
        <f>IFERROR(__xludf.DUMMYFUNCTION("""COMPUTED_VALUE"""),"xdoge")</f>
        <v>xdoge</v>
      </c>
      <c r="C13319" s="4" t="str">
        <f>IFERROR(__xludf.DUMMYFUNCTION("""COMPUTED_VALUE"""),"XDOGE")</f>
        <v>XDOGE</v>
      </c>
    </row>
    <row r="13320">
      <c r="A13320" s="4" t="str">
        <f>IFERROR(__xludf.DUMMYFUNCTION("""COMPUTED_VALUE"""),"xdoge-4")</f>
        <v>xdoge-4</v>
      </c>
      <c r="B13320" s="4" t="str">
        <f>IFERROR(__xludf.DUMMYFUNCTION("""COMPUTED_VALUE"""),"xd")</f>
        <v>xd</v>
      </c>
      <c r="C13320" s="4" t="str">
        <f>IFERROR(__xludf.DUMMYFUNCTION("""COMPUTED_VALUE"""),"XDoge")</f>
        <v>XDoge</v>
      </c>
    </row>
    <row r="13321">
      <c r="A13321" s="4" t="str">
        <f>IFERROR(__xludf.DUMMYFUNCTION("""COMPUTED_VALUE"""),"x-dog-finance")</f>
        <v>x-dog-finance</v>
      </c>
      <c r="B13321" s="4" t="str">
        <f>IFERROR(__xludf.DUMMYFUNCTION("""COMPUTED_VALUE"""),"xdog")</f>
        <v>xdog</v>
      </c>
      <c r="C13321" s="4" t="str">
        <f>IFERROR(__xludf.DUMMYFUNCTION("""COMPUTED_VALUE"""),"X-Dog Finance")</f>
        <v>X-Dog Finance</v>
      </c>
    </row>
    <row r="13322">
      <c r="A13322" s="4" t="str">
        <f>IFERROR(__xludf.DUMMYFUNCTION("""COMPUTED_VALUE"""),"xdollar-stablecoin")</f>
        <v>xdollar-stablecoin</v>
      </c>
      <c r="B13322" s="4" t="str">
        <f>IFERROR(__xludf.DUMMYFUNCTION("""COMPUTED_VALUE"""),"xusd")</f>
        <v>xusd</v>
      </c>
      <c r="C13322" s="4" t="str">
        <f>IFERROR(__xludf.DUMMYFUNCTION("""COMPUTED_VALUE"""),"xDollar Stablecoin")</f>
        <v>xDollar Stablecoin</v>
      </c>
    </row>
    <row r="13323">
      <c r="A13323" s="4" t="str">
        <f>IFERROR(__xludf.DUMMYFUNCTION("""COMPUTED_VALUE"""),"xdx")</f>
        <v>xdx</v>
      </c>
      <c r="B13323" s="4" t="str">
        <f>IFERROR(__xludf.DUMMYFUNCTION("""COMPUTED_VALUE"""),"xdx")</f>
        <v>xdx</v>
      </c>
      <c r="C13323" s="4" t="str">
        <f>IFERROR(__xludf.DUMMYFUNCTION("""COMPUTED_VALUE"""),"XDX")</f>
        <v>XDX</v>
      </c>
    </row>
    <row r="13324">
      <c r="A13324" s="4" t="str">
        <f>IFERROR(__xludf.DUMMYFUNCTION("""COMPUTED_VALUE"""),"xels")</f>
        <v>xels</v>
      </c>
      <c r="B13324" s="4" t="str">
        <f>IFERROR(__xludf.DUMMYFUNCTION("""COMPUTED_VALUE"""),"xels")</f>
        <v>xels</v>
      </c>
      <c r="C13324" s="4" t="str">
        <f>IFERROR(__xludf.DUMMYFUNCTION("""COMPUTED_VALUE"""),"XELS")</f>
        <v>XELS</v>
      </c>
    </row>
    <row r="13325">
      <c r="A13325" s="4" t="str">
        <f>IFERROR(__xludf.DUMMYFUNCTION("""COMPUTED_VALUE"""),"xena-finance")</f>
        <v>xena-finance</v>
      </c>
      <c r="B13325" s="4" t="str">
        <f>IFERROR(__xludf.DUMMYFUNCTION("""COMPUTED_VALUE"""),"xen")</f>
        <v>xen</v>
      </c>
      <c r="C13325" s="4" t="str">
        <f>IFERROR(__xludf.DUMMYFUNCTION("""COMPUTED_VALUE"""),"Xena Finance")</f>
        <v>Xena Finance</v>
      </c>
    </row>
    <row r="13326">
      <c r="A13326" s="4" t="str">
        <f>IFERROR(__xludf.DUMMYFUNCTION("""COMPUTED_VALUE"""),"xenbitcoin")</f>
        <v>xenbitcoin</v>
      </c>
      <c r="B13326" s="4" t="str">
        <f>IFERROR(__xludf.DUMMYFUNCTION("""COMPUTED_VALUE"""),"xbtc")</f>
        <v>xbtc</v>
      </c>
      <c r="C13326" s="4" t="str">
        <f>IFERROR(__xludf.DUMMYFUNCTION("""COMPUTED_VALUE"""),"XenBitcoin")</f>
        <v>XenBitcoin</v>
      </c>
    </row>
    <row r="13327">
      <c r="A13327" s="4" t="str">
        <f>IFERROR(__xludf.DUMMYFUNCTION("""COMPUTED_VALUE"""),"xen-crypto")</f>
        <v>xen-crypto</v>
      </c>
      <c r="B13327" s="4" t="str">
        <f>IFERROR(__xludf.DUMMYFUNCTION("""COMPUTED_VALUE"""),"xen")</f>
        <v>xen</v>
      </c>
      <c r="C13327" s="4" t="str">
        <f>IFERROR(__xludf.DUMMYFUNCTION("""COMPUTED_VALUE"""),"XEN Crypto")</f>
        <v>XEN Crypto</v>
      </c>
    </row>
    <row r="13328">
      <c r="A13328" s="4" t="str">
        <f>IFERROR(__xludf.DUMMYFUNCTION("""COMPUTED_VALUE"""),"xen-crypto-bsc")</f>
        <v>xen-crypto-bsc</v>
      </c>
      <c r="B13328" s="4" t="str">
        <f>IFERROR(__xludf.DUMMYFUNCTION("""COMPUTED_VALUE"""),"bxen")</f>
        <v>bxen</v>
      </c>
      <c r="C13328" s="4" t="str">
        <f>IFERROR(__xludf.DUMMYFUNCTION("""COMPUTED_VALUE"""),"XEN Crypto (BSC)")</f>
        <v>XEN Crypto (BSC)</v>
      </c>
    </row>
    <row r="13329">
      <c r="A13329" s="4" t="str">
        <f>IFERROR(__xludf.DUMMYFUNCTION("""COMPUTED_VALUE"""),"xen-crypto-evmos")</f>
        <v>xen-crypto-evmos</v>
      </c>
      <c r="B13329" s="4" t="str">
        <f>IFERROR(__xludf.DUMMYFUNCTION("""COMPUTED_VALUE"""),"coxen")</f>
        <v>coxen</v>
      </c>
      <c r="C13329" s="4" t="str">
        <f>IFERROR(__xludf.DUMMYFUNCTION("""COMPUTED_VALUE"""),"Xen Crypto (EVMOS)")</f>
        <v>Xen Crypto (EVMOS)</v>
      </c>
    </row>
    <row r="13330">
      <c r="A13330" s="4" t="str">
        <f>IFERROR(__xludf.DUMMYFUNCTION("""COMPUTED_VALUE"""),"xen-crypto-fantom")</f>
        <v>xen-crypto-fantom</v>
      </c>
      <c r="B13330" s="4" t="str">
        <f>IFERROR(__xludf.DUMMYFUNCTION("""COMPUTED_VALUE"""),"fmxen")</f>
        <v>fmxen</v>
      </c>
      <c r="C13330" s="4" t="str">
        <f>IFERROR(__xludf.DUMMYFUNCTION("""COMPUTED_VALUE"""),"Xen Crypto (Fantom)")</f>
        <v>Xen Crypto (Fantom)</v>
      </c>
    </row>
    <row r="13331">
      <c r="A13331" s="4" t="str">
        <f>IFERROR(__xludf.DUMMYFUNCTION("""COMPUTED_VALUE"""),"xen-crypto-matic")</f>
        <v>xen-crypto-matic</v>
      </c>
      <c r="B13331" s="4" t="str">
        <f>IFERROR(__xludf.DUMMYFUNCTION("""COMPUTED_VALUE"""),"mxen")</f>
        <v>mxen</v>
      </c>
      <c r="C13331" s="4" t="str">
        <f>IFERROR(__xludf.DUMMYFUNCTION("""COMPUTED_VALUE"""),"Xen Crypto (MATIC)")</f>
        <v>Xen Crypto (MATIC)</v>
      </c>
    </row>
    <row r="13332">
      <c r="A13332" s="4" t="str">
        <f>IFERROR(__xludf.DUMMYFUNCTION("""COMPUTED_VALUE"""),"xen-crypto-pulsechain")</f>
        <v>xen-crypto-pulsechain</v>
      </c>
      <c r="B13332" s="4" t="str">
        <f>IFERROR(__xludf.DUMMYFUNCTION("""COMPUTED_VALUE"""),"pxen")</f>
        <v>pxen</v>
      </c>
      <c r="C13332" s="4" t="str">
        <f>IFERROR(__xludf.DUMMYFUNCTION("""COMPUTED_VALUE"""),"XEN Crypto (PulseChain)")</f>
        <v>XEN Crypto (PulseChain)</v>
      </c>
    </row>
    <row r="13333">
      <c r="A13333" s="4" t="str">
        <f>IFERROR(__xludf.DUMMYFUNCTION("""COMPUTED_VALUE"""),"xend-finance")</f>
        <v>xend-finance</v>
      </c>
      <c r="B13333" s="4" t="str">
        <f>IFERROR(__xludf.DUMMYFUNCTION("""COMPUTED_VALUE"""),"rwa")</f>
        <v>rwa</v>
      </c>
      <c r="C13333" s="4" t="str">
        <f>IFERROR(__xludf.DUMMYFUNCTION("""COMPUTED_VALUE"""),"Xend Finance")</f>
        <v>Xend Finance</v>
      </c>
    </row>
    <row r="13334">
      <c r="A13334" s="4" t="str">
        <f>IFERROR(__xludf.DUMMYFUNCTION("""COMPUTED_VALUE"""),"xenify-bxnf-bnb-chain")</f>
        <v>xenify-bxnf-bnb-chain</v>
      </c>
      <c r="B13334" s="4" t="str">
        <f>IFERROR(__xludf.DUMMYFUNCTION("""COMPUTED_VALUE"""),"bxnf")</f>
        <v>bxnf</v>
      </c>
      <c r="C13334" s="4" t="str">
        <f>IFERROR(__xludf.DUMMYFUNCTION("""COMPUTED_VALUE"""),"bXNF")</f>
        <v>bXNF</v>
      </c>
    </row>
    <row r="13335">
      <c r="A13335" s="4" t="str">
        <f>IFERROR(__xludf.DUMMYFUNCTION("""COMPUTED_VALUE"""),"xenify-bysl")</f>
        <v>xenify-bysl</v>
      </c>
      <c r="B13335" s="4" t="str">
        <f>IFERROR(__xludf.DUMMYFUNCTION("""COMPUTED_VALUE"""),"bysl")</f>
        <v>bysl</v>
      </c>
      <c r="C13335" s="4" t="str">
        <f>IFERROR(__xludf.DUMMYFUNCTION("""COMPUTED_VALUE"""),"bYSL")</f>
        <v>bYSL</v>
      </c>
    </row>
    <row r="13336">
      <c r="A13336" s="4" t="str">
        <f>IFERROR(__xludf.DUMMYFUNCTION("""COMPUTED_VALUE"""),"xenify-ysl")</f>
        <v>xenify-ysl</v>
      </c>
      <c r="B13336" s="4" t="str">
        <f>IFERROR(__xludf.DUMMYFUNCTION("""COMPUTED_VALUE"""),"ysl")</f>
        <v>ysl</v>
      </c>
      <c r="C13336" s="4" t="str">
        <f>IFERROR(__xludf.DUMMYFUNCTION("""COMPUTED_VALUE"""),"YSL")</f>
        <v>YSL</v>
      </c>
    </row>
    <row r="13337">
      <c r="A13337" s="4" t="str">
        <f>IFERROR(__xludf.DUMMYFUNCTION("""COMPUTED_VALUE"""),"xenios")</f>
        <v>xenios</v>
      </c>
      <c r="B13337" s="4" t="str">
        <f>IFERROR(__xludf.DUMMYFUNCTION("""COMPUTED_VALUE"""),"xnc")</f>
        <v>xnc</v>
      </c>
      <c r="C13337" s="4" t="str">
        <f>IFERROR(__xludf.DUMMYFUNCTION("""COMPUTED_VALUE"""),"Xenios")</f>
        <v>Xenios</v>
      </c>
    </row>
    <row r="13338">
      <c r="A13338" s="4" t="str">
        <f>IFERROR(__xludf.DUMMYFUNCTION("""COMPUTED_VALUE"""),"xeno")</f>
        <v>xeno</v>
      </c>
      <c r="B13338" s="4" t="str">
        <f>IFERROR(__xludf.DUMMYFUNCTION("""COMPUTED_VALUE"""),"xeno")</f>
        <v>xeno</v>
      </c>
      <c r="C13338" s="4" t="str">
        <f>IFERROR(__xludf.DUMMYFUNCTION("""COMPUTED_VALUE"""),"Xeno")</f>
        <v>Xeno</v>
      </c>
    </row>
    <row r="13339">
      <c r="A13339" s="4" t="str">
        <f>IFERROR(__xludf.DUMMYFUNCTION("""COMPUTED_VALUE"""),"xeno-token")</f>
        <v>xeno-token</v>
      </c>
      <c r="B13339" s="4" t="str">
        <f>IFERROR(__xludf.DUMMYFUNCTION("""COMPUTED_VALUE"""),"xno")</f>
        <v>xno</v>
      </c>
      <c r="C13339" s="4" t="str">
        <f>IFERROR(__xludf.DUMMYFUNCTION("""COMPUTED_VALUE"""),"Xeno")</f>
        <v>Xeno</v>
      </c>
    </row>
    <row r="13340">
      <c r="A13340" s="4" t="str">
        <f>IFERROR(__xludf.DUMMYFUNCTION("""COMPUTED_VALUE"""),"xensei")</f>
        <v>xensei</v>
      </c>
      <c r="B13340" s="4" t="str">
        <f>IFERROR(__xludf.DUMMYFUNCTION("""COMPUTED_VALUE"""),"xsei")</f>
        <v>xsei</v>
      </c>
      <c r="C13340" s="4" t="str">
        <f>IFERROR(__xludf.DUMMYFUNCTION("""COMPUTED_VALUE"""),"Xensei")</f>
        <v>Xensei</v>
      </c>
    </row>
    <row r="13341">
      <c r="A13341" s="4" t="str">
        <f>IFERROR(__xludf.DUMMYFUNCTION("""COMPUTED_VALUE"""),"xerc20-pro")</f>
        <v>xerc20-pro</v>
      </c>
      <c r="B13341" s="4" t="str">
        <f>IFERROR(__xludf.DUMMYFUNCTION("""COMPUTED_VALUE"""),"x")</f>
        <v>x</v>
      </c>
      <c r="C13341" s="4" t="str">
        <f>IFERROR(__xludf.DUMMYFUNCTION("""COMPUTED_VALUE"""),"X")</f>
        <v>X</v>
      </c>
    </row>
    <row r="13342">
      <c r="A13342" s="4" t="str">
        <f>IFERROR(__xludf.DUMMYFUNCTION("""COMPUTED_VALUE"""),"xero-ai")</f>
        <v>xero-ai</v>
      </c>
      <c r="B13342" s="4" t="str">
        <f>IFERROR(__xludf.DUMMYFUNCTION("""COMPUTED_VALUE"""),"xeroai")</f>
        <v>xeroai</v>
      </c>
      <c r="C13342" s="4" t="str">
        <f>IFERROR(__xludf.DUMMYFUNCTION("""COMPUTED_VALUE"""),"Xero AI")</f>
        <v>Xero AI</v>
      </c>
    </row>
    <row r="13343">
      <c r="A13343" s="4" t="str">
        <f>IFERROR(__xludf.DUMMYFUNCTION("""COMPUTED_VALUE"""),"xertinet")</f>
        <v>xertinet</v>
      </c>
      <c r="B13343" s="4" t="str">
        <f>IFERROR(__xludf.DUMMYFUNCTION("""COMPUTED_VALUE"""),"xert")</f>
        <v>xert</v>
      </c>
      <c r="C13343" s="4" t="str">
        <f>IFERROR(__xludf.DUMMYFUNCTION("""COMPUTED_VALUE"""),"XertiNet")</f>
        <v>XertiNet</v>
      </c>
    </row>
    <row r="13344">
      <c r="A13344" s="4" t="str">
        <f>IFERROR(__xludf.DUMMYFUNCTION("""COMPUTED_VALUE"""),"xfarmer")</f>
        <v>xfarmer</v>
      </c>
      <c r="B13344" s="4" t="str">
        <f>IFERROR(__xludf.DUMMYFUNCTION("""COMPUTED_VALUE"""),"xf")</f>
        <v>xf</v>
      </c>
      <c r="C13344" s="4" t="str">
        <f>IFERROR(__xludf.DUMMYFUNCTION("""COMPUTED_VALUE"""),"xFarmer")</f>
        <v>xFarmer</v>
      </c>
    </row>
    <row r="13345">
      <c r="A13345" s="4" t="str">
        <f>IFERROR(__xludf.DUMMYFUNCTION("""COMPUTED_VALUE"""),"xfile")</f>
        <v>xfile</v>
      </c>
      <c r="B13345" s="4" t="str">
        <f>IFERROR(__xludf.DUMMYFUNCTION("""COMPUTED_VALUE"""),"x-file")</f>
        <v>x-file</v>
      </c>
      <c r="C13345" s="4" t="str">
        <f>IFERROR(__xludf.DUMMYFUNCTION("""COMPUTED_VALUE"""),"XFILE")</f>
        <v>XFILE</v>
      </c>
    </row>
    <row r="13346">
      <c r="A13346" s="4" t="str">
        <f>IFERROR(__xludf.DUMMYFUNCTION("""COMPUTED_VALUE"""),"xfinance")</f>
        <v>xfinance</v>
      </c>
      <c r="B13346" s="4" t="str">
        <f>IFERROR(__xludf.DUMMYFUNCTION("""COMPUTED_VALUE"""),"xfi")</f>
        <v>xfi</v>
      </c>
      <c r="C13346" s="4" t="str">
        <f>IFERROR(__xludf.DUMMYFUNCTION("""COMPUTED_VALUE"""),"Xfinance")</f>
        <v>Xfinance</v>
      </c>
    </row>
    <row r="13347">
      <c r="A13347" s="4" t="str">
        <f>IFERROR(__xludf.DUMMYFUNCTION("""COMPUTED_VALUE"""),"xfinite-entertainment-token")</f>
        <v>xfinite-entertainment-token</v>
      </c>
      <c r="B13347" s="4" t="str">
        <f>IFERROR(__xludf.DUMMYFUNCTION("""COMPUTED_VALUE"""),"xet")</f>
        <v>xet</v>
      </c>
      <c r="C13347" s="4" t="str">
        <f>IFERROR(__xludf.DUMMYFUNCTION("""COMPUTED_VALUE"""),"Xfinite Entertainment")</f>
        <v>Xfinite Entertainment</v>
      </c>
    </row>
    <row r="13348">
      <c r="A13348" s="4" t="str">
        <f>IFERROR(__xludf.DUMMYFUNCTION("""COMPUTED_VALUE"""),"xfish")</f>
        <v>xfish</v>
      </c>
      <c r="B13348" s="4" t="str">
        <f>IFERROR(__xludf.DUMMYFUNCTION("""COMPUTED_VALUE"""),"xfish")</f>
        <v>xfish</v>
      </c>
      <c r="C13348" s="4" t="str">
        <f>IFERROR(__xludf.DUMMYFUNCTION("""COMPUTED_VALUE"""),"Xfish")</f>
        <v>Xfish</v>
      </c>
    </row>
    <row r="13349">
      <c r="A13349" s="4" t="str">
        <f>IFERROR(__xludf.DUMMYFUNCTION("""COMPUTED_VALUE"""),"xfit")</f>
        <v>xfit</v>
      </c>
      <c r="B13349" s="4" t="str">
        <f>IFERROR(__xludf.DUMMYFUNCTION("""COMPUTED_VALUE"""),"xfit")</f>
        <v>xfit</v>
      </c>
      <c r="C13349" s="4" t="str">
        <f>IFERROR(__xludf.DUMMYFUNCTION("""COMPUTED_VALUE"""),"XFai")</f>
        <v>XFai</v>
      </c>
    </row>
    <row r="13350">
      <c r="A13350" s="4" t="str">
        <f>IFERROR(__xludf.DUMMYFUNCTION("""COMPUTED_VALUE"""),"xflix_astrovault")</f>
        <v>xflix_astrovault</v>
      </c>
      <c r="B13350" s="4" t="str">
        <f>IFERROR(__xludf.DUMMYFUNCTION("""COMPUTED_VALUE"""),"xflix")</f>
        <v>xflix</v>
      </c>
      <c r="C13350" s="4" t="str">
        <f>IFERROR(__xludf.DUMMYFUNCTION("""COMPUTED_VALUE"""),"xFLIX_Astrovault")</f>
        <v>xFLIX_Astrovault</v>
      </c>
    </row>
    <row r="13351">
      <c r="A13351" s="4" t="str">
        <f>IFERROR(__xludf.DUMMYFUNCTION("""COMPUTED_VALUE"""),"xfuel")</f>
        <v>xfuel</v>
      </c>
      <c r="B13351" s="4" t="str">
        <f>IFERROR(__xludf.DUMMYFUNCTION("""COMPUTED_VALUE"""),"xfuel")</f>
        <v>xfuel</v>
      </c>
      <c r="C13351" s="4" t="str">
        <f>IFERROR(__xludf.DUMMYFUNCTION("""COMPUTED_VALUE"""),"XFUEL")</f>
        <v>XFUEL</v>
      </c>
    </row>
    <row r="13352">
      <c r="A13352" s="4" t="str">
        <f>IFERROR(__xludf.DUMMYFUNCTION("""COMPUTED_VALUE"""),"xfund")</f>
        <v>xfund</v>
      </c>
      <c r="B13352" s="4" t="str">
        <f>IFERROR(__xludf.DUMMYFUNCTION("""COMPUTED_VALUE"""),"xfund")</f>
        <v>xfund</v>
      </c>
      <c r="C13352" s="4" t="str">
        <f>IFERROR(__xludf.DUMMYFUNCTION("""COMPUTED_VALUE"""),"xFUND")</f>
        <v>xFUND</v>
      </c>
    </row>
    <row r="13353">
      <c r="A13353" s="4" t="str">
        <f>IFERROR(__xludf.DUMMYFUNCTION("""COMPUTED_VALUE"""),"xgold-coin")</f>
        <v>xgold-coin</v>
      </c>
      <c r="B13353" s="4" t="str">
        <f>IFERROR(__xludf.DUMMYFUNCTION("""COMPUTED_VALUE"""),"xgold")</f>
        <v>xgold</v>
      </c>
      <c r="C13353" s="4" t="str">
        <f>IFERROR(__xludf.DUMMYFUNCTION("""COMPUTED_VALUE"""),"Xgold Coin")</f>
        <v>Xgold Coin</v>
      </c>
    </row>
    <row r="13354">
      <c r="A13354" s="4" t="str">
        <f>IFERROR(__xludf.DUMMYFUNCTION("""COMPUTED_VALUE"""),"x-gpt")</f>
        <v>x-gpt</v>
      </c>
      <c r="B13354" s="4" t="str">
        <f>IFERROR(__xludf.DUMMYFUNCTION("""COMPUTED_VALUE"""),"xgpt")</f>
        <v>xgpt</v>
      </c>
      <c r="C13354" s="4" t="str">
        <f>IFERROR(__xludf.DUMMYFUNCTION("""COMPUTED_VALUE"""),"X-GPT")</f>
        <v>X-GPT</v>
      </c>
    </row>
    <row r="13355">
      <c r="A13355" s="4" t="str">
        <f>IFERROR(__xludf.DUMMYFUNCTION("""COMPUTED_VALUE"""),"xgrav_astrovault")</f>
        <v>xgrav_astrovault</v>
      </c>
      <c r="B13355" s="4" t="str">
        <f>IFERROR(__xludf.DUMMYFUNCTION("""COMPUTED_VALUE"""),"xgrav")</f>
        <v>xgrav</v>
      </c>
      <c r="C13355" s="4" t="str">
        <f>IFERROR(__xludf.DUMMYFUNCTION("""COMPUTED_VALUE"""),"xGRAV_Astrovault")</f>
        <v>xGRAV_Astrovault</v>
      </c>
    </row>
    <row r="13356">
      <c r="A13356" s="4" t="str">
        <f>IFERROR(__xludf.DUMMYFUNCTION("""COMPUTED_VALUE"""),"xhashtag")</f>
        <v>xhashtag</v>
      </c>
      <c r="B13356" s="4" t="str">
        <f>IFERROR(__xludf.DUMMYFUNCTION("""COMPUTED_VALUE"""),"xtag")</f>
        <v>xtag</v>
      </c>
      <c r="C13356" s="4" t="str">
        <f>IFERROR(__xludf.DUMMYFUNCTION("""COMPUTED_VALUE"""),"xHashtag")</f>
        <v>xHashtag</v>
      </c>
    </row>
    <row r="13357">
      <c r="A13357" s="4" t="str">
        <f>IFERROR(__xludf.DUMMYFUNCTION("""COMPUTED_VALUE"""),"xidar")</f>
        <v>xidar</v>
      </c>
      <c r="B13357" s="4" t="str">
        <f>IFERROR(__xludf.DUMMYFUNCTION("""COMPUTED_VALUE"""),"ida")</f>
        <v>ida</v>
      </c>
      <c r="C13357" s="4" t="str">
        <f>IFERROR(__xludf.DUMMYFUNCTION("""COMPUTED_VALUE"""),"Xidar")</f>
        <v>Xidar</v>
      </c>
    </row>
    <row r="13358">
      <c r="A13358" s="4" t="str">
        <f>IFERROR(__xludf.DUMMYFUNCTION("""COMPUTED_VALUE"""),"xiden")</f>
        <v>xiden</v>
      </c>
      <c r="B13358" s="4" t="str">
        <f>IFERROR(__xludf.DUMMYFUNCTION("""COMPUTED_VALUE"""),"xden")</f>
        <v>xden</v>
      </c>
      <c r="C13358" s="4" t="str">
        <f>IFERROR(__xludf.DUMMYFUNCTION("""COMPUTED_VALUE"""),"Xiden")</f>
        <v>Xiden</v>
      </c>
    </row>
    <row r="13359">
      <c r="A13359" s="4" t="str">
        <f>IFERROR(__xludf.DUMMYFUNCTION("""COMPUTED_VALUE"""),"xido-finance")</f>
        <v>xido-finance</v>
      </c>
      <c r="B13359" s="4" t="str">
        <f>IFERROR(__xludf.DUMMYFUNCTION("""COMPUTED_VALUE"""),"xido")</f>
        <v>xido</v>
      </c>
      <c r="C13359" s="4" t="str">
        <f>IFERROR(__xludf.DUMMYFUNCTION("""COMPUTED_VALUE"""),"Xido Finance")</f>
        <v>Xido Finance</v>
      </c>
    </row>
    <row r="13360">
      <c r="A13360" s="4" t="str">
        <f>IFERROR(__xludf.DUMMYFUNCTION("""COMPUTED_VALUE"""),"xidol-tech")</f>
        <v>xidol-tech</v>
      </c>
      <c r="B13360" s="4" t="str">
        <f>IFERROR(__xludf.DUMMYFUNCTION("""COMPUTED_VALUE"""),"xid")</f>
        <v>xid</v>
      </c>
      <c r="C13360" s="4" t="str">
        <f>IFERROR(__xludf.DUMMYFUNCTION("""COMPUTED_VALUE"""),"Xidol.tech")</f>
        <v>Xidol.tech</v>
      </c>
    </row>
    <row r="13361">
      <c r="A13361" s="4" t="str">
        <f>IFERROR(__xludf.DUMMYFUNCTION("""COMPUTED_VALUE"""),"xing")</f>
        <v>xing</v>
      </c>
      <c r="B13361" s="4" t="str">
        <f>IFERROR(__xludf.DUMMYFUNCTION("""COMPUTED_VALUE"""),"xing")</f>
        <v>xing</v>
      </c>
      <c r="C13361" s="4" t="str">
        <f>IFERROR(__xludf.DUMMYFUNCTION("""COMPUTED_VALUE"""),"XING")</f>
        <v>XING</v>
      </c>
    </row>
    <row r="13362">
      <c r="A13362" s="4" t="str">
        <f>IFERROR(__xludf.DUMMYFUNCTION("""COMPUTED_VALUE"""),"xinu-eth")</f>
        <v>xinu-eth</v>
      </c>
      <c r="B13362" s="4" t="str">
        <f>IFERROR(__xludf.DUMMYFUNCTION("""COMPUTED_VALUE"""),"xinu")</f>
        <v>xinu</v>
      </c>
      <c r="C13362" s="4" t="str">
        <f>IFERROR(__xludf.DUMMYFUNCTION("""COMPUTED_VALUE"""),"XINU (ETH)")</f>
        <v>XINU (ETH)</v>
      </c>
    </row>
    <row r="13363">
      <c r="A13363" s="4" t="str">
        <f>IFERROR(__xludf.DUMMYFUNCTION("""COMPUTED_VALUE"""),"xio")</f>
        <v>xio</v>
      </c>
      <c r="B13363" s="4" t="str">
        <f>IFERROR(__xludf.DUMMYFUNCTION("""COMPUTED_VALUE"""),"xio")</f>
        <v>xio</v>
      </c>
      <c r="C13363" s="4" t="str">
        <f>IFERROR(__xludf.DUMMYFUNCTION("""COMPUTED_VALUE"""),"Blockzero Labs")</f>
        <v>Blockzero Labs</v>
      </c>
    </row>
    <row r="13364">
      <c r="A13364" s="4" t="str">
        <f>IFERROR(__xludf.DUMMYFUNCTION("""COMPUTED_VALUE"""),"xion-finance")</f>
        <v>xion-finance</v>
      </c>
      <c r="B13364" s="4" t="str">
        <f>IFERROR(__xludf.DUMMYFUNCTION("""COMPUTED_VALUE"""),"xgt")</f>
        <v>xgt</v>
      </c>
      <c r="C13364" s="4" t="str">
        <f>IFERROR(__xludf.DUMMYFUNCTION("""COMPUTED_VALUE"""),"Xion Finance")</f>
        <v>Xion Finance</v>
      </c>
    </row>
    <row r="13365">
      <c r="A13365" s="4" t="str">
        <f>IFERROR(__xludf.DUMMYFUNCTION("""COMPUTED_VALUE"""),"xi-token")</f>
        <v>xi-token</v>
      </c>
      <c r="B13365" s="4" t="str">
        <f>IFERROR(__xludf.DUMMYFUNCTION("""COMPUTED_VALUE"""),"xi")</f>
        <v>xi</v>
      </c>
      <c r="C13365" s="4" t="str">
        <f>IFERROR(__xludf.DUMMYFUNCTION("""COMPUTED_VALUE"""),"Xi")</f>
        <v>Xi</v>
      </c>
    </row>
    <row r="13366">
      <c r="A13366" s="4" t="str">
        <f>IFERROR(__xludf.DUMMYFUNCTION("""COMPUTED_VALUE"""),"xjewel")</f>
        <v>xjewel</v>
      </c>
      <c r="B13366" s="4" t="str">
        <f>IFERROR(__xludf.DUMMYFUNCTION("""COMPUTED_VALUE"""),"xjewel")</f>
        <v>xjewel</v>
      </c>
      <c r="C13366" s="4" t="str">
        <f>IFERROR(__xludf.DUMMYFUNCTION("""COMPUTED_VALUE"""),"xJEWEL")</f>
        <v>xJEWEL</v>
      </c>
    </row>
    <row r="13367">
      <c r="A13367" s="4" t="str">
        <f>IFERROR(__xludf.DUMMYFUNCTION("""COMPUTED_VALUE"""),"xlauncher")</f>
        <v>xlauncher</v>
      </c>
      <c r="B13367" s="4" t="str">
        <f>IFERROR(__xludf.DUMMYFUNCTION("""COMPUTED_VALUE"""),"xlh")</f>
        <v>xlh</v>
      </c>
      <c r="C13367" s="4" t="str">
        <f>IFERROR(__xludf.DUMMYFUNCTION("""COMPUTED_VALUE"""),"xLauncher")</f>
        <v>xLauncher</v>
      </c>
    </row>
    <row r="13368">
      <c r="A13368" s="4" t="str">
        <f>IFERROR(__xludf.DUMMYFUNCTION("""COMPUTED_VALUE"""),"xl-bully")</f>
        <v>xl-bully</v>
      </c>
      <c r="B13368" s="4" t="str">
        <f>IFERROR(__xludf.DUMMYFUNCTION("""COMPUTED_VALUE"""),"xlbully")</f>
        <v>xlbully</v>
      </c>
      <c r="C13368" s="4" t="str">
        <f>IFERROR(__xludf.DUMMYFUNCTION("""COMPUTED_VALUE"""),"XL BULLY")</f>
        <v>XL BULLY</v>
      </c>
    </row>
    <row r="13369">
      <c r="A13369" s="4" t="str">
        <f>IFERROR(__xludf.DUMMYFUNCTION("""COMPUTED_VALUE"""),"xlink-bridged-btc-stacks")</f>
        <v>xlink-bridged-btc-stacks</v>
      </c>
      <c r="B13369" s="4" t="str">
        <f>IFERROR(__xludf.DUMMYFUNCTION("""COMPUTED_VALUE"""),"abtc")</f>
        <v>abtc</v>
      </c>
      <c r="C13369" s="4" t="str">
        <f>IFERROR(__xludf.DUMMYFUNCTION("""COMPUTED_VALUE"""),"XLink Bridged BTC (Stacks)")</f>
        <v>XLink Bridged BTC (Stacks)</v>
      </c>
    </row>
    <row r="13370">
      <c r="A13370" s="4" t="str">
        <f>IFERROR(__xludf.DUMMYFUNCTION("""COMPUTED_VALUE"""),"xlist")</f>
        <v>xlist</v>
      </c>
      <c r="B13370" s="4" t="str">
        <f>IFERROR(__xludf.DUMMYFUNCTION("""COMPUTED_VALUE"""),"xlist")</f>
        <v>xlist</v>
      </c>
      <c r="C13370" s="4" t="str">
        <f>IFERROR(__xludf.DUMMYFUNCTION("""COMPUTED_VALUE"""),"XList")</f>
        <v>XList</v>
      </c>
    </row>
    <row r="13371">
      <c r="A13371" s="4" t="str">
        <f>IFERROR(__xludf.DUMMYFUNCTION("""COMPUTED_VALUE"""),"xlsd-coin")</f>
        <v>xlsd-coin</v>
      </c>
      <c r="B13371" s="4" t="str">
        <f>IFERROR(__xludf.DUMMYFUNCTION("""COMPUTED_VALUE"""),"xlsd")</f>
        <v>xlsd</v>
      </c>
      <c r="C13371" s="4" t="str">
        <f>IFERROR(__xludf.DUMMYFUNCTION("""COMPUTED_VALUE"""),"XLSD Coin")</f>
        <v>XLSD Coin</v>
      </c>
    </row>
    <row r="13372">
      <c r="A13372" s="4" t="str">
        <f>IFERROR(__xludf.DUMMYFUNCTION("""COMPUTED_VALUE"""),"xmas2023")</f>
        <v>xmas2023</v>
      </c>
      <c r="B13372" s="4" t="str">
        <f>IFERROR(__xludf.DUMMYFUNCTION("""COMPUTED_VALUE"""),"xmas")</f>
        <v>xmas</v>
      </c>
      <c r="C13372" s="4" t="str">
        <f>IFERROR(__xludf.DUMMYFUNCTION("""COMPUTED_VALUE"""),"XMAS2023")</f>
        <v>XMAS2023</v>
      </c>
    </row>
    <row r="13373">
      <c r="A13373" s="4" t="str">
        <f>IFERROR(__xludf.DUMMYFUNCTION("""COMPUTED_VALUE"""),"x-mask")</f>
        <v>x-mask</v>
      </c>
      <c r="B13373" s="4" t="str">
        <f>IFERROR(__xludf.DUMMYFUNCTION("""COMPUTED_VALUE"""),"xmc")</f>
        <v>xmc</v>
      </c>
      <c r="C13373" s="4" t="str">
        <f>IFERROR(__xludf.DUMMYFUNCTION("""COMPUTED_VALUE"""),"X-MASK")</f>
        <v>X-MASK</v>
      </c>
    </row>
    <row r="13374">
      <c r="A13374" s="4" t="str">
        <f>IFERROR(__xludf.DUMMYFUNCTION("""COMPUTED_VALUE"""),"x-mass")</f>
        <v>x-mass</v>
      </c>
      <c r="B13374" s="4" t="str">
        <f>IFERROR(__xludf.DUMMYFUNCTION("""COMPUTED_VALUE"""),"x-mass")</f>
        <v>x-mass</v>
      </c>
      <c r="C13374" s="4" t="str">
        <f>IFERROR(__xludf.DUMMYFUNCTION("""COMPUTED_VALUE"""),"X-Mass")</f>
        <v>X-Mass</v>
      </c>
    </row>
    <row r="13375">
      <c r="A13375" s="4" t="str">
        <f>IFERROR(__xludf.DUMMYFUNCTION("""COMPUTED_VALUE"""),"xmas-santa-rally")</f>
        <v>xmas-santa-rally</v>
      </c>
      <c r="B13375" s="4" t="str">
        <f>IFERROR(__xludf.DUMMYFUNCTION("""COMPUTED_VALUE"""),"xmry")</f>
        <v>xmry</v>
      </c>
      <c r="C13375" s="4" t="str">
        <f>IFERROR(__xludf.DUMMYFUNCTION("""COMPUTED_VALUE"""),"XMas Santa Rally")</f>
        <v>XMas Santa Rally</v>
      </c>
    </row>
    <row r="13376">
      <c r="A13376" s="4" t="str">
        <f>IFERROR(__xludf.DUMMYFUNCTION("""COMPUTED_VALUE"""),"xmatic")</f>
        <v>xmatic</v>
      </c>
      <c r="B13376" s="4" t="str">
        <f>IFERROR(__xludf.DUMMYFUNCTION("""COMPUTED_VALUE"""),"xmatic")</f>
        <v>xmatic</v>
      </c>
      <c r="C13376" s="4" t="str">
        <f>IFERROR(__xludf.DUMMYFUNCTION("""COMPUTED_VALUE"""),"xMATIC")</f>
        <v>xMATIC</v>
      </c>
    </row>
    <row r="13377">
      <c r="A13377" s="4" t="str">
        <f>IFERROR(__xludf.DUMMYFUNCTION("""COMPUTED_VALUE"""),"xmax")</f>
        <v>xmax</v>
      </c>
      <c r="B13377" s="4" t="str">
        <f>IFERROR(__xludf.DUMMYFUNCTION("""COMPUTED_VALUE"""),"xmx")</f>
        <v>xmx</v>
      </c>
      <c r="C13377" s="4" t="str">
        <f>IFERROR(__xludf.DUMMYFUNCTION("""COMPUTED_VALUE"""),"XMax")</f>
        <v>XMax</v>
      </c>
    </row>
    <row r="13378">
      <c r="A13378" s="4" t="str">
        <f>IFERROR(__xludf.DUMMYFUNCTION("""COMPUTED_VALUE"""),"x-metapol")</f>
        <v>x-metapol</v>
      </c>
      <c r="B13378" s="4" t="str">
        <f>IFERROR(__xludf.DUMMYFUNCTION("""COMPUTED_VALUE"""),"xmp")</f>
        <v>xmp</v>
      </c>
      <c r="C13378" s="4" t="str">
        <f>IFERROR(__xludf.DUMMYFUNCTION("""COMPUTED_VALUE"""),"X-MetaPol")</f>
        <v>X-MetaPol</v>
      </c>
    </row>
    <row r="13379">
      <c r="A13379" s="4" t="str">
        <f>IFERROR(__xludf.DUMMYFUNCTION("""COMPUTED_VALUE"""),"xmon")</f>
        <v>xmon</v>
      </c>
      <c r="B13379" s="4" t="str">
        <f>IFERROR(__xludf.DUMMYFUNCTION("""COMPUTED_VALUE"""),"xmon")</f>
        <v>xmon</v>
      </c>
      <c r="C13379" s="4" t="str">
        <f>IFERROR(__xludf.DUMMYFUNCTION("""COMPUTED_VALUE"""),"XMON")</f>
        <v>XMON</v>
      </c>
    </row>
    <row r="13380">
      <c r="A13380" s="4" t="str">
        <f>IFERROR(__xludf.DUMMYFUNCTION("""COMPUTED_VALUE"""),"xmpwr_astrovault")</f>
        <v>xmpwr_astrovault</v>
      </c>
      <c r="B13380" s="4" t="str">
        <f>IFERROR(__xludf.DUMMYFUNCTION("""COMPUTED_VALUE"""),"xmpwr")</f>
        <v>xmpwr</v>
      </c>
      <c r="C13380" s="4" t="str">
        <f>IFERROR(__xludf.DUMMYFUNCTION("""COMPUTED_VALUE"""),"xMPWR_Astrovault")</f>
        <v>xMPWR_Astrovault</v>
      </c>
    </row>
    <row r="13381">
      <c r="A13381" s="4" t="str">
        <f>IFERROR(__xludf.DUMMYFUNCTION("""COMPUTED_VALUE"""),"xnet-mobile")</f>
        <v>xnet-mobile</v>
      </c>
      <c r="B13381" s="4" t="str">
        <f>IFERROR(__xludf.DUMMYFUNCTION("""COMPUTED_VALUE"""),"xnet")</f>
        <v>xnet</v>
      </c>
      <c r="C13381" s="4" t="str">
        <f>IFERROR(__xludf.DUMMYFUNCTION("""COMPUTED_VALUE"""),"XNET Mobile")</f>
        <v>XNET Mobile</v>
      </c>
    </row>
    <row r="13382">
      <c r="A13382" s="4" t="str">
        <f>IFERROR(__xludf.DUMMYFUNCTION("""COMPUTED_VALUE"""),"xnf")</f>
        <v>xnf</v>
      </c>
      <c r="B13382" s="4" t="str">
        <f>IFERROR(__xludf.DUMMYFUNCTION("""COMPUTED_VALUE"""),"xnf")</f>
        <v>xnf</v>
      </c>
      <c r="C13382" s="4" t="str">
        <f>IFERROR(__xludf.DUMMYFUNCTION("""COMPUTED_VALUE"""),"XNF")</f>
        <v>XNF</v>
      </c>
    </row>
    <row r="13383">
      <c r="A13383" s="4" t="str">
        <f>IFERROR(__xludf.DUMMYFUNCTION("""COMPUTED_VALUE"""),"xnft")</f>
        <v>xnft</v>
      </c>
      <c r="B13383" s="4" t="str">
        <f>IFERROR(__xludf.DUMMYFUNCTION("""COMPUTED_VALUE"""),"xnft")</f>
        <v>xnft</v>
      </c>
      <c r="C13383" s="4" t="str">
        <f>IFERROR(__xludf.DUMMYFUNCTION("""COMPUTED_VALUE"""),"xNFT Protocol")</f>
        <v>xNFT Protocol</v>
      </c>
    </row>
    <row r="13384">
      <c r="A13384" s="4" t="str">
        <f>IFERROR(__xludf.DUMMYFUNCTION("""COMPUTED_VALUE"""),"xninja-tech-token")</f>
        <v>xninja-tech-token</v>
      </c>
      <c r="B13384" s="4" t="str">
        <f>IFERROR(__xludf.DUMMYFUNCTION("""COMPUTED_VALUE"""),"xnj")</f>
        <v>xnj</v>
      </c>
      <c r="C13384" s="4" t="str">
        <f>IFERROR(__xludf.DUMMYFUNCTION("""COMPUTED_VALUE"""),"xNinja.Tech Token")</f>
        <v>xNinja.Tech Token</v>
      </c>
    </row>
    <row r="13385">
      <c r="A13385" s="4" t="str">
        <f>IFERROR(__xludf.DUMMYFUNCTION("""COMPUTED_VALUE"""),"xnova")</f>
        <v>xnova</v>
      </c>
      <c r="B13385" s="4" t="str">
        <f>IFERROR(__xludf.DUMMYFUNCTION("""COMPUTED_VALUE"""),"$xnova")</f>
        <v>$xnova</v>
      </c>
      <c r="C13385" s="4" t="str">
        <f>IFERROR(__xludf.DUMMYFUNCTION("""COMPUTED_VALUE"""),"XNOVA")</f>
        <v>XNOVA</v>
      </c>
    </row>
    <row r="13386">
      <c r="A13386" s="4" t="str">
        <f>IFERROR(__xludf.DUMMYFUNCTION("""COMPUTED_VALUE"""),"xodex")</f>
        <v>xodex</v>
      </c>
      <c r="B13386" s="4" t="str">
        <f>IFERROR(__xludf.DUMMYFUNCTION("""COMPUTED_VALUE"""),"xodex")</f>
        <v>xodex</v>
      </c>
      <c r="C13386" s="4" t="str">
        <f>IFERROR(__xludf.DUMMYFUNCTION("""COMPUTED_VALUE"""),"Xodex")</f>
        <v>Xodex</v>
      </c>
    </row>
    <row r="13387">
      <c r="A13387" s="4" t="str">
        <f>IFERROR(__xludf.DUMMYFUNCTION("""COMPUTED_VALUE"""),"xolo-2")</f>
        <v>xolo-2</v>
      </c>
      <c r="B13387" s="4" t="str">
        <f>IFERROR(__xludf.DUMMYFUNCTION("""COMPUTED_VALUE"""),"xolo")</f>
        <v>xolo</v>
      </c>
      <c r="C13387" s="4" t="str">
        <f>IFERROR(__xludf.DUMMYFUNCTION("""COMPUTED_VALUE"""),"Xolo")</f>
        <v>Xolo</v>
      </c>
    </row>
    <row r="13388">
      <c r="A13388" s="4" t="str">
        <f>IFERROR(__xludf.DUMMYFUNCTION("""COMPUTED_VALUE"""),"xover")</f>
        <v>xover</v>
      </c>
      <c r="B13388" s="4" t="str">
        <f>IFERROR(__xludf.DUMMYFUNCTION("""COMPUTED_VALUE"""),"xvr")</f>
        <v>xvr</v>
      </c>
      <c r="C13388" s="4" t="str">
        <f>IFERROR(__xludf.DUMMYFUNCTION("""COMPUTED_VALUE"""),"Xover")</f>
        <v>Xover</v>
      </c>
    </row>
    <row r="13389">
      <c r="A13389" s="4" t="str">
        <f>IFERROR(__xludf.DUMMYFUNCTION("""COMPUTED_VALUE"""),"xox-labs")</f>
        <v>xox-labs</v>
      </c>
      <c r="B13389" s="4" t="str">
        <f>IFERROR(__xludf.DUMMYFUNCTION("""COMPUTED_VALUE"""),"xox")</f>
        <v>xox</v>
      </c>
      <c r="C13389" s="4" t="str">
        <f>IFERROR(__xludf.DUMMYFUNCTION("""COMPUTED_VALUE"""),"XOX Labs")</f>
        <v>XOX Labs</v>
      </c>
    </row>
    <row r="13390">
      <c r="A13390" s="4" t="str">
        <f>IFERROR(__xludf.DUMMYFUNCTION("""COMPUTED_VALUE"""),"xp")</f>
        <v>xp</v>
      </c>
      <c r="B13390" s="4" t="str">
        <f>IFERROR(__xludf.DUMMYFUNCTION("""COMPUTED_VALUE"""),"xp")</f>
        <v>xp</v>
      </c>
      <c r="C13390" s="4" t="str">
        <f>IFERROR(__xludf.DUMMYFUNCTION("""COMPUTED_VALUE"""),"XP")</f>
        <v>XP</v>
      </c>
    </row>
    <row r="13391">
      <c r="A13391" s="4" t="str">
        <f>IFERROR(__xludf.DUMMYFUNCTION("""COMPUTED_VALUE"""),"xp-2")</f>
        <v>xp-2</v>
      </c>
      <c r="B13391" s="4" t="str">
        <f>IFERROR(__xludf.DUMMYFUNCTION("""COMPUTED_VALUE"""),"t3xp")</f>
        <v>t3xp</v>
      </c>
      <c r="C13391" s="4" t="str">
        <f>IFERROR(__xludf.DUMMYFUNCTION("""COMPUTED_VALUE"""),"XP")</f>
        <v>XP</v>
      </c>
    </row>
    <row r="13392">
      <c r="A13392" s="4" t="str">
        <f>IFERROR(__xludf.DUMMYFUNCTION("""COMPUTED_VALUE"""),"xpad-pro")</f>
        <v>xpad-pro</v>
      </c>
      <c r="B13392" s="4" t="str">
        <f>IFERROR(__xludf.DUMMYFUNCTION("""COMPUTED_VALUE"""),"xpp")</f>
        <v>xpp</v>
      </c>
      <c r="C13392" s="4" t="str">
        <f>IFERROR(__xludf.DUMMYFUNCTION("""COMPUTED_VALUE"""),"Xpad.pro")</f>
        <v>Xpad.pro</v>
      </c>
    </row>
    <row r="13393">
      <c r="A13393" s="4" t="str">
        <f>IFERROR(__xludf.DUMMYFUNCTION("""COMPUTED_VALUE"""),"xpansion-game")</f>
        <v>xpansion-game</v>
      </c>
      <c r="B13393" s="4" t="str">
        <f>IFERROR(__xludf.DUMMYFUNCTION("""COMPUTED_VALUE"""),"xps")</f>
        <v>xps</v>
      </c>
      <c r="C13393" s="4" t="str">
        <f>IFERROR(__xludf.DUMMYFUNCTION("""COMPUTED_VALUE"""),"Xpansion Game")</f>
        <v>Xpansion Game</v>
      </c>
    </row>
    <row r="13394">
      <c r="A13394" s="4" t="str">
        <f>IFERROR(__xludf.DUMMYFUNCTION("""COMPUTED_VALUE"""),"xpaypro-tech")</f>
        <v>xpaypro-tech</v>
      </c>
      <c r="B13394" s="4" t="str">
        <f>IFERROR(__xludf.DUMMYFUNCTION("""COMPUTED_VALUE"""),"xppt")</f>
        <v>xppt</v>
      </c>
      <c r="C13394" s="4" t="str">
        <f>IFERROR(__xludf.DUMMYFUNCTION("""COMPUTED_VALUE"""),"XPayPro.Tech")</f>
        <v>XPayPro.Tech</v>
      </c>
    </row>
    <row r="13395">
      <c r="A13395" s="4" t="str">
        <f>IFERROR(__xludf.DUMMYFUNCTION("""COMPUTED_VALUE"""),"xpendium")</f>
        <v>xpendium</v>
      </c>
      <c r="B13395" s="4" t="str">
        <f>IFERROR(__xludf.DUMMYFUNCTION("""COMPUTED_VALUE"""),"xpnd")</f>
        <v>xpnd</v>
      </c>
      <c r="C13395" s="4" t="str">
        <f>IFERROR(__xludf.DUMMYFUNCTION("""COMPUTED_VALUE"""),"Xpendium")</f>
        <v>Xpendium</v>
      </c>
    </row>
    <row r="13396">
      <c r="A13396" s="4" t="str">
        <f>IFERROR(__xludf.DUMMYFUNCTION("""COMPUTED_VALUE"""),"xpense-2")</f>
        <v>xpense-2</v>
      </c>
      <c r="B13396" s="4" t="str">
        <f>IFERROR(__xludf.DUMMYFUNCTION("""COMPUTED_VALUE"""),"xpe")</f>
        <v>xpe</v>
      </c>
      <c r="C13396" s="4" t="str">
        <f>IFERROR(__xludf.DUMMYFUNCTION("""COMPUTED_VALUE"""),"Xpense")</f>
        <v>Xpense</v>
      </c>
    </row>
    <row r="13397">
      <c r="A13397" s="4" t="str">
        <f>IFERROR(__xludf.DUMMYFUNCTION("""COMPUTED_VALUE"""),"x-pepe")</f>
        <v>x-pepe</v>
      </c>
      <c r="B13397" s="4" t="str">
        <f>IFERROR(__xludf.DUMMYFUNCTION("""COMPUTED_VALUE"""),"xpep")</f>
        <v>xpep</v>
      </c>
      <c r="C13397" s="4" t="str">
        <f>IFERROR(__xludf.DUMMYFUNCTION("""COMPUTED_VALUE"""),"X-Pepe")</f>
        <v>X-Pepe</v>
      </c>
    </row>
    <row r="13398">
      <c r="A13398" s="4" t="str">
        <f>IFERROR(__xludf.DUMMYFUNCTION("""COMPUTED_VALUE"""),"xperp")</f>
        <v>xperp</v>
      </c>
      <c r="B13398" s="4" t="str">
        <f>IFERROR(__xludf.DUMMYFUNCTION("""COMPUTED_VALUE"""),"xperp")</f>
        <v>xperp</v>
      </c>
      <c r="C13398" s="4" t="str">
        <f>IFERROR(__xludf.DUMMYFUNCTION("""COMPUTED_VALUE"""),"xperp")</f>
        <v>xperp</v>
      </c>
    </row>
    <row r="13399">
      <c r="A13399" s="4" t="str">
        <f>IFERROR(__xludf.DUMMYFUNCTION("""COMPUTED_VALUE"""),"xpet-tech")</f>
        <v>xpet-tech</v>
      </c>
      <c r="B13399" s="4" t="str">
        <f>IFERROR(__xludf.DUMMYFUNCTION("""COMPUTED_VALUE"""),"xpet")</f>
        <v>xpet</v>
      </c>
      <c r="C13399" s="4" t="str">
        <f>IFERROR(__xludf.DUMMYFUNCTION("""COMPUTED_VALUE"""),"xPet.tech")</f>
        <v>xPet.tech</v>
      </c>
    </row>
    <row r="13400">
      <c r="A13400" s="4" t="str">
        <f>IFERROR(__xludf.DUMMYFUNCTION("""COMPUTED_VALUE"""),"xpet-tech-bpet")</f>
        <v>xpet-tech-bpet</v>
      </c>
      <c r="B13400" s="4" t="str">
        <f>IFERROR(__xludf.DUMMYFUNCTION("""COMPUTED_VALUE"""),"bpet")</f>
        <v>bpet</v>
      </c>
      <c r="C13400" s="4" t="str">
        <f>IFERROR(__xludf.DUMMYFUNCTION("""COMPUTED_VALUE"""),"xPet.tech BPET")</f>
        <v>xPet.tech BPET</v>
      </c>
    </row>
    <row r="13401">
      <c r="A13401" s="4" t="str">
        <f>IFERROR(__xludf.DUMMYFUNCTION("""COMPUTED_VALUE"""),"xpla")</f>
        <v>xpla</v>
      </c>
      <c r="B13401" s="4" t="str">
        <f>IFERROR(__xludf.DUMMYFUNCTION("""COMPUTED_VALUE"""),"xpla")</f>
        <v>xpla</v>
      </c>
      <c r="C13401" s="4" t="str">
        <f>IFERROR(__xludf.DUMMYFUNCTION("""COMPUTED_VALUE"""),"XPLA")</f>
        <v>XPLA</v>
      </c>
    </row>
    <row r="13402">
      <c r="A13402" s="4" t="str">
        <f>IFERROR(__xludf.DUMMYFUNCTION("""COMPUTED_VALUE"""),"xplq_astrovault")</f>
        <v>xplq_astrovault</v>
      </c>
      <c r="B13402" s="4" t="str">
        <f>IFERROR(__xludf.DUMMYFUNCTION("""COMPUTED_VALUE"""),"xplq")</f>
        <v>xplq</v>
      </c>
      <c r="C13402" s="4" t="str">
        <f>IFERROR(__xludf.DUMMYFUNCTION("""COMPUTED_VALUE"""),"xPLQ_Astrovault")</f>
        <v>xPLQ_Astrovault</v>
      </c>
    </row>
    <row r="13403">
      <c r="A13403" s="4" t="str">
        <f>IFERROR(__xludf.DUMMYFUNCTION("""COMPUTED_VALUE"""),"xplus-ai")</f>
        <v>xplus-ai</v>
      </c>
      <c r="B13403" s="4" t="str">
        <f>IFERROR(__xludf.DUMMYFUNCTION("""COMPUTED_VALUE"""),"xpai")</f>
        <v>xpai</v>
      </c>
      <c r="C13403" s="4" t="str">
        <f>IFERROR(__xludf.DUMMYFUNCTION("""COMPUTED_VALUE"""),"XPlus AI")</f>
        <v>XPlus AI</v>
      </c>
    </row>
    <row r="13404">
      <c r="A13404" s="4" t="str">
        <f>IFERROR(__xludf.DUMMYFUNCTION("""COMPUTED_VALUE"""),"xp-network")</f>
        <v>xp-network</v>
      </c>
      <c r="B13404" s="4" t="str">
        <f>IFERROR(__xludf.DUMMYFUNCTION("""COMPUTED_VALUE"""),"xpnet")</f>
        <v>xpnet</v>
      </c>
      <c r="C13404" s="4" t="str">
        <f>IFERROR(__xludf.DUMMYFUNCTION("""COMPUTED_VALUE"""),"XP Network")</f>
        <v>XP Network</v>
      </c>
    </row>
    <row r="13405">
      <c r="A13405" s="4" t="str">
        <f>IFERROR(__xludf.DUMMYFUNCTION("""COMPUTED_VALUE"""),"xpolar")</f>
        <v>xpolar</v>
      </c>
      <c r="B13405" s="4" t="str">
        <f>IFERROR(__xludf.DUMMYFUNCTION("""COMPUTED_VALUE"""),"xpolar")</f>
        <v>xpolar</v>
      </c>
      <c r="C13405" s="4" t="str">
        <f>IFERROR(__xludf.DUMMYFUNCTION("""COMPUTED_VALUE"""),"XPOLAR")</f>
        <v>XPOLAR</v>
      </c>
    </row>
    <row r="13406">
      <c r="A13406" s="4" t="str">
        <f>IFERROR(__xludf.DUMMYFUNCTION("""COMPUTED_VALUE"""),"xpowermine-com-apow")</f>
        <v>xpowermine-com-apow</v>
      </c>
      <c r="B13406" s="4" t="str">
        <f>IFERROR(__xludf.DUMMYFUNCTION("""COMPUTED_VALUE"""),"apow")</f>
        <v>apow</v>
      </c>
      <c r="C13406" s="4" t="str">
        <f>IFERROR(__xludf.DUMMYFUNCTION("""COMPUTED_VALUE"""),"XPowermine.com APOW")</f>
        <v>XPowermine.com APOW</v>
      </c>
    </row>
    <row r="13407">
      <c r="A13407" s="4" t="str">
        <f>IFERROR(__xludf.DUMMYFUNCTION("""COMPUTED_VALUE"""),"xpowermine-com-xpow")</f>
        <v>xpowermine-com-xpow</v>
      </c>
      <c r="B13407" s="4" t="str">
        <f>IFERROR(__xludf.DUMMYFUNCTION("""COMPUTED_VALUE"""),"xpow")</f>
        <v>xpow</v>
      </c>
      <c r="C13407" s="4" t="str">
        <f>IFERROR(__xludf.DUMMYFUNCTION("""COMPUTED_VALUE"""),"XPowermine.com XPOW")</f>
        <v>XPowermine.com XPOW</v>
      </c>
    </row>
    <row r="13408">
      <c r="A13408" s="4" t="str">
        <f>IFERROR(__xludf.DUMMYFUNCTION("""COMPUTED_VALUE"""),"x-project-erc")</f>
        <v>x-project-erc</v>
      </c>
      <c r="B13408" s="4" t="str">
        <f>IFERROR(__xludf.DUMMYFUNCTION("""COMPUTED_VALUE"""),"xers")</f>
        <v>xers</v>
      </c>
      <c r="C13408" s="4" t="str">
        <f>IFERROR(__xludf.DUMMYFUNCTION("""COMPUTED_VALUE"""),"X Project ERC")</f>
        <v>X Project ERC</v>
      </c>
    </row>
    <row r="13409">
      <c r="A13409" s="4" t="str">
        <f>IFERROR(__xludf.DUMMYFUNCTION("""COMPUTED_VALUE"""),"x-protocol")</f>
        <v>x-protocol</v>
      </c>
      <c r="B13409" s="4" t="str">
        <f>IFERROR(__xludf.DUMMYFUNCTION("""COMPUTED_VALUE"""),"pot")</f>
        <v>pot</v>
      </c>
      <c r="C13409" s="4" t="str">
        <f>IFERROR(__xludf.DUMMYFUNCTION("""COMPUTED_VALUE"""),"X Protocol")</f>
        <v>X Protocol</v>
      </c>
    </row>
    <row r="13410">
      <c r="A13410" s="4" t="str">
        <f>IFERROR(__xludf.DUMMYFUNCTION("""COMPUTED_VALUE"""),"xptp")</f>
        <v>xptp</v>
      </c>
      <c r="B13410" s="4" t="str">
        <f>IFERROR(__xludf.DUMMYFUNCTION("""COMPUTED_VALUE"""),"xptp")</f>
        <v>xptp</v>
      </c>
      <c r="C13410" s="4" t="str">
        <f>IFERROR(__xludf.DUMMYFUNCTION("""COMPUTED_VALUE"""),"xPTP")</f>
        <v>xPTP</v>
      </c>
    </row>
    <row r="13411">
      <c r="A13411" s="4" t="str">
        <f>IFERROR(__xludf.DUMMYFUNCTION("""COMPUTED_VALUE"""),"xquok")</f>
        <v>xquok</v>
      </c>
      <c r="B13411" s="4" t="str">
        <f>IFERROR(__xludf.DUMMYFUNCTION("""COMPUTED_VALUE"""),"xquok")</f>
        <v>xquok</v>
      </c>
      <c r="C13411" s="4" t="str">
        <f>IFERROR(__xludf.DUMMYFUNCTION("""COMPUTED_VALUE"""),"XQUOK")</f>
        <v>XQUOK</v>
      </c>
    </row>
    <row r="13412">
      <c r="A13412" s="4" t="str">
        <f>IFERROR(__xludf.DUMMYFUNCTION("""COMPUTED_VALUE"""),"xqwoyn_astrovault")</f>
        <v>xqwoyn_astrovault</v>
      </c>
      <c r="B13412" s="4" t="str">
        <f>IFERROR(__xludf.DUMMYFUNCTION("""COMPUTED_VALUE"""),"xqwoyn")</f>
        <v>xqwoyn</v>
      </c>
      <c r="C13412" s="4" t="str">
        <f>IFERROR(__xludf.DUMMYFUNCTION("""COMPUTED_VALUE"""),"xQWOYN_Astrovault")</f>
        <v>xQWOYN_Astrovault</v>
      </c>
    </row>
    <row r="13413">
      <c r="A13413" s="4" t="str">
        <f>IFERROR(__xludf.DUMMYFUNCTION("""COMPUTED_VALUE"""),"xraid")</f>
        <v>xraid</v>
      </c>
      <c r="B13413" s="4" t="str">
        <f>IFERROR(__xludf.DUMMYFUNCTION("""COMPUTED_VALUE"""),"xraid")</f>
        <v>xraid</v>
      </c>
      <c r="C13413" s="4" t="str">
        <f>IFERROR(__xludf.DUMMYFUNCTION("""COMPUTED_VALUE"""),"XRAID")</f>
        <v>XRAID</v>
      </c>
    </row>
    <row r="13414">
      <c r="A13414" s="4" t="str">
        <f>IFERROR(__xludf.DUMMYFUNCTION("""COMPUTED_VALUE"""),"x-ratio-ai")</f>
        <v>x-ratio-ai</v>
      </c>
      <c r="B13414" s="4" t="str">
        <f>IFERROR(__xludf.DUMMYFUNCTION("""COMPUTED_VALUE"""),"xrai")</f>
        <v>xrai</v>
      </c>
      <c r="C13414" s="4" t="str">
        <f>IFERROR(__xludf.DUMMYFUNCTION("""COMPUTED_VALUE"""),"X-Ratio AI")</f>
        <v>X-Ratio AI</v>
      </c>
    </row>
    <row r="13415">
      <c r="A13415" s="4" t="str">
        <f>IFERROR(__xludf.DUMMYFUNCTION("""COMPUTED_VALUE"""),"xrdoge")</f>
        <v>xrdoge</v>
      </c>
      <c r="B13415" s="4" t="str">
        <f>IFERROR(__xludf.DUMMYFUNCTION("""COMPUTED_VALUE"""),"xrdoge")</f>
        <v>xrdoge</v>
      </c>
      <c r="C13415" s="4" t="str">
        <f>IFERROR(__xludf.DUMMYFUNCTION("""COMPUTED_VALUE"""),"XRdoge")</f>
        <v>XRdoge</v>
      </c>
    </row>
    <row r="13416">
      <c r="A13416" s="4" t="str">
        <f>IFERROR(__xludf.DUMMYFUNCTION("""COMPUTED_VALUE"""),"xreators")</f>
        <v>xreators</v>
      </c>
      <c r="B13416" s="4" t="str">
        <f>IFERROR(__xludf.DUMMYFUNCTION("""COMPUTED_VALUE"""),"ort")</f>
        <v>ort</v>
      </c>
      <c r="C13416" s="4" t="str">
        <f>IFERROR(__xludf.DUMMYFUNCTION("""COMPUTED_VALUE"""),"XREATORS")</f>
        <v>XREATORS</v>
      </c>
    </row>
    <row r="13417">
      <c r="A13417" s="4" t="str">
        <f>IFERROR(__xludf.DUMMYFUNCTION("""COMPUTED_VALUE"""),"xrender")</f>
        <v>xrender</v>
      </c>
      <c r="B13417" s="4" t="str">
        <f>IFERROR(__xludf.DUMMYFUNCTION("""COMPUTED_VALUE"""),"xrai")</f>
        <v>xrai</v>
      </c>
      <c r="C13417" s="4" t="str">
        <f>IFERROR(__xludf.DUMMYFUNCTION("""COMPUTED_VALUE"""),"XRender")</f>
        <v>XRender</v>
      </c>
    </row>
    <row r="13418">
      <c r="A13418" s="4" t="str">
        <f>IFERROR(__xludf.DUMMYFUNCTION("""COMPUTED_VALUE"""),"xrgb")</f>
        <v>xrgb</v>
      </c>
      <c r="B13418" s="4" t="str">
        <f>IFERROR(__xludf.DUMMYFUNCTION("""COMPUTED_VALUE"""),"xrgb")</f>
        <v>xrgb</v>
      </c>
      <c r="C13418" s="4" t="str">
        <f>IFERROR(__xludf.DUMMYFUNCTION("""COMPUTED_VALUE"""),"XRGB")</f>
        <v>XRGB</v>
      </c>
    </row>
    <row r="13419">
      <c r="A13419" s="4" t="str">
        <f>IFERROR(__xludf.DUMMYFUNCTION("""COMPUTED_VALUE"""),"x-rise")</f>
        <v>x-rise</v>
      </c>
      <c r="B13419" s="4" t="str">
        <f>IFERROR(__xludf.DUMMYFUNCTION("""COMPUTED_VALUE"""),"xrise")</f>
        <v>xrise</v>
      </c>
      <c r="C13419" s="4" t="str">
        <f>IFERROR(__xludf.DUMMYFUNCTION("""COMPUTED_VALUE"""),"X Rise")</f>
        <v>X Rise</v>
      </c>
    </row>
    <row r="13420">
      <c r="A13420" s="4" t="str">
        <f>IFERROR(__xludf.DUMMYFUNCTION("""COMPUTED_VALUE"""),"xrius")</f>
        <v>xrius</v>
      </c>
      <c r="B13420" s="4" t="str">
        <f>IFERROR(__xludf.DUMMYFUNCTION("""COMPUTED_VALUE"""),"xrs")</f>
        <v>xrs</v>
      </c>
      <c r="C13420" s="4" t="str">
        <f>IFERROR(__xludf.DUMMYFUNCTION("""COMPUTED_VALUE"""),"Xrius")</f>
        <v>Xrius</v>
      </c>
    </row>
    <row r="13421">
      <c r="A13421" s="4" t="str">
        <f>IFERROR(__xludf.DUMMYFUNCTION("""COMPUTED_VALUE"""),"xrow")</f>
        <v>xrow</v>
      </c>
      <c r="B13421" s="4" t="str">
        <f>IFERROR(__xludf.DUMMYFUNCTION("""COMPUTED_VALUE"""),"xrow")</f>
        <v>xrow</v>
      </c>
      <c r="C13421" s="4" t="str">
        <f>IFERROR(__xludf.DUMMYFUNCTION("""COMPUTED_VALUE"""),"XROW")</f>
        <v>XROW</v>
      </c>
    </row>
    <row r="13422">
      <c r="A13422" s="4" t="str">
        <f>IFERROR(__xludf.DUMMYFUNCTION("""COMPUTED_VALUE"""),"xrp20")</f>
        <v>xrp20</v>
      </c>
      <c r="B13422" s="4" t="str">
        <f>IFERROR(__xludf.DUMMYFUNCTION("""COMPUTED_VALUE"""),"xrp20")</f>
        <v>xrp20</v>
      </c>
      <c r="C13422" s="4" t="str">
        <f>IFERROR(__xludf.DUMMYFUNCTION("""COMPUTED_VALUE"""),"XRP20")</f>
        <v>XRP20</v>
      </c>
    </row>
    <row r="13423">
      <c r="A13423" s="4" t="str">
        <f>IFERROR(__xludf.DUMMYFUNCTION("""COMPUTED_VALUE"""),"xrpaynet")</f>
        <v>xrpaynet</v>
      </c>
      <c r="B13423" s="4" t="str">
        <f>IFERROR(__xludf.DUMMYFUNCTION("""COMPUTED_VALUE"""),"xrpaynet")</f>
        <v>xrpaynet</v>
      </c>
      <c r="C13423" s="4" t="str">
        <f>IFERROR(__xludf.DUMMYFUNCTION("""COMPUTED_VALUE"""),"XRPayNet")</f>
        <v>XRPayNet</v>
      </c>
    </row>
    <row r="13424">
      <c r="A13424" s="4" t="str">
        <f>IFERROR(__xludf.DUMMYFUNCTION("""COMPUTED_VALUE"""),"xrpcashone")</f>
        <v>xrpcashone</v>
      </c>
      <c r="B13424" s="4" t="str">
        <f>IFERROR(__xludf.DUMMYFUNCTION("""COMPUTED_VALUE"""),"xce")</f>
        <v>xce</v>
      </c>
      <c r="C13424" s="4" t="str">
        <f>IFERROR(__xludf.DUMMYFUNCTION("""COMPUTED_VALUE"""),"Xrpcashone")</f>
        <v>Xrpcashone</v>
      </c>
    </row>
    <row r="13425">
      <c r="A13425" s="4" t="str">
        <f>IFERROR(__xludf.DUMMYFUNCTION("""COMPUTED_VALUE"""),"xrp-classic-new")</f>
        <v>xrp-classic-new</v>
      </c>
      <c r="B13425" s="4" t="str">
        <f>IFERROR(__xludf.DUMMYFUNCTION("""COMPUTED_VALUE"""),"xrpc")</f>
        <v>xrpc</v>
      </c>
      <c r="C13425" s="4" t="str">
        <f>IFERROR(__xludf.DUMMYFUNCTION("""COMPUTED_VALUE"""),"XRP Classic")</f>
        <v>XRP Classic</v>
      </c>
    </row>
    <row r="13426">
      <c r="A13426" s="4" t="str">
        <f>IFERROR(__xludf.DUMMYFUNCTION("""COMPUTED_VALUE"""),"xrp-healthcare")</f>
        <v>xrp-healthcare</v>
      </c>
      <c r="B13426" s="4" t="str">
        <f>IFERROR(__xludf.DUMMYFUNCTION("""COMPUTED_VALUE"""),"xrph")</f>
        <v>xrph</v>
      </c>
      <c r="C13426" s="4" t="str">
        <f>IFERROR(__xludf.DUMMYFUNCTION("""COMPUTED_VALUE"""),"XRP Healthcare")</f>
        <v>XRP Healthcare</v>
      </c>
    </row>
    <row r="13427">
      <c r="A13427" s="4" t="str">
        <f>IFERROR(__xludf.DUMMYFUNCTION("""COMPUTED_VALUE"""),"xrps")</f>
        <v>xrps</v>
      </c>
      <c r="B13427" s="4" t="str">
        <f>IFERROR(__xludf.DUMMYFUNCTION("""COMPUTED_VALUE"""),"xrps")</f>
        <v>xrps</v>
      </c>
      <c r="C13427" s="4" t="str">
        <f>IFERROR(__xludf.DUMMYFUNCTION("""COMPUTED_VALUE"""),"XRPS")</f>
        <v>XRPS</v>
      </c>
    </row>
    <row r="13428">
      <c r="A13428" s="4" t="str">
        <f>IFERROR(__xludf.DUMMYFUNCTION("""COMPUTED_VALUE"""),"xrun")</f>
        <v>xrun</v>
      </c>
      <c r="B13428" s="4" t="str">
        <f>IFERROR(__xludf.DUMMYFUNCTION("""COMPUTED_VALUE"""),"xrun")</f>
        <v>xrun</v>
      </c>
      <c r="C13428" s="4" t="str">
        <f>IFERROR(__xludf.DUMMYFUNCTION("""COMPUTED_VALUE"""),"XRun")</f>
        <v>XRun</v>
      </c>
    </row>
    <row r="13429">
      <c r="A13429" s="4" t="str">
        <f>IFERROR(__xludf.DUMMYFUNCTION("""COMPUTED_VALUE"""),"xsauce")</f>
        <v>xsauce</v>
      </c>
      <c r="B13429" s="4" t="str">
        <f>IFERROR(__xludf.DUMMYFUNCTION("""COMPUTED_VALUE"""),"xsauce")</f>
        <v>xsauce</v>
      </c>
      <c r="C13429" s="4" t="str">
        <f>IFERROR(__xludf.DUMMYFUNCTION("""COMPUTED_VALUE"""),"xSAUCE")</f>
        <v>xSAUCE</v>
      </c>
    </row>
    <row r="13430">
      <c r="A13430" s="4" t="str">
        <f>IFERROR(__xludf.DUMMYFUNCTION("""COMPUTED_VALUE"""),"xsgd")</f>
        <v>xsgd</v>
      </c>
      <c r="B13430" s="4" t="str">
        <f>IFERROR(__xludf.DUMMYFUNCTION("""COMPUTED_VALUE"""),"xsgd")</f>
        <v>xsgd</v>
      </c>
      <c r="C13430" s="4" t="str">
        <f>IFERROR(__xludf.DUMMYFUNCTION("""COMPUTED_VALUE"""),"XSGD")</f>
        <v>XSGD</v>
      </c>
    </row>
    <row r="13431">
      <c r="A13431" s="4" t="str">
        <f>IFERROR(__xludf.DUMMYFUNCTION("""COMPUTED_VALUE"""),"xshib")</f>
        <v>xshib</v>
      </c>
      <c r="B13431" s="4" t="str">
        <f>IFERROR(__xludf.DUMMYFUNCTION("""COMPUTED_VALUE"""),"xshib")</f>
        <v>xshib</v>
      </c>
      <c r="C13431" s="4" t="str">
        <f>IFERROR(__xludf.DUMMYFUNCTION("""COMPUTED_VALUE"""),"XSHIB")</f>
        <v>XSHIB</v>
      </c>
    </row>
    <row r="13432">
      <c r="A13432" s="4" t="str">
        <f>IFERROR(__xludf.DUMMYFUNCTION("""COMPUTED_VALUE"""),"xsl-labs")</f>
        <v>xsl-labs</v>
      </c>
      <c r="B13432" s="4" t="str">
        <f>IFERROR(__xludf.DUMMYFUNCTION("""COMPUTED_VALUE"""),"syl")</f>
        <v>syl</v>
      </c>
      <c r="C13432" s="4" t="str">
        <f>IFERROR(__xludf.DUMMYFUNCTION("""COMPUTED_VALUE"""),"myDid")</f>
        <v>myDid</v>
      </c>
    </row>
    <row r="13433">
      <c r="A13433" s="4" t="str">
        <f>IFERROR(__xludf.DUMMYFUNCTION("""COMPUTED_VALUE"""),"xspace")</f>
        <v>xspace</v>
      </c>
      <c r="B13433" s="4" t="str">
        <f>IFERROR(__xludf.DUMMYFUNCTION("""COMPUTED_VALUE"""),"xsp")</f>
        <v>xsp</v>
      </c>
      <c r="C13433" s="4" t="str">
        <f>IFERROR(__xludf.DUMMYFUNCTION("""COMPUTED_VALUE"""),"XSPACE")</f>
        <v>XSPACE</v>
      </c>
    </row>
    <row r="13434">
      <c r="A13434" s="4" t="str">
        <f>IFERROR(__xludf.DUMMYFUNCTION("""COMPUTED_VALUE"""),"xspectar")</f>
        <v>xspectar</v>
      </c>
      <c r="B13434" s="4" t="str">
        <f>IFERROR(__xludf.DUMMYFUNCTION("""COMPUTED_VALUE"""),"xspectar")</f>
        <v>xspectar</v>
      </c>
      <c r="C13434" s="4" t="str">
        <f>IFERROR(__xludf.DUMMYFUNCTION("""COMPUTED_VALUE"""),"xSPECTAR")</f>
        <v>xSPECTAR</v>
      </c>
    </row>
    <row r="13435">
      <c r="A13435" s="4" t="str">
        <f>IFERROR(__xludf.DUMMYFUNCTION("""COMPUTED_VALUE"""),"xsushi")</f>
        <v>xsushi</v>
      </c>
      <c r="B13435" s="4" t="str">
        <f>IFERROR(__xludf.DUMMYFUNCTION("""COMPUTED_VALUE"""),"xsushi")</f>
        <v>xsushi</v>
      </c>
      <c r="C13435" s="4" t="str">
        <f>IFERROR(__xludf.DUMMYFUNCTION("""COMPUTED_VALUE"""),"xSUSHI")</f>
        <v>xSUSHI</v>
      </c>
    </row>
    <row r="13436">
      <c r="A13436" s="4" t="str">
        <f>IFERROR(__xludf.DUMMYFUNCTION("""COMPUTED_VALUE"""),"xswap-2")</f>
        <v>xswap-2</v>
      </c>
      <c r="B13436" s="4" t="str">
        <f>IFERROR(__xludf.DUMMYFUNCTION("""COMPUTED_VALUE"""),"xswap")</f>
        <v>xswap</v>
      </c>
      <c r="C13436" s="4" t="str">
        <f>IFERROR(__xludf.DUMMYFUNCTION("""COMPUTED_VALUE"""),"XSwap")</f>
        <v>XSwap</v>
      </c>
    </row>
    <row r="13437">
      <c r="A13437" s="4" t="str">
        <f>IFERROR(__xludf.DUMMYFUNCTION("""COMPUTED_VALUE"""),"xswap-protocol")</f>
        <v>xswap-protocol</v>
      </c>
      <c r="B13437" s="4" t="str">
        <f>IFERROR(__xludf.DUMMYFUNCTION("""COMPUTED_VALUE"""),"xsp")</f>
        <v>xsp</v>
      </c>
      <c r="C13437" s="4" t="str">
        <f>IFERROR(__xludf.DUMMYFUNCTION("""COMPUTED_VALUE"""),"XSwap Protocol")</f>
        <v>XSwap Protocol</v>
      </c>
    </row>
    <row r="13438">
      <c r="A13438" s="4" t="str">
        <f>IFERROR(__xludf.DUMMYFUNCTION("""COMPUTED_VALUE"""),"xswap-treasure")</f>
        <v>xswap-treasure</v>
      </c>
      <c r="B13438" s="4" t="str">
        <f>IFERROR(__xludf.DUMMYFUNCTION("""COMPUTED_VALUE"""),"xtt")</f>
        <v>xtt</v>
      </c>
      <c r="C13438" s="4" t="str">
        <f>IFERROR(__xludf.DUMMYFUNCTION("""COMPUTED_VALUE"""),"XSwap Treasure")</f>
        <v>XSwap Treasure</v>
      </c>
    </row>
    <row r="13439">
      <c r="A13439" s="4" t="str">
        <f>IFERROR(__xludf.DUMMYFUNCTION("""COMPUTED_VALUE"""),"xtblock-token")</f>
        <v>xtblock-token</v>
      </c>
      <c r="B13439" s="4" t="str">
        <f>IFERROR(__xludf.DUMMYFUNCTION("""COMPUTED_VALUE"""),"xtt-b20")</f>
        <v>xtt-b20</v>
      </c>
      <c r="C13439" s="4" t="str">
        <f>IFERROR(__xludf.DUMMYFUNCTION("""COMPUTED_VALUE"""),"XTblock")</f>
        <v>XTblock</v>
      </c>
    </row>
    <row r="13440">
      <c r="A13440" s="4" t="str">
        <f>IFERROR(__xludf.DUMMYFUNCTION("""COMPUTED_VALUE"""),"xtcom-token")</f>
        <v>xtcom-token</v>
      </c>
      <c r="B13440" s="4" t="str">
        <f>IFERROR(__xludf.DUMMYFUNCTION("""COMPUTED_VALUE"""),"xt")</f>
        <v>xt</v>
      </c>
      <c r="C13440" s="5" t="str">
        <f>IFERROR(__xludf.DUMMYFUNCTION("""COMPUTED_VALUE"""),"XT.com")</f>
        <v>XT.com</v>
      </c>
    </row>
    <row r="13441">
      <c r="A13441" s="4" t="str">
        <f>IFERROR(__xludf.DUMMYFUNCTION("""COMPUTED_VALUE"""),"xthebot")</f>
        <v>xthebot</v>
      </c>
      <c r="B13441" s="4" t="str">
        <f>IFERROR(__xludf.DUMMYFUNCTION("""COMPUTED_VALUE"""),"xtb")</f>
        <v>xtb</v>
      </c>
      <c r="C13441" s="4" t="str">
        <f>IFERROR(__xludf.DUMMYFUNCTION("""COMPUTED_VALUE"""),"XTheBot")</f>
        <v>XTheBot</v>
      </c>
    </row>
    <row r="13442">
      <c r="A13442" s="4" t="str">
        <f>IFERROR(__xludf.DUMMYFUNCTION("""COMPUTED_VALUE"""),"xtoken")</f>
        <v>xtoken</v>
      </c>
      <c r="B13442" s="4" t="str">
        <f>IFERROR(__xludf.DUMMYFUNCTION("""COMPUTED_VALUE"""),"xtk")</f>
        <v>xtk</v>
      </c>
      <c r="C13442" s="4" t="str">
        <f>IFERROR(__xludf.DUMMYFUNCTION("""COMPUTED_VALUE"""),"xToken")</f>
        <v>xToken</v>
      </c>
    </row>
    <row r="13443">
      <c r="A13443" s="4" t="str">
        <f>IFERROR(__xludf.DUMMYFUNCTION("""COMPUTED_VALUE"""),"xtoolsai")</f>
        <v>xtoolsai</v>
      </c>
      <c r="B13443" s="4" t="str">
        <f>IFERROR(__xludf.DUMMYFUNCTION("""COMPUTED_VALUE"""),"xtai")</f>
        <v>xtai</v>
      </c>
      <c r="C13443" s="4" t="str">
        <f>IFERROR(__xludf.DUMMYFUNCTION("""COMPUTED_VALUE"""),"XToolsAI")</f>
        <v>XToolsAI</v>
      </c>
    </row>
    <row r="13444">
      <c r="A13444" s="4" t="str">
        <f>IFERROR(__xludf.DUMMYFUNCTION("""COMPUTED_VALUE"""),"xtrabytes")</f>
        <v>xtrabytes</v>
      </c>
      <c r="B13444" s="4" t="str">
        <f>IFERROR(__xludf.DUMMYFUNCTION("""COMPUTED_VALUE"""),"xby")</f>
        <v>xby</v>
      </c>
      <c r="C13444" s="4" t="str">
        <f>IFERROR(__xludf.DUMMYFUNCTION("""COMPUTED_VALUE"""),"XTRABYTES")</f>
        <v>XTRABYTES</v>
      </c>
    </row>
    <row r="13445">
      <c r="A13445" s="4" t="str">
        <f>IFERROR(__xludf.DUMMYFUNCTION("""COMPUTED_VALUE"""),"xtrack-ai")</f>
        <v>xtrack-ai</v>
      </c>
      <c r="B13445" s="4" t="str">
        <f>IFERROR(__xludf.DUMMYFUNCTION("""COMPUTED_VALUE"""),"xtrack")</f>
        <v>xtrack</v>
      </c>
      <c r="C13445" s="4" t="str">
        <f>IFERROR(__xludf.DUMMYFUNCTION("""COMPUTED_VALUE"""),"Xtrack AI")</f>
        <v>Xtrack AI</v>
      </c>
    </row>
    <row r="13446">
      <c r="A13446" s="4" t="str">
        <f>IFERROR(__xludf.DUMMYFUNCTION("""COMPUTED_VALUE"""),"x-travel-space")</f>
        <v>x-travel-space</v>
      </c>
      <c r="B13446" s="4" t="str">
        <f>IFERROR(__xludf.DUMMYFUNCTION("""COMPUTED_VALUE"""),"xts")</f>
        <v>xts</v>
      </c>
      <c r="C13446" s="4" t="str">
        <f>IFERROR(__xludf.DUMMYFUNCTION("""COMPUTED_VALUE"""),"X-Travel Space")</f>
        <v>X-Travel Space</v>
      </c>
    </row>
    <row r="13447">
      <c r="A13447" s="4" t="str">
        <f>IFERROR(__xludf.DUMMYFUNCTION("""COMPUTED_VALUE"""),"xtremeverse")</f>
        <v>xtremeverse</v>
      </c>
      <c r="B13447" s="4" t="str">
        <f>IFERROR(__xludf.DUMMYFUNCTION("""COMPUTED_VALUE"""),"xtreme")</f>
        <v>xtreme</v>
      </c>
      <c r="C13447" s="4" t="str">
        <f>IFERROR(__xludf.DUMMYFUNCTION("""COMPUTED_VALUE"""),"Xtremeverse")</f>
        <v>Xtremeverse</v>
      </c>
    </row>
    <row r="13448">
      <c r="A13448" s="4" t="str">
        <f>IFERROR(__xludf.DUMMYFUNCTION("""COMPUTED_VALUE"""),"xtusd")</f>
        <v>xtusd</v>
      </c>
      <c r="B13448" s="4" t="str">
        <f>IFERROR(__xludf.DUMMYFUNCTION("""COMPUTED_VALUE"""),"xtusd")</f>
        <v>xtusd</v>
      </c>
      <c r="C13448" s="4" t="str">
        <f>IFERROR(__xludf.DUMMYFUNCTION("""COMPUTED_VALUE"""),"XT Stablecoin XTUSD")</f>
        <v>XT Stablecoin XTUSD</v>
      </c>
    </row>
    <row r="13449">
      <c r="A13449" s="4" t="str">
        <f>IFERROR(__xludf.DUMMYFUNCTION("""COMPUTED_VALUE"""),"xudo")</f>
        <v>xudo</v>
      </c>
      <c r="B13449" s="4" t="str">
        <f>IFERROR(__xludf.DUMMYFUNCTION("""COMPUTED_VALUE"""),"xudo")</f>
        <v>xudo</v>
      </c>
      <c r="C13449" s="4" t="str">
        <f>IFERROR(__xludf.DUMMYFUNCTION("""COMPUTED_VALUE"""),"Xudo")</f>
        <v>Xudo</v>
      </c>
    </row>
    <row r="13450">
      <c r="A13450" s="4" t="str">
        <f>IFERROR(__xludf.DUMMYFUNCTION("""COMPUTED_VALUE"""),"xusd")</f>
        <v>xusd</v>
      </c>
      <c r="B13450" s="4" t="str">
        <f>IFERROR(__xludf.DUMMYFUNCTION("""COMPUTED_VALUE"""),"xusd")</f>
        <v>xusd</v>
      </c>
      <c r="C13450" s="4" t="str">
        <f>IFERROR(__xludf.DUMMYFUNCTION("""COMPUTED_VALUE"""),"xUSD")</f>
        <v>xUSD</v>
      </c>
    </row>
    <row r="13451">
      <c r="A13451" s="4" t="str">
        <f>IFERROR(__xludf.DUMMYFUNCTION("""COMPUTED_VALUE"""),"xusd-babelfish")</f>
        <v>xusd-babelfish</v>
      </c>
      <c r="B13451" s="4" t="str">
        <f>IFERROR(__xludf.DUMMYFUNCTION("""COMPUTED_VALUE"""),"xusd")</f>
        <v>xusd</v>
      </c>
      <c r="C13451" s="4" t="str">
        <f>IFERROR(__xludf.DUMMYFUNCTION("""COMPUTED_VALUE"""),"XUSD (BabelFish)")</f>
        <v>XUSD (BabelFish)</v>
      </c>
    </row>
    <row r="13452">
      <c r="A13452" s="4" t="str">
        <f>IFERROR(__xludf.DUMMYFUNCTION("""COMPUTED_VALUE"""),"xv")</f>
        <v>xv</v>
      </c>
      <c r="B13452" s="4" t="str">
        <f>IFERROR(__xludf.DUMMYFUNCTION("""COMPUTED_VALUE"""),"xv")</f>
        <v>xv</v>
      </c>
      <c r="C13452" s="4" t="str">
        <f>IFERROR(__xludf.DUMMYFUNCTION("""COMPUTED_VALUE"""),"XV")</f>
        <v>XV</v>
      </c>
    </row>
    <row r="13453">
      <c r="A13453" s="4" t="str">
        <f>IFERROR(__xludf.DUMMYFUNCTION("""COMPUTED_VALUE"""),"xvdl_astrovault")</f>
        <v>xvdl_astrovault</v>
      </c>
      <c r="B13453" s="4" t="str">
        <f>IFERROR(__xludf.DUMMYFUNCTION("""COMPUTED_VALUE"""),"xvdl")</f>
        <v>xvdl</v>
      </c>
      <c r="C13453" s="4" t="str">
        <f>IFERROR(__xludf.DUMMYFUNCTION("""COMPUTED_VALUE"""),"xVDL_Astrovault")</f>
        <v>xVDL_Astrovault</v>
      </c>
    </row>
    <row r="13454">
      <c r="A13454" s="4" t="str">
        <f>IFERROR(__xludf.DUMMYFUNCTION("""COMPUTED_VALUE"""),"xwin-finance")</f>
        <v>xwin-finance</v>
      </c>
      <c r="B13454" s="4" t="str">
        <f>IFERROR(__xludf.DUMMYFUNCTION("""COMPUTED_VALUE"""),"xwin")</f>
        <v>xwin</v>
      </c>
      <c r="C13454" s="4" t="str">
        <f>IFERROR(__xludf.DUMMYFUNCTION("""COMPUTED_VALUE"""),"xWIN Finance")</f>
        <v>xWIN Finance</v>
      </c>
    </row>
    <row r="13455">
      <c r="A13455" s="4" t="str">
        <f>IFERROR(__xludf.DUMMYFUNCTION("""COMPUTED_VALUE"""),"x-world-games")</f>
        <v>x-world-games</v>
      </c>
      <c r="B13455" s="4" t="str">
        <f>IFERROR(__xludf.DUMMYFUNCTION("""COMPUTED_VALUE"""),"xwg")</f>
        <v>xwg</v>
      </c>
      <c r="C13455" s="4" t="str">
        <f>IFERROR(__xludf.DUMMYFUNCTION("""COMPUTED_VALUE"""),"X World Games")</f>
        <v>X World Games</v>
      </c>
    </row>
    <row r="13456">
      <c r="A13456" s="4" t="str">
        <f>IFERROR(__xludf.DUMMYFUNCTION("""COMPUTED_VALUE"""),"xxcoin")</f>
        <v>xxcoin</v>
      </c>
      <c r="B13456" s="4" t="str">
        <f>IFERROR(__xludf.DUMMYFUNCTION("""COMPUTED_VALUE"""),"xx")</f>
        <v>xx</v>
      </c>
      <c r="C13456" s="4" t="str">
        <f>IFERROR(__xludf.DUMMYFUNCTION("""COMPUTED_VALUE"""),"XX Network")</f>
        <v>XX Network</v>
      </c>
    </row>
    <row r="13457">
      <c r="A13457" s="4" t="str">
        <f>IFERROR(__xludf.DUMMYFUNCTION("""COMPUTED_VALUE"""),"xxcoin-2")</f>
        <v>xxcoin-2</v>
      </c>
      <c r="B13457" s="4" t="str">
        <f>IFERROR(__xludf.DUMMYFUNCTION("""COMPUTED_VALUE"""),"xx")</f>
        <v>xx</v>
      </c>
      <c r="C13457" s="4" t="str">
        <f>IFERROR(__xludf.DUMMYFUNCTION("""COMPUTED_VALUE"""),"XX")</f>
        <v>XX</v>
      </c>
    </row>
    <row r="13458">
      <c r="A13458" s="4" t="str">
        <f>IFERROR(__xludf.DUMMYFUNCTION("""COMPUTED_VALUE"""),"x-xrc-20")</f>
        <v>x-xrc-20</v>
      </c>
      <c r="B13458" s="4" t="str">
        <f>IFERROR(__xludf.DUMMYFUNCTION("""COMPUTED_VALUE"""),"x")</f>
        <v>x</v>
      </c>
      <c r="C13458" s="4" t="str">
        <f>IFERROR(__xludf.DUMMYFUNCTION("""COMPUTED_VALUE"""),"x (XRC-20)")</f>
        <v>x (XRC-20)</v>
      </c>
    </row>
    <row r="13459">
      <c r="A13459" s="4" t="str">
        <f>IFERROR(__xludf.DUMMYFUNCTION("""COMPUTED_VALUE"""),"xy-finance")</f>
        <v>xy-finance</v>
      </c>
      <c r="B13459" s="4" t="str">
        <f>IFERROR(__xludf.DUMMYFUNCTION("""COMPUTED_VALUE"""),"xy")</f>
        <v>xy</v>
      </c>
      <c r="C13459" s="4" t="str">
        <f>IFERROR(__xludf.DUMMYFUNCTION("""COMPUTED_VALUE"""),"XY Finance")</f>
        <v>XY Finance</v>
      </c>
    </row>
    <row r="13460">
      <c r="A13460" s="4" t="str">
        <f>IFERROR(__xludf.DUMMYFUNCTION("""COMPUTED_VALUE"""),"xym-finance")</f>
        <v>xym-finance</v>
      </c>
      <c r="B13460" s="4" t="str">
        <f>IFERROR(__xludf.DUMMYFUNCTION("""COMPUTED_VALUE"""),"xym")</f>
        <v>xym</v>
      </c>
      <c r="C13460" s="4" t="str">
        <f>IFERROR(__xludf.DUMMYFUNCTION("""COMPUTED_VALUE"""),"XYM Token")</f>
        <v>XYM Token</v>
      </c>
    </row>
    <row r="13461">
      <c r="A13461" s="4" t="str">
        <f>IFERROR(__xludf.DUMMYFUNCTION("""COMPUTED_VALUE"""),"xyo-network")</f>
        <v>xyo-network</v>
      </c>
      <c r="B13461" s="4" t="str">
        <f>IFERROR(__xludf.DUMMYFUNCTION("""COMPUTED_VALUE"""),"xyo")</f>
        <v>xyo</v>
      </c>
      <c r="C13461" s="4" t="str">
        <f>IFERROR(__xludf.DUMMYFUNCTION("""COMPUTED_VALUE"""),"XYO Network")</f>
        <v>XYO Network</v>
      </c>
    </row>
    <row r="13462">
      <c r="A13462" s="4" t="str">
        <f>IFERROR(__xludf.DUMMYFUNCTION("""COMPUTED_VALUE"""),"xyxyx")</f>
        <v>xyxyx</v>
      </c>
      <c r="B13462" s="4" t="str">
        <f>IFERROR(__xludf.DUMMYFUNCTION("""COMPUTED_VALUE"""),"xyxyx")</f>
        <v>xyxyx</v>
      </c>
      <c r="C13462" s="4" t="str">
        <f>IFERROR(__xludf.DUMMYFUNCTION("""COMPUTED_VALUE"""),"Xyxyx")</f>
        <v>Xyxyx</v>
      </c>
    </row>
    <row r="13463">
      <c r="A13463" s="4" t="str">
        <f>IFERROR(__xludf.DUMMYFUNCTION("""COMPUTED_VALUE"""),"y")</f>
        <v>y</v>
      </c>
      <c r="B13463" s="4" t="str">
        <f>IFERROR(__xludf.DUMMYFUNCTION("""COMPUTED_VALUE"""),"yai")</f>
        <v>yai</v>
      </c>
      <c r="C13463" s="4" t="str">
        <f>IFERROR(__xludf.DUMMYFUNCTION("""COMPUTED_VALUE"""),"Ÿ")</f>
        <v>Ÿ</v>
      </c>
    </row>
    <row r="13464">
      <c r="A13464" s="4" t="str">
        <f>IFERROR(__xludf.DUMMYFUNCTION("""COMPUTED_VALUE"""),"y2k")</f>
        <v>y2k</v>
      </c>
      <c r="B13464" s="4" t="str">
        <f>IFERROR(__xludf.DUMMYFUNCTION("""COMPUTED_VALUE"""),"y2k")</f>
        <v>y2k</v>
      </c>
      <c r="C13464" s="4" t="str">
        <f>IFERROR(__xludf.DUMMYFUNCTION("""COMPUTED_VALUE"""),"Y2K")</f>
        <v>Y2K</v>
      </c>
    </row>
    <row r="13465">
      <c r="A13465" s="4" t="str">
        <f>IFERROR(__xludf.DUMMYFUNCTION("""COMPUTED_VALUE"""),"y2k-2")</f>
        <v>y2k-2</v>
      </c>
      <c r="B13465" s="4" t="str">
        <f>IFERROR(__xludf.DUMMYFUNCTION("""COMPUTED_VALUE"""),"y2k")</f>
        <v>y2k</v>
      </c>
      <c r="C13465" s="4" t="str">
        <f>IFERROR(__xludf.DUMMYFUNCTION("""COMPUTED_VALUE"""),"Y2K")</f>
        <v>Y2K</v>
      </c>
    </row>
    <row r="13466">
      <c r="A13466" s="4" t="str">
        <f>IFERROR(__xludf.DUMMYFUNCTION("""COMPUTED_VALUE"""),"yachtingverse")</f>
        <v>yachtingverse</v>
      </c>
      <c r="B13466" s="4" t="str">
        <f>IFERROR(__xludf.DUMMYFUNCTION("""COMPUTED_VALUE"""),"yacht")</f>
        <v>yacht</v>
      </c>
      <c r="C13466" s="4" t="str">
        <f>IFERROR(__xludf.DUMMYFUNCTION("""COMPUTED_VALUE"""),"YachtingVerse [OLD]")</f>
        <v>YachtingVerse [OLD]</v>
      </c>
    </row>
    <row r="13467">
      <c r="A13467" s="4" t="str">
        <f>IFERROR(__xludf.DUMMYFUNCTION("""COMPUTED_VALUE"""),"yachtingverse-old")</f>
        <v>yachtingverse-old</v>
      </c>
      <c r="B13467" s="4" t="str">
        <f>IFERROR(__xludf.DUMMYFUNCTION("""COMPUTED_VALUE"""),"yacht")</f>
        <v>yacht</v>
      </c>
      <c r="C13467" s="4" t="str">
        <f>IFERROR(__xludf.DUMMYFUNCTION("""COMPUTED_VALUE"""),"YachtingVerse")</f>
        <v>YachtingVerse</v>
      </c>
    </row>
    <row r="13468">
      <c r="A13468" s="4" t="str">
        <f>IFERROR(__xludf.DUMMYFUNCTION("""COMPUTED_VALUE"""),"yadacoin")</f>
        <v>yadacoin</v>
      </c>
      <c r="B13468" s="4" t="str">
        <f>IFERROR(__xludf.DUMMYFUNCTION("""COMPUTED_VALUE"""),"yda")</f>
        <v>yda</v>
      </c>
      <c r="C13468" s="4" t="str">
        <f>IFERROR(__xludf.DUMMYFUNCTION("""COMPUTED_VALUE"""),"YadaCoin")</f>
        <v>YadaCoin</v>
      </c>
    </row>
    <row r="13469">
      <c r="A13469" s="4" t="str">
        <f>IFERROR(__xludf.DUMMYFUNCTION("""COMPUTED_VALUE"""),"yak")</f>
        <v>yak</v>
      </c>
      <c r="B13469" s="4" t="str">
        <f>IFERROR(__xludf.DUMMYFUNCTION("""COMPUTED_VALUE"""),"yak")</f>
        <v>yak</v>
      </c>
      <c r="C13469" s="4" t="str">
        <f>IFERROR(__xludf.DUMMYFUNCTION("""COMPUTED_VALUE"""),"YAK")</f>
        <v>YAK</v>
      </c>
    </row>
    <row r="13470">
      <c r="A13470" s="4" t="str">
        <f>IFERROR(__xludf.DUMMYFUNCTION("""COMPUTED_VALUE"""),"yak-dao")</f>
        <v>yak-dao</v>
      </c>
      <c r="B13470" s="4" t="str">
        <f>IFERROR(__xludf.DUMMYFUNCTION("""COMPUTED_VALUE"""),"yaks")</f>
        <v>yaks</v>
      </c>
      <c r="C13470" s="4" t="str">
        <f>IFERROR(__xludf.DUMMYFUNCTION("""COMPUTED_VALUE"""),"Yak DAO")</f>
        <v>Yak DAO</v>
      </c>
    </row>
    <row r="13471">
      <c r="A13471" s="4" t="str">
        <f>IFERROR(__xludf.DUMMYFUNCTION("""COMPUTED_VALUE"""),"yaku")</f>
        <v>yaku</v>
      </c>
      <c r="B13471" s="4" t="str">
        <f>IFERROR(__xludf.DUMMYFUNCTION("""COMPUTED_VALUE"""),"yaku")</f>
        <v>yaku</v>
      </c>
      <c r="C13471" s="4" t="str">
        <f>IFERROR(__xludf.DUMMYFUNCTION("""COMPUTED_VALUE"""),"Yaku")</f>
        <v>Yaku</v>
      </c>
    </row>
    <row r="13472">
      <c r="A13472" s="4" t="str">
        <f>IFERROR(__xludf.DUMMYFUNCTION("""COMPUTED_VALUE"""),"yam-2")</f>
        <v>yam-2</v>
      </c>
      <c r="B13472" s="4" t="str">
        <f>IFERROR(__xludf.DUMMYFUNCTION("""COMPUTED_VALUE"""),"yam")</f>
        <v>yam</v>
      </c>
      <c r="C13472" s="4" t="str">
        <f>IFERROR(__xludf.DUMMYFUNCTION("""COMPUTED_VALUE"""),"YAM")</f>
        <v>YAM</v>
      </c>
    </row>
    <row r="13473">
      <c r="A13473" s="4" t="str">
        <f>IFERROR(__xludf.DUMMYFUNCTION("""COMPUTED_VALUE"""),"yama-inu")</f>
        <v>yama-inu</v>
      </c>
      <c r="B13473" s="4" t="str">
        <f>IFERROR(__xludf.DUMMYFUNCTION("""COMPUTED_VALUE"""),"yama")</f>
        <v>yama</v>
      </c>
      <c r="C13473" s="4" t="str">
        <f>IFERROR(__xludf.DUMMYFUNCTION("""COMPUTED_VALUE"""),"YAMA Inu")</f>
        <v>YAMA Inu</v>
      </c>
    </row>
    <row r="13474">
      <c r="A13474" s="4" t="str">
        <f>IFERROR(__xludf.DUMMYFUNCTION("""COMPUTED_VALUE"""),"yamfore")</f>
        <v>yamfore</v>
      </c>
      <c r="B13474" s="4" t="str">
        <f>IFERROR(__xludf.DUMMYFUNCTION("""COMPUTED_VALUE"""),"cblp")</f>
        <v>cblp</v>
      </c>
      <c r="C13474" s="4" t="str">
        <f>IFERROR(__xludf.DUMMYFUNCTION("""COMPUTED_VALUE"""),"Yamfore")</f>
        <v>Yamfore</v>
      </c>
    </row>
    <row r="13475">
      <c r="A13475" s="4" t="str">
        <f>IFERROR(__xludf.DUMMYFUNCTION("""COMPUTED_VALUE"""),"yamp-finance")</f>
        <v>yamp-finance</v>
      </c>
      <c r="B13475" s="4" t="str">
        <f>IFERROR(__xludf.DUMMYFUNCTION("""COMPUTED_VALUE"""),"yamp")</f>
        <v>yamp</v>
      </c>
      <c r="C13475" s="4" t="str">
        <f>IFERROR(__xludf.DUMMYFUNCTION("""COMPUTED_VALUE"""),"Yamp Finance")</f>
        <v>Yamp Finance</v>
      </c>
    </row>
    <row r="13476">
      <c r="A13476" s="4" t="str">
        <f>IFERROR(__xludf.DUMMYFUNCTION("""COMPUTED_VALUE"""),"yasha-dao")</f>
        <v>yasha-dao</v>
      </c>
      <c r="B13476" s="4" t="str">
        <f>IFERROR(__xludf.DUMMYFUNCTION("""COMPUTED_VALUE"""),"yasha")</f>
        <v>yasha</v>
      </c>
      <c r="C13476" s="4" t="str">
        <f>IFERROR(__xludf.DUMMYFUNCTION("""COMPUTED_VALUE"""),"YASHA")</f>
        <v>YASHA</v>
      </c>
    </row>
    <row r="13477">
      <c r="A13477" s="4" t="str">
        <f>IFERROR(__xludf.DUMMYFUNCTION("""COMPUTED_VALUE"""),"yawww")</f>
        <v>yawww</v>
      </c>
      <c r="B13477" s="4" t="str">
        <f>IFERROR(__xludf.DUMMYFUNCTION("""COMPUTED_VALUE"""),"yaw")</f>
        <v>yaw</v>
      </c>
      <c r="C13477" s="4" t="str">
        <f>IFERROR(__xludf.DUMMYFUNCTION("""COMPUTED_VALUE"""),"Yawww")</f>
        <v>Yawww</v>
      </c>
    </row>
    <row r="13478">
      <c r="A13478" s="4" t="str">
        <f>IFERROR(__xludf.DUMMYFUNCTION("""COMPUTED_VALUE"""),"yaya-coin")</f>
        <v>yaya-coin</v>
      </c>
      <c r="B13478" s="4" t="str">
        <f>IFERROR(__xludf.DUMMYFUNCTION("""COMPUTED_VALUE"""),"yaya")</f>
        <v>yaya</v>
      </c>
      <c r="C13478" s="4" t="str">
        <f>IFERROR(__xludf.DUMMYFUNCTION("""COMPUTED_VALUE"""),"YaYa Coin")</f>
        <v>YaYa Coin</v>
      </c>
    </row>
    <row r="13479">
      <c r="A13479" s="4" t="str">
        <f>IFERROR(__xludf.DUMMYFUNCTION("""COMPUTED_VALUE"""),"yay-games")</f>
        <v>yay-games</v>
      </c>
      <c r="B13479" s="4" t="str">
        <f>IFERROR(__xludf.DUMMYFUNCTION("""COMPUTED_VALUE"""),"yay")</f>
        <v>yay</v>
      </c>
      <c r="C13479" s="4" t="str">
        <f>IFERROR(__xludf.DUMMYFUNCTION("""COMPUTED_VALUE"""),"YAY Network")</f>
        <v>YAY Network</v>
      </c>
    </row>
    <row r="13480">
      <c r="A13480" s="4" t="str">
        <f>IFERROR(__xludf.DUMMYFUNCTION("""COMPUTED_VALUE"""),"ycash")</f>
        <v>ycash</v>
      </c>
      <c r="B13480" s="4" t="str">
        <f>IFERROR(__xludf.DUMMYFUNCTION("""COMPUTED_VALUE"""),"yec")</f>
        <v>yec</v>
      </c>
      <c r="C13480" s="4" t="str">
        <f>IFERROR(__xludf.DUMMYFUNCTION("""COMPUTED_VALUE"""),"Ycash")</f>
        <v>Ycash</v>
      </c>
    </row>
    <row r="13481">
      <c r="A13481" s="4" t="str">
        <f>IFERROR(__xludf.DUMMYFUNCTION("""COMPUTED_VALUE"""),"y-coin")</f>
        <v>y-coin</v>
      </c>
      <c r="B13481" s="4" t="str">
        <f>IFERROR(__xludf.DUMMYFUNCTION("""COMPUTED_VALUE"""),"yco")</f>
        <v>yco</v>
      </c>
      <c r="C13481" s="4" t="str">
        <f>IFERROR(__xludf.DUMMYFUNCTION("""COMPUTED_VALUE"""),"Y Coin")</f>
        <v>Y Coin</v>
      </c>
    </row>
    <row r="13482">
      <c r="A13482" s="4" t="str">
        <f>IFERROR(__xludf.DUMMYFUNCTION("""COMPUTED_VALUE"""),"ydragon")</f>
        <v>ydragon</v>
      </c>
      <c r="B13482" s="4" t="str">
        <f>IFERROR(__xludf.DUMMYFUNCTION("""COMPUTED_VALUE"""),"ydr")</f>
        <v>ydr</v>
      </c>
      <c r="C13482" s="4" t="str">
        <f>IFERROR(__xludf.DUMMYFUNCTION("""COMPUTED_VALUE"""),"YDragon")</f>
        <v>YDragon</v>
      </c>
    </row>
    <row r="13483">
      <c r="A13483" s="4" t="str">
        <f>IFERROR(__xludf.DUMMYFUNCTION("""COMPUTED_VALUE"""),"yearn-crv")</f>
        <v>yearn-crv</v>
      </c>
      <c r="B13483" s="4" t="str">
        <f>IFERROR(__xludf.DUMMYFUNCTION("""COMPUTED_VALUE"""),"ycrv")</f>
        <v>ycrv</v>
      </c>
      <c r="C13483" s="4" t="str">
        <f>IFERROR(__xludf.DUMMYFUNCTION("""COMPUTED_VALUE"""),"Yearn CRV")</f>
        <v>Yearn CRV</v>
      </c>
    </row>
    <row r="13484">
      <c r="A13484" s="4" t="str">
        <f>IFERROR(__xludf.DUMMYFUNCTION("""COMPUTED_VALUE"""),"yearn-ether")</f>
        <v>yearn-ether</v>
      </c>
      <c r="B13484" s="4" t="str">
        <f>IFERROR(__xludf.DUMMYFUNCTION("""COMPUTED_VALUE"""),"yeth")</f>
        <v>yeth</v>
      </c>
      <c r="C13484" s="4" t="str">
        <f>IFERROR(__xludf.DUMMYFUNCTION("""COMPUTED_VALUE"""),"Yearn Ether")</f>
        <v>Yearn Ether</v>
      </c>
    </row>
    <row r="13485">
      <c r="A13485" s="4" t="str">
        <f>IFERROR(__xludf.DUMMYFUNCTION("""COMPUTED_VALUE"""),"yearn-finance")</f>
        <v>yearn-finance</v>
      </c>
      <c r="B13485" s="4" t="str">
        <f>IFERROR(__xludf.DUMMYFUNCTION("""COMPUTED_VALUE"""),"yfi")</f>
        <v>yfi</v>
      </c>
      <c r="C13485" s="4" t="str">
        <f>IFERROR(__xludf.DUMMYFUNCTION("""COMPUTED_VALUE"""),"yearn.finance")</f>
        <v>yearn.finance</v>
      </c>
    </row>
    <row r="13486">
      <c r="A13486" s="4" t="str">
        <f>IFERROR(__xludf.DUMMYFUNCTION("""COMPUTED_VALUE"""),"yearntogether")</f>
        <v>yearntogether</v>
      </c>
      <c r="B13486" s="4" t="str">
        <f>IFERROR(__xludf.DUMMYFUNCTION("""COMPUTED_VALUE"""),"yearn")</f>
        <v>yearn</v>
      </c>
      <c r="C13486" s="4" t="str">
        <f>IFERROR(__xludf.DUMMYFUNCTION("""COMPUTED_VALUE"""),"YearnTogether")</f>
        <v>YearnTogether</v>
      </c>
    </row>
    <row r="13487">
      <c r="A13487" s="4" t="str">
        <f>IFERROR(__xludf.DUMMYFUNCTION("""COMPUTED_VALUE"""),"yearn-yprisma")</f>
        <v>yearn-yprisma</v>
      </c>
      <c r="B13487" s="4" t="str">
        <f>IFERROR(__xludf.DUMMYFUNCTION("""COMPUTED_VALUE"""),"yprisma")</f>
        <v>yprisma</v>
      </c>
      <c r="C13487" s="4" t="str">
        <f>IFERROR(__xludf.DUMMYFUNCTION("""COMPUTED_VALUE"""),"Yearn yPRISMA")</f>
        <v>Yearn yPRISMA</v>
      </c>
    </row>
    <row r="13488">
      <c r="A13488" s="4" t="str">
        <f>IFERROR(__xludf.DUMMYFUNCTION("""COMPUTED_VALUE"""),"year-of-the-dragon")</f>
        <v>year-of-the-dragon</v>
      </c>
      <c r="B13488" s="4" t="str">
        <f>IFERROR(__xludf.DUMMYFUNCTION("""COMPUTED_VALUE"""),"yod")</f>
        <v>yod</v>
      </c>
      <c r="C13488" s="4" t="str">
        <f>IFERROR(__xludf.DUMMYFUNCTION("""COMPUTED_VALUE"""),"Year of the Dragon")</f>
        <v>Year of the Dragon</v>
      </c>
    </row>
    <row r="13489">
      <c r="A13489" s="4" t="str">
        <f>IFERROR(__xludf.DUMMYFUNCTION("""COMPUTED_VALUE"""),"yel-finance")</f>
        <v>yel-finance</v>
      </c>
      <c r="B13489" s="4" t="str">
        <f>IFERROR(__xludf.DUMMYFUNCTION("""COMPUTED_VALUE"""),"yel")</f>
        <v>yel</v>
      </c>
      <c r="C13489" s="4" t="str">
        <f>IFERROR(__xludf.DUMMYFUNCTION("""COMPUTED_VALUE"""),"Yel.Finance")</f>
        <v>Yel.Finance</v>
      </c>
    </row>
    <row r="13490">
      <c r="A13490" s="4" t="str">
        <f>IFERROR(__xludf.DUMMYFUNCTION("""COMPUTED_VALUE"""),"yellow-road")</f>
        <v>yellow-road</v>
      </c>
      <c r="B13490" s="4" t="str">
        <f>IFERROR(__xludf.DUMMYFUNCTION("""COMPUTED_VALUE"""),"road")</f>
        <v>road</v>
      </c>
      <c r="C13490" s="4" t="str">
        <f>IFERROR(__xludf.DUMMYFUNCTION("""COMPUTED_VALUE"""),"Yellow Road")</f>
        <v>Yellow Road</v>
      </c>
    </row>
    <row r="13491">
      <c r="A13491" s="4" t="str">
        <f>IFERROR(__xludf.DUMMYFUNCTION("""COMPUTED_VALUE"""),"yellow-team")</f>
        <v>yellow-team</v>
      </c>
      <c r="B13491" s="4" t="str">
        <f>IFERROR(__xludf.DUMMYFUNCTION("""COMPUTED_VALUE"""),"yellow")</f>
        <v>yellow</v>
      </c>
      <c r="C13491" s="4" t="str">
        <f>IFERROR(__xludf.DUMMYFUNCTION("""COMPUTED_VALUE"""),"Yellow Team")</f>
        <v>Yellow Team</v>
      </c>
    </row>
    <row r="13492">
      <c r="A13492" s="4" t="str">
        <f>IFERROR(__xludf.DUMMYFUNCTION("""COMPUTED_VALUE"""),"yelo-cat")</f>
        <v>yelo-cat</v>
      </c>
      <c r="B13492" s="4" t="str">
        <f>IFERROR(__xludf.DUMMYFUNCTION("""COMPUTED_VALUE"""),"yelo")</f>
        <v>yelo</v>
      </c>
      <c r="C13492" s="4" t="str">
        <f>IFERROR(__xludf.DUMMYFUNCTION("""COMPUTED_VALUE"""),"Yelo Cat")</f>
        <v>Yelo Cat</v>
      </c>
    </row>
    <row r="13493">
      <c r="A13493" s="4" t="str">
        <f>IFERROR(__xludf.DUMMYFUNCTION("""COMPUTED_VALUE"""),"yenten")</f>
        <v>yenten</v>
      </c>
      <c r="B13493" s="4" t="str">
        <f>IFERROR(__xludf.DUMMYFUNCTION("""COMPUTED_VALUE"""),"ytn")</f>
        <v>ytn</v>
      </c>
      <c r="C13493" s="4" t="str">
        <f>IFERROR(__xludf.DUMMYFUNCTION("""COMPUTED_VALUE"""),"YENTEN")</f>
        <v>YENTEN</v>
      </c>
    </row>
    <row r="13494">
      <c r="A13494" s="4" t="str">
        <f>IFERROR(__xludf.DUMMYFUNCTION("""COMPUTED_VALUE"""),"yertle-the-turtle")</f>
        <v>yertle-the-turtle</v>
      </c>
      <c r="B13494" s="4" t="str">
        <f>IFERROR(__xludf.DUMMYFUNCTION("""COMPUTED_VALUE"""),"yertle")</f>
        <v>yertle</v>
      </c>
      <c r="C13494" s="4" t="str">
        <f>IFERROR(__xludf.DUMMYFUNCTION("""COMPUTED_VALUE"""),"Yertle The Turtle")</f>
        <v>Yertle The Turtle</v>
      </c>
    </row>
    <row r="13495">
      <c r="A13495" s="4" t="str">
        <f>IFERROR(__xludf.DUMMYFUNCTION("""COMPUTED_VALUE"""),"yes-2")</f>
        <v>yes-2</v>
      </c>
      <c r="B13495" s="4" t="str">
        <f>IFERROR(__xludf.DUMMYFUNCTION("""COMPUTED_VALUE"""),"yesgo")</f>
        <v>yesgo</v>
      </c>
      <c r="C13495" s="4" t="str">
        <f>IFERROR(__xludf.DUMMYFUNCTION("""COMPUTED_VALUE"""),"Yes")</f>
        <v>Yes</v>
      </c>
    </row>
    <row r="13496">
      <c r="A13496" s="4" t="str">
        <f>IFERROR(__xludf.DUMMYFUNCTION("""COMPUTED_VALUE"""),"yes-3")</f>
        <v>yes-3</v>
      </c>
      <c r="B13496" s="4" t="str">
        <f>IFERROR(__xludf.DUMMYFUNCTION("""COMPUTED_VALUE"""),"yes")</f>
        <v>yes</v>
      </c>
      <c r="C13496" s="4" t="str">
        <f>IFERROR(__xludf.DUMMYFUNCTION("""COMPUTED_VALUE"""),"YES")</f>
        <v>YES</v>
      </c>
    </row>
    <row r="13497">
      <c r="A13497" s="4" t="str">
        <f>IFERROR(__xludf.DUMMYFUNCTION("""COMPUTED_VALUE"""),"yes-money")</f>
        <v>yes-money</v>
      </c>
      <c r="B13497" s="4" t="str">
        <f>IFERROR(__xludf.DUMMYFUNCTION("""COMPUTED_VALUE"""),"yes")</f>
        <v>yes</v>
      </c>
      <c r="C13497" s="4" t="str">
        <f>IFERROR(__xludf.DUMMYFUNCTION("""COMPUTED_VALUE"""),"YES Money")</f>
        <v>YES Money</v>
      </c>
    </row>
    <row r="13498">
      <c r="A13498" s="4" t="str">
        <f>IFERROR(__xludf.DUMMYFUNCTION("""COMPUTED_VALUE"""),"yesorno")</f>
        <v>yesorno</v>
      </c>
      <c r="B13498" s="4" t="str">
        <f>IFERROR(__xludf.DUMMYFUNCTION("""COMPUTED_VALUE"""),"yon")</f>
        <v>yon</v>
      </c>
      <c r="C13498" s="4" t="str">
        <f>IFERROR(__xludf.DUMMYFUNCTION("""COMPUTED_VALUE"""),"YESorNO")</f>
        <v>YESorNO</v>
      </c>
    </row>
    <row r="13499">
      <c r="A13499" s="4" t="str">
        <f>IFERROR(__xludf.DUMMYFUNCTION("""COMPUTED_VALUE"""),"yesports")</f>
        <v>yesports</v>
      </c>
      <c r="B13499" s="4" t="str">
        <f>IFERROR(__xludf.DUMMYFUNCTION("""COMPUTED_VALUE"""),"yesp")</f>
        <v>yesp</v>
      </c>
      <c r="C13499" s="4" t="str">
        <f>IFERROR(__xludf.DUMMYFUNCTION("""COMPUTED_VALUE"""),"Yesports")</f>
        <v>Yesports</v>
      </c>
    </row>
    <row r="13500">
      <c r="A13500" s="4" t="str">
        <f>IFERROR(__xludf.DUMMYFUNCTION("""COMPUTED_VALUE"""),"yes-token")</f>
        <v>yes-token</v>
      </c>
      <c r="B13500" s="4" t="str">
        <f>IFERROR(__xludf.DUMMYFUNCTION("""COMPUTED_VALUE"""),"yes")</f>
        <v>yes</v>
      </c>
      <c r="C13500" s="4" t="str">
        <f>IFERROR(__xludf.DUMMYFUNCTION("""COMPUTED_VALUE"""),"YES Token")</f>
        <v>YES Token</v>
      </c>
    </row>
    <row r="13501">
      <c r="A13501" s="4" t="str">
        <f>IFERROR(__xludf.DUMMYFUNCTION("""COMPUTED_VALUE"""),"yeti")</f>
        <v>yeti</v>
      </c>
      <c r="B13501" s="4" t="str">
        <f>IFERROR(__xludf.DUMMYFUNCTION("""COMPUTED_VALUE"""),"yeti")</f>
        <v>yeti</v>
      </c>
      <c r="C13501" s="4" t="str">
        <f>IFERROR(__xludf.DUMMYFUNCTION("""COMPUTED_VALUE"""),"Yeti")</f>
        <v>Yeti</v>
      </c>
    </row>
    <row r="13502">
      <c r="A13502" s="4" t="str">
        <f>IFERROR(__xludf.DUMMYFUNCTION("""COMPUTED_VALUE"""),"yeti-finance")</f>
        <v>yeti-finance</v>
      </c>
      <c r="B13502" s="4" t="str">
        <f>IFERROR(__xludf.DUMMYFUNCTION("""COMPUTED_VALUE"""),"yeti")</f>
        <v>yeti</v>
      </c>
      <c r="C13502" s="4" t="str">
        <f>IFERROR(__xludf.DUMMYFUNCTION("""COMPUTED_VALUE"""),"Yeti Finance")</f>
        <v>Yeti Finance</v>
      </c>
    </row>
    <row r="13503">
      <c r="A13503" s="4" t="str">
        <f>IFERROR(__xludf.DUMMYFUNCTION("""COMPUTED_VALUE"""),"yfdai-finance")</f>
        <v>yfdai-finance</v>
      </c>
      <c r="B13503" s="4" t="str">
        <f>IFERROR(__xludf.DUMMYFUNCTION("""COMPUTED_VALUE"""),"yf-dai")</f>
        <v>yf-dai</v>
      </c>
      <c r="C13503" s="4" t="str">
        <f>IFERROR(__xludf.DUMMYFUNCTION("""COMPUTED_VALUE"""),"YfDAI.finance")</f>
        <v>YfDAI.finance</v>
      </c>
    </row>
    <row r="13504">
      <c r="A13504" s="4" t="str">
        <f>IFERROR(__xludf.DUMMYFUNCTION("""COMPUTED_VALUE"""),"yfii-finance")</f>
        <v>yfii-finance</v>
      </c>
      <c r="B13504" s="4" t="str">
        <f>IFERROR(__xludf.DUMMYFUNCTION("""COMPUTED_VALUE"""),"yfii")</f>
        <v>yfii</v>
      </c>
      <c r="C13504" s="4" t="str">
        <f>IFERROR(__xludf.DUMMYFUNCTION("""COMPUTED_VALUE"""),"DFI.money")</f>
        <v>DFI.money</v>
      </c>
    </row>
    <row r="13505">
      <c r="A13505" s="4" t="str">
        <f>IFERROR(__xludf.DUMMYFUNCTION("""COMPUTED_VALUE"""),"yfione-2")</f>
        <v>yfione-2</v>
      </c>
      <c r="B13505" s="4" t="str">
        <f>IFERROR(__xludf.DUMMYFUNCTION("""COMPUTED_VALUE"""),"yfo")</f>
        <v>yfo</v>
      </c>
      <c r="C13505" s="4" t="str">
        <f>IFERROR(__xludf.DUMMYFUNCTION("""COMPUTED_VALUE"""),"YFIONE")</f>
        <v>YFIONE</v>
      </c>
    </row>
    <row r="13506">
      <c r="A13506" s="4" t="str">
        <f>IFERROR(__xludf.DUMMYFUNCTION("""COMPUTED_VALUE"""),"yfi-yvault")</f>
        <v>yfi-yvault</v>
      </c>
      <c r="B13506" s="4" t="str">
        <f>IFERROR(__xludf.DUMMYFUNCTION("""COMPUTED_VALUE"""),"yvyfi")</f>
        <v>yvyfi</v>
      </c>
      <c r="C13506" s="4" t="str">
        <f>IFERROR(__xludf.DUMMYFUNCTION("""COMPUTED_VALUE"""),"YFI yVault")</f>
        <v>YFI yVault</v>
      </c>
    </row>
    <row r="13507">
      <c r="A13507" s="4" t="str">
        <f>IFERROR(__xludf.DUMMYFUNCTION("""COMPUTED_VALUE"""),"yflink")</f>
        <v>yflink</v>
      </c>
      <c r="B13507" s="4" t="str">
        <f>IFERROR(__xludf.DUMMYFUNCTION("""COMPUTED_VALUE"""),"yfl")</f>
        <v>yfl</v>
      </c>
      <c r="C13507" s="4" t="str">
        <f>IFERROR(__xludf.DUMMYFUNCTION("""COMPUTED_VALUE"""),"YF Link")</f>
        <v>YF Link</v>
      </c>
    </row>
    <row r="13508">
      <c r="A13508" s="4" t="str">
        <f>IFERROR(__xludf.DUMMYFUNCTION("""COMPUTED_VALUE"""),"yfx")</f>
        <v>yfx</v>
      </c>
      <c r="B13508" s="4" t="str">
        <f>IFERROR(__xludf.DUMMYFUNCTION("""COMPUTED_VALUE"""),"yfx")</f>
        <v>yfx</v>
      </c>
      <c r="C13508" s="4" t="str">
        <f>IFERROR(__xludf.DUMMYFUNCTION("""COMPUTED_VALUE"""),"Your Futures Exchange")</f>
        <v>Your Futures Exchange</v>
      </c>
    </row>
    <row r="13509">
      <c r="A13509" s="4" t="str">
        <f>IFERROR(__xludf.DUMMYFUNCTION("""COMPUTED_VALUE"""),"yield-24")</f>
        <v>yield-24</v>
      </c>
      <c r="B13509" s="4" t="str">
        <f>IFERROR(__xludf.DUMMYFUNCTION("""COMPUTED_VALUE"""),"y24")</f>
        <v>y24</v>
      </c>
      <c r="C13509" s="4" t="str">
        <f>IFERROR(__xludf.DUMMYFUNCTION("""COMPUTED_VALUE"""),"Yield 24")</f>
        <v>Yield 24</v>
      </c>
    </row>
    <row r="13510">
      <c r="A13510" s="4" t="str">
        <f>IFERROR(__xludf.DUMMYFUNCTION("""COMPUTED_VALUE"""),"yield-app")</f>
        <v>yield-app</v>
      </c>
      <c r="B13510" s="4" t="str">
        <f>IFERROR(__xludf.DUMMYFUNCTION("""COMPUTED_VALUE"""),"yld")</f>
        <v>yld</v>
      </c>
      <c r="C13510" s="4" t="str">
        <f>IFERROR(__xludf.DUMMYFUNCTION("""COMPUTED_VALUE"""),"Yield App")</f>
        <v>Yield App</v>
      </c>
    </row>
    <row r="13511">
      <c r="A13511" s="4" t="str">
        <f>IFERROR(__xludf.DUMMYFUNCTION("""COMPUTED_VALUE"""),"yieldblox")</f>
        <v>yieldblox</v>
      </c>
      <c r="B13511" s="4" t="str">
        <f>IFERROR(__xludf.DUMMYFUNCTION("""COMPUTED_VALUE"""),"ybx")</f>
        <v>ybx</v>
      </c>
      <c r="C13511" s="4" t="str">
        <f>IFERROR(__xludf.DUMMYFUNCTION("""COMPUTED_VALUE"""),"YieldBlox")</f>
        <v>YieldBlox</v>
      </c>
    </row>
    <row r="13512">
      <c r="A13512" s="4" t="str">
        <f>IFERROR(__xludf.DUMMYFUNCTION("""COMPUTED_VALUE"""),"yieldeth-sommelier")</f>
        <v>yieldeth-sommelier</v>
      </c>
      <c r="B13512" s="4" t="str">
        <f>IFERROR(__xludf.DUMMYFUNCTION("""COMPUTED_VALUE"""),"yieldeth")</f>
        <v>yieldeth</v>
      </c>
      <c r="C13512" s="4" t="str">
        <f>IFERROR(__xludf.DUMMYFUNCTION("""COMPUTED_VALUE"""),"YieldETH (Sommelier)")</f>
        <v>YieldETH (Sommelier)</v>
      </c>
    </row>
    <row r="13513">
      <c r="A13513" s="4" t="str">
        <f>IFERROR(__xludf.DUMMYFUNCTION("""COMPUTED_VALUE"""),"yieldfarming-index")</f>
        <v>yieldfarming-index</v>
      </c>
      <c r="B13513" s="4" t="str">
        <f>IFERROR(__xludf.DUMMYFUNCTION("""COMPUTED_VALUE"""),"yfx")</f>
        <v>yfx</v>
      </c>
      <c r="C13513" s="4" t="str">
        <f>IFERROR(__xludf.DUMMYFUNCTION("""COMPUTED_VALUE"""),"YieldFarming Index")</f>
        <v>YieldFarming Index</v>
      </c>
    </row>
    <row r="13514">
      <c r="A13514" s="4" t="str">
        <f>IFERROR(__xludf.DUMMYFUNCTION("""COMPUTED_VALUE"""),"yield-finance")</f>
        <v>yield-finance</v>
      </c>
      <c r="B13514" s="4" t="str">
        <f>IFERROR(__xludf.DUMMYFUNCTION("""COMPUTED_VALUE"""),"yieldx")</f>
        <v>yieldx</v>
      </c>
      <c r="C13514" s="4" t="str">
        <f>IFERROR(__xludf.DUMMYFUNCTION("""COMPUTED_VALUE"""),"Yield Finance")</f>
        <v>Yield Finance</v>
      </c>
    </row>
    <row r="13515">
      <c r="A13515" s="4" t="str">
        <f>IFERROR(__xludf.DUMMYFUNCTION("""COMPUTED_VALUE"""),"yield-guild-games")</f>
        <v>yield-guild-games</v>
      </c>
      <c r="B13515" s="4" t="str">
        <f>IFERROR(__xludf.DUMMYFUNCTION("""COMPUTED_VALUE"""),"ygg")</f>
        <v>ygg</v>
      </c>
      <c r="C13515" s="4" t="str">
        <f>IFERROR(__xludf.DUMMYFUNCTION("""COMPUTED_VALUE"""),"Yield Guild Games")</f>
        <v>Yield Guild Games</v>
      </c>
    </row>
    <row r="13516">
      <c r="A13516" s="4" t="str">
        <f>IFERROR(__xludf.DUMMYFUNCTION("""COMPUTED_VALUE"""),"yieldification")</f>
        <v>yieldification</v>
      </c>
      <c r="B13516" s="4" t="str">
        <f>IFERROR(__xludf.DUMMYFUNCTION("""COMPUTED_VALUE"""),"ydf")</f>
        <v>ydf</v>
      </c>
      <c r="C13516" s="4" t="str">
        <f>IFERROR(__xludf.DUMMYFUNCTION("""COMPUTED_VALUE"""),"Yieldification")</f>
        <v>Yieldification</v>
      </c>
    </row>
    <row r="13517">
      <c r="A13517" s="4" t="str">
        <f>IFERROR(__xludf.DUMMYFUNCTION("""COMPUTED_VALUE"""),"yielding-protocol")</f>
        <v>yielding-protocol</v>
      </c>
      <c r="B13517" s="4" t="str">
        <f>IFERROR(__xludf.DUMMYFUNCTION("""COMPUTED_VALUE"""),"yield")</f>
        <v>yield</v>
      </c>
      <c r="C13517" s="4" t="str">
        <f>IFERROR(__xludf.DUMMYFUNCTION("""COMPUTED_VALUE"""),"Yielding Protocol")</f>
        <v>Yielding Protocol</v>
      </c>
    </row>
    <row r="13518">
      <c r="A13518" s="4" t="str">
        <f>IFERROR(__xludf.DUMMYFUNCTION("""COMPUTED_VALUE"""),"yieldly")</f>
        <v>yieldly</v>
      </c>
      <c r="B13518" s="4" t="str">
        <f>IFERROR(__xludf.DUMMYFUNCTION("""COMPUTED_VALUE"""),"yldy")</f>
        <v>yldy</v>
      </c>
      <c r="C13518" s="4" t="str">
        <f>IFERROR(__xludf.DUMMYFUNCTION("""COMPUTED_VALUE"""),"Yieldly")</f>
        <v>Yieldly</v>
      </c>
    </row>
    <row r="13519">
      <c r="A13519" s="4" t="str">
        <f>IFERROR(__xludf.DUMMYFUNCTION("""COMPUTED_VALUE"""),"yield-magnet")</f>
        <v>yield-magnet</v>
      </c>
      <c r="B13519" s="4" t="str">
        <f>IFERROR(__xludf.DUMMYFUNCTION("""COMPUTED_VALUE"""),"magnet")</f>
        <v>magnet</v>
      </c>
      <c r="C13519" s="4" t="str">
        <f>IFERROR(__xludf.DUMMYFUNCTION("""COMPUTED_VALUE"""),"Yield Magnet")</f>
        <v>Yield Magnet</v>
      </c>
    </row>
    <row r="13520">
      <c r="A13520" s="4" t="str">
        <f>IFERROR(__xludf.DUMMYFUNCTION("""COMPUTED_VALUE"""),"yield-protocol")</f>
        <v>yield-protocol</v>
      </c>
      <c r="B13520" s="4" t="str">
        <f>IFERROR(__xludf.DUMMYFUNCTION("""COMPUTED_VALUE"""),"yield")</f>
        <v>yield</v>
      </c>
      <c r="C13520" s="4" t="str">
        <f>IFERROR(__xludf.DUMMYFUNCTION("""COMPUTED_VALUE"""),"Yield Protocol")</f>
        <v>Yield Protocol</v>
      </c>
    </row>
    <row r="13521">
      <c r="A13521" s="4" t="str">
        <f>IFERROR(__xludf.DUMMYFUNCTION("""COMPUTED_VALUE"""),"yieldwatch")</f>
        <v>yieldwatch</v>
      </c>
      <c r="B13521" s="4" t="str">
        <f>IFERROR(__xludf.DUMMYFUNCTION("""COMPUTED_VALUE"""),"watch")</f>
        <v>watch</v>
      </c>
      <c r="C13521" s="4" t="str">
        <f>IFERROR(__xludf.DUMMYFUNCTION("""COMPUTED_VALUE"""),"Yieldwatch")</f>
        <v>Yieldwatch</v>
      </c>
    </row>
    <row r="13522">
      <c r="A13522" s="4" t="str">
        <f>IFERROR(__xludf.DUMMYFUNCTION("""COMPUTED_VALUE"""),"yield-yak")</f>
        <v>yield-yak</v>
      </c>
      <c r="B13522" s="4" t="str">
        <f>IFERROR(__xludf.DUMMYFUNCTION("""COMPUTED_VALUE"""),"yak")</f>
        <v>yak</v>
      </c>
      <c r="C13522" s="4" t="str">
        <f>IFERROR(__xludf.DUMMYFUNCTION("""COMPUTED_VALUE"""),"Yield Yak")</f>
        <v>Yield Yak</v>
      </c>
    </row>
    <row r="13523">
      <c r="A13523" s="4" t="str">
        <f>IFERROR(__xludf.DUMMYFUNCTION("""COMPUTED_VALUE"""),"yield-yak-avax")</f>
        <v>yield-yak-avax</v>
      </c>
      <c r="B13523" s="4" t="str">
        <f>IFERROR(__xludf.DUMMYFUNCTION("""COMPUTED_VALUE"""),"yyavax")</f>
        <v>yyavax</v>
      </c>
      <c r="C13523" s="4" t="str">
        <f>IFERROR(__xludf.DUMMYFUNCTION("""COMPUTED_VALUE"""),"Yield Yak AVAX")</f>
        <v>Yield Yak AVAX</v>
      </c>
    </row>
    <row r="13524">
      <c r="A13524" s="4" t="str">
        <f>IFERROR(__xludf.DUMMYFUNCTION("""COMPUTED_VALUE"""),"yin-finance")</f>
        <v>yin-finance</v>
      </c>
      <c r="B13524" s="4" t="str">
        <f>IFERROR(__xludf.DUMMYFUNCTION("""COMPUTED_VALUE"""),"yin")</f>
        <v>yin</v>
      </c>
      <c r="C13524" s="4" t="str">
        <f>IFERROR(__xludf.DUMMYFUNCTION("""COMPUTED_VALUE"""),"YIN Finance")</f>
        <v>YIN Finance</v>
      </c>
    </row>
    <row r="13525">
      <c r="A13525" s="4" t="str">
        <f>IFERROR(__xludf.DUMMYFUNCTION("""COMPUTED_VALUE"""),"yisu-ordinals")</f>
        <v>yisu-ordinals</v>
      </c>
      <c r="B13525" s="4" t="str">
        <f>IFERROR(__xludf.DUMMYFUNCTION("""COMPUTED_VALUE"""),"yisu")</f>
        <v>yisu</v>
      </c>
      <c r="C13525" s="4" t="str">
        <f>IFERROR(__xludf.DUMMYFUNCTION("""COMPUTED_VALUE"""),"Yisu (Ordinals)")</f>
        <v>Yisu (Ordinals)</v>
      </c>
    </row>
    <row r="13526">
      <c r="A13526" s="4" t="str">
        <f>IFERROR(__xludf.DUMMYFUNCTION("""COMPUTED_VALUE"""),"yocash")</f>
        <v>yocash</v>
      </c>
      <c r="B13526" s="4" t="str">
        <f>IFERROR(__xludf.DUMMYFUNCTION("""COMPUTED_VALUE"""),"ych")</f>
        <v>ych</v>
      </c>
      <c r="C13526" s="4" t="str">
        <f>IFERROR(__xludf.DUMMYFUNCTION("""COMPUTED_VALUE"""),"YoCash")</f>
        <v>YoCash</v>
      </c>
    </row>
    <row r="13527">
      <c r="A13527" s="4" t="str">
        <f>IFERROR(__xludf.DUMMYFUNCTION("""COMPUTED_VALUE"""),"yocoin")</f>
        <v>yocoin</v>
      </c>
      <c r="B13527" s="4" t="str">
        <f>IFERROR(__xludf.DUMMYFUNCTION("""COMPUTED_VALUE"""),"yoc")</f>
        <v>yoc</v>
      </c>
      <c r="C13527" s="4" t="str">
        <f>IFERROR(__xludf.DUMMYFUNCTION("""COMPUTED_VALUE"""),"Yocoin")</f>
        <v>Yocoin</v>
      </c>
    </row>
    <row r="13528">
      <c r="A13528" s="4" t="str">
        <f>IFERROR(__xludf.DUMMYFUNCTION("""COMPUTED_VALUE"""),"yocoinyoco")</f>
        <v>yocoinyoco</v>
      </c>
      <c r="B13528" s="4" t="str">
        <f>IFERROR(__xludf.DUMMYFUNCTION("""COMPUTED_VALUE"""),"yoco")</f>
        <v>yoco</v>
      </c>
      <c r="C13528" s="4" t="str">
        <f>IFERROR(__xludf.DUMMYFUNCTION("""COMPUTED_VALUE"""),"YocoinYOCO")</f>
        <v>YocoinYOCO</v>
      </c>
    </row>
    <row r="13529">
      <c r="A13529" s="4" t="str">
        <f>IFERROR(__xludf.DUMMYFUNCTION("""COMPUTED_VALUE"""),"yoda-coin-swap")</f>
        <v>yoda-coin-swap</v>
      </c>
      <c r="B13529" s="4" t="str">
        <f>IFERROR(__xludf.DUMMYFUNCTION("""COMPUTED_VALUE"""),"jedals")</f>
        <v>jedals</v>
      </c>
      <c r="C13529" s="4" t="str">
        <f>IFERROR(__xludf.DUMMYFUNCTION("""COMPUTED_VALUE"""),"Yoda Coin Swap")</f>
        <v>Yoda Coin Swap</v>
      </c>
    </row>
    <row r="13530">
      <c r="A13530" s="4" t="str">
        <f>IFERROR(__xludf.DUMMYFUNCTION("""COMPUTED_VALUE"""),"yodeswap")</f>
        <v>yodeswap</v>
      </c>
      <c r="B13530" s="4" t="str">
        <f>IFERROR(__xludf.DUMMYFUNCTION("""COMPUTED_VALUE"""),"yode")</f>
        <v>yode</v>
      </c>
      <c r="C13530" s="4" t="str">
        <f>IFERROR(__xludf.DUMMYFUNCTION("""COMPUTED_VALUE"""),"YodeSwap")</f>
        <v>YodeSwap</v>
      </c>
    </row>
    <row r="13531">
      <c r="A13531" s="4" t="str">
        <f>IFERROR(__xludf.DUMMYFUNCTION("""COMPUTED_VALUE"""),"yoj")</f>
        <v>yoj</v>
      </c>
      <c r="B13531" s="4" t="str">
        <f>IFERROR(__xludf.DUMMYFUNCTION("""COMPUTED_VALUE"""),"yoj")</f>
        <v>yoj</v>
      </c>
      <c r="C13531" s="4" t="str">
        <f>IFERROR(__xludf.DUMMYFUNCTION("""COMPUTED_VALUE"""),"YOJ")</f>
        <v>YOJ</v>
      </c>
    </row>
    <row r="13532">
      <c r="A13532" s="4" t="str">
        <f>IFERROR(__xludf.DUMMYFUNCTION("""COMPUTED_VALUE"""),"yokaiswap")</f>
        <v>yokaiswap</v>
      </c>
      <c r="B13532" s="4" t="str">
        <f>IFERROR(__xludf.DUMMYFUNCTION("""COMPUTED_VALUE"""),"yok")</f>
        <v>yok</v>
      </c>
      <c r="C13532" s="4" t="str">
        <f>IFERROR(__xludf.DUMMYFUNCTION("""COMPUTED_VALUE"""),"YokaiSwap")</f>
        <v>YokaiSwap</v>
      </c>
    </row>
    <row r="13533">
      <c r="A13533" s="4" t="str">
        <f>IFERROR(__xludf.DUMMYFUNCTION("""COMPUTED_VALUE"""),"yolo")</f>
        <v>yolo</v>
      </c>
      <c r="B13533" s="4" t="str">
        <f>IFERROR(__xludf.DUMMYFUNCTION("""COMPUTED_VALUE"""),"yolo")</f>
        <v>yolo</v>
      </c>
      <c r="C13533" s="4" t="str">
        <f>IFERROR(__xludf.DUMMYFUNCTION("""COMPUTED_VALUE"""),"YOLO")</f>
        <v>YOLO</v>
      </c>
    </row>
    <row r="13534">
      <c r="A13534" s="4" t="str">
        <f>IFERROR(__xludf.DUMMYFUNCTION("""COMPUTED_VALUE"""),"yolonolo")</f>
        <v>yolonolo</v>
      </c>
      <c r="B13534" s="4" t="str">
        <f>IFERROR(__xludf.DUMMYFUNCTION("""COMPUTED_VALUE"""),"nolo")</f>
        <v>nolo</v>
      </c>
      <c r="C13534" s="4" t="str">
        <f>IFERROR(__xludf.DUMMYFUNCTION("""COMPUTED_VALUE"""),"YoloNolo")</f>
        <v>YoloNolo</v>
      </c>
    </row>
    <row r="13535">
      <c r="A13535" s="4" t="str">
        <f>IFERROR(__xludf.DUMMYFUNCTION("""COMPUTED_VALUE"""),"yooldo")</f>
        <v>yooldo</v>
      </c>
      <c r="B13535" s="4" t="str">
        <f>IFERROR(__xludf.DUMMYFUNCTION("""COMPUTED_VALUE"""),"yool")</f>
        <v>yool</v>
      </c>
      <c r="C13535" s="4" t="str">
        <f>IFERROR(__xludf.DUMMYFUNCTION("""COMPUTED_VALUE"""),"Yooldo")</f>
        <v>Yooldo</v>
      </c>
    </row>
    <row r="13536">
      <c r="A13536" s="4" t="str">
        <f>IFERROR(__xludf.DUMMYFUNCTION("""COMPUTED_VALUE"""),"yooshi")</f>
        <v>yooshi</v>
      </c>
      <c r="B13536" s="4" t="str">
        <f>IFERROR(__xludf.DUMMYFUNCTION("""COMPUTED_VALUE"""),"yooshi")</f>
        <v>yooshi</v>
      </c>
      <c r="C13536" s="4" t="str">
        <f>IFERROR(__xludf.DUMMYFUNCTION("""COMPUTED_VALUE"""),"YooShi")</f>
        <v>YooShi</v>
      </c>
    </row>
    <row r="13537">
      <c r="A13537" s="4" t="str">
        <f>IFERROR(__xludf.DUMMYFUNCTION("""COMPUTED_VALUE"""),"yoshi-exchange")</f>
        <v>yoshi-exchange</v>
      </c>
      <c r="B13537" s="4" t="str">
        <f>IFERROR(__xludf.DUMMYFUNCTION("""COMPUTED_VALUE"""),"yoshi")</f>
        <v>yoshi</v>
      </c>
      <c r="C13537" s="4" t="str">
        <f>IFERROR(__xludf.DUMMYFUNCTION("""COMPUTED_VALUE"""),"Yoshi.exchange")</f>
        <v>Yoshi.exchange</v>
      </c>
    </row>
    <row r="13538">
      <c r="A13538" s="4" t="str">
        <f>IFERROR(__xludf.DUMMYFUNCTION("""COMPUTED_VALUE"""),"yotoshi")</f>
        <v>yotoshi</v>
      </c>
      <c r="B13538" s="4" t="str">
        <f>IFERROR(__xludf.DUMMYFUNCTION("""COMPUTED_VALUE"""),"yoto")</f>
        <v>yoto</v>
      </c>
      <c r="C13538" s="4" t="str">
        <f>IFERROR(__xludf.DUMMYFUNCTION("""COMPUTED_VALUE"""),"Yotoshi")</f>
        <v>Yotoshi</v>
      </c>
    </row>
    <row r="13539">
      <c r="A13539" s="4" t="str">
        <f>IFERROR(__xludf.DUMMYFUNCTION("""COMPUTED_VALUE"""),"youclout")</f>
        <v>youclout</v>
      </c>
      <c r="B13539" s="4" t="str">
        <f>IFERROR(__xludf.DUMMYFUNCTION("""COMPUTED_VALUE"""),"yct")</f>
        <v>yct</v>
      </c>
      <c r="C13539" s="4" t="str">
        <f>IFERROR(__xludf.DUMMYFUNCTION("""COMPUTED_VALUE"""),"Youclout")</f>
        <v>Youclout</v>
      </c>
    </row>
    <row r="13540">
      <c r="A13540" s="4" t="str">
        <f>IFERROR(__xludf.DUMMYFUNCTION("""COMPUTED_VALUE"""),"youcoin-2")</f>
        <v>youcoin-2</v>
      </c>
      <c r="B13540" s="4" t="str">
        <f>IFERROR(__xludf.DUMMYFUNCTION("""COMPUTED_VALUE"""),"you")</f>
        <v>you</v>
      </c>
      <c r="C13540" s="4" t="str">
        <f>IFERROR(__xludf.DUMMYFUNCTION("""COMPUTED_VALUE"""),"Youcoin")</f>
        <v>Youcoin</v>
      </c>
    </row>
    <row r="13541">
      <c r="A13541" s="4" t="str">
        <f>IFERROR(__xludf.DUMMYFUNCTION("""COMPUTED_VALUE"""),"you-looked")</f>
        <v>you-looked</v>
      </c>
      <c r="B13541" s="4" t="str">
        <f>IFERROR(__xludf.DUMMYFUNCTION("""COMPUTED_VALUE"""),"circle")</f>
        <v>circle</v>
      </c>
      <c r="C13541" s="4" t="str">
        <f>IFERROR(__xludf.DUMMYFUNCTION("""COMPUTED_VALUE"""),"You Looked")</f>
        <v>You Looked</v>
      </c>
    </row>
    <row r="13542">
      <c r="A13542" s="4" t="str">
        <f>IFERROR(__xludf.DUMMYFUNCTION("""COMPUTED_VALUE"""),"young-boys-fan-token")</f>
        <v>young-boys-fan-token</v>
      </c>
      <c r="B13542" s="4" t="str">
        <f>IFERROR(__xludf.DUMMYFUNCTION("""COMPUTED_VALUE"""),"ybo")</f>
        <v>ybo</v>
      </c>
      <c r="C13542" s="4" t="str">
        <f>IFERROR(__xludf.DUMMYFUNCTION("""COMPUTED_VALUE"""),"Young Boys Fan Token")</f>
        <v>Young Boys Fan Token</v>
      </c>
    </row>
    <row r="13543">
      <c r="A13543" s="4" t="str">
        <f>IFERROR(__xludf.DUMMYFUNCTION("""COMPUTED_VALUE"""),"young-mids-inspired")</f>
        <v>young-mids-inspired</v>
      </c>
      <c r="B13543" s="4" t="str">
        <f>IFERROR(__xludf.DUMMYFUNCTION("""COMPUTED_VALUE"""),"ymii")</f>
        <v>ymii</v>
      </c>
      <c r="C13543" s="4" t="str">
        <f>IFERROR(__xludf.DUMMYFUNCTION("""COMPUTED_VALUE"""),"Young Mids Inspired")</f>
        <v>Young Mids Inspired</v>
      </c>
    </row>
    <row r="13544">
      <c r="A13544" s="4" t="str">
        <f>IFERROR(__xludf.DUMMYFUNCTION("""COMPUTED_VALUE"""),"young-peezy-aka-pepe")</f>
        <v>young-peezy-aka-pepe</v>
      </c>
      <c r="B13544" s="4" t="str">
        <f>IFERROR(__xludf.DUMMYFUNCTION("""COMPUTED_VALUE"""),"peezy")</f>
        <v>peezy</v>
      </c>
      <c r="C13544" s="4" t="str">
        <f>IFERROR(__xludf.DUMMYFUNCTION("""COMPUTED_VALUE"""),"Young Peezy AKA Pepe")</f>
        <v>Young Peezy AKA Pepe</v>
      </c>
    </row>
    <row r="13545">
      <c r="A13545" s="4" t="str">
        <f>IFERROR(__xludf.DUMMYFUNCTION("""COMPUTED_VALUE"""),"your-ai")</f>
        <v>your-ai</v>
      </c>
      <c r="B13545" s="4" t="str">
        <f>IFERROR(__xludf.DUMMYFUNCTION("""COMPUTED_VALUE"""),"yourai")</f>
        <v>yourai</v>
      </c>
      <c r="C13545" s="4" t="str">
        <f>IFERROR(__xludf.DUMMYFUNCTION("""COMPUTED_VALUE"""),"YOUR AI")</f>
        <v>YOUR AI</v>
      </c>
    </row>
    <row r="13546">
      <c r="A13546" s="4" t="str">
        <f>IFERROR(__xludf.DUMMYFUNCTION("""COMPUTED_VALUE"""),"yourkiss")</f>
        <v>yourkiss</v>
      </c>
      <c r="B13546" s="4" t="str">
        <f>IFERROR(__xludf.DUMMYFUNCTION("""COMPUTED_VALUE"""),"yks")</f>
        <v>yks</v>
      </c>
      <c r="C13546" s="4" t="str">
        <f>IFERROR(__xludf.DUMMYFUNCTION("""COMPUTED_VALUE"""),"YourKiss")</f>
        <v>YourKiss</v>
      </c>
    </row>
    <row r="13547">
      <c r="A13547" s="4" t="str">
        <f>IFERROR(__xludf.DUMMYFUNCTION("""COMPUTED_VALUE"""),"yourmom")</f>
        <v>yourmom</v>
      </c>
      <c r="B13547" s="4" t="str">
        <f>IFERROR(__xludf.DUMMYFUNCTION("""COMPUTED_VALUE"""),"yourmom")</f>
        <v>yourmom</v>
      </c>
      <c r="C13547" s="4" t="str">
        <f>IFERROR(__xludf.DUMMYFUNCTION("""COMPUTED_VALUE"""),"YourMom")</f>
        <v>YourMom</v>
      </c>
    </row>
    <row r="13548">
      <c r="A13548" s="4" t="str">
        <f>IFERROR(__xludf.DUMMYFUNCTION("""COMPUTED_VALUE"""),"your-open-metaverse")</f>
        <v>your-open-metaverse</v>
      </c>
      <c r="B13548" s="4" t="str">
        <f>IFERROR(__xludf.DUMMYFUNCTION("""COMPUTED_VALUE"""),"yom")</f>
        <v>yom</v>
      </c>
      <c r="C13548" s="4" t="str">
        <f>IFERROR(__xludf.DUMMYFUNCTION("""COMPUTED_VALUE"""),"YOM")</f>
        <v>YOM</v>
      </c>
    </row>
    <row r="13549">
      <c r="A13549" s="4" t="str">
        <f>IFERROR(__xludf.DUMMYFUNCTION("""COMPUTED_VALUE"""),"yourwallet")</f>
        <v>yourwallet</v>
      </c>
      <c r="B13549" s="4" t="str">
        <f>IFERROR(__xludf.DUMMYFUNCTION("""COMPUTED_VALUE"""),"yourwallet")</f>
        <v>yourwallet</v>
      </c>
      <c r="C13549" s="4" t="str">
        <f>IFERROR(__xludf.DUMMYFUNCTION("""COMPUTED_VALUE"""),"YourWallet")</f>
        <v>YourWallet</v>
      </c>
    </row>
    <row r="13550">
      <c r="A13550" s="4" t="str">
        <f>IFERROR(__xludf.DUMMYFUNCTION("""COMPUTED_VALUE"""),"yousui")</f>
        <v>yousui</v>
      </c>
      <c r="B13550" s="4" t="str">
        <f>IFERROR(__xludf.DUMMYFUNCTION("""COMPUTED_VALUE"""),"xui")</f>
        <v>xui</v>
      </c>
      <c r="C13550" s="4" t="str">
        <f>IFERROR(__xludf.DUMMYFUNCTION("""COMPUTED_VALUE"""),"YouSUI")</f>
        <v>YouSUI</v>
      </c>
    </row>
    <row r="13551">
      <c r="A13551" s="4" t="str">
        <f>IFERROR(__xludf.DUMMYFUNCTION("""COMPUTED_VALUE"""),"youves-uusd")</f>
        <v>youves-uusd</v>
      </c>
      <c r="B13551" s="4" t="str">
        <f>IFERROR(__xludf.DUMMYFUNCTION("""COMPUTED_VALUE"""),"uusd")</f>
        <v>uusd</v>
      </c>
      <c r="C13551" s="4" t="str">
        <f>IFERROR(__xludf.DUMMYFUNCTION("""COMPUTED_VALUE"""),"Youves uUSD")</f>
        <v>Youves uUSD</v>
      </c>
    </row>
    <row r="13552">
      <c r="A13552" s="4" t="str">
        <f>IFERROR(__xludf.DUMMYFUNCTION("""COMPUTED_VALUE"""),"youves-you-governance")</f>
        <v>youves-you-governance</v>
      </c>
      <c r="B13552" s="4" t="str">
        <f>IFERROR(__xludf.DUMMYFUNCTION("""COMPUTED_VALUE"""),"you")</f>
        <v>you</v>
      </c>
      <c r="C13552" s="4" t="str">
        <f>IFERROR(__xludf.DUMMYFUNCTION("""COMPUTED_VALUE"""),"Youves YOU Governance")</f>
        <v>Youves YOU Governance</v>
      </c>
    </row>
    <row r="13553">
      <c r="A13553" s="4" t="str">
        <f>IFERROR(__xludf.DUMMYFUNCTION("""COMPUTED_VALUE"""),"youwho")</f>
        <v>youwho</v>
      </c>
      <c r="B13553" s="4" t="str">
        <f>IFERROR(__xludf.DUMMYFUNCTION("""COMPUTED_VALUE"""),"you")</f>
        <v>you</v>
      </c>
      <c r="C13553" s="4" t="str">
        <f>IFERROR(__xludf.DUMMYFUNCTION("""COMPUTED_VALUE"""),"Youwho")</f>
        <v>Youwho</v>
      </c>
    </row>
    <row r="13554">
      <c r="A13554" s="4" t="str">
        <f>IFERROR(__xludf.DUMMYFUNCTION("""COMPUTED_VALUE"""),"yoyo-market")</f>
        <v>yoyo-market</v>
      </c>
      <c r="B13554" s="4" t="str">
        <f>IFERROR(__xludf.DUMMYFUNCTION("""COMPUTED_VALUE"""),"yoyo")</f>
        <v>yoyo</v>
      </c>
      <c r="C13554" s="4" t="str">
        <f>IFERROR(__xludf.DUMMYFUNCTION("""COMPUTED_VALUE"""),"Yoyo Market")</f>
        <v>Yoyo Market</v>
      </c>
    </row>
    <row r="13555">
      <c r="A13555" s="4" t="str">
        <f>IFERROR(__xludf.DUMMYFUNCTION("""COMPUTED_VALUE"""),"yuan-chain-coin")</f>
        <v>yuan-chain-coin</v>
      </c>
      <c r="B13555" s="4" t="str">
        <f>IFERROR(__xludf.DUMMYFUNCTION("""COMPUTED_VALUE"""),"ycc")</f>
        <v>ycc</v>
      </c>
      <c r="C13555" s="4" t="str">
        <f>IFERROR(__xludf.DUMMYFUNCTION("""COMPUTED_VALUE"""),"Yuan Chain Coin")</f>
        <v>Yuan Chain Coin</v>
      </c>
    </row>
    <row r="13556">
      <c r="A13556" s="4" t="str">
        <f>IFERROR(__xludf.DUMMYFUNCTION("""COMPUTED_VALUE"""),"yuge-meme")</f>
        <v>yuge-meme</v>
      </c>
      <c r="B13556" s="4" t="str">
        <f>IFERROR(__xludf.DUMMYFUNCTION("""COMPUTED_VALUE"""),"yuge")</f>
        <v>yuge</v>
      </c>
      <c r="C13556" s="4" t="str">
        <f>IFERROR(__xludf.DUMMYFUNCTION("""COMPUTED_VALUE"""),"Yuge Meme")</f>
        <v>Yuge Meme</v>
      </c>
    </row>
    <row r="13557">
      <c r="A13557" s="4" t="str">
        <f>IFERROR(__xludf.DUMMYFUNCTION("""COMPUTED_VALUE"""),"yuki")</f>
        <v>yuki</v>
      </c>
      <c r="B13557" s="4" t="str">
        <f>IFERROR(__xludf.DUMMYFUNCTION("""COMPUTED_VALUE"""),"yuki")</f>
        <v>yuki</v>
      </c>
      <c r="C13557" s="4" t="str">
        <f>IFERROR(__xludf.DUMMYFUNCTION("""COMPUTED_VALUE"""),"YUKI")</f>
        <v>YUKI</v>
      </c>
    </row>
    <row r="13558">
      <c r="A13558" s="4" t="str">
        <f>IFERROR(__xludf.DUMMYFUNCTION("""COMPUTED_VALUE"""),"yukky")</f>
        <v>yukky</v>
      </c>
      <c r="B13558" s="4" t="str">
        <f>IFERROR(__xludf.DUMMYFUNCTION("""COMPUTED_VALUE"""),"yukky")</f>
        <v>yukky</v>
      </c>
      <c r="C13558" s="4" t="str">
        <f>IFERROR(__xludf.DUMMYFUNCTION("""COMPUTED_VALUE"""),"YUKKY")</f>
        <v>YUKKY</v>
      </c>
    </row>
    <row r="13559">
      <c r="A13559" s="4" t="str">
        <f>IFERROR(__xludf.DUMMYFUNCTION("""COMPUTED_VALUE"""),"yummi-universe")</f>
        <v>yummi-universe</v>
      </c>
      <c r="B13559" s="4" t="str">
        <f>IFERROR(__xludf.DUMMYFUNCTION("""COMPUTED_VALUE"""),"yummi")</f>
        <v>yummi</v>
      </c>
      <c r="C13559" s="4" t="str">
        <f>IFERROR(__xludf.DUMMYFUNCTION("""COMPUTED_VALUE"""),"Yummi Universe")</f>
        <v>Yummi Universe</v>
      </c>
    </row>
    <row r="13560">
      <c r="A13560" s="4" t="str">
        <f>IFERROR(__xludf.DUMMYFUNCTION("""COMPUTED_VALUE"""),"yummy")</f>
        <v>yummy</v>
      </c>
      <c r="B13560" s="4" t="str">
        <f>IFERROR(__xludf.DUMMYFUNCTION("""COMPUTED_VALUE"""),"yummy")</f>
        <v>yummy</v>
      </c>
      <c r="C13560" s="4" t="str">
        <f>IFERROR(__xludf.DUMMYFUNCTION("""COMPUTED_VALUE"""),"Yummy")</f>
        <v>Yummy</v>
      </c>
    </row>
    <row r="13561">
      <c r="A13561" s="4" t="str">
        <f>IFERROR(__xludf.DUMMYFUNCTION("""COMPUTED_VALUE"""),"yunki")</f>
        <v>yunki</v>
      </c>
      <c r="B13561" s="4" t="str">
        <f>IFERROR(__xludf.DUMMYFUNCTION("""COMPUTED_VALUE"""),"yunki")</f>
        <v>yunki</v>
      </c>
      <c r="C13561" s="4" t="str">
        <f>IFERROR(__xludf.DUMMYFUNCTION("""COMPUTED_VALUE"""),"Yunki")</f>
        <v>Yunki</v>
      </c>
    </row>
    <row r="13562">
      <c r="A13562" s="4" t="str">
        <f>IFERROR(__xludf.DUMMYFUNCTION("""COMPUTED_VALUE"""),"yup")</f>
        <v>yup</v>
      </c>
      <c r="B13562" s="4" t="str">
        <f>IFERROR(__xludf.DUMMYFUNCTION("""COMPUTED_VALUE"""),"yup")</f>
        <v>yup</v>
      </c>
      <c r="C13562" s="4" t="str">
        <f>IFERROR(__xludf.DUMMYFUNCTION("""COMPUTED_VALUE"""),"Yup")</f>
        <v>Yup</v>
      </c>
    </row>
    <row r="13563">
      <c r="A13563" s="4" t="str">
        <f>IFERROR(__xludf.DUMMYFUNCTION("""COMPUTED_VALUE"""),"yuri")</f>
        <v>yuri</v>
      </c>
      <c r="B13563" s="4" t="str">
        <f>IFERROR(__xludf.DUMMYFUNCTION("""COMPUTED_VALUE"""),"yuri")</f>
        <v>yuri</v>
      </c>
      <c r="C13563" s="4" t="str">
        <f>IFERROR(__xludf.DUMMYFUNCTION("""COMPUTED_VALUE"""),"Yuri")</f>
        <v>Yuri</v>
      </c>
    </row>
    <row r="13564">
      <c r="A13564" s="4" t="str">
        <f>IFERROR(__xludf.DUMMYFUNCTION("""COMPUTED_VALUE"""),"yusd-stablecoin")</f>
        <v>yusd-stablecoin</v>
      </c>
      <c r="B13564" s="4" t="str">
        <f>IFERROR(__xludf.DUMMYFUNCTION("""COMPUTED_VALUE"""),"yusd")</f>
        <v>yusd</v>
      </c>
      <c r="C13564" s="4" t="str">
        <f>IFERROR(__xludf.DUMMYFUNCTION("""COMPUTED_VALUE"""),"YUSD Stablecoin")</f>
        <v>YUSD Stablecoin</v>
      </c>
    </row>
    <row r="13565">
      <c r="A13565" s="4" t="str">
        <f>IFERROR(__xludf.DUMMYFUNCTION("""COMPUTED_VALUE"""),"yvboost")</f>
        <v>yvboost</v>
      </c>
      <c r="B13565" s="4" t="str">
        <f>IFERROR(__xludf.DUMMYFUNCTION("""COMPUTED_VALUE"""),"yvboost")</f>
        <v>yvboost</v>
      </c>
      <c r="C13565" s="4" t="str">
        <f>IFERROR(__xludf.DUMMYFUNCTION("""COMPUTED_VALUE"""),"Yearn Compounding veCRV yVault")</f>
        <v>Yearn Compounding veCRV yVault</v>
      </c>
    </row>
    <row r="13566">
      <c r="A13566" s="4" t="str">
        <f>IFERROR(__xludf.DUMMYFUNCTION("""COMPUTED_VALUE"""),"yvdai")</f>
        <v>yvdai</v>
      </c>
      <c r="B13566" s="4" t="str">
        <f>IFERROR(__xludf.DUMMYFUNCTION("""COMPUTED_VALUE"""),"yvdai")</f>
        <v>yvdai</v>
      </c>
      <c r="C13566" s="4" t="str">
        <f>IFERROR(__xludf.DUMMYFUNCTION("""COMPUTED_VALUE"""),"yvDAI")</f>
        <v>yvDAI</v>
      </c>
    </row>
    <row r="13567">
      <c r="A13567" s="4" t="str">
        <f>IFERROR(__xludf.DUMMYFUNCTION("""COMPUTED_VALUE"""),"yvs-finance")</f>
        <v>yvs-finance</v>
      </c>
      <c r="B13567" s="4" t="str">
        <f>IFERROR(__xludf.DUMMYFUNCTION("""COMPUTED_VALUE"""),"yvs")</f>
        <v>yvs</v>
      </c>
      <c r="C13567" s="4" t="str">
        <f>IFERROR(__xludf.DUMMYFUNCTION("""COMPUTED_VALUE"""),"YVS Finance")</f>
        <v>YVS Finance</v>
      </c>
    </row>
    <row r="13568">
      <c r="A13568" s="4" t="str">
        <f>IFERROR(__xludf.DUMMYFUNCTION("""COMPUTED_VALUE"""),"zab")</f>
        <v>zab</v>
      </c>
      <c r="B13568" s="4" t="str">
        <f>IFERROR(__xludf.DUMMYFUNCTION("""COMPUTED_VALUE"""),"zab")</f>
        <v>zab</v>
      </c>
      <c r="C13568" s="4" t="str">
        <f>IFERROR(__xludf.DUMMYFUNCTION("""COMPUTED_VALUE"""),"Zab")</f>
        <v>Zab</v>
      </c>
    </row>
    <row r="13569">
      <c r="A13569" s="4" t="str">
        <f>IFERROR(__xludf.DUMMYFUNCTION("""COMPUTED_VALUE"""),"zada")</f>
        <v>zada</v>
      </c>
      <c r="B13569" s="4" t="str">
        <f>IFERROR(__xludf.DUMMYFUNCTION("""COMPUTED_VALUE"""),"zada")</f>
        <v>zada</v>
      </c>
      <c r="C13569" s="4" t="str">
        <f>IFERROR(__xludf.DUMMYFUNCTION("""COMPUTED_VALUE"""),"Zada")</f>
        <v>Zada</v>
      </c>
    </row>
    <row r="13570">
      <c r="A13570" s="4" t="str">
        <f>IFERROR(__xludf.DUMMYFUNCTION("""COMPUTED_VALUE"""),"zahnymous")</f>
        <v>zahnymous</v>
      </c>
      <c r="B13570" s="4" t="str">
        <f>IFERROR(__xludf.DUMMYFUNCTION("""COMPUTED_VALUE"""),"zah")</f>
        <v>zah</v>
      </c>
      <c r="C13570" s="4" t="str">
        <f>IFERROR(__xludf.DUMMYFUNCTION("""COMPUTED_VALUE"""),"Zahnymous")</f>
        <v>Zahnymous</v>
      </c>
    </row>
    <row r="13571">
      <c r="A13571" s="4" t="str">
        <f>IFERROR(__xludf.DUMMYFUNCTION("""COMPUTED_VALUE"""),"zaibot")</f>
        <v>zaibot</v>
      </c>
      <c r="B13571" s="4" t="str">
        <f>IFERROR(__xludf.DUMMYFUNCTION("""COMPUTED_VALUE"""),"zai")</f>
        <v>zai</v>
      </c>
      <c r="C13571" s="4" t="str">
        <f>IFERROR(__xludf.DUMMYFUNCTION("""COMPUTED_VALUE"""),"Zaibot")</f>
        <v>Zaibot</v>
      </c>
    </row>
    <row r="13572">
      <c r="A13572" s="4" t="str">
        <f>IFERROR(__xludf.DUMMYFUNCTION("""COMPUTED_VALUE"""),"zaif-token")</f>
        <v>zaif-token</v>
      </c>
      <c r="B13572" s="4" t="str">
        <f>IFERROR(__xludf.DUMMYFUNCTION("""COMPUTED_VALUE"""),"zaif")</f>
        <v>zaif</v>
      </c>
      <c r="C13572" s="4" t="str">
        <f>IFERROR(__xludf.DUMMYFUNCTION("""COMPUTED_VALUE"""),"Zaif")</f>
        <v>Zaif</v>
      </c>
    </row>
    <row r="13573">
      <c r="A13573" s="4" t="str">
        <f>IFERROR(__xludf.DUMMYFUNCTION("""COMPUTED_VALUE"""),"zaiho")</f>
        <v>zaiho</v>
      </c>
      <c r="B13573" s="4" t="str">
        <f>IFERROR(__xludf.DUMMYFUNCTION("""COMPUTED_VALUE"""),"zai")</f>
        <v>zai</v>
      </c>
      <c r="C13573" s="4" t="str">
        <f>IFERROR(__xludf.DUMMYFUNCTION("""COMPUTED_VALUE"""),"ZAIHO")</f>
        <v>ZAIHO</v>
      </c>
    </row>
    <row r="13574">
      <c r="A13574" s="4" t="str">
        <f>IFERROR(__xludf.DUMMYFUNCTION("""COMPUTED_VALUE"""),"zakumifi")</f>
        <v>zakumifi</v>
      </c>
      <c r="B13574" s="4" t="str">
        <f>IFERROR(__xludf.DUMMYFUNCTION("""COMPUTED_VALUE"""),"zafi")</f>
        <v>zafi</v>
      </c>
      <c r="C13574" s="4" t="str">
        <f>IFERROR(__xludf.DUMMYFUNCTION("""COMPUTED_VALUE"""),"ZakumiFi")</f>
        <v>ZakumiFi</v>
      </c>
    </row>
    <row r="13575">
      <c r="A13575" s="4" t="str">
        <f>IFERROR(__xludf.DUMMYFUNCTION("""COMPUTED_VALUE"""),"zambesigold")</f>
        <v>zambesigold</v>
      </c>
      <c r="B13575" s="4" t="str">
        <f>IFERROR(__xludf.DUMMYFUNCTION("""COMPUTED_VALUE"""),"zgd")</f>
        <v>zgd</v>
      </c>
      <c r="C13575" s="4" t="str">
        <f>IFERROR(__xludf.DUMMYFUNCTION("""COMPUTED_VALUE"""),"ZambesiGold")</f>
        <v>ZambesiGold</v>
      </c>
    </row>
    <row r="13576">
      <c r="A13576" s="4" t="str">
        <f>IFERROR(__xludf.DUMMYFUNCTION("""COMPUTED_VALUE"""),"zam-io")</f>
        <v>zam-io</v>
      </c>
      <c r="B13576" s="4" t="str">
        <f>IFERROR(__xludf.DUMMYFUNCTION("""COMPUTED_VALUE"""),"zam")</f>
        <v>zam</v>
      </c>
      <c r="C13576" s="5" t="str">
        <f>IFERROR(__xludf.DUMMYFUNCTION("""COMPUTED_VALUE"""),"Zam.io")</f>
        <v>Zam.io</v>
      </c>
    </row>
    <row r="13577">
      <c r="A13577" s="4" t="str">
        <f>IFERROR(__xludf.DUMMYFUNCTION("""COMPUTED_VALUE"""),"zanix")</f>
        <v>zanix</v>
      </c>
      <c r="B13577" s="4" t="str">
        <f>IFERROR(__xludf.DUMMYFUNCTION("""COMPUTED_VALUE"""),"nix")</f>
        <v>nix</v>
      </c>
      <c r="C13577" s="4" t="str">
        <f>IFERROR(__xludf.DUMMYFUNCTION("""COMPUTED_VALUE"""),"Zanix")</f>
        <v>Zanix</v>
      </c>
    </row>
    <row r="13578">
      <c r="A13578" s="4" t="str">
        <f>IFERROR(__xludf.DUMMYFUNCTION("""COMPUTED_VALUE"""),"zano")</f>
        <v>zano</v>
      </c>
      <c r="B13578" s="4" t="str">
        <f>IFERROR(__xludf.DUMMYFUNCTION("""COMPUTED_VALUE"""),"zano")</f>
        <v>zano</v>
      </c>
      <c r="C13578" s="4" t="str">
        <f>IFERROR(__xludf.DUMMYFUNCTION("""COMPUTED_VALUE"""),"Zano")</f>
        <v>Zano</v>
      </c>
    </row>
    <row r="13579">
      <c r="A13579" s="4" t="str">
        <f>IFERROR(__xludf.DUMMYFUNCTION("""COMPUTED_VALUE"""),"zap")</f>
        <v>zap</v>
      </c>
      <c r="B13579" s="4" t="str">
        <f>IFERROR(__xludf.DUMMYFUNCTION("""COMPUTED_VALUE"""),"zap")</f>
        <v>zap</v>
      </c>
      <c r="C13579" s="4" t="str">
        <f>IFERROR(__xludf.DUMMYFUNCTION("""COMPUTED_VALUE"""),"Zap")</f>
        <v>Zap</v>
      </c>
    </row>
    <row r="13580">
      <c r="A13580" s="4" t="str">
        <f>IFERROR(__xludf.DUMMYFUNCTION("""COMPUTED_VALUE"""),"zapexchange")</f>
        <v>zapexchange</v>
      </c>
      <c r="B13580" s="4" t="str">
        <f>IFERROR(__xludf.DUMMYFUNCTION("""COMPUTED_VALUE"""),"zapex")</f>
        <v>zapex</v>
      </c>
      <c r="C13580" s="4" t="str">
        <f>IFERROR(__xludf.DUMMYFUNCTION("""COMPUTED_VALUE"""),"ZapExchange")</f>
        <v>ZapExchange</v>
      </c>
    </row>
    <row r="13581">
      <c r="A13581" s="4" t="str">
        <f>IFERROR(__xludf.DUMMYFUNCTION("""COMPUTED_VALUE"""),"zapicorn")</f>
        <v>zapicorn</v>
      </c>
      <c r="B13581" s="4" t="str">
        <f>IFERROR(__xludf.DUMMYFUNCTION("""COMPUTED_VALUE"""),"zapi")</f>
        <v>zapi</v>
      </c>
      <c r="C13581" s="4" t="str">
        <f>IFERROR(__xludf.DUMMYFUNCTION("""COMPUTED_VALUE"""),"Zapicorn")</f>
        <v>Zapicorn</v>
      </c>
    </row>
    <row r="13582">
      <c r="A13582" s="4" t="str">
        <f>IFERROR(__xludf.DUMMYFUNCTION("""COMPUTED_VALUE"""),"zarp-stablecoin")</f>
        <v>zarp-stablecoin</v>
      </c>
      <c r="B13582" s="4" t="str">
        <f>IFERROR(__xludf.DUMMYFUNCTION("""COMPUTED_VALUE"""),"zarp")</f>
        <v>zarp</v>
      </c>
      <c r="C13582" s="4" t="str">
        <f>IFERROR(__xludf.DUMMYFUNCTION("""COMPUTED_VALUE"""),"ZARP Stablecoin")</f>
        <v>ZARP Stablecoin</v>
      </c>
    </row>
    <row r="13583">
      <c r="A13583" s="4" t="str">
        <f>IFERROR(__xludf.DUMMYFUNCTION("""COMPUTED_VALUE"""),"zasset-zusd")</f>
        <v>zasset-zusd</v>
      </c>
      <c r="B13583" s="4" t="str">
        <f>IFERROR(__xludf.DUMMYFUNCTION("""COMPUTED_VALUE"""),"zusd")</f>
        <v>zusd</v>
      </c>
      <c r="C13583" s="4" t="str">
        <f>IFERROR(__xludf.DUMMYFUNCTION("""COMPUTED_VALUE"""),"Zasset zUSD")</f>
        <v>Zasset zUSD</v>
      </c>
    </row>
    <row r="13584">
      <c r="A13584" s="4" t="str">
        <f>IFERROR(__xludf.DUMMYFUNCTION("""COMPUTED_VALUE"""),"zatcoin-2")</f>
        <v>zatcoin-2</v>
      </c>
      <c r="B13584" s="4" t="str">
        <f>IFERROR(__xludf.DUMMYFUNCTION("""COMPUTED_VALUE"""),"zpro")</f>
        <v>zpro</v>
      </c>
      <c r="C13584" s="4" t="str">
        <f>IFERROR(__xludf.DUMMYFUNCTION("""COMPUTED_VALUE"""),"ZAT Project")</f>
        <v>ZAT Project</v>
      </c>
    </row>
    <row r="13585">
      <c r="A13585" s="4" t="str">
        <f>IFERROR(__xludf.DUMMYFUNCTION("""COMPUTED_VALUE"""),"zbit-ordinals")</f>
        <v>zbit-ordinals</v>
      </c>
      <c r="B13585" s="4" t="str">
        <f>IFERROR(__xludf.DUMMYFUNCTION("""COMPUTED_VALUE"""),"zbit")</f>
        <v>zbit</v>
      </c>
      <c r="C13585" s="4" t="str">
        <f>IFERROR(__xludf.DUMMYFUNCTION("""COMPUTED_VALUE"""),"ZBIT (Ordinals)")</f>
        <v>ZBIT (Ordinals)</v>
      </c>
    </row>
    <row r="13586">
      <c r="A13586" s="4" t="str">
        <f>IFERROR(__xludf.DUMMYFUNCTION("""COMPUTED_VALUE"""),"zbyte")</f>
        <v>zbyte</v>
      </c>
      <c r="B13586" s="4" t="str">
        <f>IFERROR(__xludf.DUMMYFUNCTION("""COMPUTED_VALUE"""),"dplat")</f>
        <v>dplat</v>
      </c>
      <c r="C13586" s="4" t="str">
        <f>IFERROR(__xludf.DUMMYFUNCTION("""COMPUTED_VALUE"""),"zbyte")</f>
        <v>zbyte</v>
      </c>
    </row>
    <row r="13587">
      <c r="A13587" s="4" t="str">
        <f>IFERROR(__xludf.DUMMYFUNCTION("""COMPUTED_VALUE"""),"zcash")</f>
        <v>zcash</v>
      </c>
      <c r="B13587" s="4" t="str">
        <f>IFERROR(__xludf.DUMMYFUNCTION("""COMPUTED_VALUE"""),"zec")</f>
        <v>zec</v>
      </c>
      <c r="C13587" s="4" t="str">
        <f>IFERROR(__xludf.DUMMYFUNCTION("""COMPUTED_VALUE"""),"Zcash")</f>
        <v>Zcash</v>
      </c>
    </row>
    <row r="13588">
      <c r="A13588" s="4" t="str">
        <f>IFERROR(__xludf.DUMMYFUNCTION("""COMPUTED_VALUE"""),"zclassic")</f>
        <v>zclassic</v>
      </c>
      <c r="B13588" s="4" t="str">
        <f>IFERROR(__xludf.DUMMYFUNCTION("""COMPUTED_VALUE"""),"zcl")</f>
        <v>zcl</v>
      </c>
      <c r="C13588" s="4" t="str">
        <f>IFERROR(__xludf.DUMMYFUNCTION("""COMPUTED_VALUE"""),"Zclassic")</f>
        <v>Zclassic</v>
      </c>
    </row>
    <row r="13589">
      <c r="A13589" s="4" t="str">
        <f>IFERROR(__xludf.DUMMYFUNCTION("""COMPUTED_VALUE"""),"zcoin")</f>
        <v>zcoin</v>
      </c>
      <c r="B13589" s="4" t="str">
        <f>IFERROR(__xludf.DUMMYFUNCTION("""COMPUTED_VALUE"""),"firo")</f>
        <v>firo</v>
      </c>
      <c r="C13589" s="4" t="str">
        <f>IFERROR(__xludf.DUMMYFUNCTION("""COMPUTED_VALUE"""),"Firo")</f>
        <v>Firo</v>
      </c>
    </row>
    <row r="13590">
      <c r="A13590" s="4" t="str">
        <f>IFERROR(__xludf.DUMMYFUNCTION("""COMPUTED_VALUE"""),"zcore-2")</f>
        <v>zcore-2</v>
      </c>
      <c r="B13590" s="4" t="str">
        <f>IFERROR(__xludf.DUMMYFUNCTION("""COMPUTED_VALUE"""),"zcr")</f>
        <v>zcr</v>
      </c>
      <c r="C13590" s="4" t="str">
        <f>IFERROR(__xludf.DUMMYFUNCTION("""COMPUTED_VALUE"""),"ZCore")</f>
        <v>ZCore</v>
      </c>
    </row>
    <row r="13591">
      <c r="A13591" s="4" t="str">
        <f>IFERROR(__xludf.DUMMYFUNCTION("""COMPUTED_VALUE"""),"zcore-finance")</f>
        <v>zcore-finance</v>
      </c>
      <c r="B13591" s="4" t="str">
        <f>IFERROR(__xludf.DUMMYFUNCTION("""COMPUTED_VALUE"""),"zefi")</f>
        <v>zefi</v>
      </c>
      <c r="C13591" s="4" t="str">
        <f>IFERROR(__xludf.DUMMYFUNCTION("""COMPUTED_VALUE"""),"ZCore Finance")</f>
        <v>ZCore Finance</v>
      </c>
    </row>
    <row r="13592">
      <c r="A13592" s="4" t="str">
        <f>IFERROR(__xludf.DUMMYFUNCTION("""COMPUTED_VALUE"""),"z-cubed")</f>
        <v>z-cubed</v>
      </c>
      <c r="B13592" s="4" t="str">
        <f>IFERROR(__xludf.DUMMYFUNCTION("""COMPUTED_VALUE"""),"z3")</f>
        <v>z3</v>
      </c>
      <c r="C13592" s="4" t="str">
        <f>IFERROR(__xludf.DUMMYFUNCTION("""COMPUTED_VALUE"""),"Z-Cubed")</f>
        <v>Z-Cubed</v>
      </c>
    </row>
    <row r="13593">
      <c r="A13593" s="4" t="str">
        <f>IFERROR(__xludf.DUMMYFUNCTION("""COMPUTED_VALUE"""),"zeal-ai")</f>
        <v>zeal-ai</v>
      </c>
      <c r="B13593" s="4" t="str">
        <f>IFERROR(__xludf.DUMMYFUNCTION("""COMPUTED_VALUE"""),"zai")</f>
        <v>zai</v>
      </c>
      <c r="C13593" s="4" t="str">
        <f>IFERROR(__xludf.DUMMYFUNCTION("""COMPUTED_VALUE"""),"Zeal AI")</f>
        <v>Zeal AI</v>
      </c>
    </row>
    <row r="13594">
      <c r="A13594" s="4" t="str">
        <f>IFERROR(__xludf.DUMMYFUNCTION("""COMPUTED_VALUE"""),"zebec-protocol")</f>
        <v>zebec-protocol</v>
      </c>
      <c r="B13594" s="4" t="str">
        <f>IFERROR(__xludf.DUMMYFUNCTION("""COMPUTED_VALUE"""),"zbc")</f>
        <v>zbc</v>
      </c>
      <c r="C13594" s="4" t="str">
        <f>IFERROR(__xludf.DUMMYFUNCTION("""COMPUTED_VALUE"""),"Zebec Protocol")</f>
        <v>Zebec Protocol</v>
      </c>
    </row>
    <row r="13595">
      <c r="A13595" s="4" t="str">
        <f>IFERROR(__xludf.DUMMYFUNCTION("""COMPUTED_VALUE"""),"zebi")</f>
        <v>zebi</v>
      </c>
      <c r="B13595" s="4" t="str">
        <f>IFERROR(__xludf.DUMMYFUNCTION("""COMPUTED_VALUE"""),"zco")</f>
        <v>zco</v>
      </c>
      <c r="C13595" s="4" t="str">
        <f>IFERROR(__xludf.DUMMYFUNCTION("""COMPUTED_VALUE"""),"Zebi")</f>
        <v>Zebi</v>
      </c>
    </row>
    <row r="13596">
      <c r="A13596" s="4" t="str">
        <f>IFERROR(__xludf.DUMMYFUNCTION("""COMPUTED_VALUE"""),"zebradao")</f>
        <v>zebradao</v>
      </c>
      <c r="B13596" s="4" t="str">
        <f>IFERROR(__xludf.DUMMYFUNCTION("""COMPUTED_VALUE"""),"zeb")</f>
        <v>zeb</v>
      </c>
      <c r="C13596" s="4" t="str">
        <f>IFERROR(__xludf.DUMMYFUNCTION("""COMPUTED_VALUE"""),"ZebraDAO")</f>
        <v>ZebraDAO</v>
      </c>
    </row>
    <row r="13597">
      <c r="A13597" s="4" t="str">
        <f>IFERROR(__xludf.DUMMYFUNCTION("""COMPUTED_VALUE"""),"zebu")</f>
        <v>zebu</v>
      </c>
      <c r="B13597" s="4" t="str">
        <f>IFERROR(__xludf.DUMMYFUNCTION("""COMPUTED_VALUE"""),"zebu")</f>
        <v>zebu</v>
      </c>
      <c r="C13597" s="4" t="str">
        <f>IFERROR(__xludf.DUMMYFUNCTION("""COMPUTED_VALUE"""),"ZEBU")</f>
        <v>ZEBU</v>
      </c>
    </row>
    <row r="13598">
      <c r="A13598" s="4" t="str">
        <f>IFERROR(__xludf.DUMMYFUNCTION("""COMPUTED_VALUE"""),"zed-run")</f>
        <v>zed-run</v>
      </c>
      <c r="B13598" s="4" t="str">
        <f>IFERROR(__xludf.DUMMYFUNCTION("""COMPUTED_VALUE"""),"zed")</f>
        <v>zed</v>
      </c>
      <c r="C13598" s="4" t="str">
        <f>IFERROR(__xludf.DUMMYFUNCTION("""COMPUTED_VALUE"""),"ZED RUN")</f>
        <v>ZED RUN</v>
      </c>
    </row>
    <row r="13599">
      <c r="A13599" s="4" t="str">
        <f>IFERROR(__xludf.DUMMYFUNCTION("""COMPUTED_VALUE"""),"zedxion")</f>
        <v>zedxion</v>
      </c>
      <c r="B13599" s="4" t="str">
        <f>IFERROR(__xludf.DUMMYFUNCTION("""COMPUTED_VALUE"""),"zedxion")</f>
        <v>zedxion</v>
      </c>
      <c r="C13599" s="4" t="str">
        <f>IFERROR(__xludf.DUMMYFUNCTION("""COMPUTED_VALUE"""),"Zedxion")</f>
        <v>Zedxion</v>
      </c>
    </row>
    <row r="13600">
      <c r="A13600" s="4" t="str">
        <f>IFERROR(__xludf.DUMMYFUNCTION("""COMPUTED_VALUE"""),"zedxion-usdz")</f>
        <v>zedxion-usdz</v>
      </c>
      <c r="B13600" s="4" t="str">
        <f>IFERROR(__xludf.DUMMYFUNCTION("""COMPUTED_VALUE"""),"usdz")</f>
        <v>usdz</v>
      </c>
      <c r="C13600" s="4" t="str">
        <f>IFERROR(__xludf.DUMMYFUNCTION("""COMPUTED_VALUE"""),"Zedxion USDZ")</f>
        <v>Zedxion USDZ</v>
      </c>
    </row>
    <row r="13601">
      <c r="A13601" s="4" t="str">
        <f>IFERROR(__xludf.DUMMYFUNCTION("""COMPUTED_VALUE"""),"zeebu")</f>
        <v>zeebu</v>
      </c>
      <c r="B13601" s="4" t="str">
        <f>IFERROR(__xludf.DUMMYFUNCTION("""COMPUTED_VALUE"""),"zbu")</f>
        <v>zbu</v>
      </c>
      <c r="C13601" s="4" t="str">
        <f>IFERROR(__xludf.DUMMYFUNCTION("""COMPUTED_VALUE"""),"Zeebu")</f>
        <v>Zeebu</v>
      </c>
    </row>
    <row r="13602">
      <c r="A13602" s="4" t="str">
        <f>IFERROR(__xludf.DUMMYFUNCTION("""COMPUTED_VALUE"""),"zeedex")</f>
        <v>zeedex</v>
      </c>
      <c r="B13602" s="4" t="str">
        <f>IFERROR(__xludf.DUMMYFUNCTION("""COMPUTED_VALUE"""),"zdex")</f>
        <v>zdex</v>
      </c>
      <c r="C13602" s="4" t="str">
        <f>IFERROR(__xludf.DUMMYFUNCTION("""COMPUTED_VALUE"""),"Zeedex")</f>
        <v>Zeedex</v>
      </c>
    </row>
    <row r="13603">
      <c r="A13603" s="4" t="str">
        <f>IFERROR(__xludf.DUMMYFUNCTION("""COMPUTED_VALUE"""),"zeek-coin")</f>
        <v>zeek-coin</v>
      </c>
      <c r="B13603" s="4" t="str">
        <f>IFERROR(__xludf.DUMMYFUNCTION("""COMPUTED_VALUE"""),"meow")</f>
        <v>meow</v>
      </c>
      <c r="C13603" s="4" t="str">
        <f>IFERROR(__xludf.DUMMYFUNCTION("""COMPUTED_VALUE"""),"Zeek Coin")</f>
        <v>Zeek Coin</v>
      </c>
    </row>
    <row r="13604">
      <c r="A13604" s="4" t="str">
        <f>IFERROR(__xludf.DUMMYFUNCTION("""COMPUTED_VALUE"""),"zeekwifhat")</f>
        <v>zeekwifhat</v>
      </c>
      <c r="B13604" s="4" t="str">
        <f>IFERROR(__xludf.DUMMYFUNCTION("""COMPUTED_VALUE"""),"zwif")</f>
        <v>zwif</v>
      </c>
      <c r="C13604" s="4" t="str">
        <f>IFERROR(__xludf.DUMMYFUNCTION("""COMPUTED_VALUE"""),"Zeekwifhat")</f>
        <v>Zeekwifhat</v>
      </c>
    </row>
    <row r="13605">
      <c r="A13605" s="4" t="str">
        <f>IFERROR(__xludf.DUMMYFUNCTION("""COMPUTED_VALUE"""),"zeemcoin")</f>
        <v>zeemcoin</v>
      </c>
      <c r="B13605" s="4" t="str">
        <f>IFERROR(__xludf.DUMMYFUNCTION("""COMPUTED_VALUE"""),"zeem")</f>
        <v>zeem</v>
      </c>
      <c r="C13605" s="4" t="str">
        <f>IFERROR(__xludf.DUMMYFUNCTION("""COMPUTED_VALUE"""),"Zeemcoin")</f>
        <v>Zeemcoin</v>
      </c>
    </row>
    <row r="13606">
      <c r="A13606" s="4" t="str">
        <f>IFERROR(__xludf.DUMMYFUNCTION("""COMPUTED_VALUE"""),"zeepin")</f>
        <v>zeepin</v>
      </c>
      <c r="B13606" s="4" t="str">
        <f>IFERROR(__xludf.DUMMYFUNCTION("""COMPUTED_VALUE"""),"zpt")</f>
        <v>zpt</v>
      </c>
      <c r="C13606" s="4" t="str">
        <f>IFERROR(__xludf.DUMMYFUNCTION("""COMPUTED_VALUE"""),"Zeepin")</f>
        <v>Zeepin</v>
      </c>
    </row>
    <row r="13607">
      <c r="A13607" s="4" t="str">
        <f>IFERROR(__xludf.DUMMYFUNCTION("""COMPUTED_VALUE"""),"zeepr")</f>
        <v>zeepr</v>
      </c>
      <c r="B13607" s="4" t="str">
        <f>IFERROR(__xludf.DUMMYFUNCTION("""COMPUTED_VALUE"""),"zeep")</f>
        <v>zeep</v>
      </c>
      <c r="C13607" s="4" t="str">
        <f>IFERROR(__xludf.DUMMYFUNCTION("""COMPUTED_VALUE"""),"Zeepr")</f>
        <v>Zeepr</v>
      </c>
    </row>
    <row r="13608">
      <c r="A13608" s="4" t="str">
        <f>IFERROR(__xludf.DUMMYFUNCTION("""COMPUTED_VALUE"""),"zeitgeist")</f>
        <v>zeitgeist</v>
      </c>
      <c r="B13608" s="4" t="str">
        <f>IFERROR(__xludf.DUMMYFUNCTION("""COMPUTED_VALUE"""),"ztg")</f>
        <v>ztg</v>
      </c>
      <c r="C13608" s="4" t="str">
        <f>IFERROR(__xludf.DUMMYFUNCTION("""COMPUTED_VALUE"""),"Zeitgeist")</f>
        <v>Zeitgeist</v>
      </c>
    </row>
    <row r="13609">
      <c r="A13609" s="4" t="str">
        <f>IFERROR(__xludf.DUMMYFUNCTION("""COMPUTED_VALUE"""),"zelcash")</f>
        <v>zelcash</v>
      </c>
      <c r="B13609" s="4" t="str">
        <f>IFERROR(__xludf.DUMMYFUNCTION("""COMPUTED_VALUE"""),"flux")</f>
        <v>flux</v>
      </c>
      <c r="C13609" s="4" t="str">
        <f>IFERROR(__xludf.DUMMYFUNCTION("""COMPUTED_VALUE"""),"Flux")</f>
        <v>Flux</v>
      </c>
    </row>
    <row r="13610">
      <c r="A13610" s="4" t="str">
        <f>IFERROR(__xludf.DUMMYFUNCTION("""COMPUTED_VALUE"""),"zelix")</f>
        <v>zelix</v>
      </c>
      <c r="B13610" s="4" t="str">
        <f>IFERROR(__xludf.DUMMYFUNCTION("""COMPUTED_VALUE"""),"zelix")</f>
        <v>zelix</v>
      </c>
      <c r="C13610" s="4" t="str">
        <f>IFERROR(__xludf.DUMMYFUNCTION("""COMPUTED_VALUE"""),"ZELIX")</f>
        <v>ZELIX</v>
      </c>
    </row>
    <row r="13611">
      <c r="A13611" s="4" t="str">
        <f>IFERROR(__xludf.DUMMYFUNCTION("""COMPUTED_VALUE"""),"zeloop-eco-reward")</f>
        <v>zeloop-eco-reward</v>
      </c>
      <c r="B13611" s="4" t="str">
        <f>IFERROR(__xludf.DUMMYFUNCTION("""COMPUTED_VALUE"""),"erw")</f>
        <v>erw</v>
      </c>
      <c r="C13611" s="4" t="str">
        <f>IFERROR(__xludf.DUMMYFUNCTION("""COMPUTED_VALUE"""),"ZeLoop Eco Reward")</f>
        <v>ZeLoop Eco Reward</v>
      </c>
    </row>
    <row r="13612">
      <c r="A13612" s="4" t="str">
        <f>IFERROR(__xludf.DUMMYFUNCTION("""COMPUTED_VALUE"""),"zelwin")</f>
        <v>zelwin</v>
      </c>
      <c r="B13612" s="4" t="str">
        <f>IFERROR(__xludf.DUMMYFUNCTION("""COMPUTED_VALUE"""),"zlw")</f>
        <v>zlw</v>
      </c>
      <c r="C13612" s="4" t="str">
        <f>IFERROR(__xludf.DUMMYFUNCTION("""COMPUTED_VALUE"""),"Zelwin")</f>
        <v>Zelwin</v>
      </c>
    </row>
    <row r="13613">
      <c r="A13613" s="4" t="str">
        <f>IFERROR(__xludf.DUMMYFUNCTION("""COMPUTED_VALUE"""),"zencash")</f>
        <v>zencash</v>
      </c>
      <c r="B13613" s="4" t="str">
        <f>IFERROR(__xludf.DUMMYFUNCTION("""COMPUTED_VALUE"""),"zen")</f>
        <v>zen</v>
      </c>
      <c r="C13613" s="4" t="str">
        <f>IFERROR(__xludf.DUMMYFUNCTION("""COMPUTED_VALUE"""),"Horizen")</f>
        <v>Horizen</v>
      </c>
    </row>
    <row r="13614">
      <c r="A13614" s="4" t="str">
        <f>IFERROR(__xludf.DUMMYFUNCTION("""COMPUTED_VALUE"""),"zenc-coin")</f>
        <v>zenc-coin</v>
      </c>
      <c r="B13614" s="4" t="str">
        <f>IFERROR(__xludf.DUMMYFUNCTION("""COMPUTED_VALUE"""),"zenc")</f>
        <v>zenc</v>
      </c>
      <c r="C13614" s="4" t="str">
        <f>IFERROR(__xludf.DUMMYFUNCTION("""COMPUTED_VALUE"""),"Zenc Coin")</f>
        <v>Zenc Coin</v>
      </c>
    </row>
    <row r="13615">
      <c r="A13615" s="4" t="str">
        <f>IFERROR(__xludf.DUMMYFUNCTION("""COMPUTED_VALUE"""),"zenex")</f>
        <v>zenex</v>
      </c>
      <c r="B13615" s="4" t="str">
        <f>IFERROR(__xludf.DUMMYFUNCTION("""COMPUTED_VALUE"""),"znx")</f>
        <v>znx</v>
      </c>
      <c r="C13615" s="4" t="str">
        <f>IFERROR(__xludf.DUMMYFUNCTION("""COMPUTED_VALUE"""),"ZENEX")</f>
        <v>ZENEX</v>
      </c>
    </row>
    <row r="13616">
      <c r="A13616" s="4" t="str">
        <f>IFERROR(__xludf.DUMMYFUNCTION("""COMPUTED_VALUE"""),"zenfuse")</f>
        <v>zenfuse</v>
      </c>
      <c r="B13616" s="4" t="str">
        <f>IFERROR(__xludf.DUMMYFUNCTION("""COMPUTED_VALUE"""),"zefu")</f>
        <v>zefu</v>
      </c>
      <c r="C13616" s="4" t="str">
        <f>IFERROR(__xludf.DUMMYFUNCTION("""COMPUTED_VALUE"""),"Zenfuse")</f>
        <v>Zenfuse</v>
      </c>
    </row>
    <row r="13617">
      <c r="A13617" s="4" t="str">
        <f>IFERROR(__xludf.DUMMYFUNCTION("""COMPUTED_VALUE"""),"zeniq")</f>
        <v>zeniq</v>
      </c>
      <c r="B13617" s="4" t="str">
        <f>IFERROR(__xludf.DUMMYFUNCTION("""COMPUTED_VALUE"""),"zeniq")</f>
        <v>zeniq</v>
      </c>
      <c r="C13617" s="4" t="str">
        <f>IFERROR(__xludf.DUMMYFUNCTION("""COMPUTED_VALUE"""),"ZENIQ")</f>
        <v>ZENIQ</v>
      </c>
    </row>
    <row r="13618">
      <c r="A13618" s="4" t="str">
        <f>IFERROR(__xludf.DUMMYFUNCTION("""COMPUTED_VALUE"""),"zenith-2")</f>
        <v>zenith-2</v>
      </c>
      <c r="B13618" s="4" t="str">
        <f>IFERROR(__xludf.DUMMYFUNCTION("""COMPUTED_VALUE"""),"zen")</f>
        <v>zen</v>
      </c>
      <c r="C13618" s="4" t="str">
        <f>IFERROR(__xludf.DUMMYFUNCTION("""COMPUTED_VALUE"""),"Zenith")</f>
        <v>Zenith</v>
      </c>
    </row>
    <row r="13619">
      <c r="A13619" s="4" t="str">
        <f>IFERROR(__xludf.DUMMYFUNCTION("""COMPUTED_VALUE"""),"zenith-chain")</f>
        <v>zenith-chain</v>
      </c>
      <c r="B13619" s="4" t="str">
        <f>IFERROR(__xludf.DUMMYFUNCTION("""COMPUTED_VALUE"""),"zenith")</f>
        <v>zenith</v>
      </c>
      <c r="C13619" s="4" t="str">
        <f>IFERROR(__xludf.DUMMYFUNCTION("""COMPUTED_VALUE"""),"Zenith Chain")</f>
        <v>Zenith Chain</v>
      </c>
    </row>
    <row r="13620">
      <c r="A13620" s="4" t="str">
        <f>IFERROR(__xludf.DUMMYFUNCTION("""COMPUTED_VALUE"""),"zenithereum")</f>
        <v>zenithereum</v>
      </c>
      <c r="B13620" s="4" t="str">
        <f>IFERROR(__xludf.DUMMYFUNCTION("""COMPUTED_VALUE"""),"zen-ai")</f>
        <v>zen-ai</v>
      </c>
      <c r="C13620" s="4" t="str">
        <f>IFERROR(__xludf.DUMMYFUNCTION("""COMPUTED_VALUE"""),"Zenithereum")</f>
        <v>Zenithereum</v>
      </c>
    </row>
    <row r="13621">
      <c r="A13621" s="4" t="str">
        <f>IFERROR(__xludf.DUMMYFUNCTION("""COMPUTED_VALUE"""),"zenithswap")</f>
        <v>zenithswap</v>
      </c>
      <c r="B13621" s="4" t="str">
        <f>IFERROR(__xludf.DUMMYFUNCTION("""COMPUTED_VALUE"""),"zsp")</f>
        <v>zsp</v>
      </c>
      <c r="C13621" s="4" t="str">
        <f>IFERROR(__xludf.DUMMYFUNCTION("""COMPUTED_VALUE"""),"ZenithSwap")</f>
        <v>ZenithSwap</v>
      </c>
    </row>
    <row r="13622">
      <c r="A13622" s="4" t="str">
        <f>IFERROR(__xludf.DUMMYFUNCTION("""COMPUTED_VALUE"""),"zenith-wallet")</f>
        <v>zenith-wallet</v>
      </c>
      <c r="B13622" s="4" t="str">
        <f>IFERROR(__xludf.DUMMYFUNCTION("""COMPUTED_VALUE"""),"zw")</f>
        <v>zw</v>
      </c>
      <c r="C13622" s="4" t="str">
        <f>IFERROR(__xludf.DUMMYFUNCTION("""COMPUTED_VALUE"""),"Zenith Wallet")</f>
        <v>Zenith Wallet</v>
      </c>
    </row>
    <row r="13623">
      <c r="A13623" s="4" t="str">
        <f>IFERROR(__xludf.DUMMYFUNCTION("""COMPUTED_VALUE"""),"zenland")</f>
        <v>zenland</v>
      </c>
      <c r="B13623" s="4" t="str">
        <f>IFERROR(__xludf.DUMMYFUNCTION("""COMPUTED_VALUE"""),"zenf")</f>
        <v>zenf</v>
      </c>
      <c r="C13623" s="4" t="str">
        <f>IFERROR(__xludf.DUMMYFUNCTION("""COMPUTED_VALUE"""),"Zenland")</f>
        <v>Zenland</v>
      </c>
    </row>
    <row r="13624">
      <c r="A13624" s="4" t="str">
        <f>IFERROR(__xludf.DUMMYFUNCTION("""COMPUTED_VALUE"""),"zenlink-network-token")</f>
        <v>zenlink-network-token</v>
      </c>
      <c r="B13624" s="4" t="str">
        <f>IFERROR(__xludf.DUMMYFUNCTION("""COMPUTED_VALUE"""),"zlk")</f>
        <v>zlk</v>
      </c>
      <c r="C13624" s="4" t="str">
        <f>IFERROR(__xludf.DUMMYFUNCTION("""COMPUTED_VALUE"""),"Zenlink Network")</f>
        <v>Zenlink Network</v>
      </c>
    </row>
    <row r="13625">
      <c r="A13625" s="4" t="str">
        <f>IFERROR(__xludf.DUMMYFUNCTION("""COMPUTED_VALUE"""),"zenocard")</f>
        <v>zenocard</v>
      </c>
      <c r="B13625" s="4" t="str">
        <f>IFERROR(__xludf.DUMMYFUNCTION("""COMPUTED_VALUE"""),"zeno")</f>
        <v>zeno</v>
      </c>
      <c r="C13625" s="4" t="str">
        <f>IFERROR(__xludf.DUMMYFUNCTION("""COMPUTED_VALUE"""),"ZenoCard")</f>
        <v>ZenoCard</v>
      </c>
    </row>
    <row r="13626">
      <c r="A13626" s="4" t="str">
        <f>IFERROR(__xludf.DUMMYFUNCTION("""COMPUTED_VALUE"""),"zenon-2")</f>
        <v>zenon-2</v>
      </c>
      <c r="B13626" s="4" t="str">
        <f>IFERROR(__xludf.DUMMYFUNCTION("""COMPUTED_VALUE"""),"znn")</f>
        <v>znn</v>
      </c>
      <c r="C13626" s="4" t="str">
        <f>IFERROR(__xludf.DUMMYFUNCTION("""COMPUTED_VALUE"""),"Zenon")</f>
        <v>Zenon</v>
      </c>
    </row>
    <row r="13627">
      <c r="A13627" s="4" t="str">
        <f>IFERROR(__xludf.DUMMYFUNCTION("""COMPUTED_VALUE"""),"zenpandacoin")</f>
        <v>zenpandacoin</v>
      </c>
      <c r="B13627" s="4" t="str">
        <f>IFERROR(__xludf.DUMMYFUNCTION("""COMPUTED_VALUE"""),"$zpc")</f>
        <v>$zpc</v>
      </c>
      <c r="C13627" s="4" t="str">
        <f>IFERROR(__xludf.DUMMYFUNCTION("""COMPUTED_VALUE"""),"ZenPandaCoin")</f>
        <v>ZenPandaCoin</v>
      </c>
    </row>
    <row r="13628">
      <c r="A13628" s="4" t="str">
        <f>IFERROR(__xludf.DUMMYFUNCTION("""COMPUTED_VALUE"""),"zent-cash")</f>
        <v>zent-cash</v>
      </c>
      <c r="B13628" s="4" t="str">
        <f>IFERROR(__xludf.DUMMYFUNCTION("""COMPUTED_VALUE"""),"ztc")</f>
        <v>ztc</v>
      </c>
      <c r="C13628" s="4" t="str">
        <f>IFERROR(__xludf.DUMMYFUNCTION("""COMPUTED_VALUE"""),"Zent Cash")</f>
        <v>Zent Cash</v>
      </c>
    </row>
    <row r="13629">
      <c r="A13629" s="4" t="str">
        <f>IFERROR(__xludf.DUMMYFUNCTION("""COMPUTED_VALUE"""),"zenzo")</f>
        <v>zenzo</v>
      </c>
      <c r="B13629" s="4" t="str">
        <f>IFERROR(__xludf.DUMMYFUNCTION("""COMPUTED_VALUE"""),"znz")</f>
        <v>znz</v>
      </c>
      <c r="C13629" s="4" t="str">
        <f>IFERROR(__xludf.DUMMYFUNCTION("""COMPUTED_VALUE"""),"ZENZO")</f>
        <v>ZENZO</v>
      </c>
    </row>
    <row r="13630">
      <c r="A13630" s="4" t="str">
        <f>IFERROR(__xludf.DUMMYFUNCTION("""COMPUTED_VALUE"""),"zeon")</f>
        <v>zeon</v>
      </c>
      <c r="B13630" s="4" t="str">
        <f>IFERROR(__xludf.DUMMYFUNCTION("""COMPUTED_VALUE"""),"zeon")</f>
        <v>zeon</v>
      </c>
      <c r="C13630" s="4" t="str">
        <f>IFERROR(__xludf.DUMMYFUNCTION("""COMPUTED_VALUE"""),"ZEON Network")</f>
        <v>ZEON Network</v>
      </c>
    </row>
    <row r="13631">
      <c r="A13631" s="4" t="str">
        <f>IFERROR(__xludf.DUMMYFUNCTION("""COMPUTED_VALUE"""),"zephyr-protocol")</f>
        <v>zephyr-protocol</v>
      </c>
      <c r="B13631" s="4" t="str">
        <f>IFERROR(__xludf.DUMMYFUNCTION("""COMPUTED_VALUE"""),"zeph")</f>
        <v>zeph</v>
      </c>
      <c r="C13631" s="4" t="str">
        <f>IFERROR(__xludf.DUMMYFUNCTION("""COMPUTED_VALUE"""),"Zephyr Protocol")</f>
        <v>Zephyr Protocol</v>
      </c>
    </row>
    <row r="13632">
      <c r="A13632" s="4" t="str">
        <f>IFERROR(__xludf.DUMMYFUNCTION("""COMPUTED_VALUE"""),"zephyr-protocol-reserve-share")</f>
        <v>zephyr-protocol-reserve-share</v>
      </c>
      <c r="B13632" s="4" t="str">
        <f>IFERROR(__xludf.DUMMYFUNCTION("""COMPUTED_VALUE"""),"zrs")</f>
        <v>zrs</v>
      </c>
      <c r="C13632" s="4" t="str">
        <f>IFERROR(__xludf.DUMMYFUNCTION("""COMPUTED_VALUE"""),"Zephyr Protocol Reserve Share")</f>
        <v>Zephyr Protocol Reserve Share</v>
      </c>
    </row>
    <row r="13633">
      <c r="A13633" s="4" t="str">
        <f>IFERROR(__xludf.DUMMYFUNCTION("""COMPUTED_VALUE"""),"zephyr-protocol-stable-dollar")</f>
        <v>zephyr-protocol-stable-dollar</v>
      </c>
      <c r="B13633" s="4" t="str">
        <f>IFERROR(__xludf.DUMMYFUNCTION("""COMPUTED_VALUE"""),"zsd")</f>
        <v>zsd</v>
      </c>
      <c r="C13633" s="4" t="str">
        <f>IFERROR(__xludf.DUMMYFUNCTION("""COMPUTED_VALUE"""),"Zephyr Protocol Stable Dollar")</f>
        <v>Zephyr Protocol Stable Dollar</v>
      </c>
    </row>
    <row r="13634">
      <c r="A13634" s="4" t="str">
        <f>IFERROR(__xludf.DUMMYFUNCTION("""COMPUTED_VALUE"""),"zer0zer0")</f>
        <v>zer0zer0</v>
      </c>
      <c r="B13634" s="4" t="str">
        <f>IFERROR(__xludf.DUMMYFUNCTION("""COMPUTED_VALUE"""),"00")</f>
        <v>00</v>
      </c>
      <c r="C13634" s="4" t="str">
        <f>IFERROR(__xludf.DUMMYFUNCTION("""COMPUTED_VALUE"""),"00 Token")</f>
        <v>00 Token</v>
      </c>
    </row>
    <row r="13635">
      <c r="A13635" s="4" t="str">
        <f>IFERROR(__xludf.DUMMYFUNCTION("""COMPUTED_VALUE"""),"zero")</f>
        <v>zero</v>
      </c>
      <c r="B13635" s="4" t="str">
        <f>IFERROR(__xludf.DUMMYFUNCTION("""COMPUTED_VALUE"""),"zer")</f>
        <v>zer</v>
      </c>
      <c r="C13635" s="4" t="str">
        <f>IFERROR(__xludf.DUMMYFUNCTION("""COMPUTED_VALUE"""),"Zero")</f>
        <v>Zero</v>
      </c>
    </row>
    <row r="13636">
      <c r="A13636" s="4" t="str">
        <f>IFERROR(__xludf.DUMMYFUNCTION("""COMPUTED_VALUE"""),"zero1-labs")</f>
        <v>zero1-labs</v>
      </c>
      <c r="B13636" s="4" t="str">
        <f>IFERROR(__xludf.DUMMYFUNCTION("""COMPUTED_VALUE"""),"deai")</f>
        <v>deai</v>
      </c>
      <c r="C13636" s="4" t="str">
        <f>IFERROR(__xludf.DUMMYFUNCTION("""COMPUTED_VALUE"""),"Zero1 Labs")</f>
        <v>Zero1 Labs</v>
      </c>
    </row>
    <row r="13637">
      <c r="A13637" s="4" t="str">
        <f>IFERROR(__xludf.DUMMYFUNCTION("""COMPUTED_VALUE"""),"zeroclassic")</f>
        <v>zeroclassic</v>
      </c>
      <c r="B13637" s="4" t="str">
        <f>IFERROR(__xludf.DUMMYFUNCTION("""COMPUTED_VALUE"""),"zerc")</f>
        <v>zerc</v>
      </c>
      <c r="C13637" s="4" t="str">
        <f>IFERROR(__xludf.DUMMYFUNCTION("""COMPUTED_VALUE"""),"ZeroClassic")</f>
        <v>ZeroClassic</v>
      </c>
    </row>
    <row r="13638">
      <c r="A13638" s="4" t="str">
        <f>IFERROR(__xludf.DUMMYFUNCTION("""COMPUTED_VALUE"""),"zero-exchange")</f>
        <v>zero-exchange</v>
      </c>
      <c r="B13638" s="4" t="str">
        <f>IFERROR(__xludf.DUMMYFUNCTION("""COMPUTED_VALUE"""),"zero")</f>
        <v>zero</v>
      </c>
      <c r="C13638" s="4" t="str">
        <f>IFERROR(__xludf.DUMMYFUNCTION("""COMPUTED_VALUE"""),"0.exchange")</f>
        <v>0.exchange</v>
      </c>
    </row>
    <row r="13639">
      <c r="A13639" s="4" t="str">
        <f>IFERROR(__xludf.DUMMYFUNCTION("""COMPUTED_VALUE"""),"zeroliquid")</f>
        <v>zeroliquid</v>
      </c>
      <c r="B13639" s="4" t="str">
        <f>IFERROR(__xludf.DUMMYFUNCTION("""COMPUTED_VALUE"""),"zero")</f>
        <v>zero</v>
      </c>
      <c r="C13639" s="4" t="str">
        <f>IFERROR(__xludf.DUMMYFUNCTION("""COMPUTED_VALUE"""),"ZeroLiquid")</f>
        <v>ZeroLiquid</v>
      </c>
    </row>
    <row r="13640">
      <c r="A13640" s="4" t="str">
        <f>IFERROR(__xludf.DUMMYFUNCTION("""COMPUTED_VALUE"""),"zeroliquid-eth")</f>
        <v>zeroliquid-eth</v>
      </c>
      <c r="B13640" s="4" t="str">
        <f>IFERROR(__xludf.DUMMYFUNCTION("""COMPUTED_VALUE"""),"zeth")</f>
        <v>zeth</v>
      </c>
      <c r="C13640" s="4" t="str">
        <f>IFERROR(__xludf.DUMMYFUNCTION("""COMPUTED_VALUE"""),"ZeroLiquid ETH")</f>
        <v>ZeroLiquid ETH</v>
      </c>
    </row>
    <row r="13641">
      <c r="A13641" s="4" t="str">
        <f>IFERROR(__xludf.DUMMYFUNCTION("""COMPUTED_VALUE"""),"zerosum")</f>
        <v>zerosum</v>
      </c>
      <c r="B13641" s="4" t="str">
        <f>IFERROR(__xludf.DUMMYFUNCTION("""COMPUTED_VALUE"""),"zsum")</f>
        <v>zsum</v>
      </c>
      <c r="C13641" s="4" t="str">
        <f>IFERROR(__xludf.DUMMYFUNCTION("""COMPUTED_VALUE"""),"ZeroSum")</f>
        <v>ZeroSum</v>
      </c>
    </row>
    <row r="13642">
      <c r="A13642" s="4" t="str">
        <f>IFERROR(__xludf.DUMMYFUNCTION("""COMPUTED_VALUE"""),"zeroswap")</f>
        <v>zeroswap</v>
      </c>
      <c r="B13642" s="4" t="str">
        <f>IFERROR(__xludf.DUMMYFUNCTION("""COMPUTED_VALUE"""),"zee")</f>
        <v>zee</v>
      </c>
      <c r="C13642" s="4" t="str">
        <f>IFERROR(__xludf.DUMMYFUNCTION("""COMPUTED_VALUE"""),"ZeroSwap")</f>
        <v>ZeroSwap</v>
      </c>
    </row>
    <row r="13643">
      <c r="A13643" s="4" t="str">
        <f>IFERROR(__xludf.DUMMYFUNCTION("""COMPUTED_VALUE"""),"zeroswapnft")</f>
        <v>zeroswapnft</v>
      </c>
      <c r="B13643" s="4" t="str">
        <f>IFERROR(__xludf.DUMMYFUNCTION("""COMPUTED_VALUE"""),"zero")</f>
        <v>zero</v>
      </c>
      <c r="C13643" s="4" t="str">
        <f>IFERROR(__xludf.DUMMYFUNCTION("""COMPUTED_VALUE"""),"ZeroSwapNFT")</f>
        <v>ZeroSwapNFT</v>
      </c>
    </row>
    <row r="13644">
      <c r="A13644" s="4" t="str">
        <f>IFERROR(__xludf.DUMMYFUNCTION("""COMPUTED_VALUE"""),"zero-tech")</f>
        <v>zero-tech</v>
      </c>
      <c r="B13644" s="4" t="str">
        <f>IFERROR(__xludf.DUMMYFUNCTION("""COMPUTED_VALUE"""),"meow")</f>
        <v>meow</v>
      </c>
      <c r="C13644" s="4" t="str">
        <f>IFERROR(__xludf.DUMMYFUNCTION("""COMPUTED_VALUE"""),"MEOW")</f>
        <v>MEOW</v>
      </c>
    </row>
    <row r="13645">
      <c r="A13645" s="4" t="str">
        <f>IFERROR(__xludf.DUMMYFUNCTION("""COMPUTED_VALUE"""),"zerpaay")</f>
        <v>zerpaay</v>
      </c>
      <c r="B13645" s="4" t="str">
        <f>IFERROR(__xludf.DUMMYFUNCTION("""COMPUTED_VALUE"""),"zrpy")</f>
        <v>zrpy</v>
      </c>
      <c r="C13645" s="4" t="str">
        <f>IFERROR(__xludf.DUMMYFUNCTION("""COMPUTED_VALUE"""),"Zerpaay")</f>
        <v>Zerpaay</v>
      </c>
    </row>
    <row r="13646">
      <c r="A13646" s="4" t="str">
        <f>IFERROR(__xludf.DUMMYFUNCTION("""COMPUTED_VALUE"""),"zesh")</f>
        <v>zesh</v>
      </c>
      <c r="B13646" s="4" t="str">
        <f>IFERROR(__xludf.DUMMYFUNCTION("""COMPUTED_VALUE"""),"zesh")</f>
        <v>zesh</v>
      </c>
      <c r="C13646" s="4" t="str">
        <f>IFERROR(__xludf.DUMMYFUNCTION("""COMPUTED_VALUE"""),"Zesh")</f>
        <v>Zesh</v>
      </c>
    </row>
    <row r="13647">
      <c r="A13647" s="4" t="str">
        <f>IFERROR(__xludf.DUMMYFUNCTION("""COMPUTED_VALUE"""),"zetachain")</f>
        <v>zetachain</v>
      </c>
      <c r="B13647" s="4" t="str">
        <f>IFERROR(__xludf.DUMMYFUNCTION("""COMPUTED_VALUE"""),"zeta")</f>
        <v>zeta</v>
      </c>
      <c r="C13647" s="4" t="str">
        <f>IFERROR(__xludf.DUMMYFUNCTION("""COMPUTED_VALUE"""),"ZetaChain")</f>
        <v>ZetaChain</v>
      </c>
    </row>
    <row r="13648">
      <c r="A13648" s="4" t="str">
        <f>IFERROR(__xludf.DUMMYFUNCTION("""COMPUTED_VALUE"""),"zetachain-bridged-bnb-bsc-zetachain")</f>
        <v>zetachain-bridged-bnb-bsc-zetachain</v>
      </c>
      <c r="B13648" s="4" t="str">
        <f>IFERROR(__xludf.DUMMYFUNCTION("""COMPUTED_VALUE"""),"bnb.bsc")</f>
        <v>bnb.bsc</v>
      </c>
      <c r="C13648" s="4" t="str">
        <f>IFERROR(__xludf.DUMMYFUNCTION("""COMPUTED_VALUE"""),"ZetaChain Bridged BNB.BSC (ZetaChain)")</f>
        <v>ZetaChain Bridged BNB.BSC (ZetaChain)</v>
      </c>
    </row>
    <row r="13649">
      <c r="A13649" s="4" t="str">
        <f>IFERROR(__xludf.DUMMYFUNCTION("""COMPUTED_VALUE"""),"zetachain-bridged-btc-btc-zetachain")</f>
        <v>zetachain-bridged-btc-btc-zetachain</v>
      </c>
      <c r="B13649" s="4" t="str">
        <f>IFERROR(__xludf.DUMMYFUNCTION("""COMPUTED_VALUE"""),"btc.btc")</f>
        <v>btc.btc</v>
      </c>
      <c r="C13649" s="4" t="str">
        <f>IFERROR(__xludf.DUMMYFUNCTION("""COMPUTED_VALUE"""),"ZetaChain Bridged BTC.BTC (ZetaChain)")</f>
        <v>ZetaChain Bridged BTC.BTC (ZetaChain)</v>
      </c>
    </row>
    <row r="13650">
      <c r="A13650" s="4" t="str">
        <f>IFERROR(__xludf.DUMMYFUNCTION("""COMPUTED_VALUE"""),"zetachain-bridged-usdc-bsc-zetachain")</f>
        <v>zetachain-bridged-usdc-bsc-zetachain</v>
      </c>
      <c r="B13650" s="4" t="str">
        <f>IFERROR(__xludf.DUMMYFUNCTION("""COMPUTED_VALUE"""),"usdc.bsc")</f>
        <v>usdc.bsc</v>
      </c>
      <c r="C13650" s="4" t="str">
        <f>IFERROR(__xludf.DUMMYFUNCTION("""COMPUTED_VALUE"""),"ZetaChain Bridged USDC.BSC (ZetaChain)")</f>
        <v>ZetaChain Bridged USDC.BSC (ZetaChain)</v>
      </c>
    </row>
    <row r="13651">
      <c r="A13651" s="4" t="str">
        <f>IFERROR(__xludf.DUMMYFUNCTION("""COMPUTED_VALUE"""),"zetachain-bridged-usdc-eth-zetachain")</f>
        <v>zetachain-bridged-usdc-eth-zetachain</v>
      </c>
      <c r="B13651" s="4" t="str">
        <f>IFERROR(__xludf.DUMMYFUNCTION("""COMPUTED_VALUE"""),"usdc.eth")</f>
        <v>usdc.eth</v>
      </c>
      <c r="C13651" s="4" t="str">
        <f>IFERROR(__xludf.DUMMYFUNCTION("""COMPUTED_VALUE"""),"ZetaChain Bridged USDC.ETH (ZetaChain)")</f>
        <v>ZetaChain Bridged USDC.ETH (ZetaChain)</v>
      </c>
    </row>
    <row r="13652">
      <c r="A13652" s="4" t="str">
        <f>IFERROR(__xludf.DUMMYFUNCTION("""COMPUTED_VALUE"""),"zetachain-bridged-usdt-bsc-zetachain")</f>
        <v>zetachain-bridged-usdt-bsc-zetachain</v>
      </c>
      <c r="B13652" s="4" t="str">
        <f>IFERROR(__xludf.DUMMYFUNCTION("""COMPUTED_VALUE"""),"usdt.bsc")</f>
        <v>usdt.bsc</v>
      </c>
      <c r="C13652" s="4" t="str">
        <f>IFERROR(__xludf.DUMMYFUNCTION("""COMPUTED_VALUE"""),"ZetaChain Bridged USDT.BSC (ZetaChain)")</f>
        <v>ZetaChain Bridged USDT.BSC (ZetaChain)</v>
      </c>
    </row>
    <row r="13653">
      <c r="A13653" s="4" t="str">
        <f>IFERROR(__xludf.DUMMYFUNCTION("""COMPUTED_VALUE"""),"zetachain-bridged-usdt-eth-zetachain")</f>
        <v>zetachain-bridged-usdt-eth-zetachain</v>
      </c>
      <c r="B13653" s="4" t="str">
        <f>IFERROR(__xludf.DUMMYFUNCTION("""COMPUTED_VALUE"""),"usdt.eth")</f>
        <v>usdt.eth</v>
      </c>
      <c r="C13653" s="4" t="str">
        <f>IFERROR(__xludf.DUMMYFUNCTION("""COMPUTED_VALUE"""),"ZetaChain Bridged USDT.ETH (ZetaChain)")</f>
        <v>ZetaChain Bridged USDT.ETH (ZetaChain)</v>
      </c>
    </row>
    <row r="13654">
      <c r="A13654" s="4" t="str">
        <f>IFERROR(__xludf.DUMMYFUNCTION("""COMPUTED_VALUE"""),"zetachain-eth-eth")</f>
        <v>zetachain-eth-eth</v>
      </c>
      <c r="B13654" s="4" t="str">
        <f>IFERROR(__xludf.DUMMYFUNCTION("""COMPUTED_VALUE"""),"eth.eth")</f>
        <v>eth.eth</v>
      </c>
      <c r="C13654" s="4" t="str">
        <f>IFERROR(__xludf.DUMMYFUNCTION("""COMPUTED_VALUE"""),"ZetaChain Bridged ETH.ETH (ZetaChain)")</f>
        <v>ZetaChain Bridged ETH.ETH (ZetaChain)</v>
      </c>
    </row>
    <row r="13655">
      <c r="A13655" s="4" t="str">
        <f>IFERROR(__xludf.DUMMYFUNCTION("""COMPUTED_VALUE"""),"zetacoin")</f>
        <v>zetacoin</v>
      </c>
      <c r="B13655" s="4" t="str">
        <f>IFERROR(__xludf.DUMMYFUNCTION("""COMPUTED_VALUE"""),"zet")</f>
        <v>zet</v>
      </c>
      <c r="C13655" s="4" t="str">
        <f>IFERROR(__xludf.DUMMYFUNCTION("""COMPUTED_VALUE"""),"Zetacoin")</f>
        <v>Zetacoin</v>
      </c>
    </row>
    <row r="13656">
      <c r="A13656" s="4" t="str">
        <f>IFERROR(__xludf.DUMMYFUNCTION("""COMPUTED_VALUE"""),"zetaearn-staked-zeta")</f>
        <v>zetaearn-staked-zeta</v>
      </c>
      <c r="B13656" s="4" t="str">
        <f>IFERROR(__xludf.DUMMYFUNCTION("""COMPUTED_VALUE"""),"stzeta")</f>
        <v>stzeta</v>
      </c>
      <c r="C13656" s="4" t="str">
        <f>IFERROR(__xludf.DUMMYFUNCTION("""COMPUTED_VALUE"""),"ZetaEarn Staked ZETA")</f>
        <v>ZetaEarn Staked ZETA</v>
      </c>
    </row>
    <row r="13657">
      <c r="A13657" s="4" t="str">
        <f>IFERROR(__xludf.DUMMYFUNCTION("""COMPUTED_VALUE"""),"zethan")</f>
        <v>zethan</v>
      </c>
      <c r="B13657" s="4" t="str">
        <f>IFERROR(__xludf.DUMMYFUNCTION("""COMPUTED_VALUE"""),"zeth")</f>
        <v>zeth</v>
      </c>
      <c r="C13657" s="4" t="str">
        <f>IFERROR(__xludf.DUMMYFUNCTION("""COMPUTED_VALUE"""),"Zethan")</f>
        <v>Zethan</v>
      </c>
    </row>
    <row r="13658">
      <c r="A13658" s="4" t="str">
        <f>IFERROR(__xludf.DUMMYFUNCTION("""COMPUTED_VALUE"""),"zetrix")</f>
        <v>zetrix</v>
      </c>
      <c r="B13658" s="4" t="str">
        <f>IFERROR(__xludf.DUMMYFUNCTION("""COMPUTED_VALUE"""),"zetrix")</f>
        <v>zetrix</v>
      </c>
      <c r="C13658" s="4" t="str">
        <f>IFERROR(__xludf.DUMMYFUNCTION("""COMPUTED_VALUE"""),"Zetrix")</f>
        <v>Zetrix</v>
      </c>
    </row>
    <row r="13659">
      <c r="A13659" s="4" t="str">
        <f>IFERROR(__xludf.DUMMYFUNCTION("""COMPUTED_VALUE"""),"zeus-2")</f>
        <v>zeus-2</v>
      </c>
      <c r="B13659" s="4" t="str">
        <f>IFERROR(__xludf.DUMMYFUNCTION("""COMPUTED_VALUE"""),"zeus")</f>
        <v>zeus</v>
      </c>
      <c r="C13659" s="4" t="str">
        <f>IFERROR(__xludf.DUMMYFUNCTION("""COMPUTED_VALUE"""),"Zeus")</f>
        <v>Zeus</v>
      </c>
    </row>
    <row r="13660">
      <c r="A13660" s="4" t="str">
        <f>IFERROR(__xludf.DUMMYFUNCTION("""COMPUTED_VALUE"""),"zeus-ai")</f>
        <v>zeus-ai</v>
      </c>
      <c r="B13660" s="4" t="str">
        <f>IFERROR(__xludf.DUMMYFUNCTION("""COMPUTED_VALUE"""),"zeus")</f>
        <v>zeus</v>
      </c>
      <c r="C13660" s="4" t="str">
        <f>IFERROR(__xludf.DUMMYFUNCTION("""COMPUTED_VALUE"""),"Zeus AI")</f>
        <v>Zeus AI</v>
      </c>
    </row>
    <row r="13661">
      <c r="A13661" s="4" t="str">
        <f>IFERROR(__xludf.DUMMYFUNCTION("""COMPUTED_VALUE"""),"zeus-ai-2")</f>
        <v>zeus-ai-2</v>
      </c>
      <c r="B13661" s="4" t="str">
        <f>IFERROR(__xludf.DUMMYFUNCTION("""COMPUTED_VALUE"""),"zeus")</f>
        <v>zeus</v>
      </c>
      <c r="C13661" s="4" t="str">
        <f>IFERROR(__xludf.DUMMYFUNCTION("""COMPUTED_VALUE"""),"ZEUS AI")</f>
        <v>ZEUS AI</v>
      </c>
    </row>
    <row r="13662">
      <c r="A13662" s="4" t="str">
        <f>IFERROR(__xludf.DUMMYFUNCTION("""COMPUTED_VALUE"""),"zeus-finance")</f>
        <v>zeus-finance</v>
      </c>
      <c r="B13662" s="4" t="str">
        <f>IFERROR(__xludf.DUMMYFUNCTION("""COMPUTED_VALUE"""),"zeus")</f>
        <v>zeus</v>
      </c>
      <c r="C13662" s="4" t="str">
        <f>IFERROR(__xludf.DUMMYFUNCTION("""COMPUTED_VALUE"""),"Zeus Finance")</f>
        <v>Zeus Finance</v>
      </c>
    </row>
    <row r="13663">
      <c r="A13663" s="4" t="str">
        <f>IFERROR(__xludf.DUMMYFUNCTION("""COMPUTED_VALUE"""),"zeus-network")</f>
        <v>zeus-network</v>
      </c>
      <c r="B13663" s="4" t="str">
        <f>IFERROR(__xludf.DUMMYFUNCTION("""COMPUTED_VALUE"""),"zeus")</f>
        <v>zeus</v>
      </c>
      <c r="C13663" s="4" t="str">
        <f>IFERROR(__xludf.DUMMYFUNCTION("""COMPUTED_VALUE"""),"Zeus Network")</f>
        <v>Zeus Network</v>
      </c>
    </row>
    <row r="13664">
      <c r="A13664" s="4" t="str">
        <f>IFERROR(__xludf.DUMMYFUNCTION("""COMPUTED_VALUE"""),"zeuspepesdog")</f>
        <v>zeuspepesdog</v>
      </c>
      <c r="B13664" s="4" t="str">
        <f>IFERROR(__xludf.DUMMYFUNCTION("""COMPUTED_VALUE"""),"zeus")</f>
        <v>zeus</v>
      </c>
      <c r="C13664" s="4" t="str">
        <f>IFERROR(__xludf.DUMMYFUNCTION("""COMPUTED_VALUE"""),"Zeus")</f>
        <v>Zeus</v>
      </c>
    </row>
    <row r="13665">
      <c r="A13665" s="4" t="str">
        <f>IFERROR(__xludf.DUMMYFUNCTION("""COMPUTED_VALUE"""),"zeusshield")</f>
        <v>zeusshield</v>
      </c>
      <c r="B13665" s="4" t="str">
        <f>IFERROR(__xludf.DUMMYFUNCTION("""COMPUTED_VALUE"""),"zsc")</f>
        <v>zsc</v>
      </c>
      <c r="C13665" s="4" t="str">
        <f>IFERROR(__xludf.DUMMYFUNCTION("""COMPUTED_VALUE"""),"Zeusshield")</f>
        <v>Zeusshield</v>
      </c>
    </row>
    <row r="13666">
      <c r="A13666" s="4" t="str">
        <f>IFERROR(__xludf.DUMMYFUNCTION("""COMPUTED_VALUE"""),"zfmcoin")</f>
        <v>zfmcoin</v>
      </c>
      <c r="B13666" s="4" t="str">
        <f>IFERROR(__xludf.DUMMYFUNCTION("""COMPUTED_VALUE"""),"zfm")</f>
        <v>zfm</v>
      </c>
      <c r="C13666" s="4" t="str">
        <f>IFERROR(__xludf.DUMMYFUNCTION("""COMPUTED_VALUE"""),"ZFMCOIN")</f>
        <v>ZFMCOIN</v>
      </c>
    </row>
    <row r="13667">
      <c r="A13667" s="4" t="str">
        <f>IFERROR(__xludf.DUMMYFUNCTION("""COMPUTED_VALUE"""),"zhaodavinci")</f>
        <v>zhaodavinci</v>
      </c>
      <c r="B13667" s="4" t="str">
        <f>IFERROR(__xludf.DUMMYFUNCTION("""COMPUTED_VALUE"""),"vini")</f>
        <v>vini</v>
      </c>
      <c r="C13667" s="4" t="str">
        <f>IFERROR(__xludf.DUMMYFUNCTION("""COMPUTED_VALUE"""),"ZhaoDaVinci")</f>
        <v>ZhaoDaVinci</v>
      </c>
    </row>
    <row r="13668">
      <c r="A13668" s="4" t="str">
        <f>IFERROR(__xludf.DUMMYFUNCTION("""COMPUTED_VALUE"""),"zhc-zero-hour-cash")</f>
        <v>zhc-zero-hour-cash</v>
      </c>
      <c r="B13668" s="4" t="str">
        <f>IFERROR(__xludf.DUMMYFUNCTION("""COMPUTED_VALUE"""),"zhc")</f>
        <v>zhc</v>
      </c>
      <c r="C13668" s="4" t="str">
        <f>IFERROR(__xludf.DUMMYFUNCTION("""COMPUTED_VALUE"""),"ZHC : Zero Hour Cash")</f>
        <v>ZHC : Zero Hour Cash</v>
      </c>
    </row>
    <row r="13669">
      <c r="A13669" s="4" t="str">
        <f>IFERROR(__xludf.DUMMYFUNCTION("""COMPUTED_VALUE"""),"zibu")</f>
        <v>zibu</v>
      </c>
      <c r="B13669" s="4" t="str">
        <f>IFERROR(__xludf.DUMMYFUNCTION("""COMPUTED_VALUE"""),"zibu")</f>
        <v>zibu</v>
      </c>
      <c r="C13669" s="4" t="str">
        <f>IFERROR(__xludf.DUMMYFUNCTION("""COMPUTED_VALUE"""),"Zibu")</f>
        <v>Zibu</v>
      </c>
    </row>
    <row r="13670">
      <c r="A13670" s="4" t="str">
        <f>IFERROR(__xludf.DUMMYFUNCTION("""COMPUTED_VALUE"""),"ziesha")</f>
        <v>ziesha</v>
      </c>
      <c r="B13670" s="4" t="str">
        <f>IFERROR(__xludf.DUMMYFUNCTION("""COMPUTED_VALUE"""),"zsh")</f>
        <v>zsh</v>
      </c>
      <c r="C13670" s="4" t="str">
        <f>IFERROR(__xludf.DUMMYFUNCTION("""COMPUTED_VALUE"""),"Ziesha")</f>
        <v>Ziesha</v>
      </c>
    </row>
    <row r="13671">
      <c r="A13671" s="4" t="str">
        <f>IFERROR(__xludf.DUMMYFUNCTION("""COMPUTED_VALUE"""),"zignaly")</f>
        <v>zignaly</v>
      </c>
      <c r="B13671" s="4" t="str">
        <f>IFERROR(__xludf.DUMMYFUNCTION("""COMPUTED_VALUE"""),"zig")</f>
        <v>zig</v>
      </c>
      <c r="C13671" s="4" t="str">
        <f>IFERROR(__xludf.DUMMYFUNCTION("""COMPUTED_VALUE"""),"Zignaly")</f>
        <v>Zignaly</v>
      </c>
    </row>
    <row r="13672">
      <c r="A13672" s="4" t="str">
        <f>IFERROR(__xludf.DUMMYFUNCTION("""COMPUTED_VALUE"""),"zigzag-2")</f>
        <v>zigzag-2</v>
      </c>
      <c r="B13672" s="4" t="str">
        <f>IFERROR(__xludf.DUMMYFUNCTION("""COMPUTED_VALUE"""),"zz")</f>
        <v>zz</v>
      </c>
      <c r="C13672" s="4" t="str">
        <f>IFERROR(__xludf.DUMMYFUNCTION("""COMPUTED_VALUE"""),"ZigZag")</f>
        <v>ZigZag</v>
      </c>
    </row>
    <row r="13673">
      <c r="A13673" s="4" t="str">
        <f>IFERROR(__xludf.DUMMYFUNCTION("""COMPUTED_VALUE"""),"zik-token")</f>
        <v>zik-token</v>
      </c>
      <c r="B13673" s="4" t="str">
        <f>IFERROR(__xludf.DUMMYFUNCTION("""COMPUTED_VALUE"""),"zik")</f>
        <v>zik</v>
      </c>
      <c r="C13673" s="4" t="str">
        <f>IFERROR(__xludf.DUMMYFUNCTION("""COMPUTED_VALUE"""),"Ziktalk")</f>
        <v>Ziktalk</v>
      </c>
    </row>
    <row r="13674">
      <c r="A13674" s="4" t="str">
        <f>IFERROR(__xludf.DUMMYFUNCTION("""COMPUTED_VALUE"""),"zillion-aakar-xo")</f>
        <v>zillion-aakar-xo</v>
      </c>
      <c r="B13674" s="4" t="str">
        <f>IFERROR(__xludf.DUMMYFUNCTION("""COMPUTED_VALUE"""),"zillionxo")</f>
        <v>zillionxo</v>
      </c>
      <c r="C13674" s="4" t="str">
        <f>IFERROR(__xludf.DUMMYFUNCTION("""COMPUTED_VALUE"""),"Zillion Aakar XO")</f>
        <v>Zillion Aakar XO</v>
      </c>
    </row>
    <row r="13675">
      <c r="A13675" s="4" t="str">
        <f>IFERROR(__xludf.DUMMYFUNCTION("""COMPUTED_VALUE"""),"zilliqa")</f>
        <v>zilliqa</v>
      </c>
      <c r="B13675" s="4" t="str">
        <f>IFERROR(__xludf.DUMMYFUNCTION("""COMPUTED_VALUE"""),"zil")</f>
        <v>zil</v>
      </c>
      <c r="C13675" s="4" t="str">
        <f>IFERROR(__xludf.DUMMYFUNCTION("""COMPUTED_VALUE"""),"Zilliqa")</f>
        <v>Zilliqa</v>
      </c>
    </row>
    <row r="13676">
      <c r="A13676" s="4" t="str">
        <f>IFERROR(__xludf.DUMMYFUNCTION("""COMPUTED_VALUE"""),"zilpay-wallet")</f>
        <v>zilpay-wallet</v>
      </c>
      <c r="B13676" s="4" t="str">
        <f>IFERROR(__xludf.DUMMYFUNCTION("""COMPUTED_VALUE"""),"zlp")</f>
        <v>zlp</v>
      </c>
      <c r="C13676" s="4" t="str">
        <f>IFERROR(__xludf.DUMMYFUNCTION("""COMPUTED_VALUE"""),"ZilPay Wallet")</f>
        <v>ZilPay Wallet</v>
      </c>
    </row>
    <row r="13677">
      <c r="A13677" s="4" t="str">
        <f>IFERROR(__xludf.DUMMYFUNCTION("""COMPUTED_VALUE"""),"zilpepe")</f>
        <v>zilpepe</v>
      </c>
      <c r="B13677" s="4" t="str">
        <f>IFERROR(__xludf.DUMMYFUNCTION("""COMPUTED_VALUE"""),"zilpepe")</f>
        <v>zilpepe</v>
      </c>
      <c r="C13677" s="4" t="str">
        <f>IFERROR(__xludf.DUMMYFUNCTION("""COMPUTED_VALUE"""),"ZilPepe")</f>
        <v>ZilPepe</v>
      </c>
    </row>
    <row r="13678">
      <c r="A13678" s="4" t="str">
        <f>IFERROR(__xludf.DUMMYFUNCTION("""COMPUTED_VALUE"""),"zilstream")</f>
        <v>zilstream</v>
      </c>
      <c r="B13678" s="4" t="str">
        <f>IFERROR(__xludf.DUMMYFUNCTION("""COMPUTED_VALUE"""),"stream")</f>
        <v>stream</v>
      </c>
      <c r="C13678" s="4" t="str">
        <f>IFERROR(__xludf.DUMMYFUNCTION("""COMPUTED_VALUE"""),"ZilStream")</f>
        <v>ZilStream</v>
      </c>
    </row>
    <row r="13679">
      <c r="A13679" s="4" t="str">
        <f>IFERROR(__xludf.DUMMYFUNCTION("""COMPUTED_VALUE"""),"zilswap")</f>
        <v>zilswap</v>
      </c>
      <c r="B13679" s="4" t="str">
        <f>IFERROR(__xludf.DUMMYFUNCTION("""COMPUTED_VALUE"""),"zwap")</f>
        <v>zwap</v>
      </c>
      <c r="C13679" s="4" t="str">
        <f>IFERROR(__xludf.DUMMYFUNCTION("""COMPUTED_VALUE"""),"ZilSwap")</f>
        <v>ZilSwap</v>
      </c>
    </row>
    <row r="13680">
      <c r="A13680" s="4" t="str">
        <f>IFERROR(__xludf.DUMMYFUNCTION("""COMPUTED_VALUE"""),"zin")</f>
        <v>zin</v>
      </c>
      <c r="B13680" s="4" t="str">
        <f>IFERROR(__xludf.DUMMYFUNCTION("""COMPUTED_VALUE"""),"zin")</f>
        <v>zin</v>
      </c>
      <c r="C13680" s="4" t="str">
        <f>IFERROR(__xludf.DUMMYFUNCTION("""COMPUTED_VALUE"""),"Zin")</f>
        <v>Zin</v>
      </c>
    </row>
    <row r="13681">
      <c r="A13681" s="4" t="str">
        <f>IFERROR(__xludf.DUMMYFUNCTION("""COMPUTED_VALUE"""),"zino-pet")</f>
        <v>zino-pet</v>
      </c>
      <c r="B13681" s="4" t="str">
        <f>IFERROR(__xludf.DUMMYFUNCTION("""COMPUTED_VALUE"""),"zpet")</f>
        <v>zpet</v>
      </c>
      <c r="C13681" s="4" t="str">
        <f>IFERROR(__xludf.DUMMYFUNCTION("""COMPUTED_VALUE"""),"Zino Pet")</f>
        <v>Zino Pet</v>
      </c>
    </row>
    <row r="13682">
      <c r="A13682" s="4" t="str">
        <f>IFERROR(__xludf.DUMMYFUNCTION("""COMPUTED_VALUE"""),"zion")</f>
        <v>zion</v>
      </c>
      <c r="B13682" s="4" t="str">
        <f>IFERROR(__xludf.DUMMYFUNCTION("""COMPUTED_VALUE"""),"zion")</f>
        <v>zion</v>
      </c>
      <c r="C13682" s="4" t="str">
        <f>IFERROR(__xludf.DUMMYFUNCTION("""COMPUTED_VALUE"""),"Zion")</f>
        <v>Zion</v>
      </c>
    </row>
    <row r="13683">
      <c r="A13683" s="4" t="str">
        <f>IFERROR(__xludf.DUMMYFUNCTION("""COMPUTED_VALUE"""),"ziontopia")</f>
        <v>ziontopia</v>
      </c>
      <c r="B13683" s="4" t="str">
        <f>IFERROR(__xludf.DUMMYFUNCTION("""COMPUTED_VALUE"""),"zion")</f>
        <v>zion</v>
      </c>
      <c r="C13683" s="4" t="str">
        <f>IFERROR(__xludf.DUMMYFUNCTION("""COMPUTED_VALUE"""),"ZionTopia")</f>
        <v>ZionTopia</v>
      </c>
    </row>
    <row r="13684">
      <c r="A13684" s="4" t="str">
        <f>IFERROR(__xludf.DUMMYFUNCTION("""COMPUTED_VALUE"""),"zionwallet")</f>
        <v>zionwallet</v>
      </c>
      <c r="B13684" s="4" t="str">
        <f>IFERROR(__xludf.DUMMYFUNCTION("""COMPUTED_VALUE"""),"zion")</f>
        <v>zion</v>
      </c>
      <c r="C13684" s="4" t="str">
        <f>IFERROR(__xludf.DUMMYFUNCTION("""COMPUTED_VALUE"""),"ZionWallet")</f>
        <v>ZionWallet</v>
      </c>
    </row>
    <row r="13685">
      <c r="A13685" s="4" t="str">
        <f>IFERROR(__xludf.DUMMYFUNCTION("""COMPUTED_VALUE"""),"zipmex-token")</f>
        <v>zipmex-token</v>
      </c>
      <c r="B13685" s="4" t="str">
        <f>IFERROR(__xludf.DUMMYFUNCTION("""COMPUTED_VALUE"""),"zmt")</f>
        <v>zmt</v>
      </c>
      <c r="C13685" s="4" t="str">
        <f>IFERROR(__xludf.DUMMYFUNCTION("""COMPUTED_VALUE"""),"Zipmex")</f>
        <v>Zipmex</v>
      </c>
    </row>
    <row r="13686">
      <c r="A13686" s="4" t="str">
        <f>IFERROR(__xludf.DUMMYFUNCTION("""COMPUTED_VALUE"""),"zipswap")</f>
        <v>zipswap</v>
      </c>
      <c r="B13686" s="4" t="str">
        <f>IFERROR(__xludf.DUMMYFUNCTION("""COMPUTED_VALUE"""),"zip")</f>
        <v>zip</v>
      </c>
      <c r="C13686" s="4" t="str">
        <f>IFERROR(__xludf.DUMMYFUNCTION("""COMPUTED_VALUE"""),"ZipSwap")</f>
        <v>ZipSwap</v>
      </c>
    </row>
    <row r="13687">
      <c r="A13687" s="4" t="str">
        <f>IFERROR(__xludf.DUMMYFUNCTION("""COMPUTED_VALUE"""),"zircuit")</f>
        <v>zircuit</v>
      </c>
      <c r="B13687" s="4" t="str">
        <f>IFERROR(__xludf.DUMMYFUNCTION("""COMPUTED_VALUE"""),"zrc")</f>
        <v>zrc</v>
      </c>
      <c r="C13687" s="4" t="str">
        <f>IFERROR(__xludf.DUMMYFUNCTION("""COMPUTED_VALUE"""),"Zircuit")</f>
        <v>Zircuit</v>
      </c>
    </row>
    <row r="13688">
      <c r="A13688" s="4" t="str">
        <f>IFERROR(__xludf.DUMMYFUNCTION("""COMPUTED_VALUE"""),"ziv4-labs")</f>
        <v>ziv4-labs</v>
      </c>
      <c r="B13688" s="4" t="str">
        <f>IFERROR(__xludf.DUMMYFUNCTION("""COMPUTED_VALUE"""),"ziv4")</f>
        <v>ziv4</v>
      </c>
      <c r="C13688" s="4" t="str">
        <f>IFERROR(__xludf.DUMMYFUNCTION("""COMPUTED_VALUE"""),"Ziv4 Labs")</f>
        <v>Ziv4 Labs</v>
      </c>
    </row>
    <row r="13689">
      <c r="A13689" s="4" t="str">
        <f>IFERROR(__xludf.DUMMYFUNCTION("""COMPUTED_VALUE"""),"ziyon")</f>
        <v>ziyon</v>
      </c>
      <c r="B13689" s="4" t="str">
        <f>IFERROR(__xludf.DUMMYFUNCTION("""COMPUTED_VALUE"""),"ion")</f>
        <v>ion</v>
      </c>
      <c r="C13689" s="4" t="str">
        <f>IFERROR(__xludf.DUMMYFUNCTION("""COMPUTED_VALUE"""),"ZIYØN SAS")</f>
        <v>ZIYØN SAS</v>
      </c>
    </row>
    <row r="13690">
      <c r="A13690" s="4" t="str">
        <f>IFERROR(__xludf.DUMMYFUNCTION("""COMPUTED_VALUE"""),"zjoe")</f>
        <v>zjoe</v>
      </c>
      <c r="B13690" s="4" t="str">
        <f>IFERROR(__xludf.DUMMYFUNCTION("""COMPUTED_VALUE"""),"zjoe")</f>
        <v>zjoe</v>
      </c>
      <c r="C13690" s="4" t="str">
        <f>IFERROR(__xludf.DUMMYFUNCTION("""COMPUTED_VALUE"""),"zJOE")</f>
        <v>zJOE</v>
      </c>
    </row>
    <row r="13691">
      <c r="A13691" s="4" t="str">
        <f>IFERROR(__xludf.DUMMYFUNCTION("""COMPUTED_VALUE"""),"zkapes-token")</f>
        <v>zkapes-token</v>
      </c>
      <c r="B13691" s="4" t="str">
        <f>IFERROR(__xludf.DUMMYFUNCTION("""COMPUTED_VALUE"""),"zat")</f>
        <v>zat</v>
      </c>
      <c r="C13691" s="4" t="str">
        <f>IFERROR(__xludf.DUMMYFUNCTION("""COMPUTED_VALUE"""),"zkApes Token")</f>
        <v>zkApes Token</v>
      </c>
    </row>
    <row r="13692">
      <c r="A13692" s="4" t="str">
        <f>IFERROR(__xludf.DUMMYFUNCTION("""COMPUTED_VALUE"""),"zkcult")</f>
        <v>zkcult</v>
      </c>
      <c r="B13692" s="4" t="str">
        <f>IFERROR(__xludf.DUMMYFUNCTION("""COMPUTED_VALUE"""),"zcult")</f>
        <v>zcult</v>
      </c>
      <c r="C13692" s="4" t="str">
        <f>IFERROR(__xludf.DUMMYFUNCTION("""COMPUTED_VALUE"""),"zkCULT")</f>
        <v>zkCULT</v>
      </c>
    </row>
    <row r="13693">
      <c r="A13693" s="4" t="str">
        <f>IFERROR(__xludf.DUMMYFUNCTION("""COMPUTED_VALUE"""),"zkdoge")</f>
        <v>zkdoge</v>
      </c>
      <c r="B13693" s="4" t="str">
        <f>IFERROR(__xludf.DUMMYFUNCTION("""COMPUTED_VALUE"""),"zkdoge")</f>
        <v>zkdoge</v>
      </c>
      <c r="C13693" s="4" t="str">
        <f>IFERROR(__xludf.DUMMYFUNCTION("""COMPUTED_VALUE"""),"zkDoge")</f>
        <v>zkDoge</v>
      </c>
    </row>
    <row r="13694">
      <c r="A13694" s="4" t="str">
        <f>IFERROR(__xludf.DUMMYFUNCTION("""COMPUTED_VALUE"""),"zkdx")</f>
        <v>zkdx</v>
      </c>
      <c r="B13694" s="4" t="str">
        <f>IFERROR(__xludf.DUMMYFUNCTION("""COMPUTED_VALUE"""),"zkdx")</f>
        <v>zkdx</v>
      </c>
      <c r="C13694" s="4" t="str">
        <f>IFERROR(__xludf.DUMMYFUNCTION("""COMPUTED_VALUE"""),"ZKDX")</f>
        <v>ZKDX</v>
      </c>
    </row>
    <row r="13695">
      <c r="A13695" s="4" t="str">
        <f>IFERROR(__xludf.DUMMYFUNCTION("""COMPUTED_VALUE"""),"zkera-finance")</f>
        <v>zkera-finance</v>
      </c>
      <c r="B13695" s="4" t="str">
        <f>IFERROR(__xludf.DUMMYFUNCTION("""COMPUTED_VALUE"""),"zke")</f>
        <v>zke</v>
      </c>
      <c r="C13695" s="4" t="str">
        <f>IFERROR(__xludf.DUMMYFUNCTION("""COMPUTED_VALUE"""),"zkEra Finance")</f>
        <v>zkEra Finance</v>
      </c>
    </row>
    <row r="13696">
      <c r="A13696" s="4" t="str">
        <f>IFERROR(__xludf.DUMMYFUNCTION("""COMPUTED_VALUE"""),"zkevmchain-bsc")</f>
        <v>zkevmchain-bsc</v>
      </c>
      <c r="B13696" s="4" t="str">
        <f>IFERROR(__xludf.DUMMYFUNCTION("""COMPUTED_VALUE"""),"zkevm")</f>
        <v>zkevm</v>
      </c>
      <c r="C13696" s="4" t="str">
        <f>IFERROR(__xludf.DUMMYFUNCTION("""COMPUTED_VALUE"""),"zkEVMChain (BSC)")</f>
        <v>zkEVMChain (BSC)</v>
      </c>
    </row>
    <row r="13697">
      <c r="A13697" s="4" t="str">
        <f>IFERROR(__xludf.DUMMYFUNCTION("""COMPUTED_VALUE"""),"zkfair")</f>
        <v>zkfair</v>
      </c>
      <c r="B13697" s="4" t="str">
        <f>IFERROR(__xludf.DUMMYFUNCTION("""COMPUTED_VALUE"""),"zkf")</f>
        <v>zkf</v>
      </c>
      <c r="C13697" s="4" t="str">
        <f>IFERROR(__xludf.DUMMYFUNCTION("""COMPUTED_VALUE"""),"ZKFair")</f>
        <v>ZKFair</v>
      </c>
    </row>
    <row r="13698">
      <c r="A13698" s="4" t="str">
        <f>IFERROR(__xludf.DUMMYFUNCTION("""COMPUTED_VALUE"""),"zkfarmer-io-zkbud")</f>
        <v>zkfarmer-io-zkbud</v>
      </c>
      <c r="B13698" s="4" t="str">
        <f>IFERROR(__xludf.DUMMYFUNCTION("""COMPUTED_VALUE"""),"zkb farm")</f>
        <v>zkb farm</v>
      </c>
      <c r="C13698" s="4" t="str">
        <f>IFERROR(__xludf.DUMMYFUNCTION("""COMPUTED_VALUE"""),"zkFarmer.io zkBud")</f>
        <v>zkFarmer.io zkBud</v>
      </c>
    </row>
    <row r="13699">
      <c r="A13699" s="4" t="str">
        <f>IFERROR(__xludf.DUMMYFUNCTION("""COMPUTED_VALUE"""),"zkgap")</f>
        <v>zkgap</v>
      </c>
      <c r="B13699" s="4" t="str">
        <f>IFERROR(__xludf.DUMMYFUNCTION("""COMPUTED_VALUE"""),"zkgap")</f>
        <v>zkgap</v>
      </c>
      <c r="C13699" s="4" t="str">
        <f>IFERROR(__xludf.DUMMYFUNCTION("""COMPUTED_VALUE"""),"ZKGAP")</f>
        <v>ZKGAP</v>
      </c>
    </row>
    <row r="13700">
      <c r="A13700" s="4" t="str">
        <f>IFERROR(__xludf.DUMMYFUNCTION("""COMPUTED_VALUE"""),"zkgrok")</f>
        <v>zkgrok</v>
      </c>
      <c r="B13700" s="4" t="str">
        <f>IFERROR(__xludf.DUMMYFUNCTION("""COMPUTED_VALUE"""),"zkgrok")</f>
        <v>zkgrok</v>
      </c>
      <c r="C13700" s="4" t="str">
        <f>IFERROR(__xludf.DUMMYFUNCTION("""COMPUTED_VALUE"""),"ZKGROK")</f>
        <v>ZKGROK</v>
      </c>
    </row>
    <row r="13701">
      <c r="A13701" s="4" t="str">
        <f>IFERROR(__xludf.DUMMYFUNCTION("""COMPUTED_VALUE"""),"zkhive")</f>
        <v>zkhive</v>
      </c>
      <c r="B13701" s="4" t="str">
        <f>IFERROR(__xludf.DUMMYFUNCTION("""COMPUTED_VALUE"""),"zkhive")</f>
        <v>zkhive</v>
      </c>
      <c r="C13701" s="4" t="str">
        <f>IFERROR(__xludf.DUMMYFUNCTION("""COMPUTED_VALUE"""),"zkHive")</f>
        <v>zkHive</v>
      </c>
    </row>
    <row r="13702">
      <c r="A13702" s="4" t="str">
        <f>IFERROR(__xludf.DUMMYFUNCTION("""COMPUTED_VALUE"""),"zkinfra")</f>
        <v>zkinfra</v>
      </c>
      <c r="B13702" s="4" t="str">
        <f>IFERROR(__xludf.DUMMYFUNCTION("""COMPUTED_VALUE"""),"zkin")</f>
        <v>zkin</v>
      </c>
      <c r="C13702" s="4" t="str">
        <f>IFERROR(__xludf.DUMMYFUNCTION("""COMPUTED_VALUE"""),"zkInfra")</f>
        <v>zkInfra</v>
      </c>
    </row>
    <row r="13703">
      <c r="A13703" s="4" t="str">
        <f>IFERROR(__xludf.DUMMYFUNCTION("""COMPUTED_VALUE"""),"zkitty-bot")</f>
        <v>zkitty-bot</v>
      </c>
      <c r="B13703" s="4" t="str">
        <f>IFERROR(__xludf.DUMMYFUNCTION("""COMPUTED_VALUE"""),"$zkitty")</f>
        <v>$zkitty</v>
      </c>
      <c r="C13703" s="4" t="str">
        <f>IFERROR(__xludf.DUMMYFUNCTION("""COMPUTED_VALUE"""),"ZKitty Bot")</f>
        <v>ZKitty Bot</v>
      </c>
    </row>
    <row r="13704">
      <c r="A13704" s="4" t="str">
        <f>IFERROR(__xludf.DUMMYFUNCTION("""COMPUTED_VALUE"""),"zklaunchpad")</f>
        <v>zklaunchpad</v>
      </c>
      <c r="B13704" s="4" t="str">
        <f>IFERROR(__xludf.DUMMYFUNCTION("""COMPUTED_VALUE"""),"zkpad")</f>
        <v>zkpad</v>
      </c>
      <c r="C13704" s="4" t="str">
        <f>IFERROR(__xludf.DUMMYFUNCTION("""COMPUTED_VALUE"""),"zkLaunchpad")</f>
        <v>zkLaunchpad</v>
      </c>
    </row>
    <row r="13705">
      <c r="A13705" s="4" t="str">
        <f>IFERROR(__xludf.DUMMYFUNCTION("""COMPUTED_VALUE"""),"zklend-2")</f>
        <v>zklend-2</v>
      </c>
      <c r="B13705" s="4" t="str">
        <f>IFERROR(__xludf.DUMMYFUNCTION("""COMPUTED_VALUE"""),"zend")</f>
        <v>zend</v>
      </c>
      <c r="C13705" s="4" t="str">
        <f>IFERROR(__xludf.DUMMYFUNCTION("""COMPUTED_VALUE"""),"zkLend")</f>
        <v>zkLend</v>
      </c>
    </row>
    <row r="13706">
      <c r="A13706" s="4" t="str">
        <f>IFERROR(__xludf.DUMMYFUNCTION("""COMPUTED_VALUE"""),"zklink")</f>
        <v>zklink</v>
      </c>
      <c r="B13706" s="4" t="str">
        <f>IFERROR(__xludf.DUMMYFUNCTION("""COMPUTED_VALUE"""),"zkl")</f>
        <v>zkl</v>
      </c>
      <c r="C13706" s="4" t="str">
        <f>IFERROR(__xludf.DUMMYFUNCTION("""COMPUTED_VALUE"""),"zkLink")</f>
        <v>zkLink</v>
      </c>
    </row>
    <row r="13707">
      <c r="A13707" s="4" t="str">
        <f>IFERROR(__xludf.DUMMYFUNCTION("""COMPUTED_VALUE"""),"zklock")</f>
        <v>zklock</v>
      </c>
      <c r="B13707" s="4" t="str">
        <f>IFERROR(__xludf.DUMMYFUNCTION("""COMPUTED_VALUE"""),"zklk")</f>
        <v>zklk</v>
      </c>
      <c r="C13707" s="4" t="str">
        <f>IFERROR(__xludf.DUMMYFUNCTION("""COMPUTED_VALUE"""),"ZkLock")</f>
        <v>ZkLock</v>
      </c>
    </row>
    <row r="13708">
      <c r="A13708" s="4" t="str">
        <f>IFERROR(__xludf.DUMMYFUNCTION("""COMPUTED_VALUE"""),"zklotto")</f>
        <v>zklotto</v>
      </c>
      <c r="B13708" s="4" t="str">
        <f>IFERROR(__xludf.DUMMYFUNCTION("""COMPUTED_VALUE"""),"zklotto")</f>
        <v>zklotto</v>
      </c>
      <c r="C13708" s="4" t="str">
        <f>IFERROR(__xludf.DUMMYFUNCTION("""COMPUTED_VALUE"""),"zkLotto")</f>
        <v>zkLotto</v>
      </c>
    </row>
    <row r="13709">
      <c r="A13709" s="4" t="str">
        <f>IFERROR(__xludf.DUMMYFUNCTION("""COMPUTED_VALUE"""),"zkml")</f>
        <v>zkml</v>
      </c>
      <c r="B13709" s="4" t="str">
        <f>IFERROR(__xludf.DUMMYFUNCTION("""COMPUTED_VALUE"""),"zkml")</f>
        <v>zkml</v>
      </c>
      <c r="C13709" s="4" t="str">
        <f>IFERROR(__xludf.DUMMYFUNCTION("""COMPUTED_VALUE"""),"zKML")</f>
        <v>zKML</v>
      </c>
    </row>
    <row r="13710">
      <c r="A13710" s="4" t="str">
        <f>IFERROR(__xludf.DUMMYFUNCTION("""COMPUTED_VALUE"""),"zkpepe")</f>
        <v>zkpepe</v>
      </c>
      <c r="B13710" s="4" t="str">
        <f>IFERROR(__xludf.DUMMYFUNCTION("""COMPUTED_VALUE"""),"zkpepe")</f>
        <v>zkpepe</v>
      </c>
      <c r="C13710" s="4" t="str">
        <f>IFERROR(__xludf.DUMMYFUNCTION("""COMPUTED_VALUE"""),"ZKPepe")</f>
        <v>ZKPepe</v>
      </c>
    </row>
    <row r="13711">
      <c r="A13711" s="4" t="str">
        <f>IFERROR(__xludf.DUMMYFUNCTION("""COMPUTED_VALUE"""),"zkpepe-2")</f>
        <v>zkpepe-2</v>
      </c>
      <c r="B13711" s="4" t="str">
        <f>IFERROR(__xludf.DUMMYFUNCTION("""COMPUTED_VALUE"""),"zkpepe")</f>
        <v>zkpepe</v>
      </c>
      <c r="C13711" s="4" t="str">
        <f>IFERROR(__xludf.DUMMYFUNCTION("""COMPUTED_VALUE"""),"ZKPEPE")</f>
        <v>ZKPEPE</v>
      </c>
    </row>
    <row r="13712">
      <c r="A13712" s="4" t="str">
        <f>IFERROR(__xludf.DUMMYFUNCTION("""COMPUTED_VALUE"""),"zkproof")</f>
        <v>zkproof</v>
      </c>
      <c r="B13712" s="4" t="str">
        <f>IFERROR(__xludf.DUMMYFUNCTION("""COMPUTED_VALUE"""),"zkp")</f>
        <v>zkp</v>
      </c>
      <c r="C13712" s="4" t="str">
        <f>IFERROR(__xludf.DUMMYFUNCTION("""COMPUTED_VALUE"""),"zkProof")</f>
        <v>zkProof</v>
      </c>
    </row>
    <row r="13713">
      <c r="A13713" s="4" t="str">
        <f>IFERROR(__xludf.DUMMYFUNCTION("""COMPUTED_VALUE"""),"zkshib")</f>
        <v>zkshib</v>
      </c>
      <c r="B13713" s="4" t="str">
        <f>IFERROR(__xludf.DUMMYFUNCTION("""COMPUTED_VALUE"""),"zkshib")</f>
        <v>zkshib</v>
      </c>
      <c r="C13713" s="4" t="str">
        <f>IFERROR(__xludf.DUMMYFUNCTION("""COMPUTED_VALUE"""),"zkShib")</f>
        <v>zkShib</v>
      </c>
    </row>
    <row r="13714">
      <c r="A13714" s="4" t="str">
        <f>IFERROR(__xludf.DUMMYFUNCTION("""COMPUTED_VALUE"""),"zkshield")</f>
        <v>zkshield</v>
      </c>
      <c r="B13714" s="4" t="str">
        <f>IFERROR(__xludf.DUMMYFUNCTION("""COMPUTED_VALUE"""),"zkshield")</f>
        <v>zkshield</v>
      </c>
      <c r="C13714" s="4" t="str">
        <f>IFERROR(__xludf.DUMMYFUNCTION("""COMPUTED_VALUE"""),"zkSHIELD")</f>
        <v>zkSHIELD</v>
      </c>
    </row>
    <row r="13715">
      <c r="A13715" s="4" t="str">
        <f>IFERROR(__xludf.DUMMYFUNCTION("""COMPUTED_VALUE"""),"zkspace")</f>
        <v>zkspace</v>
      </c>
      <c r="B13715" s="4" t="str">
        <f>IFERROR(__xludf.DUMMYFUNCTION("""COMPUTED_VALUE"""),"zkb")</f>
        <v>zkb</v>
      </c>
      <c r="C13715" s="4" t="str">
        <f>IFERROR(__xludf.DUMMYFUNCTION("""COMPUTED_VALUE"""),"ZKBase")</f>
        <v>ZKBase</v>
      </c>
    </row>
    <row r="13716">
      <c r="A13716" s="4" t="str">
        <f>IFERROR(__xludf.DUMMYFUNCTION("""COMPUTED_VALUE"""),"zksvm")</f>
        <v>zksvm</v>
      </c>
      <c r="B13716" s="4" t="str">
        <f>IFERROR(__xludf.DUMMYFUNCTION("""COMPUTED_VALUE"""),"zksvm")</f>
        <v>zksvm</v>
      </c>
      <c r="C13716" s="4" t="str">
        <f>IFERROR(__xludf.DUMMYFUNCTION("""COMPUTED_VALUE"""),"zkSVM")</f>
        <v>zkSVM</v>
      </c>
    </row>
    <row r="13717">
      <c r="A13717" s="4" t="str">
        <f>IFERROR(__xludf.DUMMYFUNCTION("""COMPUTED_VALUE"""),"zkswap-92fc4897-ea4c-4692-afc9-a9840a85b4f2")</f>
        <v>zkswap-92fc4897-ea4c-4692-afc9-a9840a85b4f2</v>
      </c>
      <c r="B13717" s="4" t="str">
        <f>IFERROR(__xludf.DUMMYFUNCTION("""COMPUTED_VALUE"""),"zksp")</f>
        <v>zksp</v>
      </c>
      <c r="C13717" s="4" t="str">
        <f>IFERROR(__xludf.DUMMYFUNCTION("""COMPUTED_VALUE"""),"zkSwap")</f>
        <v>zkSwap</v>
      </c>
    </row>
    <row r="13718">
      <c r="A13718" s="4" t="str">
        <f>IFERROR(__xludf.DUMMYFUNCTION("""COMPUTED_VALUE"""),"zkswap-finance")</f>
        <v>zkswap-finance</v>
      </c>
      <c r="B13718" s="4" t="str">
        <f>IFERROR(__xludf.DUMMYFUNCTION("""COMPUTED_VALUE"""),"zf")</f>
        <v>zf</v>
      </c>
      <c r="C13718" s="4" t="str">
        <f>IFERROR(__xludf.DUMMYFUNCTION("""COMPUTED_VALUE"""),"zkSwap Finance")</f>
        <v>zkSwap Finance</v>
      </c>
    </row>
    <row r="13719">
      <c r="A13719" s="4" t="str">
        <f>IFERROR(__xludf.DUMMYFUNCTION("""COMPUTED_VALUE"""),"zksync-bridged-usdc-zksync")</f>
        <v>zksync-bridged-usdc-zksync</v>
      </c>
      <c r="B13719" s="4" t="str">
        <f>IFERROR(__xludf.DUMMYFUNCTION("""COMPUTED_VALUE"""),"usdc")</f>
        <v>usdc</v>
      </c>
      <c r="C13719" s="4" t="str">
        <f>IFERROR(__xludf.DUMMYFUNCTION("""COMPUTED_VALUE"""),"zkSync Bridged USDC (zkSync)")</f>
        <v>zkSync Bridged USDC (zkSync)</v>
      </c>
    </row>
    <row r="13720">
      <c r="A13720" s="4" t="str">
        <f>IFERROR(__xludf.DUMMYFUNCTION("""COMPUTED_VALUE"""),"zksync-id")</f>
        <v>zksync-id</v>
      </c>
      <c r="B13720" s="4" t="str">
        <f>IFERROR(__xludf.DUMMYFUNCTION("""COMPUTED_VALUE"""),"zkid")</f>
        <v>zkid</v>
      </c>
      <c r="C13720" s="4" t="str">
        <f>IFERROR(__xludf.DUMMYFUNCTION("""COMPUTED_VALUE"""),"zkSync id")</f>
        <v>zkSync id</v>
      </c>
    </row>
    <row r="13721">
      <c r="A13721" s="4" t="str">
        <f>IFERROR(__xludf.DUMMYFUNCTION("""COMPUTED_VALUE"""),"zktao")</f>
        <v>zktao</v>
      </c>
      <c r="B13721" s="4" t="str">
        <f>IFERROR(__xludf.DUMMYFUNCTION("""COMPUTED_VALUE"""),"zao")</f>
        <v>zao</v>
      </c>
      <c r="C13721" s="4" t="str">
        <f>IFERROR(__xludf.DUMMYFUNCTION("""COMPUTED_VALUE"""),"zkTAO")</f>
        <v>zkTAO</v>
      </c>
    </row>
    <row r="13722">
      <c r="A13722" s="4" t="str">
        <f>IFERROR(__xludf.DUMMYFUNCTION("""COMPUTED_VALUE"""),"zktsunami")</f>
        <v>zktsunami</v>
      </c>
      <c r="B13722" s="4" t="str">
        <f>IFERROR(__xludf.DUMMYFUNCTION("""COMPUTED_VALUE"""),":zkt:")</f>
        <v>:zkt:</v>
      </c>
      <c r="C13722" s="4" t="str">
        <f>IFERROR(__xludf.DUMMYFUNCTION("""COMPUTED_VALUE"""),"ZkTsunami")</f>
        <v>ZkTsunami</v>
      </c>
    </row>
    <row r="13723">
      <c r="A13723" s="4" t="str">
        <f>IFERROR(__xludf.DUMMYFUNCTION("""COMPUTED_VALUE"""),"zkx")</f>
        <v>zkx</v>
      </c>
      <c r="B13723" s="4" t="str">
        <f>IFERROR(__xludf.DUMMYFUNCTION("""COMPUTED_VALUE"""),"$zkx")</f>
        <v>$zkx</v>
      </c>
      <c r="C13723" s="4" t="str">
        <f>IFERROR(__xludf.DUMMYFUNCTION("""COMPUTED_VALUE"""),"ZKX")</f>
        <v>ZKX</v>
      </c>
    </row>
    <row r="13724">
      <c r="A13724" s="4" t="str">
        <f>IFERROR(__xludf.DUMMYFUNCTION("""COMPUTED_VALUE"""),"zkzone")</f>
        <v>zkzone</v>
      </c>
      <c r="B13724" s="4" t="str">
        <f>IFERROR(__xludf.DUMMYFUNCTION("""COMPUTED_VALUE"""),"zkz")</f>
        <v>zkz</v>
      </c>
      <c r="C13724" s="4" t="str">
        <f>IFERROR(__xludf.DUMMYFUNCTION("""COMPUTED_VALUE"""),"Zkzone")</f>
        <v>Zkzone</v>
      </c>
    </row>
    <row r="13725">
      <c r="A13725" s="4" t="str">
        <f>IFERROR(__xludf.DUMMYFUNCTION("""COMPUTED_VALUE"""),"zmine")</f>
        <v>zmine</v>
      </c>
      <c r="B13725" s="4" t="str">
        <f>IFERROR(__xludf.DUMMYFUNCTION("""COMPUTED_VALUE"""),"zmn")</f>
        <v>zmn</v>
      </c>
      <c r="C13725" s="4" t="str">
        <f>IFERROR(__xludf.DUMMYFUNCTION("""COMPUTED_VALUE"""),"ZMINE")</f>
        <v>ZMINE</v>
      </c>
    </row>
    <row r="13726">
      <c r="A13726" s="4" t="str">
        <f>IFERROR(__xludf.DUMMYFUNCTION("""COMPUTED_VALUE"""),"zoci")</f>
        <v>zoci</v>
      </c>
      <c r="B13726" s="4" t="str">
        <f>IFERROR(__xludf.DUMMYFUNCTION("""COMPUTED_VALUE"""),"zoci")</f>
        <v>zoci</v>
      </c>
      <c r="C13726" s="4" t="str">
        <f>IFERROR(__xludf.DUMMYFUNCTION("""COMPUTED_VALUE"""),"Zoci")</f>
        <v>Zoci</v>
      </c>
    </row>
    <row r="13727">
      <c r="A13727" s="4" t="str">
        <f>IFERROR(__xludf.DUMMYFUNCTION("""COMPUTED_VALUE"""),"zodiacsv2")</f>
        <v>zodiacsv2</v>
      </c>
      <c r="B13727" s="4" t="str">
        <f>IFERROR(__xludf.DUMMYFUNCTION("""COMPUTED_VALUE"""),"zdcv2")</f>
        <v>zdcv2</v>
      </c>
      <c r="C13727" s="4" t="str">
        <f>IFERROR(__xludf.DUMMYFUNCTION("""COMPUTED_VALUE"""),"ZodiacsV2")</f>
        <v>ZodiacsV2</v>
      </c>
    </row>
    <row r="13728">
      <c r="A13728" s="4" t="str">
        <f>IFERROR(__xludf.DUMMYFUNCTION("""COMPUTED_VALUE"""),"zodium")</f>
        <v>zodium</v>
      </c>
      <c r="B13728" s="4" t="str">
        <f>IFERROR(__xludf.DUMMYFUNCTION("""COMPUTED_VALUE"""),"zodi")</f>
        <v>zodi</v>
      </c>
      <c r="C13728" s="4" t="str">
        <f>IFERROR(__xludf.DUMMYFUNCTION("""COMPUTED_VALUE"""),"Zodium")</f>
        <v>Zodium</v>
      </c>
    </row>
    <row r="13729">
      <c r="A13729" s="4" t="str">
        <f>IFERROR(__xludf.DUMMYFUNCTION("""COMPUTED_VALUE"""),"zoid-pay")</f>
        <v>zoid-pay</v>
      </c>
      <c r="B13729" s="4" t="str">
        <f>IFERROR(__xludf.DUMMYFUNCTION("""COMPUTED_VALUE"""),"zpay")</f>
        <v>zpay</v>
      </c>
      <c r="C13729" s="4" t="str">
        <f>IFERROR(__xludf.DUMMYFUNCTION("""COMPUTED_VALUE"""),"ZoidPay")</f>
        <v>ZoidPay</v>
      </c>
    </row>
    <row r="13730">
      <c r="A13730" s="4" t="str">
        <f>IFERROR(__xludf.DUMMYFUNCTION("""COMPUTED_VALUE"""),"zombie-inu-2")</f>
        <v>zombie-inu-2</v>
      </c>
      <c r="B13730" s="4" t="str">
        <f>IFERROR(__xludf.DUMMYFUNCTION("""COMPUTED_VALUE"""),"zinu")</f>
        <v>zinu</v>
      </c>
      <c r="C13730" s="4" t="str">
        <f>IFERROR(__xludf.DUMMYFUNCTION("""COMPUTED_VALUE"""),"Zombie Inu")</f>
        <v>Zombie Inu</v>
      </c>
    </row>
    <row r="13731">
      <c r="A13731" s="4" t="str">
        <f>IFERROR(__xludf.DUMMYFUNCTION("""COMPUTED_VALUE"""),"zone")</f>
        <v>zone</v>
      </c>
      <c r="B13731" s="4" t="str">
        <f>IFERROR(__xludf.DUMMYFUNCTION("""COMPUTED_VALUE"""),"zone")</f>
        <v>zone</v>
      </c>
      <c r="C13731" s="4" t="str">
        <f>IFERROR(__xludf.DUMMYFUNCTION("""COMPUTED_VALUE"""),"Zone")</f>
        <v>Zone</v>
      </c>
    </row>
    <row r="13732">
      <c r="A13732" s="4" t="str">
        <f>IFERROR(__xludf.DUMMYFUNCTION("""COMPUTED_VALUE"""),"zone-of-avoidance")</f>
        <v>zone-of-avoidance</v>
      </c>
      <c r="B13732" s="4" t="str">
        <f>IFERROR(__xludf.DUMMYFUNCTION("""COMPUTED_VALUE"""),"zoa")</f>
        <v>zoa</v>
      </c>
      <c r="C13732" s="4" t="str">
        <f>IFERROR(__xludf.DUMMYFUNCTION("""COMPUTED_VALUE"""),"Zone of Avoidance")</f>
        <v>Zone of Avoidance</v>
      </c>
    </row>
    <row r="13733">
      <c r="A13733" s="4" t="str">
        <f>IFERROR(__xludf.DUMMYFUNCTION("""COMPUTED_VALUE"""),"zoobit-finance")</f>
        <v>zoobit-finance</v>
      </c>
      <c r="B13733" s="4" t="str">
        <f>IFERROR(__xludf.DUMMYFUNCTION("""COMPUTED_VALUE"""),"zb")</f>
        <v>zb</v>
      </c>
      <c r="C13733" s="4" t="str">
        <f>IFERROR(__xludf.DUMMYFUNCTION("""COMPUTED_VALUE"""),"Zoobit Finance")</f>
        <v>Zoobit Finance</v>
      </c>
    </row>
    <row r="13734">
      <c r="A13734" s="4" t="str">
        <f>IFERROR(__xludf.DUMMYFUNCTION("""COMPUTED_VALUE"""),"zoocoin")</f>
        <v>zoocoin</v>
      </c>
      <c r="B13734" s="4" t="str">
        <f>IFERROR(__xludf.DUMMYFUNCTION("""COMPUTED_VALUE"""),"zoo")</f>
        <v>zoo</v>
      </c>
      <c r="C13734" s="4" t="str">
        <f>IFERROR(__xludf.DUMMYFUNCTION("""COMPUTED_VALUE"""),"ZooCoin")</f>
        <v>ZooCoin</v>
      </c>
    </row>
    <row r="13735">
      <c r="A13735" s="4" t="str">
        <f>IFERROR(__xludf.DUMMYFUNCTION("""COMPUTED_VALUE"""),"zoo-coin")</f>
        <v>zoo-coin</v>
      </c>
      <c r="B13735" s="4" t="str">
        <f>IFERROR(__xludf.DUMMYFUNCTION("""COMPUTED_VALUE"""),"zoo")</f>
        <v>zoo</v>
      </c>
      <c r="C13735" s="4" t="str">
        <f>IFERROR(__xludf.DUMMYFUNCTION("""COMPUTED_VALUE"""),"ZooCoin (OLD)")</f>
        <v>ZooCoin (OLD)</v>
      </c>
    </row>
    <row r="13736">
      <c r="A13736" s="4" t="str">
        <f>IFERROR(__xludf.DUMMYFUNCTION("""COMPUTED_VALUE"""),"zoo-crypto-world")</f>
        <v>zoo-crypto-world</v>
      </c>
      <c r="B13736" s="4" t="str">
        <f>IFERROR(__xludf.DUMMYFUNCTION("""COMPUTED_VALUE"""),"zoo")</f>
        <v>zoo</v>
      </c>
      <c r="C13736" s="4" t="str">
        <f>IFERROR(__xludf.DUMMYFUNCTION("""COMPUTED_VALUE"""),"ZOO Crypto World")</f>
        <v>ZOO Crypto World</v>
      </c>
    </row>
    <row r="13737">
      <c r="A13737" s="4" t="str">
        <f>IFERROR(__xludf.DUMMYFUNCTION("""COMPUTED_VALUE"""),"zoodao")</f>
        <v>zoodao</v>
      </c>
      <c r="B13737" s="4" t="str">
        <f>IFERROR(__xludf.DUMMYFUNCTION("""COMPUTED_VALUE"""),"zoo")</f>
        <v>zoo</v>
      </c>
      <c r="C13737" s="4" t="str">
        <f>IFERROR(__xludf.DUMMYFUNCTION("""COMPUTED_VALUE"""),"ZooDAO")</f>
        <v>ZooDAO</v>
      </c>
    </row>
    <row r="13738">
      <c r="A13738" s="4" t="str">
        <f>IFERROR(__xludf.DUMMYFUNCTION("""COMPUTED_VALUE"""),"zookeeper")</f>
        <v>zookeeper</v>
      </c>
      <c r="B13738" s="4" t="str">
        <f>IFERROR(__xludf.DUMMYFUNCTION("""COMPUTED_VALUE"""),"zoo")</f>
        <v>zoo</v>
      </c>
      <c r="C13738" s="4" t="str">
        <f>IFERROR(__xludf.DUMMYFUNCTION("""COMPUTED_VALUE"""),"ZooKeeper")</f>
        <v>ZooKeeper</v>
      </c>
    </row>
    <row r="13739">
      <c r="A13739" s="4" t="str">
        <f>IFERROR(__xludf.DUMMYFUNCTION("""COMPUTED_VALUE"""),"zook-protocol")</f>
        <v>zook-protocol</v>
      </c>
      <c r="B13739" s="4" t="str">
        <f>IFERROR(__xludf.DUMMYFUNCTION("""COMPUTED_VALUE"""),"zook")</f>
        <v>zook</v>
      </c>
      <c r="C13739" s="4" t="str">
        <f>IFERROR(__xludf.DUMMYFUNCTION("""COMPUTED_VALUE"""),"Zook Protocol")</f>
        <v>Zook Protocol</v>
      </c>
    </row>
    <row r="13740">
      <c r="A13740" s="4" t="str">
        <f>IFERROR(__xludf.DUMMYFUNCTION("""COMPUTED_VALUE"""),"zoomer")</f>
        <v>zoomer</v>
      </c>
      <c r="B13740" s="4" t="str">
        <f>IFERROR(__xludf.DUMMYFUNCTION("""COMPUTED_VALUE"""),"zoomer")</f>
        <v>zoomer</v>
      </c>
      <c r="C13740" s="4" t="str">
        <f>IFERROR(__xludf.DUMMYFUNCTION("""COMPUTED_VALUE"""),"Zoomer")</f>
        <v>Zoomer</v>
      </c>
    </row>
    <row r="13741">
      <c r="A13741" s="4" t="str">
        <f>IFERROR(__xludf.DUMMYFUNCTION("""COMPUTED_VALUE"""),"zoomswap")</f>
        <v>zoomswap</v>
      </c>
      <c r="B13741" s="4" t="str">
        <f>IFERROR(__xludf.DUMMYFUNCTION("""COMPUTED_VALUE"""),"zm")</f>
        <v>zm</v>
      </c>
      <c r="C13741" s="4" t="str">
        <f>IFERROR(__xludf.DUMMYFUNCTION("""COMPUTED_VALUE"""),"ZoomSwap")</f>
        <v>ZoomSwap</v>
      </c>
    </row>
    <row r="13742">
      <c r="A13742" s="4" t="str">
        <f>IFERROR(__xludf.DUMMYFUNCTION("""COMPUTED_VALUE"""),"zoopia")</f>
        <v>zoopia</v>
      </c>
      <c r="B13742" s="4" t="str">
        <f>IFERROR(__xludf.DUMMYFUNCTION("""COMPUTED_VALUE"""),"zooa")</f>
        <v>zooa</v>
      </c>
      <c r="C13742" s="4" t="str">
        <f>IFERROR(__xludf.DUMMYFUNCTION("""COMPUTED_VALUE"""),"Zoopia")</f>
        <v>Zoopia</v>
      </c>
    </row>
    <row r="13743">
      <c r="A13743" s="4" t="str">
        <f>IFERROR(__xludf.DUMMYFUNCTION("""COMPUTED_VALUE"""),"zoo-token")</f>
        <v>zoo-token</v>
      </c>
      <c r="B13743" s="4" t="str">
        <f>IFERROR(__xludf.DUMMYFUNCTION("""COMPUTED_VALUE"""),"zoot")</f>
        <v>zoot</v>
      </c>
      <c r="C13743" s="4" t="str">
        <f>IFERROR(__xludf.DUMMYFUNCTION("""COMPUTED_VALUE"""),"Zoo")</f>
        <v>Zoo</v>
      </c>
    </row>
    <row r="13744">
      <c r="A13744" s="4" t="str">
        <f>IFERROR(__xludf.DUMMYFUNCTION("""COMPUTED_VALUE"""),"zora-bridged-weth-zora-network")</f>
        <v>zora-bridged-weth-zora-network</v>
      </c>
      <c r="B13744" s="4" t="str">
        <f>IFERROR(__xludf.DUMMYFUNCTION("""COMPUTED_VALUE"""),"weth")</f>
        <v>weth</v>
      </c>
      <c r="C13744" s="4" t="str">
        <f>IFERROR(__xludf.DUMMYFUNCTION("""COMPUTED_VALUE"""),"Zora Bridged WETH (Zora Network)")</f>
        <v>Zora Bridged WETH (Zora Network)</v>
      </c>
    </row>
    <row r="13745">
      <c r="A13745" s="4" t="str">
        <f>IFERROR(__xludf.DUMMYFUNCTION("""COMPUTED_VALUE"""),"zorksees")</f>
        <v>zorksees</v>
      </c>
      <c r="B13745" s="4" t="str">
        <f>IFERROR(__xludf.DUMMYFUNCTION("""COMPUTED_VALUE"""),"zorksees")</f>
        <v>zorksees</v>
      </c>
      <c r="C13745" s="4" t="str">
        <f>IFERROR(__xludf.DUMMYFUNCTION("""COMPUTED_VALUE"""),"Zorksees")</f>
        <v>Zorksees</v>
      </c>
    </row>
    <row r="13746">
      <c r="A13746" s="4" t="str">
        <f>IFERROR(__xludf.DUMMYFUNCTION("""COMPUTED_VALUE"""),"zorro")</f>
        <v>zorro</v>
      </c>
      <c r="B13746" s="4" t="str">
        <f>IFERROR(__xludf.DUMMYFUNCTION("""COMPUTED_VALUE"""),"zorro")</f>
        <v>zorro</v>
      </c>
      <c r="C13746" s="4" t="str">
        <f>IFERROR(__xludf.DUMMYFUNCTION("""COMPUTED_VALUE"""),"Zorro")</f>
        <v>Zorro</v>
      </c>
    </row>
    <row r="13747">
      <c r="A13747" s="4" t="str">
        <f>IFERROR(__xludf.DUMMYFUNCTION("""COMPUTED_VALUE"""),"z-protocol")</f>
        <v>z-protocol</v>
      </c>
      <c r="B13747" s="4" t="str">
        <f>IFERROR(__xludf.DUMMYFUNCTION("""COMPUTED_VALUE"""),"zp")</f>
        <v>zp</v>
      </c>
      <c r="C13747" s="4" t="str">
        <f>IFERROR(__xludf.DUMMYFUNCTION("""COMPUTED_VALUE"""),"Z Protocol")</f>
        <v>Z Protocol</v>
      </c>
    </row>
    <row r="13748">
      <c r="A13748" s="4" t="str">
        <f>IFERROR(__xludf.DUMMYFUNCTION("""COMPUTED_VALUE"""),"zpunk")</f>
        <v>zpunk</v>
      </c>
      <c r="B13748" s="4" t="str">
        <f>IFERROR(__xludf.DUMMYFUNCTION("""COMPUTED_VALUE"""),"zpt")</f>
        <v>zpt</v>
      </c>
      <c r="C13748" s="4" t="str">
        <f>IFERROR(__xludf.DUMMYFUNCTION("""COMPUTED_VALUE"""),"Zpunk")</f>
        <v>Zpunk</v>
      </c>
    </row>
    <row r="13749">
      <c r="A13749" s="4" t="str">
        <f>IFERROR(__xludf.DUMMYFUNCTION("""COMPUTED_VALUE"""),"zro")</f>
        <v>zro</v>
      </c>
      <c r="B13749" s="4" t="str">
        <f>IFERROR(__xludf.DUMMYFUNCTION("""COMPUTED_VALUE"""),"zro")</f>
        <v>zro</v>
      </c>
      <c r="C13749" s="5" t="str">
        <f>IFERROR(__xludf.DUMMYFUNCTION("""COMPUTED_VALUE"""),"Carb0n.fi")</f>
        <v>Carb0n.fi</v>
      </c>
    </row>
    <row r="13750">
      <c r="A13750" s="4" t="str">
        <f>IFERROR(__xludf.DUMMYFUNCTION("""COMPUTED_VALUE"""),"zsol")</f>
        <v>zsol</v>
      </c>
      <c r="B13750" s="4" t="str">
        <f>IFERROR(__xludf.DUMMYFUNCTION("""COMPUTED_VALUE"""),"zsol")</f>
        <v>zsol</v>
      </c>
      <c r="C13750" s="4" t="str">
        <f>IFERROR(__xludf.DUMMYFUNCTION("""COMPUTED_VALUE"""),"zSOL")</f>
        <v>zSOL</v>
      </c>
    </row>
    <row r="13751">
      <c r="A13751" s="4" t="str">
        <f>IFERROR(__xludf.DUMMYFUNCTION("""COMPUTED_VALUE"""),"ztx")</f>
        <v>ztx</v>
      </c>
      <c r="B13751" s="4" t="str">
        <f>IFERROR(__xludf.DUMMYFUNCTION("""COMPUTED_VALUE"""),"ztx")</f>
        <v>ztx</v>
      </c>
      <c r="C13751" s="4" t="str">
        <f>IFERROR(__xludf.DUMMYFUNCTION("""COMPUTED_VALUE"""),"ZTX")</f>
        <v>ZTX</v>
      </c>
    </row>
    <row r="13752">
      <c r="A13752" s="4" t="str">
        <f>IFERROR(__xludf.DUMMYFUNCTION("""COMPUTED_VALUE"""),"zum-token")</f>
        <v>zum-token</v>
      </c>
      <c r="B13752" s="4" t="str">
        <f>IFERROR(__xludf.DUMMYFUNCTION("""COMPUTED_VALUE"""),"zum")</f>
        <v>zum</v>
      </c>
      <c r="C13752" s="4" t="str">
        <f>IFERROR(__xludf.DUMMYFUNCTION("""COMPUTED_VALUE"""),"ZUM")</f>
        <v>ZUM</v>
      </c>
    </row>
    <row r="13753">
      <c r="A13753" s="4" t="str">
        <f>IFERROR(__xludf.DUMMYFUNCTION("""COMPUTED_VALUE"""),"zurf")</f>
        <v>zurf</v>
      </c>
      <c r="B13753" s="4" t="str">
        <f>IFERROR(__xludf.DUMMYFUNCTION("""COMPUTED_VALUE"""),"zrf")</f>
        <v>zrf</v>
      </c>
      <c r="C13753" s="4" t="str">
        <f>IFERROR(__xludf.DUMMYFUNCTION("""COMPUTED_VALUE"""),"ZURF")</f>
        <v>ZURF</v>
      </c>
    </row>
    <row r="13754">
      <c r="A13754" s="4" t="str">
        <f>IFERROR(__xludf.DUMMYFUNCTION("""COMPUTED_VALUE"""),"zurrency")</f>
        <v>zurrency</v>
      </c>
      <c r="B13754" s="4" t="str">
        <f>IFERROR(__xludf.DUMMYFUNCTION("""COMPUTED_VALUE"""),"zurr")</f>
        <v>zurr</v>
      </c>
      <c r="C13754" s="4" t="str">
        <f>IFERROR(__xludf.DUMMYFUNCTION("""COMPUTED_VALUE"""),"ZURRENCY")</f>
        <v>ZURRENCY</v>
      </c>
    </row>
    <row r="13755">
      <c r="A13755" s="4" t="str">
        <f>IFERROR(__xludf.DUMMYFUNCTION("""COMPUTED_VALUE"""),"zuzalu-inu")</f>
        <v>zuzalu-inu</v>
      </c>
      <c r="B13755" s="4" t="str">
        <f>IFERROR(__xludf.DUMMYFUNCTION("""COMPUTED_VALUE"""),"zuzalu")</f>
        <v>zuzalu</v>
      </c>
      <c r="C13755" s="4" t="str">
        <f>IFERROR(__xludf.DUMMYFUNCTION("""COMPUTED_VALUE"""),"Zuzalu Inu")</f>
        <v>Zuzalu Inu</v>
      </c>
    </row>
    <row r="13756">
      <c r="A13756" s="4" t="str">
        <f>IFERROR(__xludf.DUMMYFUNCTION("""COMPUTED_VALUE"""),"zuzuai")</f>
        <v>zuzuai</v>
      </c>
      <c r="B13756" s="4" t="str">
        <f>IFERROR(__xludf.DUMMYFUNCTION("""COMPUTED_VALUE"""),"zuzuai")</f>
        <v>zuzuai</v>
      </c>
      <c r="C13756" s="4" t="str">
        <f>IFERROR(__xludf.DUMMYFUNCTION("""COMPUTED_VALUE"""),"ZUZUAI")</f>
        <v>ZUZUAI</v>
      </c>
    </row>
    <row r="13757">
      <c r="A13757" s="4" t="str">
        <f>IFERROR(__xludf.DUMMYFUNCTION("""COMPUTED_VALUE"""),"zyberswap")</f>
        <v>zyberswap</v>
      </c>
      <c r="B13757" s="4" t="str">
        <f>IFERROR(__xludf.DUMMYFUNCTION("""COMPUTED_VALUE"""),"zyb")</f>
        <v>zyb</v>
      </c>
      <c r="C13757" s="4" t="str">
        <f>IFERROR(__xludf.DUMMYFUNCTION("""COMPUTED_VALUE"""),"Zyberswap")</f>
        <v>Zyberswap</v>
      </c>
    </row>
    <row r="13758">
      <c r="A13758" s="4" t="str">
        <f>IFERROR(__xludf.DUMMYFUNCTION("""COMPUTED_VALUE"""),"zyncoin-2")</f>
        <v>zyncoin-2</v>
      </c>
      <c r="B13758" s="4" t="str">
        <f>IFERROR(__xludf.DUMMYFUNCTION("""COMPUTED_VALUE"""),"zyn")</f>
        <v>zyn</v>
      </c>
      <c r="C13758" s="4" t="str">
        <f>IFERROR(__xludf.DUMMYFUNCTION("""COMPUTED_VALUE"""),"ZynCoin")</f>
        <v>ZynCoin</v>
      </c>
    </row>
    <row r="13759">
      <c r="A13759" s="4" t="str">
        <f>IFERROR(__xludf.DUMMYFUNCTION("""COMPUTED_VALUE"""),"zynecoin")</f>
        <v>zynecoin</v>
      </c>
      <c r="B13759" s="4" t="str">
        <f>IFERROR(__xludf.DUMMYFUNCTION("""COMPUTED_VALUE"""),"zyn")</f>
        <v>zyn</v>
      </c>
      <c r="C13759" s="4" t="str">
        <f>IFERROR(__xludf.DUMMYFUNCTION("""COMPUTED_VALUE"""),"Zynecoin")</f>
        <v>Zynecoin</v>
      </c>
    </row>
    <row r="13760">
      <c r="A13760" s="4" t="str">
        <f>IFERROR(__xludf.DUMMYFUNCTION("""COMPUTED_VALUE"""),"zynergy")</f>
        <v>zynergy</v>
      </c>
      <c r="B13760" s="4" t="str">
        <f>IFERROR(__xludf.DUMMYFUNCTION("""COMPUTED_VALUE"""),"zyn")</f>
        <v>zyn</v>
      </c>
      <c r="C13760" s="4" t="str">
        <f>IFERROR(__xludf.DUMMYFUNCTION("""COMPUTED_VALUE"""),"Zynergy")</f>
        <v>Zynergy</v>
      </c>
    </row>
    <row r="13761">
      <c r="A13761" s="4" t="str">
        <f>IFERROR(__xludf.DUMMYFUNCTION("""COMPUTED_VALUE"""),"zyrri")</f>
        <v>zyrri</v>
      </c>
      <c r="B13761" s="4" t="str">
        <f>IFERROR(__xludf.DUMMYFUNCTION("""COMPUTED_VALUE"""),"zyr")</f>
        <v>zyr</v>
      </c>
      <c r="C13761" s="4" t="str">
        <f>IFERROR(__xludf.DUMMYFUNCTION("""COMPUTED_VALUE"""),"Zyrri")</f>
        <v>Zyrri</v>
      </c>
    </row>
    <row r="13762">
      <c r="A13762" s="4" t="str">
        <f>IFERROR(__xludf.DUMMYFUNCTION("""COMPUTED_VALUE"""),"zyx")</f>
        <v>zyx</v>
      </c>
      <c r="B13762" s="4" t="str">
        <f>IFERROR(__xludf.DUMMYFUNCTION("""COMPUTED_VALUE"""),"zyx")</f>
        <v>zyx</v>
      </c>
      <c r="C13762" s="4" t="str">
        <f>IFERROR(__xludf.DUMMYFUNCTION("""COMPUTED_VALUE"""),"ZYX")</f>
        <v>ZYX</v>
      </c>
    </row>
    <row r="13763">
      <c r="A13763" s="4" t="str">
        <f>IFERROR(__xludf.DUMMYFUNCTION("""COMPUTED_VALUE"""),"zzz")</f>
        <v>zzz</v>
      </c>
      <c r="B13763" s="4" t="str">
        <f>IFERROR(__xludf.DUMMYFUNCTION("""COMPUTED_VALUE"""),"zzz")</f>
        <v>zzz</v>
      </c>
      <c r="C13763" s="4" t="str">
        <f>IFERROR(__xludf.DUMMYFUNCTION("""COMPUTED_VALUE"""),"GoSleep ZZZ")</f>
        <v>GoSleep ZZZ</v>
      </c>
    </row>
    <row r="13764">
      <c r="A13764" s="4"/>
      <c r="B13764" s="4"/>
      <c r="C13764" s="4"/>
    </row>
    <row r="13765">
      <c r="A13765" s="4"/>
      <c r="B13765" s="4"/>
      <c r="C13765" s="4"/>
    </row>
    <row r="13766">
      <c r="A13766" s="4"/>
      <c r="B13766" s="4"/>
      <c r="C13766" s="4"/>
    </row>
    <row r="13767">
      <c r="A13767" s="4"/>
      <c r="B13767" s="4"/>
      <c r="C13767" s="4"/>
    </row>
    <row r="13768">
      <c r="A13768" s="4"/>
      <c r="B13768" s="4"/>
      <c r="C13768" s="4"/>
    </row>
    <row r="13769">
      <c r="A13769" s="4"/>
      <c r="B13769" s="4"/>
      <c r="C13769" s="4"/>
    </row>
    <row r="13770">
      <c r="A13770" s="4"/>
      <c r="B13770" s="4"/>
      <c r="C13770" s="4"/>
    </row>
    <row r="13771">
      <c r="A13771" s="4"/>
      <c r="B13771" s="4"/>
      <c r="C13771" s="4"/>
    </row>
    <row r="13772">
      <c r="A13772" s="4"/>
      <c r="B13772" s="4"/>
      <c r="C13772" s="4"/>
    </row>
    <row r="13773">
      <c r="A13773" s="4"/>
      <c r="B13773" s="4"/>
      <c r="C13773" s="4"/>
    </row>
    <row r="13774">
      <c r="A13774" s="4"/>
      <c r="B13774" s="4"/>
      <c r="C13774" s="4"/>
    </row>
    <row r="13775">
      <c r="A13775" s="4"/>
      <c r="B13775" s="4"/>
      <c r="C13775" s="4"/>
    </row>
    <row r="13776">
      <c r="A13776" s="4"/>
      <c r="B13776" s="4"/>
      <c r="C13776" s="4"/>
    </row>
    <row r="13777">
      <c r="A13777" s="4"/>
      <c r="B13777" s="4"/>
      <c r="C13777" s="4"/>
    </row>
    <row r="13778">
      <c r="A13778" s="4"/>
      <c r="B13778" s="4"/>
      <c r="C13778" s="4"/>
    </row>
    <row r="13779">
      <c r="A13779" s="4"/>
      <c r="B13779" s="4"/>
      <c r="C13779" s="4"/>
    </row>
    <row r="13780">
      <c r="A13780" s="4"/>
      <c r="B13780" s="4"/>
      <c r="C13780" s="4"/>
    </row>
    <row r="13781">
      <c r="A13781" s="4"/>
      <c r="B13781" s="4"/>
      <c r="C13781" s="4"/>
    </row>
    <row r="13782">
      <c r="A13782" s="4"/>
      <c r="B13782" s="4"/>
      <c r="C13782" s="4"/>
    </row>
    <row r="13783">
      <c r="A13783" s="4"/>
      <c r="B13783" s="4"/>
      <c r="C13783" s="4"/>
    </row>
    <row r="13784">
      <c r="A13784" s="4"/>
      <c r="B13784" s="4"/>
      <c r="C13784" s="4"/>
    </row>
    <row r="13785">
      <c r="A13785" s="4"/>
      <c r="B13785" s="4"/>
      <c r="C13785" s="4"/>
    </row>
    <row r="13786">
      <c r="A13786" s="4"/>
      <c r="B13786" s="4"/>
      <c r="C13786" s="4"/>
    </row>
    <row r="13787">
      <c r="A13787" s="4"/>
      <c r="B13787" s="4"/>
      <c r="C13787" s="4"/>
    </row>
    <row r="13788">
      <c r="A13788" s="4"/>
      <c r="B13788" s="4"/>
      <c r="C13788" s="4"/>
    </row>
    <row r="13789">
      <c r="A13789" s="4"/>
      <c r="B13789" s="4"/>
      <c r="C13789" s="4"/>
    </row>
    <row r="13790">
      <c r="A13790" s="4"/>
      <c r="B13790" s="4"/>
      <c r="C13790" s="4"/>
    </row>
    <row r="13791">
      <c r="A13791" s="4"/>
      <c r="B13791" s="4"/>
      <c r="C13791" s="4"/>
    </row>
    <row r="13792">
      <c r="A13792" s="4"/>
      <c r="B13792" s="4"/>
      <c r="C13792" s="4"/>
    </row>
    <row r="13793">
      <c r="A13793" s="4"/>
      <c r="B13793" s="4"/>
      <c r="C13793" s="4"/>
    </row>
    <row r="13794">
      <c r="A13794" s="4"/>
      <c r="B13794" s="4"/>
      <c r="C13794" s="4"/>
    </row>
    <row r="13795">
      <c r="A13795" s="4"/>
      <c r="B13795" s="4"/>
      <c r="C13795" s="4"/>
    </row>
    <row r="13796">
      <c r="A13796" s="4"/>
      <c r="B13796" s="4"/>
      <c r="C13796" s="4"/>
    </row>
    <row r="13797">
      <c r="A13797" s="4"/>
      <c r="B13797" s="4"/>
      <c r="C13797" s="4"/>
    </row>
    <row r="13798">
      <c r="A13798" s="4"/>
      <c r="B13798" s="4"/>
      <c r="C13798" s="4"/>
    </row>
    <row r="13799">
      <c r="A13799" s="4"/>
      <c r="B13799" s="4"/>
      <c r="C13799" s="4"/>
    </row>
    <row r="13800">
      <c r="A13800" s="4"/>
      <c r="B13800" s="4"/>
      <c r="C13800" s="4"/>
    </row>
    <row r="13801">
      <c r="A13801" s="4"/>
      <c r="B13801" s="4"/>
      <c r="C13801" s="4"/>
    </row>
    <row r="13802">
      <c r="A13802" s="4"/>
      <c r="B13802" s="4"/>
      <c r="C13802" s="4"/>
    </row>
    <row r="13803">
      <c r="A13803" s="4"/>
      <c r="B13803" s="4"/>
      <c r="C13803" s="4"/>
    </row>
    <row r="13804">
      <c r="A13804" s="4"/>
      <c r="B13804" s="4"/>
      <c r="C13804" s="4"/>
    </row>
    <row r="13805">
      <c r="A13805" s="4"/>
      <c r="B13805" s="4"/>
      <c r="C13805" s="4"/>
    </row>
    <row r="13806">
      <c r="A13806" s="4"/>
      <c r="B13806" s="4"/>
      <c r="C13806" s="4"/>
    </row>
    <row r="13807">
      <c r="A13807" s="4"/>
      <c r="B13807" s="4"/>
      <c r="C13807" s="4"/>
    </row>
    <row r="13808">
      <c r="A13808" s="4"/>
      <c r="B13808" s="4"/>
      <c r="C13808" s="4"/>
    </row>
    <row r="13809">
      <c r="A13809" s="4"/>
      <c r="B13809" s="4"/>
      <c r="C13809" s="4"/>
    </row>
    <row r="13810">
      <c r="A13810" s="4"/>
      <c r="B13810" s="4"/>
      <c r="C13810" s="4"/>
    </row>
    <row r="13811">
      <c r="A13811" s="4"/>
      <c r="B13811" s="4"/>
      <c r="C13811" s="4"/>
    </row>
    <row r="13812">
      <c r="A13812" s="4"/>
      <c r="B13812" s="4"/>
      <c r="C13812" s="4"/>
    </row>
    <row r="13813">
      <c r="A13813" s="4"/>
      <c r="B13813" s="4"/>
      <c r="C13813" s="4"/>
    </row>
    <row r="13814">
      <c r="A13814" s="4"/>
      <c r="B13814" s="4"/>
      <c r="C13814" s="4"/>
    </row>
    <row r="13815">
      <c r="A13815" s="4"/>
      <c r="B13815" s="4"/>
      <c r="C13815" s="4"/>
    </row>
    <row r="13816">
      <c r="A13816" s="4"/>
      <c r="B13816" s="4"/>
      <c r="C13816" s="4"/>
    </row>
    <row r="13817">
      <c r="A13817" s="4"/>
      <c r="B13817" s="4"/>
      <c r="C13817" s="4"/>
    </row>
    <row r="13818">
      <c r="A13818" s="4"/>
      <c r="B13818" s="4"/>
      <c r="C13818" s="4"/>
    </row>
    <row r="13819">
      <c r="A13819" s="4"/>
      <c r="B13819" s="4"/>
      <c r="C13819" s="4"/>
    </row>
    <row r="13820">
      <c r="A13820" s="4"/>
      <c r="B13820" s="4"/>
      <c r="C13820" s="4"/>
    </row>
    <row r="13821">
      <c r="A13821" s="4"/>
      <c r="B13821" s="4"/>
      <c r="C13821" s="4"/>
    </row>
    <row r="13822">
      <c r="A13822" s="4"/>
      <c r="B13822" s="4"/>
      <c r="C13822" s="4"/>
    </row>
    <row r="13823">
      <c r="A13823" s="4"/>
      <c r="B13823" s="4"/>
      <c r="C13823" s="4"/>
    </row>
    <row r="13824">
      <c r="A13824" s="4"/>
      <c r="B13824" s="4"/>
      <c r="C13824" s="4"/>
    </row>
    <row r="13825">
      <c r="A13825" s="4"/>
      <c r="B13825" s="4"/>
      <c r="C13825" s="4"/>
    </row>
    <row r="13826">
      <c r="A13826" s="4"/>
      <c r="B13826" s="4"/>
      <c r="C13826" s="4"/>
    </row>
    <row r="13827">
      <c r="A13827" s="4"/>
      <c r="B13827" s="4"/>
      <c r="C13827" s="4"/>
    </row>
    <row r="13828">
      <c r="A13828" s="4"/>
      <c r="B13828" s="4"/>
      <c r="C13828" s="4"/>
    </row>
    <row r="13829">
      <c r="A13829" s="4"/>
      <c r="B13829" s="4"/>
      <c r="C13829" s="4"/>
    </row>
    <row r="13830">
      <c r="A13830" s="4"/>
      <c r="B13830" s="4"/>
      <c r="C13830" s="4"/>
    </row>
    <row r="13831">
      <c r="A13831" s="4"/>
      <c r="B13831" s="4"/>
      <c r="C13831" s="4"/>
    </row>
    <row r="13832">
      <c r="A13832" s="4"/>
      <c r="B13832" s="4"/>
      <c r="C13832" s="4"/>
    </row>
    <row r="13833">
      <c r="A13833" s="4"/>
      <c r="B13833" s="4"/>
      <c r="C13833" s="4"/>
    </row>
    <row r="13834">
      <c r="A13834" s="4"/>
      <c r="B13834" s="4"/>
      <c r="C13834" s="4"/>
    </row>
    <row r="13835">
      <c r="A13835" s="4"/>
      <c r="B13835" s="4"/>
      <c r="C13835" s="4"/>
    </row>
    <row r="13836">
      <c r="A13836" s="4"/>
      <c r="B13836" s="4"/>
      <c r="C13836" s="4"/>
    </row>
    <row r="13837">
      <c r="A13837" s="4"/>
      <c r="B13837" s="4"/>
      <c r="C13837" s="4"/>
    </row>
    <row r="13838">
      <c r="A13838" s="4"/>
      <c r="B13838" s="4"/>
      <c r="C13838" s="4"/>
    </row>
    <row r="13839">
      <c r="A13839" s="4"/>
      <c r="B13839" s="4"/>
      <c r="C13839" s="4"/>
    </row>
    <row r="13840">
      <c r="A13840" s="4"/>
      <c r="B13840" s="4"/>
      <c r="C13840" s="4"/>
    </row>
    <row r="13841">
      <c r="A13841" s="4"/>
      <c r="B13841" s="4"/>
      <c r="C13841" s="4"/>
    </row>
    <row r="13842">
      <c r="A13842" s="4"/>
      <c r="B13842" s="4"/>
      <c r="C13842" s="4"/>
    </row>
    <row r="13843">
      <c r="A13843" s="4"/>
      <c r="B13843" s="4"/>
      <c r="C13843" s="4"/>
    </row>
    <row r="13844">
      <c r="A13844" s="4"/>
      <c r="B13844" s="4"/>
      <c r="C13844" s="4"/>
    </row>
    <row r="13845">
      <c r="A13845" s="4"/>
      <c r="B13845" s="4"/>
      <c r="C13845" s="4"/>
    </row>
    <row r="13846">
      <c r="A13846" s="4"/>
      <c r="B13846" s="4"/>
      <c r="C13846" s="4"/>
    </row>
    <row r="13847">
      <c r="A13847" s="4"/>
      <c r="B13847" s="4"/>
      <c r="C13847" s="4"/>
    </row>
    <row r="13848">
      <c r="A13848" s="4"/>
      <c r="B13848" s="4"/>
      <c r="C13848" s="4"/>
    </row>
    <row r="13849">
      <c r="A13849" s="4"/>
      <c r="B13849" s="4"/>
      <c r="C13849" s="4"/>
    </row>
    <row r="13850">
      <c r="A13850" s="4"/>
      <c r="B13850" s="4"/>
      <c r="C13850" s="4"/>
    </row>
    <row r="13851">
      <c r="A13851" s="4"/>
      <c r="B13851" s="4"/>
      <c r="C13851" s="4"/>
    </row>
    <row r="13852">
      <c r="A13852" s="4"/>
      <c r="B13852" s="4"/>
      <c r="C13852" s="4"/>
    </row>
    <row r="13853">
      <c r="A13853" s="4"/>
      <c r="B13853" s="4"/>
      <c r="C13853" s="4"/>
    </row>
    <row r="13854">
      <c r="A13854" s="4"/>
      <c r="B13854" s="4"/>
      <c r="C13854" s="4"/>
    </row>
    <row r="13855">
      <c r="A13855" s="4"/>
      <c r="B13855" s="4"/>
      <c r="C13855" s="4"/>
    </row>
    <row r="13856">
      <c r="A13856" s="4"/>
      <c r="B13856" s="4"/>
      <c r="C13856" s="4"/>
    </row>
    <row r="13857">
      <c r="A13857" s="4"/>
      <c r="B13857" s="4"/>
      <c r="C13857" s="4"/>
    </row>
    <row r="13858">
      <c r="A13858" s="4"/>
      <c r="B13858" s="4"/>
      <c r="C13858" s="4"/>
    </row>
    <row r="13859">
      <c r="A13859" s="4"/>
      <c r="B13859" s="4"/>
      <c r="C13859" s="4"/>
    </row>
    <row r="13860">
      <c r="A13860" s="4"/>
      <c r="B13860" s="4"/>
      <c r="C13860" s="4"/>
    </row>
    <row r="13861">
      <c r="A13861" s="4"/>
      <c r="B13861" s="4"/>
      <c r="C13861" s="4"/>
    </row>
    <row r="13862">
      <c r="A13862" s="4"/>
      <c r="B13862" s="4"/>
      <c r="C13862" s="4"/>
    </row>
    <row r="13863">
      <c r="A13863" s="4"/>
      <c r="B13863" s="4"/>
      <c r="C13863" s="4"/>
    </row>
    <row r="13864">
      <c r="A13864" s="4"/>
      <c r="B13864" s="4"/>
      <c r="C13864" s="4"/>
    </row>
  </sheetData>
  <hyperlinks>
    <hyperlink r:id="rId1" ref="A1"/>
    <hyperlink r:id="rId2" ref="C27"/>
    <hyperlink r:id="rId3" ref="C70"/>
    <hyperlink r:id="rId4" ref="C273"/>
    <hyperlink r:id="rId5" ref="C274"/>
    <hyperlink r:id="rId6" ref="B392"/>
    <hyperlink r:id="rId7" ref="C392"/>
    <hyperlink r:id="rId8" ref="C509"/>
    <hyperlink r:id="rId9" ref="C581"/>
    <hyperlink r:id="rId10" ref="C967"/>
    <hyperlink r:id="rId11" ref="C1399"/>
    <hyperlink r:id="rId12" ref="C1456"/>
    <hyperlink r:id="rId13" ref="C1496"/>
    <hyperlink r:id="rId14" ref="C2029"/>
    <hyperlink r:id="rId15" ref="C2251"/>
    <hyperlink r:id="rId16" ref="C2628"/>
    <hyperlink r:id="rId17" ref="C2701"/>
    <hyperlink r:id="rId18" ref="C2713"/>
    <hyperlink r:id="rId19" ref="C3089"/>
    <hyperlink r:id="rId20" ref="C3596"/>
    <hyperlink r:id="rId21" ref="C3840"/>
    <hyperlink r:id="rId22" ref="C4160"/>
    <hyperlink r:id="rId23" ref="C4362"/>
    <hyperlink r:id="rId24" ref="C4595"/>
    <hyperlink r:id="rId25" ref="C4626"/>
    <hyperlink r:id="rId26" ref="C4796"/>
    <hyperlink r:id="rId27" ref="C4930"/>
    <hyperlink r:id="rId28" ref="C4984"/>
    <hyperlink r:id="rId29" ref="C5018"/>
    <hyperlink r:id="rId30" ref="C5031"/>
    <hyperlink r:id="rId31" ref="C5184"/>
    <hyperlink r:id="rId32" ref="C5576"/>
    <hyperlink r:id="rId33" ref="C5703"/>
    <hyperlink r:id="rId34" ref="C5802"/>
    <hyperlink r:id="rId35" ref="C5825"/>
    <hyperlink r:id="rId36" ref="C5910"/>
    <hyperlink r:id="rId37" ref="C5944"/>
    <hyperlink r:id="rId38" ref="C6022"/>
    <hyperlink r:id="rId39" ref="C7129"/>
    <hyperlink r:id="rId40" ref="C7273"/>
    <hyperlink r:id="rId41" ref="C7536"/>
    <hyperlink r:id="rId42" ref="C7830"/>
    <hyperlink r:id="rId43" ref="C7984"/>
    <hyperlink r:id="rId44" ref="C8045"/>
    <hyperlink r:id="rId45" ref="C8252"/>
    <hyperlink r:id="rId46" ref="C9226"/>
    <hyperlink r:id="rId47" ref="C9416"/>
    <hyperlink r:id="rId48" ref="C9585"/>
    <hyperlink r:id="rId49" ref="C9785"/>
    <hyperlink r:id="rId50" ref="C9897"/>
    <hyperlink r:id="rId51" ref="C9899"/>
    <hyperlink r:id="rId52" ref="C9921"/>
    <hyperlink r:id="rId53" ref="C10039"/>
    <hyperlink r:id="rId54" ref="C10117"/>
    <hyperlink r:id="rId55" ref="C10199"/>
    <hyperlink r:id="rId56" ref="C10465"/>
    <hyperlink r:id="rId57" ref="C10595"/>
    <hyperlink r:id="rId58" ref="C10704"/>
    <hyperlink r:id="rId59" ref="C10705"/>
    <hyperlink r:id="rId60" ref="C10773"/>
    <hyperlink r:id="rId61" ref="C12167"/>
    <hyperlink r:id="rId62" ref="C12252"/>
    <hyperlink r:id="rId63" ref="C12353"/>
    <hyperlink r:id="rId64" ref="C12568"/>
    <hyperlink r:id="rId65" ref="C12951"/>
    <hyperlink r:id="rId66" ref="C13071"/>
    <hyperlink r:id="rId67" ref="C13278"/>
    <hyperlink r:id="rId68" ref="C13440"/>
    <hyperlink r:id="rId69" ref="C13576"/>
    <hyperlink r:id="rId70" ref="C13749"/>
  </hyperlinks>
  <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26" width="12.63"/>
  </cols>
  <sheetData>
    <row r="1">
      <c r="A1" s="7">
        <v>30.0</v>
      </c>
    </row>
  </sheetData>
  <drawing r:id="rId1"/>
</worksheet>
</file>