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9"/>
  <workbookPr defaultThemeVersion="166925"/>
  <mc:AlternateContent xmlns:mc="http://schemas.openxmlformats.org/markup-compatibility/2006">
    <mc:Choice Requires="x15">
      <x15ac:absPath xmlns:x15ac="http://schemas.microsoft.com/office/spreadsheetml/2010/11/ac" url="https://applasmanca.sharepoint.com/sites/GlobalHQReportingGroup-EUHRMonthlyReporting/Shared Documents/EU HR Monthly Reporting/4. Sickleave - Monthly reporting/"/>
    </mc:Choice>
  </mc:AlternateContent>
  <xr:revisionPtr revIDLastSave="0" documentId="8_{4400C443-273B-48A4-8BA5-C41FE5184D6E}" xr6:coauthVersionLast="47" xr6:coauthVersionMax="47" xr10:uidLastSave="{00000000-0000-0000-0000-000000000000}"/>
  <bookViews>
    <workbookView xWindow="28680" yWindow="-120" windowWidth="29040" windowHeight="15840" firstSheet="2" activeTab="2" xr2:uid="{00000000-000D-0000-FFFF-FFFF00000000}"/>
  </bookViews>
  <sheets>
    <sheet name="Sheet1" sheetId="12" r:id="rId1"/>
    <sheet name="Sheet2" sheetId="13" r:id="rId2"/>
    <sheet name="Input from HR monthly" sheetId="1" r:id="rId3"/>
    <sheet name="Sheet3" sheetId="14" r:id="rId4"/>
    <sheet name="Definitions SWE" sheetId="7" r:id="rId5"/>
    <sheet name="Definitions PAGE" sheetId="8" r:id="rId6"/>
    <sheet name="Definitions PARA" sheetId="9" r:id="rId7"/>
    <sheet name="Definitions PAST" sheetId="11" r:id="rId8"/>
    <sheet name="Definitions PACA" sheetId="10" r:id="rId9"/>
    <sheet name="old - not to use" sheetId="3" r:id="rId10"/>
    <sheet name="old - not use" sheetId="2" r:id="rId11"/>
    <sheet name="OLD" sheetId="4" r:id="rId12"/>
    <sheet name="OLDer" sheetId="5"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V69" i="1" l="1"/>
  <c r="AU69" i="1"/>
  <c r="AQ69" i="1"/>
  <c r="AR69" i="1"/>
  <c r="AQ67" i="1"/>
  <c r="AV67" i="1"/>
  <c r="AR67" i="1"/>
  <c r="AU67" i="1"/>
  <c r="AV66" i="1"/>
  <c r="AR66" i="1"/>
  <c r="AU66" i="1"/>
  <c r="AQ66" i="1"/>
  <c r="AR65" i="1"/>
  <c r="AV65" i="1"/>
  <c r="AQ65" i="1"/>
  <c r="AU65" i="1"/>
  <c r="AV64" i="1"/>
  <c r="AR64" i="1"/>
  <c r="AQ63" i="1"/>
  <c r="AQ64" i="1"/>
  <c r="AU64" i="1"/>
  <c r="AV62" i="1"/>
  <c r="AV63" i="1"/>
  <c r="AR63" i="1"/>
  <c r="AU63" i="1"/>
  <c r="AU62" i="1"/>
  <c r="AR62" i="1"/>
  <c r="AQ62" i="1"/>
  <c r="AQ56" i="1"/>
  <c r="AV58" i="1" l="1"/>
  <c r="AQ57" i="1"/>
  <c r="AR57" i="1"/>
  <c r="AU57" i="1"/>
  <c r="AV57" i="1"/>
  <c r="AU58" i="1"/>
  <c r="AR58" i="1"/>
  <c r="AQ58" i="1"/>
  <c r="AR56" i="1"/>
  <c r="AQ55" i="1"/>
  <c r="AV56" i="1"/>
  <c r="AU56" i="1"/>
  <c r="AU55" i="1" l="1"/>
  <c r="AV55" i="1"/>
  <c r="AR55" i="1"/>
  <c r="AU54" i="1"/>
  <c r="AR54" i="1"/>
  <c r="AV54" i="1"/>
  <c r="AQ54" i="1"/>
  <c r="AV53" i="1"/>
  <c r="AU53" i="1"/>
  <c r="AR53" i="1"/>
  <c r="AQ53" i="1"/>
  <c r="AQ52" i="1"/>
  <c r="AV52" i="1"/>
  <c r="AU52" i="1"/>
  <c r="AR52" i="1"/>
  <c r="AV51" i="1"/>
  <c r="AU51" i="1"/>
  <c r="AR51" i="1"/>
  <c r="AQ51" i="1"/>
  <c r="AV50" i="1"/>
  <c r="AR50" i="1"/>
  <c r="AU50" i="1"/>
  <c r="AQ50" i="1"/>
  <c r="AV49" i="1"/>
  <c r="AR49" i="1"/>
  <c r="AU49" i="1"/>
  <c r="AQ49" i="1"/>
  <c r="AQ48" i="1"/>
  <c r="AV48" i="1"/>
  <c r="AU48" i="1"/>
  <c r="AR48" i="1"/>
  <c r="AQ47" i="1"/>
  <c r="AR47" i="1"/>
  <c r="AV47" i="1"/>
  <c r="AU47" i="1"/>
  <c r="AU46" i="1"/>
  <c r="AV46" i="1"/>
  <c r="AR46" i="1"/>
  <c r="AQ46" i="1"/>
  <c r="AU45" i="1"/>
  <c r="AQ45" i="1"/>
  <c r="AR45" i="1"/>
  <c r="AV45" i="1"/>
  <c r="AV44" i="1"/>
  <c r="AU44" i="1"/>
  <c r="AR44" i="1"/>
  <c r="AQ44" i="1"/>
  <c r="AV43" i="1" l="1"/>
  <c r="AR43" i="1"/>
  <c r="AU43" i="1"/>
  <c r="AQ43" i="1"/>
  <c r="AR42" i="1"/>
  <c r="AV42" i="1"/>
  <c r="AU42" i="1"/>
  <c r="AQ42" i="1"/>
  <c r="AV41" i="1"/>
  <c r="AU41" i="1"/>
  <c r="AR41" i="1"/>
  <c r="AQ41" i="1"/>
  <c r="AV40" i="1" l="1"/>
  <c r="AU40" i="1"/>
  <c r="AR40" i="1"/>
  <c r="AQ40" i="1"/>
  <c r="I8" i="2" l="1"/>
  <c r="O8" i="2"/>
  <c r="U8" i="2"/>
  <c r="AA8" i="2"/>
  <c r="AB8" i="2"/>
  <c r="AD8" i="2"/>
  <c r="I9" i="2"/>
  <c r="O9" i="2"/>
  <c r="U9" i="2"/>
  <c r="AA9" i="2"/>
  <c r="AB9" i="2"/>
  <c r="AD9" i="2"/>
  <c r="I10" i="2"/>
  <c r="O10" i="2"/>
  <c r="U10" i="2"/>
  <c r="AA10" i="2"/>
  <c r="AB10" i="2"/>
  <c r="AD10" i="2"/>
  <c r="I11" i="2"/>
  <c r="O11" i="2"/>
  <c r="U11" i="2"/>
  <c r="AA11" i="2"/>
  <c r="AB11" i="2"/>
  <c r="AD11" i="2"/>
  <c r="I12" i="2"/>
  <c r="O12" i="2"/>
  <c r="U12" i="2"/>
  <c r="AA12" i="2"/>
  <c r="AB12" i="2"/>
  <c r="AD12" i="2"/>
  <c r="I13" i="2"/>
  <c r="O13" i="2"/>
  <c r="U13" i="2"/>
  <c r="AA13" i="2"/>
  <c r="AB13" i="2"/>
  <c r="AD13" i="2"/>
  <c r="I14" i="2"/>
  <c r="O14" i="2"/>
  <c r="U14" i="2"/>
  <c r="AA14" i="2"/>
  <c r="AB14" i="2"/>
  <c r="AD14" i="2"/>
  <c r="I15" i="2"/>
  <c r="O15" i="2"/>
  <c r="U15" i="2"/>
  <c r="AA15" i="2"/>
  <c r="AB15" i="2"/>
  <c r="AD15" i="2"/>
  <c r="I16" i="2"/>
  <c r="O16" i="2"/>
  <c r="U16" i="2"/>
  <c r="AA16" i="2"/>
  <c r="AB16" i="2"/>
  <c r="AD16" i="2"/>
  <c r="I17" i="2"/>
  <c r="O17" i="2"/>
  <c r="U17" i="2"/>
  <c r="AA17" i="2"/>
  <c r="AB17" i="2"/>
  <c r="AD17" i="2"/>
  <c r="I18" i="2"/>
  <c r="O18" i="2"/>
  <c r="U18" i="2"/>
  <c r="AA18" i="2"/>
  <c r="AB18" i="2"/>
  <c r="AD18" i="2"/>
  <c r="AD7" i="2"/>
  <c r="AB7" i="2"/>
  <c r="AA7" i="2"/>
  <c r="U7" i="2"/>
  <c r="O7" i="2"/>
  <c r="I7" i="2"/>
  <c r="E4" i="4"/>
  <c r="E7" i="2" s="1"/>
  <c r="F4" i="4"/>
  <c r="F7" i="2" s="1"/>
  <c r="J4" i="4"/>
  <c r="J7" i="2" s="1"/>
  <c r="K4" i="4"/>
  <c r="K7" i="2" s="1"/>
  <c r="L4" i="4"/>
  <c r="L7" i="2" s="1"/>
  <c r="R4" i="4"/>
  <c r="R7" i="2" s="1"/>
  <c r="D4" i="4"/>
  <c r="D7" i="2" s="1"/>
  <c r="C4" i="4"/>
  <c r="C7" i="2" s="1"/>
  <c r="B4" i="4"/>
  <c r="B7" i="2" s="1"/>
  <c r="A19" i="4"/>
  <c r="A20" i="4" s="1"/>
  <c r="E6" i="4" s="1"/>
  <c r="E9" i="2" s="1"/>
  <c r="V4" i="4"/>
  <c r="V7" i="2" s="1"/>
  <c r="Q4" i="4"/>
  <c r="Q7" i="2" s="1"/>
  <c r="I4" i="4"/>
  <c r="W4" i="4" l="1"/>
  <c r="W7" i="2" s="1"/>
  <c r="AC4" i="4"/>
  <c r="AC7" i="2" s="1"/>
  <c r="X4" i="4"/>
  <c r="X7" i="2" s="1"/>
  <c r="O4" i="4"/>
  <c r="AD4" i="4"/>
  <c r="U4" i="4"/>
  <c r="AA4" i="4"/>
  <c r="P4" i="4"/>
  <c r="P7" i="2" s="1"/>
  <c r="AB4" i="4"/>
  <c r="J5" i="4"/>
  <c r="J8" i="2" s="1"/>
  <c r="AD6" i="4"/>
  <c r="J6" i="4"/>
  <c r="J9" i="2" s="1"/>
  <c r="W6" i="4"/>
  <c r="W9" i="2" s="1"/>
  <c r="X5" i="4"/>
  <c r="X8" i="2" s="1"/>
  <c r="AB6" i="4"/>
  <c r="F5" i="4"/>
  <c r="F8" i="2" s="1"/>
  <c r="B5" i="4"/>
  <c r="B8" i="2" s="1"/>
  <c r="C6" i="4"/>
  <c r="C9" i="2" s="1"/>
  <c r="V5" i="4"/>
  <c r="V8" i="2" s="1"/>
  <c r="D5" i="4"/>
  <c r="D8" i="2" s="1"/>
  <c r="L6" i="4"/>
  <c r="L9" i="2" s="1"/>
  <c r="P5" i="4"/>
  <c r="P8" i="2" s="1"/>
  <c r="D6" i="4"/>
  <c r="D9" i="2" s="1"/>
  <c r="V6" i="4"/>
  <c r="V9" i="2" s="1"/>
  <c r="F6" i="4"/>
  <c r="F9" i="2" s="1"/>
  <c r="R5" i="4"/>
  <c r="R8" i="2" s="1"/>
  <c r="R6" i="4"/>
  <c r="R9" i="2" s="1"/>
  <c r="AD5" i="4"/>
  <c r="B6" i="4"/>
  <c r="B9" i="2" s="1"/>
  <c r="O6" i="4"/>
  <c r="AA5" i="4"/>
  <c r="K5" i="4"/>
  <c r="K8" i="2" s="1"/>
  <c r="AA6" i="4"/>
  <c r="K6" i="4"/>
  <c r="K9" i="2" s="1"/>
  <c r="W5" i="4"/>
  <c r="W8" i="2" s="1"/>
  <c r="O5" i="4"/>
  <c r="C5" i="4"/>
  <c r="C8" i="2" s="1"/>
  <c r="Q6" i="4"/>
  <c r="Q9" i="2" s="1"/>
  <c r="I6" i="4"/>
  <c r="AC5" i="4"/>
  <c r="AC8" i="2" s="1"/>
  <c r="U5" i="4"/>
  <c r="E5" i="4"/>
  <c r="E8" i="2" s="1"/>
  <c r="X6" i="4"/>
  <c r="X9" i="2" s="1"/>
  <c r="P6" i="4"/>
  <c r="P9" i="2" s="1"/>
  <c r="AB5" i="4"/>
  <c r="L5" i="4"/>
  <c r="L8" i="2" s="1"/>
  <c r="AC6" i="4"/>
  <c r="AC9" i="2" s="1"/>
  <c r="U6" i="4"/>
  <c r="Q5" i="4"/>
  <c r="Q8" i="2" s="1"/>
  <c r="I5" i="4"/>
  <c r="A21" i="4"/>
  <c r="A22" i="4" s="1"/>
  <c r="H5" i="4" l="1"/>
  <c r="H8" i="2" s="1"/>
  <c r="H6" i="4"/>
  <c r="H9" i="2" s="1"/>
  <c r="T6" i="4"/>
  <c r="T9" i="2" s="1"/>
  <c r="G5" i="4"/>
  <c r="G8" i="2" s="1"/>
  <c r="Z4" i="4"/>
  <c r="Z7" i="2" s="1"/>
  <c r="T5" i="4"/>
  <c r="T8" i="2" s="1"/>
  <c r="T4" i="4"/>
  <c r="T7" i="2" s="1"/>
  <c r="N4" i="4"/>
  <c r="N7" i="2" s="1"/>
  <c r="S5" i="4"/>
  <c r="S8" i="2" s="1"/>
  <c r="S4" i="4"/>
  <c r="S7" i="2" s="1"/>
  <c r="Z6" i="4"/>
  <c r="Z9" i="2" s="1"/>
  <c r="Z5" i="4"/>
  <c r="Z8" i="2" s="1"/>
  <c r="G6" i="4"/>
  <c r="G9" i="2" s="1"/>
  <c r="Y6" i="4"/>
  <c r="Y9" i="2" s="1"/>
  <c r="Y5" i="4"/>
  <c r="Y8" i="2" s="1"/>
  <c r="Y4" i="4"/>
  <c r="Y7" i="2" s="1"/>
  <c r="S6" i="4"/>
  <c r="S9" i="2" s="1"/>
  <c r="N6" i="4"/>
  <c r="N9" i="2" s="1"/>
  <c r="M6" i="4"/>
  <c r="M9" i="2" s="1"/>
  <c r="M5" i="4"/>
  <c r="M8" i="2" s="1"/>
  <c r="M4" i="4"/>
  <c r="M7" i="2" s="1"/>
  <c r="N5" i="4"/>
  <c r="N8" i="2" s="1"/>
  <c r="G4" i="4"/>
  <c r="G7" i="2" s="1"/>
  <c r="AF6" i="4"/>
  <c r="AF9" i="2" s="1"/>
  <c r="AF4" i="4"/>
  <c r="AF7" i="2" s="1"/>
  <c r="H4" i="4"/>
  <c r="H7" i="2" s="1"/>
  <c r="AE6" i="4"/>
  <c r="AE9" i="2" s="1"/>
  <c r="AE5" i="4"/>
  <c r="AE8" i="2" s="1"/>
  <c r="AE4" i="4"/>
  <c r="AE7" i="2" s="1"/>
  <c r="AF5" i="4"/>
  <c r="AF8" i="2" s="1"/>
  <c r="E8" i="4"/>
  <c r="E11" i="2" s="1"/>
  <c r="M8" i="4"/>
  <c r="M11" i="2" s="1"/>
  <c r="U8" i="4"/>
  <c r="AC8" i="4"/>
  <c r="AC11" i="2" s="1"/>
  <c r="F8" i="4"/>
  <c r="F11" i="2" s="1"/>
  <c r="V8" i="4"/>
  <c r="V11" i="2" s="1"/>
  <c r="AD8" i="4"/>
  <c r="N8" i="4"/>
  <c r="N11" i="2" s="1"/>
  <c r="AE8" i="4"/>
  <c r="AE11" i="2" s="1"/>
  <c r="H8" i="4"/>
  <c r="H11" i="2" s="1"/>
  <c r="P8" i="4"/>
  <c r="P11" i="2" s="1"/>
  <c r="X8" i="4"/>
  <c r="X11" i="2" s="1"/>
  <c r="AF8" i="4"/>
  <c r="AF11" i="2" s="1"/>
  <c r="J8" i="4"/>
  <c r="J11" i="2" s="1"/>
  <c r="Z8" i="4"/>
  <c r="Z11" i="2" s="1"/>
  <c r="G8" i="4"/>
  <c r="G11" i="2" s="1"/>
  <c r="I8" i="4"/>
  <c r="Q8" i="4"/>
  <c r="Q11" i="2" s="1"/>
  <c r="Y8" i="4"/>
  <c r="Y11" i="2" s="1"/>
  <c r="D8" i="4"/>
  <c r="D11" i="2" s="1"/>
  <c r="B8" i="4"/>
  <c r="B11" i="2" s="1"/>
  <c r="R8" i="4"/>
  <c r="R11" i="2" s="1"/>
  <c r="W8" i="4"/>
  <c r="W11" i="2" s="1"/>
  <c r="K8" i="4"/>
  <c r="K11" i="2" s="1"/>
  <c r="S8" i="4"/>
  <c r="S11" i="2" s="1"/>
  <c r="AA8" i="4"/>
  <c r="L8" i="4"/>
  <c r="L11" i="2" s="1"/>
  <c r="T8" i="4"/>
  <c r="T11" i="2" s="1"/>
  <c r="AB8" i="4"/>
  <c r="C8" i="4"/>
  <c r="C11" i="2" s="1"/>
  <c r="O8" i="4"/>
  <c r="I7" i="4"/>
  <c r="Q7" i="4"/>
  <c r="Q10" i="2" s="1"/>
  <c r="Y7" i="4"/>
  <c r="Y10" i="2" s="1"/>
  <c r="J7" i="4"/>
  <c r="J10" i="2" s="1"/>
  <c r="R7" i="4"/>
  <c r="R10" i="2" s="1"/>
  <c r="Z7" i="4"/>
  <c r="Z10" i="2" s="1"/>
  <c r="K7" i="4"/>
  <c r="K10" i="2" s="1"/>
  <c r="S7" i="4"/>
  <c r="S10" i="2" s="1"/>
  <c r="AA7" i="4"/>
  <c r="L7" i="4"/>
  <c r="L10" i="2" s="1"/>
  <c r="T7" i="4"/>
  <c r="T10" i="2" s="1"/>
  <c r="AB7" i="4"/>
  <c r="D7" i="4"/>
  <c r="D10" i="2" s="1"/>
  <c r="B7" i="4"/>
  <c r="B10" i="2" s="1"/>
  <c r="F7" i="4"/>
  <c r="F10" i="2" s="1"/>
  <c r="V7" i="4"/>
  <c r="V10" i="2" s="1"/>
  <c r="E7" i="4"/>
  <c r="E10" i="2" s="1"/>
  <c r="M7" i="4"/>
  <c r="M10" i="2" s="1"/>
  <c r="U7" i="4"/>
  <c r="AC7" i="4"/>
  <c r="AC10" i="2" s="1"/>
  <c r="N7" i="4"/>
  <c r="N10" i="2" s="1"/>
  <c r="AD7" i="4"/>
  <c r="G7" i="4"/>
  <c r="G10" i="2" s="1"/>
  <c r="O7" i="4"/>
  <c r="W7" i="4"/>
  <c r="W10" i="2" s="1"/>
  <c r="AE7" i="4"/>
  <c r="AE10" i="2" s="1"/>
  <c r="C7" i="4"/>
  <c r="C10" i="2" s="1"/>
  <c r="H7" i="4"/>
  <c r="H10" i="2" s="1"/>
  <c r="P7" i="4"/>
  <c r="P10" i="2" s="1"/>
  <c r="X7" i="4"/>
  <c r="X10" i="2" s="1"/>
  <c r="AF7" i="4"/>
  <c r="AF10" i="2" s="1"/>
  <c r="A23" i="4"/>
  <c r="I9" i="4" l="1"/>
  <c r="Q9" i="4"/>
  <c r="Q12" i="2" s="1"/>
  <c r="Y9" i="4"/>
  <c r="Y12" i="2" s="1"/>
  <c r="C9" i="4"/>
  <c r="C12" i="2" s="1"/>
  <c r="J9" i="4"/>
  <c r="J12" i="2" s="1"/>
  <c r="R9" i="4"/>
  <c r="R12" i="2" s="1"/>
  <c r="Z9" i="4"/>
  <c r="Z12" i="2" s="1"/>
  <c r="AA9" i="4"/>
  <c r="K9" i="4"/>
  <c r="K12" i="2" s="1"/>
  <c r="S9" i="4"/>
  <c r="S12" i="2" s="1"/>
  <c r="L9" i="4"/>
  <c r="L12" i="2" s="1"/>
  <c r="T9" i="4"/>
  <c r="T12" i="2" s="1"/>
  <c r="AB9" i="4"/>
  <c r="N9" i="4"/>
  <c r="N12" i="2" s="1"/>
  <c r="AD9" i="4"/>
  <c r="E9" i="4"/>
  <c r="E12" i="2" s="1"/>
  <c r="M9" i="4"/>
  <c r="M12" i="2" s="1"/>
  <c r="U9" i="4"/>
  <c r="AC9" i="4"/>
  <c r="AC12" i="2" s="1"/>
  <c r="F9" i="4"/>
  <c r="F12" i="2" s="1"/>
  <c r="V9" i="4"/>
  <c r="V12" i="2" s="1"/>
  <c r="D9" i="4"/>
  <c r="D12" i="2" s="1"/>
  <c r="B9" i="4"/>
  <c r="B12" i="2" s="1"/>
  <c r="G9" i="4"/>
  <c r="G12" i="2" s="1"/>
  <c r="O9" i="4"/>
  <c r="W9" i="4"/>
  <c r="W12" i="2" s="1"/>
  <c r="AE9" i="4"/>
  <c r="AE12" i="2" s="1"/>
  <c r="H9" i="4"/>
  <c r="H12" i="2" s="1"/>
  <c r="P9" i="4"/>
  <c r="P12" i="2" s="1"/>
  <c r="X9" i="4"/>
  <c r="X12" i="2" s="1"/>
  <c r="AF9" i="4"/>
  <c r="AF12" i="2" s="1"/>
  <c r="A24" i="4"/>
  <c r="E10" i="4" l="1"/>
  <c r="E13" i="2" s="1"/>
  <c r="M10" i="4"/>
  <c r="M13" i="2" s="1"/>
  <c r="U10" i="4"/>
  <c r="AC10" i="4"/>
  <c r="AC13" i="2" s="1"/>
  <c r="F10" i="4"/>
  <c r="F13" i="2" s="1"/>
  <c r="V10" i="4"/>
  <c r="V13" i="2" s="1"/>
  <c r="N10" i="4"/>
  <c r="N13" i="2" s="1"/>
  <c r="AD10" i="4"/>
  <c r="G10" i="4"/>
  <c r="G13" i="2" s="1"/>
  <c r="O10" i="4"/>
  <c r="W10" i="4"/>
  <c r="W13" i="2" s="1"/>
  <c r="AE10" i="4"/>
  <c r="AE13" i="2" s="1"/>
  <c r="H10" i="4"/>
  <c r="H13" i="2" s="1"/>
  <c r="P10" i="4"/>
  <c r="P13" i="2" s="1"/>
  <c r="X10" i="4"/>
  <c r="X13" i="2" s="1"/>
  <c r="AF10" i="4"/>
  <c r="AF13" i="2" s="1"/>
  <c r="R10" i="4"/>
  <c r="R13" i="2" s="1"/>
  <c r="I10" i="4"/>
  <c r="Q10" i="4"/>
  <c r="Q13" i="2" s="1"/>
  <c r="Y10" i="4"/>
  <c r="Y13" i="2" s="1"/>
  <c r="J10" i="4"/>
  <c r="J13" i="2" s="1"/>
  <c r="Z10" i="4"/>
  <c r="Z13" i="2" s="1"/>
  <c r="AB10" i="4"/>
  <c r="C10" i="4"/>
  <c r="C13" i="2" s="1"/>
  <c r="K10" i="4"/>
  <c r="K13" i="2" s="1"/>
  <c r="S10" i="4"/>
  <c r="S13" i="2" s="1"/>
  <c r="AA10" i="4"/>
  <c r="D10" i="4"/>
  <c r="D13" i="2" s="1"/>
  <c r="B10" i="4"/>
  <c r="B13" i="2" s="1"/>
  <c r="L10" i="4"/>
  <c r="L13" i="2" s="1"/>
  <c r="T10" i="4"/>
  <c r="T13" i="2" s="1"/>
  <c r="A25" i="4"/>
  <c r="I11" i="4" l="1"/>
  <c r="Q11" i="4"/>
  <c r="Q14" i="2" s="1"/>
  <c r="Y11" i="4"/>
  <c r="Y14" i="2" s="1"/>
  <c r="J11" i="4"/>
  <c r="J14" i="2" s="1"/>
  <c r="R11" i="4"/>
  <c r="R14" i="2" s="1"/>
  <c r="Z11" i="4"/>
  <c r="Z14" i="2" s="1"/>
  <c r="L11" i="4"/>
  <c r="L14" i="2" s="1"/>
  <c r="T11" i="4"/>
  <c r="T14" i="2" s="1"/>
  <c r="AB11" i="4"/>
  <c r="F11" i="4"/>
  <c r="F14" i="2" s="1"/>
  <c r="V11" i="4"/>
  <c r="V14" i="2" s="1"/>
  <c r="P11" i="4"/>
  <c r="P14" i="2" s="1"/>
  <c r="S11" i="4"/>
  <c r="S14" i="2" s="1"/>
  <c r="C11" i="4"/>
  <c r="C14" i="2" s="1"/>
  <c r="E11" i="4"/>
  <c r="E14" i="2" s="1"/>
  <c r="M11" i="4"/>
  <c r="M14" i="2" s="1"/>
  <c r="U11" i="4"/>
  <c r="AC11" i="4"/>
  <c r="AC14" i="2" s="1"/>
  <c r="N11" i="4"/>
  <c r="N14" i="2" s="1"/>
  <c r="AD11" i="4"/>
  <c r="D11" i="4"/>
  <c r="D14" i="2" s="1"/>
  <c r="AA11" i="4"/>
  <c r="G11" i="4"/>
  <c r="G14" i="2" s="1"/>
  <c r="O11" i="4"/>
  <c r="W11" i="4"/>
  <c r="W14" i="2" s="1"/>
  <c r="AE11" i="4"/>
  <c r="AE14" i="2" s="1"/>
  <c r="H11" i="4"/>
  <c r="H14" i="2" s="1"/>
  <c r="X11" i="4"/>
  <c r="X14" i="2" s="1"/>
  <c r="AF11" i="4"/>
  <c r="AF14" i="2" s="1"/>
  <c r="B11" i="4"/>
  <c r="B14" i="2" s="1"/>
  <c r="K11" i="4"/>
  <c r="K14" i="2" s="1"/>
  <c r="A26" i="4"/>
  <c r="E12" i="4" l="1"/>
  <c r="E15" i="2" s="1"/>
  <c r="M12" i="4"/>
  <c r="M15" i="2" s="1"/>
  <c r="U12" i="4"/>
  <c r="AC12" i="4"/>
  <c r="AC15" i="2" s="1"/>
  <c r="D12" i="4"/>
  <c r="D15" i="2" s="1"/>
  <c r="B12" i="4"/>
  <c r="B15" i="2" s="1"/>
  <c r="F12" i="4"/>
  <c r="F15" i="2" s="1"/>
  <c r="V12" i="4"/>
  <c r="V15" i="2" s="1"/>
  <c r="N12" i="4"/>
  <c r="N15" i="2" s="1"/>
  <c r="AD12" i="4"/>
  <c r="O12" i="4"/>
  <c r="G12" i="4"/>
  <c r="G15" i="2" s="1"/>
  <c r="AE12" i="4"/>
  <c r="AE15" i="2" s="1"/>
  <c r="H12" i="4"/>
  <c r="H15" i="2" s="1"/>
  <c r="P12" i="4"/>
  <c r="P15" i="2" s="1"/>
  <c r="X12" i="4"/>
  <c r="X15" i="2" s="1"/>
  <c r="AF12" i="4"/>
  <c r="AF15" i="2" s="1"/>
  <c r="C12" i="4"/>
  <c r="C15" i="2" s="1"/>
  <c r="J12" i="4"/>
  <c r="J15" i="2" s="1"/>
  <c r="Z12" i="4"/>
  <c r="Z15" i="2" s="1"/>
  <c r="I12" i="4"/>
  <c r="Q12" i="4"/>
  <c r="Q15" i="2" s="1"/>
  <c r="Y12" i="4"/>
  <c r="Y15" i="2" s="1"/>
  <c r="R12" i="4"/>
  <c r="R15" i="2" s="1"/>
  <c r="T12" i="4"/>
  <c r="T15" i="2" s="1"/>
  <c r="K12" i="4"/>
  <c r="K15" i="2" s="1"/>
  <c r="S12" i="4"/>
  <c r="S15" i="2" s="1"/>
  <c r="AA12" i="4"/>
  <c r="L12" i="4"/>
  <c r="L15" i="2" s="1"/>
  <c r="AB12" i="4"/>
  <c r="W12" i="4"/>
  <c r="W15" i="2" s="1"/>
  <c r="A27" i="4"/>
  <c r="I13" i="4" l="1"/>
  <c r="Q13" i="4"/>
  <c r="Q16" i="2" s="1"/>
  <c r="Y13" i="4"/>
  <c r="Y16" i="2" s="1"/>
  <c r="J13" i="4"/>
  <c r="J16" i="2" s="1"/>
  <c r="Z13" i="4"/>
  <c r="Z16" i="2" s="1"/>
  <c r="R13" i="4"/>
  <c r="R16" i="2" s="1"/>
  <c r="S13" i="4"/>
  <c r="S16" i="2" s="1"/>
  <c r="L13" i="4"/>
  <c r="L16" i="2" s="1"/>
  <c r="T13" i="4"/>
  <c r="T16" i="2" s="1"/>
  <c r="AB13" i="4"/>
  <c r="N13" i="4"/>
  <c r="N16" i="2" s="1"/>
  <c r="AD13" i="4"/>
  <c r="H13" i="4"/>
  <c r="H16" i="2" s="1"/>
  <c r="B13" i="4"/>
  <c r="B16" i="2" s="1"/>
  <c r="K13" i="4"/>
  <c r="K16" i="2" s="1"/>
  <c r="E13" i="4"/>
  <c r="E16" i="2" s="1"/>
  <c r="M13" i="4"/>
  <c r="M16" i="2" s="1"/>
  <c r="U13" i="4"/>
  <c r="AC13" i="4"/>
  <c r="AC16" i="2" s="1"/>
  <c r="C13" i="4"/>
  <c r="C16" i="2" s="1"/>
  <c r="F13" i="4"/>
  <c r="F16" i="2" s="1"/>
  <c r="V13" i="4"/>
  <c r="V16" i="2" s="1"/>
  <c r="X13" i="4"/>
  <c r="X16" i="2" s="1"/>
  <c r="AA13" i="4"/>
  <c r="G13" i="4"/>
  <c r="G16" i="2" s="1"/>
  <c r="O13" i="4"/>
  <c r="W13" i="4"/>
  <c r="W16" i="2" s="1"/>
  <c r="AE13" i="4"/>
  <c r="AE16" i="2" s="1"/>
  <c r="P13" i="4"/>
  <c r="P16" i="2" s="1"/>
  <c r="AF13" i="4"/>
  <c r="AF16" i="2" s="1"/>
  <c r="D13" i="4"/>
  <c r="D16" i="2" s="1"/>
  <c r="A28" i="4"/>
  <c r="E14" i="4" l="1"/>
  <c r="E17" i="2" s="1"/>
  <c r="M14" i="4"/>
  <c r="M17" i="2" s="1"/>
  <c r="U14" i="4"/>
  <c r="AC14" i="4"/>
  <c r="AC17" i="2" s="1"/>
  <c r="F14" i="4"/>
  <c r="F17" i="2" s="1"/>
  <c r="V14" i="4"/>
  <c r="V17" i="2" s="1"/>
  <c r="AD14" i="4"/>
  <c r="N14" i="4"/>
  <c r="N17" i="2" s="1"/>
  <c r="AE14" i="4"/>
  <c r="AE17" i="2" s="1"/>
  <c r="W14" i="4"/>
  <c r="W17" i="2" s="1"/>
  <c r="D14" i="4"/>
  <c r="D17" i="2" s="1"/>
  <c r="H14" i="4"/>
  <c r="H17" i="2" s="1"/>
  <c r="P14" i="4"/>
  <c r="P17" i="2" s="1"/>
  <c r="X14" i="4"/>
  <c r="X17" i="2" s="1"/>
  <c r="AF14" i="4"/>
  <c r="AF17" i="2" s="1"/>
  <c r="J14" i="4"/>
  <c r="J17" i="2" s="1"/>
  <c r="Z14" i="4"/>
  <c r="Z17" i="2" s="1"/>
  <c r="L14" i="4"/>
  <c r="L17" i="2" s="1"/>
  <c r="O14" i="4"/>
  <c r="I14" i="4"/>
  <c r="Q14" i="4"/>
  <c r="Q17" i="2" s="1"/>
  <c r="Y14" i="4"/>
  <c r="Y17" i="2" s="1"/>
  <c r="R14" i="4"/>
  <c r="R17" i="2" s="1"/>
  <c r="C14" i="4"/>
  <c r="C17" i="2" s="1"/>
  <c r="T14" i="4"/>
  <c r="T17" i="2" s="1"/>
  <c r="B14" i="4"/>
  <c r="B17" i="2" s="1"/>
  <c r="K14" i="4"/>
  <c r="K17" i="2" s="1"/>
  <c r="S14" i="4"/>
  <c r="S17" i="2" s="1"/>
  <c r="AA14" i="4"/>
  <c r="AB14" i="4"/>
  <c r="G14" i="4"/>
  <c r="G17" i="2" s="1"/>
  <c r="A29" i="4"/>
  <c r="I15" i="4" l="1"/>
  <c r="Q15" i="4"/>
  <c r="Q18" i="2" s="1"/>
  <c r="Y15" i="4"/>
  <c r="Y18" i="2" s="1"/>
  <c r="J15" i="4"/>
  <c r="J18" i="2" s="1"/>
  <c r="R15" i="4"/>
  <c r="R18" i="2" s="1"/>
  <c r="Z15" i="4"/>
  <c r="Z18" i="2" s="1"/>
  <c r="L15" i="4"/>
  <c r="L18" i="2" s="1"/>
  <c r="T15" i="4"/>
  <c r="T18" i="2" s="1"/>
  <c r="AB15" i="4"/>
  <c r="D15" i="4"/>
  <c r="D18" i="2" s="1"/>
  <c r="B15" i="4"/>
  <c r="B18" i="2" s="1"/>
  <c r="N15" i="4"/>
  <c r="N18" i="2" s="1"/>
  <c r="AD15" i="4"/>
  <c r="H15" i="4"/>
  <c r="H18" i="2" s="1"/>
  <c r="AF15" i="4"/>
  <c r="AF18" i="2" s="1"/>
  <c r="K15" i="4"/>
  <c r="K18" i="2" s="1"/>
  <c r="E15" i="4"/>
  <c r="E18" i="2" s="1"/>
  <c r="M15" i="4"/>
  <c r="M18" i="2" s="1"/>
  <c r="U15" i="4"/>
  <c r="AC15" i="4"/>
  <c r="AC18" i="2" s="1"/>
  <c r="F15" i="4"/>
  <c r="F18" i="2" s="1"/>
  <c r="V15" i="4"/>
  <c r="V18" i="2" s="1"/>
  <c r="P15" i="4"/>
  <c r="P18" i="2" s="1"/>
  <c r="S15" i="4"/>
  <c r="S18" i="2" s="1"/>
  <c r="G15" i="4"/>
  <c r="G18" i="2" s="1"/>
  <c r="O15" i="4"/>
  <c r="W15" i="4"/>
  <c r="W18" i="2" s="1"/>
  <c r="AE15" i="4"/>
  <c r="AE18" i="2" s="1"/>
  <c r="C15" i="4"/>
  <c r="C18" i="2" s="1"/>
  <c r="X15" i="4"/>
  <c r="X18" i="2" s="1"/>
  <c r="AA15" i="4"/>
</calcChain>
</file>

<file path=xl/sharedStrings.xml><?xml version="1.0" encoding="utf-8"?>
<sst xmlns="http://schemas.openxmlformats.org/spreadsheetml/2006/main" count="244" uniqueCount="97">
  <si>
    <t xml:space="preserve">12 months Short &amp; Long term sickleave. Country specific calculation. </t>
  </si>
  <si>
    <t>Short term = when the company pays</t>
  </si>
  <si>
    <t xml:space="preserve"> </t>
  </si>
  <si>
    <t>Gothenburg</t>
  </si>
  <si>
    <t>Simrishamn</t>
  </si>
  <si>
    <t>Raufoss</t>
  </si>
  <si>
    <t>Ghent</t>
  </si>
  <si>
    <t>HQ PAIN - Sweden</t>
  </si>
  <si>
    <t>Carregado</t>
  </si>
  <si>
    <t>Strakonice</t>
  </si>
  <si>
    <t>No</t>
  </si>
  <si>
    <t>Month</t>
  </si>
  <si>
    <t>WC ST</t>
  </si>
  <si>
    <t>BC ST</t>
  </si>
  <si>
    <t>ST Target</t>
  </si>
  <si>
    <t>LT Target</t>
  </si>
  <si>
    <t>WC LT</t>
  </si>
  <si>
    <t>BC LT</t>
  </si>
  <si>
    <t>1,5%</t>
  </si>
  <si>
    <t>3,4%</t>
  </si>
  <si>
    <t>4,6%</t>
  </si>
  <si>
    <t>7,2%</t>
  </si>
  <si>
    <t>2,9%</t>
  </si>
  <si>
    <t>0,5%</t>
  </si>
  <si>
    <t>2,5%</t>
  </si>
  <si>
    <t>1,2%</t>
  </si>
  <si>
    <t>1,7%</t>
  </si>
  <si>
    <t>jan-25</t>
  </si>
  <si>
    <t>feb-25</t>
  </si>
  <si>
    <t>mar-25</t>
  </si>
  <si>
    <t>apr-25</t>
  </si>
  <si>
    <t>maj-25</t>
  </si>
  <si>
    <t>§§§</t>
  </si>
  <si>
    <t>jun-25</t>
  </si>
  <si>
    <t xml:space="preserve">Short term sick leave is considered as a period for 14 days  where an employee has been absent from work and provided leave due to illness. 
Long term sick leave is every period of time above 14 days. (Since 15th day the government is paying for the employee.) </t>
  </si>
  <si>
    <t>Absence due to illness hours / Working time measure = absence due to illness %</t>
  </si>
  <si>
    <t>More details on how to calculate for PAIN Sweden, is found in the HR HQ folders</t>
  </si>
  <si>
    <t xml:space="preserve">Short term sick leave is considered as a period for 30 days  where an employee has been absent from work and provided leave due to illness.  ONLY FOR WHITE COLLARS 
Long term sick leave is every period of time above 30 days. (Since 31st day the government is paying for the employee.) </t>
  </si>
  <si>
    <t>Sickleave hours/ worked hours per month (overtimes involved) *100 = Sickleave %</t>
  </si>
  <si>
    <t xml:space="preserve">Short term sick leave is considered as a period for 15 days  where an employee has been absent from work and provided leave due to illness. 
Long term sick leave is every period of time above 15 days. (Since 16th day the government is paying for the employee.) </t>
  </si>
  <si>
    <t>Sickleave hours/ (calendar working hours per month*number of active employees)*100 = Sickleave %</t>
  </si>
  <si>
    <t xml:space="preserve">Short term sick leave is considered as a period for 30 days  where an employee has been absent from work and provided leave due to illness. 
Long term sick leave is every period of time above 30 days. (Since 31st day the government is paying for the employee.) </t>
  </si>
  <si>
    <t>PAGO</t>
  </si>
  <si>
    <t>PASI</t>
  </si>
  <si>
    <t>PARA</t>
  </si>
  <si>
    <t>PAGE</t>
  </si>
  <si>
    <t>PAIN</t>
  </si>
  <si>
    <t>PAGO WC ST</t>
  </si>
  <si>
    <t>PAGO BC ST</t>
  </si>
  <si>
    <t>PAGO WC LT</t>
  </si>
  <si>
    <t>PAGO BC LT</t>
  </si>
  <si>
    <t>PAGO WC TOT</t>
  </si>
  <si>
    <t>PAGO BC TOT</t>
  </si>
  <si>
    <t>PASI WC ST</t>
  </si>
  <si>
    <t>PASI BC ST</t>
  </si>
  <si>
    <t>PASI WC LT</t>
  </si>
  <si>
    <t>PASI BC LT</t>
  </si>
  <si>
    <t>PASI WC TOT</t>
  </si>
  <si>
    <t>PASI BC TOT</t>
  </si>
  <si>
    <t>PARA WC ST</t>
  </si>
  <si>
    <t>PARA BC ST</t>
  </si>
  <si>
    <t>PARA WC LT</t>
  </si>
  <si>
    <t>PARA BC LT</t>
  </si>
  <si>
    <t>PARA WC TOT</t>
  </si>
  <si>
    <t>PARA BC TOT</t>
  </si>
  <si>
    <t>PAGE WC ST</t>
  </si>
  <si>
    <t>PAGE BC ST</t>
  </si>
  <si>
    <t>PAGE WC LT</t>
  </si>
  <si>
    <t>PAGE BC LT</t>
  </si>
  <si>
    <t>PAGE WC TOT</t>
  </si>
  <si>
    <t>PAGE BC TOT</t>
  </si>
  <si>
    <t>PAIN WC ST</t>
  </si>
  <si>
    <t>PAIN BC ST</t>
  </si>
  <si>
    <t>PAIN WC LT</t>
  </si>
  <si>
    <t>PAIN BC LT</t>
  </si>
  <si>
    <t>PAIN WC TOT</t>
  </si>
  <si>
    <t>PAIN BC TOT</t>
  </si>
  <si>
    <t>SITE</t>
  </si>
  <si>
    <t>Blue/White</t>
  </si>
  <si>
    <t>Short / Long</t>
  </si>
  <si>
    <t>Blue Color</t>
  </si>
  <si>
    <t>Short T</t>
  </si>
  <si>
    <t>White Color</t>
  </si>
  <si>
    <t>Long T</t>
  </si>
  <si>
    <t>Total</t>
  </si>
  <si>
    <t>WC TOT</t>
  </si>
  <si>
    <t>BC TOT</t>
  </si>
  <si>
    <t>WC TIT</t>
  </si>
  <si>
    <t>Chosen month</t>
  </si>
  <si>
    <t>Lonterm Sickleave</t>
  </si>
  <si>
    <t>WC</t>
  </si>
  <si>
    <t>oct-20</t>
  </si>
  <si>
    <t>Longterm Sickleave BC</t>
  </si>
  <si>
    <t>Shortterm Sickleave WC</t>
  </si>
  <si>
    <t>Shortterm Sickleave BC</t>
  </si>
  <si>
    <t>FTE</t>
  </si>
  <si>
    <t>oct-21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</si>
</sst>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sz val="11"/>
      <color rgb="FF444444"/>
      <name val="Calibri"/>
      <family val="2"/>
      <charset val="1"/>
    </font>
    <font>
      <sz val="11"/>
      <color rgb="FF444444"/>
      <name val="Calibri"/>
      <family val="2"/>
    </font>
    <font>
      <sz val="11"/>
      <color rgb="FF006100"/>
      <name val="Calibri"/>
      <family val="2"/>
      <scheme val="minor"/>
    </font>
    <font>
      <sz val="11"/>
      <color rgb="FF9C0006"/>
      <name val="Calibri"/>
      <family val="2"/>
      <scheme val="minor"/>
    </font>
    <font>
      <sz val="11"/>
      <color rgb="FF9C5700"/>
      <name val="Calibri"/>
      <family val="2"/>
      <scheme val="minor"/>
    </font>
    <font>
      <sz val="11"/>
      <name val="Calibri"/>
      <family val="2"/>
      <scheme val="minor"/>
    </font>
    <font>
      <b/>
      <sz val="11"/>
      <name val="Calibri"/>
      <family val="2"/>
      <scheme val="minor"/>
    </font>
    <font>
      <sz val="8"/>
      <name val="Calibri"/>
      <family val="2"/>
      <scheme val="minor"/>
    </font>
    <font>
      <sz val="11"/>
      <color theme="1"/>
      <name val="Calibri"/>
      <family val="2"/>
    </font>
    <font>
      <b/>
      <sz val="11"/>
      <color rgb="FF000000"/>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style="medium">
        <color indexed="64"/>
      </left>
      <right/>
      <top style="thin">
        <color rgb="FF000000"/>
      </top>
      <bottom style="thin">
        <color indexed="64"/>
      </bottom>
      <diagonal/>
    </border>
    <border>
      <left/>
      <right style="thin">
        <color indexed="64"/>
      </right>
      <top style="thin">
        <color indexed="64"/>
      </top>
      <bottom style="medium">
        <color indexed="64"/>
      </bottom>
      <diagonal/>
    </border>
    <border>
      <left style="thin">
        <color rgb="FF000000"/>
      </left>
      <right/>
      <top/>
      <bottom/>
      <diagonal/>
    </border>
    <border>
      <left style="medium">
        <color indexed="64"/>
      </left>
      <right/>
      <top style="thin">
        <color rgb="FF000000"/>
      </top>
      <bottom/>
      <diagonal/>
    </border>
    <border>
      <left style="thin">
        <color rgb="FF000000"/>
      </left>
      <right style="thin">
        <color rgb="FF000000"/>
      </right>
      <top style="thin">
        <color rgb="FF000000"/>
      </top>
      <bottom/>
      <diagonal/>
    </border>
    <border>
      <left/>
      <right style="thin">
        <color indexed="64"/>
      </right>
      <top style="thin">
        <color indexed="64"/>
      </top>
      <bottom/>
      <diagonal/>
    </border>
    <border>
      <left style="medium">
        <color indexed="64"/>
      </left>
      <right style="thin">
        <color rgb="FF000000"/>
      </right>
      <top style="thin">
        <color indexed="64"/>
      </top>
      <bottom style="thin">
        <color indexed="64"/>
      </bottom>
      <diagonal/>
    </border>
    <border>
      <left style="thin">
        <color indexed="64"/>
      </left>
      <right style="thin">
        <color indexed="64"/>
      </right>
      <top style="thin">
        <color rgb="FF000000"/>
      </top>
      <bottom style="medium">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diagonal/>
    </border>
    <border>
      <left style="medium">
        <color indexed="64"/>
      </left>
      <right style="thin">
        <color indexed="64"/>
      </right>
      <top style="medium">
        <color indexed="64"/>
      </top>
      <bottom style="thin">
        <color rgb="FF000000"/>
      </bottom>
      <diagonal/>
    </border>
    <border>
      <left style="thin">
        <color indexed="64"/>
      </left>
      <right style="thin">
        <color indexed="64"/>
      </right>
      <top style="medium">
        <color indexed="64"/>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right style="thin">
        <color indexed="64"/>
      </right>
      <top style="thin">
        <color rgb="FF000000"/>
      </top>
      <bottom style="thin">
        <color rgb="FF000000"/>
      </bottom>
      <diagonal/>
    </border>
    <border>
      <left style="medium">
        <color indexed="64"/>
      </left>
      <right style="thin">
        <color rgb="FF000000"/>
      </right>
      <top style="thin">
        <color rgb="FF000000"/>
      </top>
      <bottom/>
      <diagonal/>
    </border>
    <border>
      <left/>
      <right style="thin">
        <color rgb="FF000000"/>
      </right>
      <top style="thin">
        <color rgb="FF000000"/>
      </top>
      <bottom/>
      <diagonal/>
    </border>
    <border>
      <left/>
      <right style="thin">
        <color indexed="64"/>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style="thin">
        <color rgb="FF000000"/>
      </bottom>
      <diagonal/>
    </border>
    <border>
      <left style="thin">
        <color indexed="64"/>
      </left>
      <right style="thin">
        <color indexed="64"/>
      </right>
      <top style="medium">
        <color indexed="64"/>
      </top>
      <bottom/>
      <diagonal/>
    </border>
    <border>
      <left/>
      <right style="medium">
        <color indexed="64"/>
      </right>
      <top style="medium">
        <color indexed="64"/>
      </top>
      <bottom style="medium">
        <color indexed="64"/>
      </bottom>
      <diagonal/>
    </border>
    <border>
      <left/>
      <right/>
      <top style="thin">
        <color rgb="FF000000"/>
      </top>
      <bottom/>
      <diagonal/>
    </border>
    <border>
      <left/>
      <right style="thin">
        <color indexed="64"/>
      </right>
      <top style="thin">
        <color indexed="64"/>
      </top>
      <bottom style="thin">
        <color rgb="FF000000"/>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rgb="FF000000"/>
      </left>
      <right style="medium">
        <color indexed="64"/>
      </right>
      <top/>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style="thin">
        <color rgb="FF000000"/>
      </top>
      <bottom/>
      <diagonal/>
    </border>
    <border>
      <left style="thin">
        <color indexed="64"/>
      </left>
      <right style="thin">
        <color indexed="64"/>
      </right>
      <top style="thin">
        <color rgb="FF000000"/>
      </top>
      <bottom style="medium">
        <color indexed="64"/>
      </bottom>
      <diagonal/>
    </border>
    <border>
      <left style="thin">
        <color indexed="64"/>
      </left>
      <right/>
      <top style="thin">
        <color indexed="64"/>
      </top>
      <bottom style="thin">
        <color rgb="FF000000"/>
      </bottom>
      <diagonal/>
    </border>
    <border>
      <left style="thin">
        <color indexed="64"/>
      </left>
      <right/>
      <top style="thin">
        <color rgb="FF000000"/>
      </top>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rgb="FF000000"/>
      </bottom>
      <diagonal/>
    </border>
    <border>
      <left style="thin">
        <color indexed="64"/>
      </left>
      <right style="medium">
        <color indexed="64"/>
      </right>
      <top style="thin">
        <color rgb="FF000000"/>
      </top>
      <bottom style="medium">
        <color rgb="FF000000"/>
      </bottom>
      <diagonal/>
    </border>
  </borders>
  <cellStyleXfs count="5">
    <xf numFmtId="0" fontId="0" fillId="0" borderId="0"/>
    <xf numFmtId="9" fontId="1" fillId="0" borderId="0" applyFon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cellStyleXfs>
  <cellXfs count="198">
    <xf numFmtId="0" fontId="0" fillId="0" borderId="0" xfId="0"/>
    <xf numFmtId="0" fontId="0" fillId="0" borderId="2" xfId="0" applyBorder="1"/>
    <xf numFmtId="164" fontId="0" fillId="0" borderId="1" xfId="1" applyNumberFormat="1" applyFont="1" applyBorder="1" applyAlignment="1">
      <alignment horizontal="center" vertical="center"/>
    </xf>
    <xf numFmtId="164" fontId="0" fillId="0" borderId="6" xfId="1" applyNumberFormat="1" applyFont="1" applyBorder="1" applyAlignment="1">
      <alignment horizontal="center" vertical="center"/>
    </xf>
    <xf numFmtId="164" fontId="0" fillId="0" borderId="8" xfId="1" applyNumberFormat="1" applyFont="1" applyBorder="1" applyAlignment="1">
      <alignment horizontal="center" vertical="center"/>
    </xf>
    <xf numFmtId="164" fontId="0" fillId="0" borderId="9" xfId="1" applyNumberFormat="1" applyFont="1" applyBorder="1" applyAlignment="1">
      <alignment horizontal="center" vertical="center"/>
    </xf>
    <xf numFmtId="0" fontId="0" fillId="0" borderId="0" xfId="0" applyProtection="1">
      <protection locked="0"/>
    </xf>
    <xf numFmtId="0" fontId="0" fillId="0" borderId="2" xfId="0" applyBorder="1" applyProtection="1">
      <protection locked="0"/>
    </xf>
    <xf numFmtId="0" fontId="0" fillId="0" borderId="6" xfId="0" applyBorder="1" applyProtection="1">
      <protection locked="0"/>
    </xf>
    <xf numFmtId="0" fontId="0" fillId="0" borderId="1" xfId="0" applyBorder="1" applyProtection="1">
      <protection locked="0"/>
    </xf>
    <xf numFmtId="0" fontId="0" fillId="0" borderId="7" xfId="0" applyBorder="1" applyProtection="1">
      <protection locked="0"/>
    </xf>
    <xf numFmtId="0" fontId="0" fillId="0" borderId="6" xfId="0" applyBorder="1" applyAlignment="1" applyProtection="1">
      <alignment horizontal="center"/>
      <protection locked="0"/>
    </xf>
    <xf numFmtId="164" fontId="0" fillId="0" borderId="6" xfId="1" applyNumberFormat="1" applyFont="1" applyBorder="1" applyAlignment="1" applyProtection="1">
      <alignment horizontal="center" vertical="center"/>
      <protection locked="0"/>
    </xf>
    <xf numFmtId="0" fontId="0" fillId="0" borderId="11" xfId="0" applyBorder="1"/>
    <xf numFmtId="0" fontId="0" fillId="0" borderId="12" xfId="0" applyBorder="1"/>
    <xf numFmtId="0" fontId="0" fillId="0" borderId="13" xfId="0" applyBorder="1"/>
    <xf numFmtId="0" fontId="0" fillId="0" borderId="11" xfId="0" applyBorder="1" applyAlignment="1">
      <alignment horizontal="center"/>
    </xf>
    <xf numFmtId="164" fontId="0" fillId="0" borderId="3" xfId="1" applyNumberFormat="1" applyFont="1" applyBorder="1" applyAlignment="1">
      <alignment horizontal="center" vertical="center"/>
    </xf>
    <xf numFmtId="164" fontId="0" fillId="0" borderId="4" xfId="1" applyNumberFormat="1" applyFont="1"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vertical="center"/>
    </xf>
    <xf numFmtId="164" fontId="0" fillId="0" borderId="15" xfId="1" applyNumberFormat="1" applyFont="1" applyBorder="1" applyAlignment="1" applyProtection="1">
      <alignment horizontal="center" vertical="center"/>
      <protection locked="0"/>
    </xf>
    <xf numFmtId="0" fontId="0" fillId="0" borderId="10" xfId="0" applyBorder="1" applyProtection="1">
      <protection locked="0"/>
    </xf>
    <xf numFmtId="17" fontId="0" fillId="0" borderId="1" xfId="0" applyNumberFormat="1" applyBorder="1"/>
    <xf numFmtId="17" fontId="0" fillId="0" borderId="1" xfId="0" applyNumberFormat="1" applyBorder="1" applyAlignment="1">
      <alignment horizontal="center" vertical="center"/>
    </xf>
    <xf numFmtId="16" fontId="0" fillId="0" borderId="0" xfId="0" applyNumberFormat="1"/>
    <xf numFmtId="10" fontId="0" fillId="0" borderId="4" xfId="1" applyNumberFormat="1" applyFont="1" applyBorder="1" applyAlignment="1">
      <alignment horizontal="center" vertical="center"/>
    </xf>
    <xf numFmtId="10" fontId="0" fillId="0" borderId="1" xfId="1" applyNumberFormat="1" applyFont="1" applyBorder="1" applyAlignment="1">
      <alignment horizontal="center" vertical="center"/>
    </xf>
    <xf numFmtId="164" fontId="0" fillId="0" borderId="16" xfId="1" applyNumberFormat="1" applyFont="1" applyFill="1" applyBorder="1" applyAlignment="1">
      <alignment horizontal="center" vertical="center"/>
    </xf>
    <xf numFmtId="164" fontId="0" fillId="0" borderId="17" xfId="1" applyNumberFormat="1" applyFont="1" applyFill="1" applyBorder="1" applyAlignment="1">
      <alignment horizontal="center" vertical="center"/>
    </xf>
    <xf numFmtId="164" fontId="0" fillId="0" borderId="6" xfId="1" applyNumberFormat="1" applyFont="1" applyFill="1" applyBorder="1" applyAlignment="1">
      <alignment horizontal="center" vertical="center"/>
    </xf>
    <xf numFmtId="164" fontId="0" fillId="0" borderId="1" xfId="1" applyNumberFormat="1" applyFont="1" applyFill="1" applyBorder="1" applyAlignment="1">
      <alignment horizontal="center" vertical="center"/>
    </xf>
    <xf numFmtId="164" fontId="0" fillId="0" borderId="16" xfId="1" applyNumberFormat="1" applyFont="1" applyBorder="1" applyAlignment="1">
      <alignment horizontal="center" vertical="center"/>
    </xf>
    <xf numFmtId="0" fontId="0" fillId="0" borderId="0" xfId="0" applyAlignment="1">
      <alignment horizontal="center"/>
    </xf>
    <xf numFmtId="10" fontId="0" fillId="0" borderId="6" xfId="1" applyNumberFormat="1" applyFont="1" applyBorder="1" applyAlignment="1">
      <alignment horizontal="center" vertical="center"/>
    </xf>
    <xf numFmtId="10" fontId="3" fillId="0" borderId="3" xfId="0" applyNumberFormat="1" applyFont="1" applyBorder="1"/>
    <xf numFmtId="10" fontId="3" fillId="0" borderId="20" xfId="0" applyNumberFormat="1" applyFont="1" applyBorder="1"/>
    <xf numFmtId="10" fontId="3" fillId="0" borderId="19" xfId="0" applyNumberFormat="1" applyFont="1" applyBorder="1"/>
    <xf numFmtId="10" fontId="3" fillId="0" borderId="15" xfId="0" applyNumberFormat="1" applyFont="1" applyBorder="1"/>
    <xf numFmtId="10" fontId="3" fillId="0" borderId="6" xfId="0" applyNumberFormat="1" applyFont="1" applyBorder="1"/>
    <xf numFmtId="10" fontId="3" fillId="0" borderId="21" xfId="0" applyNumberFormat="1" applyFont="1" applyBorder="1"/>
    <xf numFmtId="10" fontId="3" fillId="0" borderId="16" xfId="0" applyNumberFormat="1" applyFont="1" applyBorder="1"/>
    <xf numFmtId="10" fontId="3" fillId="0" borderId="18" xfId="0" applyNumberFormat="1" applyFont="1" applyBorder="1"/>
    <xf numFmtId="164" fontId="0" fillId="0" borderId="9" xfId="1" applyNumberFormat="1" applyFont="1" applyBorder="1" applyAlignment="1">
      <alignment horizontal="right" vertical="center"/>
    </xf>
    <xf numFmtId="164" fontId="0" fillId="0" borderId="8" xfId="1" applyNumberFormat="1" applyFont="1" applyBorder="1" applyAlignment="1">
      <alignment horizontal="right" vertical="center"/>
    </xf>
    <xf numFmtId="164" fontId="0" fillId="0" borderId="22" xfId="1" applyNumberFormat="1" applyFont="1" applyBorder="1" applyAlignment="1">
      <alignment horizontal="right" vertical="center"/>
    </xf>
    <xf numFmtId="10" fontId="4" fillId="0" borderId="23" xfId="0" quotePrefix="1" applyNumberFormat="1" applyFont="1" applyBorder="1" applyAlignment="1">
      <alignment horizontal="right"/>
    </xf>
    <xf numFmtId="164" fontId="0" fillId="0" borderId="24" xfId="1" applyNumberFormat="1" applyFont="1" applyBorder="1" applyAlignment="1">
      <alignment horizontal="right" vertical="center"/>
    </xf>
    <xf numFmtId="10" fontId="4" fillId="0" borderId="26" xfId="0" quotePrefix="1" applyNumberFormat="1" applyFont="1" applyBorder="1" applyAlignment="1">
      <alignment horizontal="right"/>
    </xf>
    <xf numFmtId="164" fontId="0" fillId="0" borderId="11" xfId="1" applyNumberFormat="1" applyFont="1" applyBorder="1" applyAlignment="1">
      <alignment horizontal="center" vertical="center"/>
    </xf>
    <xf numFmtId="164" fontId="0" fillId="0" borderId="12" xfId="1" applyNumberFormat="1" applyFont="1" applyBorder="1" applyAlignment="1">
      <alignment horizontal="center" vertical="center"/>
    </xf>
    <xf numFmtId="164" fontId="0" fillId="0" borderId="27" xfId="1" applyNumberFormat="1" applyFont="1" applyBorder="1" applyAlignment="1">
      <alignment horizontal="right" vertical="center"/>
    </xf>
    <xf numFmtId="10" fontId="5" fillId="0" borderId="28" xfId="0" applyNumberFormat="1" applyFont="1" applyBorder="1" applyAlignment="1">
      <alignment horizontal="right"/>
    </xf>
    <xf numFmtId="10" fontId="0" fillId="0" borderId="15" xfId="1" applyNumberFormat="1" applyFont="1" applyBorder="1" applyAlignment="1">
      <alignment horizontal="center" vertical="center"/>
    </xf>
    <xf numFmtId="164" fontId="0" fillId="0" borderId="31" xfId="1" applyNumberFormat="1" applyFont="1" applyBorder="1" applyAlignment="1">
      <alignment horizontal="center" vertical="center"/>
    </xf>
    <xf numFmtId="164" fontId="0" fillId="0" borderId="30" xfId="1" applyNumberFormat="1" applyFont="1" applyBorder="1" applyAlignment="1">
      <alignment horizontal="center" vertical="center"/>
    </xf>
    <xf numFmtId="164" fontId="0" fillId="0" borderId="15" xfId="1" applyNumberFormat="1" applyFont="1" applyBorder="1" applyAlignment="1">
      <alignment horizontal="center" vertical="center"/>
    </xf>
    <xf numFmtId="164" fontId="0" fillId="0" borderId="32" xfId="1" applyNumberFormat="1" applyFont="1" applyBorder="1" applyAlignment="1">
      <alignment horizontal="center" vertical="center"/>
    </xf>
    <xf numFmtId="164" fontId="0" fillId="0" borderId="33" xfId="1" applyNumberFormat="1" applyFont="1" applyBorder="1" applyAlignment="1">
      <alignment horizontal="center" vertical="center"/>
    </xf>
    <xf numFmtId="164" fontId="0" fillId="0" borderId="34" xfId="1" applyNumberFormat="1" applyFont="1" applyBorder="1" applyAlignment="1">
      <alignment horizontal="center" vertical="center"/>
    </xf>
    <xf numFmtId="164" fontId="0" fillId="0" borderId="35" xfId="1" applyNumberFormat="1" applyFont="1" applyBorder="1" applyAlignment="1">
      <alignment horizontal="center" vertical="center"/>
    </xf>
    <xf numFmtId="164" fontId="0" fillId="0" borderId="36" xfId="1" applyNumberFormat="1" applyFont="1" applyBorder="1" applyAlignment="1">
      <alignment horizontal="center" vertical="center"/>
    </xf>
    <xf numFmtId="164" fontId="0" fillId="0" borderId="37" xfId="1" applyNumberFormat="1" applyFont="1" applyBorder="1" applyAlignment="1">
      <alignment horizontal="center" vertical="center"/>
    </xf>
    <xf numFmtId="164" fontId="0" fillId="0" borderId="14" xfId="1" applyNumberFormat="1" applyFont="1" applyBorder="1" applyAlignment="1">
      <alignment horizontal="center" vertical="center"/>
    </xf>
    <xf numFmtId="164" fontId="0" fillId="0" borderId="38" xfId="1" applyNumberFormat="1" applyFont="1" applyBorder="1" applyAlignment="1">
      <alignment horizontal="center" vertical="center"/>
    </xf>
    <xf numFmtId="10" fontId="0" fillId="0" borderId="39" xfId="1" applyNumberFormat="1" applyFont="1" applyBorder="1" applyAlignment="1">
      <alignment horizontal="center" vertical="center"/>
    </xf>
    <xf numFmtId="164" fontId="0" fillId="0" borderId="1" xfId="0" applyNumberFormat="1" applyBorder="1"/>
    <xf numFmtId="10" fontId="0" fillId="0" borderId="41" xfId="1" applyNumberFormat="1" applyFont="1" applyBorder="1" applyAlignment="1">
      <alignment horizontal="center" vertical="center"/>
    </xf>
    <xf numFmtId="10" fontId="0" fillId="0" borderId="42" xfId="1" applyNumberFormat="1" applyFont="1" applyBorder="1" applyAlignment="1">
      <alignment horizontal="center" vertical="center"/>
    </xf>
    <xf numFmtId="10" fontId="0" fillId="0" borderId="43" xfId="1" applyNumberFormat="1" applyFont="1" applyBorder="1" applyAlignment="1">
      <alignment horizontal="center" vertical="center"/>
    </xf>
    <xf numFmtId="164" fontId="0" fillId="0" borderId="40" xfId="1" applyNumberFormat="1" applyFont="1" applyBorder="1" applyAlignment="1">
      <alignment horizontal="center" vertical="center"/>
    </xf>
    <xf numFmtId="164" fontId="0" fillId="0" borderId="43" xfId="1" applyNumberFormat="1" applyFont="1" applyBorder="1" applyAlignment="1">
      <alignment horizontal="center" vertical="center"/>
    </xf>
    <xf numFmtId="164" fontId="0" fillId="0" borderId="18" xfId="1" applyNumberFormat="1" applyFont="1" applyBorder="1" applyAlignment="1">
      <alignment horizontal="center" vertical="center"/>
    </xf>
    <xf numFmtId="164" fontId="0" fillId="0" borderId="25" xfId="1" applyNumberFormat="1" applyFont="1" applyBorder="1" applyAlignment="1">
      <alignment horizontal="center" vertical="center"/>
    </xf>
    <xf numFmtId="164" fontId="0" fillId="0" borderId="15" xfId="1" applyNumberFormat="1" applyFont="1" applyFill="1" applyBorder="1" applyAlignment="1">
      <alignment horizontal="center" vertical="center"/>
    </xf>
    <xf numFmtId="164" fontId="0" fillId="0" borderId="29" xfId="1" applyNumberFormat="1" applyFont="1" applyBorder="1" applyAlignment="1">
      <alignment horizontal="center" vertical="center"/>
    </xf>
    <xf numFmtId="17" fontId="0" fillId="0" borderId="45" xfId="0" applyNumberFormat="1" applyBorder="1" applyAlignment="1">
      <alignment horizontal="center" vertical="center"/>
    </xf>
    <xf numFmtId="17" fontId="0" fillId="0" borderId="46" xfId="0" applyNumberFormat="1" applyBorder="1" applyAlignment="1">
      <alignment horizontal="center" vertical="center"/>
    </xf>
    <xf numFmtId="17" fontId="0" fillId="0" borderId="47" xfId="0" applyNumberFormat="1" applyBorder="1" applyAlignment="1">
      <alignment horizontal="center" vertical="center"/>
    </xf>
    <xf numFmtId="17" fontId="0" fillId="0" borderId="48" xfId="0" applyNumberFormat="1" applyBorder="1" applyAlignment="1">
      <alignment horizontal="center" vertical="center"/>
    </xf>
    <xf numFmtId="49" fontId="0" fillId="0" borderId="46" xfId="0" applyNumberFormat="1" applyBorder="1" applyAlignment="1">
      <alignment horizontal="center"/>
    </xf>
    <xf numFmtId="49" fontId="0" fillId="0" borderId="47" xfId="0" applyNumberFormat="1" applyBorder="1" applyAlignment="1">
      <alignment horizontal="center"/>
    </xf>
    <xf numFmtId="0" fontId="2" fillId="0" borderId="0" xfId="0" applyFont="1"/>
    <xf numFmtId="0" fontId="2" fillId="0" borderId="0" xfId="0" applyFont="1" applyAlignment="1">
      <alignment horizontal="center" vertical="center"/>
    </xf>
    <xf numFmtId="0" fontId="2" fillId="0" borderId="44" xfId="0" applyFont="1" applyBorder="1" applyAlignment="1">
      <alignment horizontal="center" vertical="center"/>
    </xf>
    <xf numFmtId="0" fontId="2" fillId="0" borderId="51" xfId="0" applyFont="1" applyBorder="1"/>
    <xf numFmtId="0" fontId="2" fillId="0" borderId="52" xfId="0" applyFont="1" applyBorder="1"/>
    <xf numFmtId="0" fontId="2" fillId="0" borderId="53" xfId="0" applyFont="1" applyBorder="1"/>
    <xf numFmtId="0" fontId="2" fillId="0" borderId="53" xfId="0" applyFont="1" applyBorder="1" applyAlignment="1">
      <alignment horizontal="center"/>
    </xf>
    <xf numFmtId="164" fontId="0" fillId="0" borderId="19" xfId="1" applyNumberFormat="1" applyFont="1" applyBorder="1" applyAlignment="1">
      <alignment horizontal="center" vertical="center"/>
    </xf>
    <xf numFmtId="164" fontId="0" fillId="0" borderId="12" xfId="1" applyNumberFormat="1" applyFont="1" applyBorder="1"/>
    <xf numFmtId="10" fontId="0" fillId="0" borderId="1" xfId="0" applyNumberFormat="1" applyBorder="1"/>
    <xf numFmtId="164" fontId="0" fillId="0" borderId="1" xfId="1" applyNumberFormat="1" applyFont="1" applyBorder="1"/>
    <xf numFmtId="164" fontId="0" fillId="0" borderId="55" xfId="1" applyNumberFormat="1" applyFont="1" applyBorder="1" applyAlignment="1">
      <alignment horizontal="center" vertical="center"/>
    </xf>
    <xf numFmtId="164" fontId="0" fillId="0" borderId="17" xfId="1" applyNumberFormat="1" applyFont="1" applyBorder="1" applyAlignment="1">
      <alignment horizontal="center" vertical="center"/>
    </xf>
    <xf numFmtId="164" fontId="0" fillId="0" borderId="54" xfId="1" applyNumberFormat="1" applyFont="1" applyBorder="1" applyAlignment="1">
      <alignment horizontal="center" vertical="center"/>
    </xf>
    <xf numFmtId="164" fontId="0" fillId="0" borderId="0" xfId="1" applyNumberFormat="1" applyFont="1" applyBorder="1" applyAlignment="1">
      <alignment horizontal="center" vertical="center"/>
    </xf>
    <xf numFmtId="10" fontId="5" fillId="0" borderId="0" xfId="0" applyNumberFormat="1" applyFont="1" applyAlignment="1">
      <alignment horizontal="right"/>
    </xf>
    <xf numFmtId="10" fontId="5" fillId="0" borderId="0" xfId="0" applyNumberFormat="1" applyFont="1"/>
    <xf numFmtId="164" fontId="0" fillId="0" borderId="20" xfId="1" applyNumberFormat="1" applyFont="1" applyBorder="1" applyAlignment="1">
      <alignment horizontal="center" vertical="center"/>
    </xf>
    <xf numFmtId="164" fontId="0" fillId="0" borderId="57" xfId="1" applyNumberFormat="1" applyFont="1" applyBorder="1" applyAlignment="1">
      <alignment horizontal="center" vertical="center"/>
    </xf>
    <xf numFmtId="164" fontId="0" fillId="0" borderId="21" xfId="1" applyNumberFormat="1" applyFont="1" applyFill="1" applyBorder="1" applyAlignment="1">
      <alignment horizontal="center" vertical="center"/>
    </xf>
    <xf numFmtId="164" fontId="0" fillId="0" borderId="58" xfId="1" applyNumberFormat="1" applyFont="1" applyBorder="1" applyAlignment="1">
      <alignment horizontal="center" vertical="center"/>
    </xf>
    <xf numFmtId="164" fontId="0" fillId="0" borderId="29" xfId="1" applyNumberFormat="1" applyFont="1" applyBorder="1"/>
    <xf numFmtId="164" fontId="0" fillId="0" borderId="15" xfId="1" applyNumberFormat="1" applyFont="1" applyBorder="1"/>
    <xf numFmtId="0" fontId="2" fillId="0" borderId="59" xfId="0" applyFont="1" applyBorder="1"/>
    <xf numFmtId="164" fontId="0" fillId="0" borderId="5" xfId="1" applyNumberFormat="1" applyFont="1" applyBorder="1" applyAlignment="1">
      <alignment horizontal="center" vertical="center"/>
    </xf>
    <xf numFmtId="164" fontId="0" fillId="0" borderId="7" xfId="1" applyNumberFormat="1" applyFont="1" applyBorder="1" applyAlignment="1">
      <alignment horizontal="center" vertical="center"/>
    </xf>
    <xf numFmtId="164" fontId="0" fillId="0" borderId="60" xfId="1" applyNumberFormat="1" applyFont="1" applyBorder="1" applyAlignment="1">
      <alignment horizontal="center" vertical="center"/>
    </xf>
    <xf numFmtId="164" fontId="0" fillId="0" borderId="7" xfId="1" applyNumberFormat="1" applyFont="1" applyFill="1" applyBorder="1" applyAlignment="1">
      <alignment horizontal="center" vertical="center"/>
    </xf>
    <xf numFmtId="10" fontId="3" fillId="0" borderId="61" xfId="0" applyNumberFormat="1" applyFont="1" applyBorder="1"/>
    <xf numFmtId="10" fontId="3" fillId="0" borderId="62" xfId="0" applyNumberFormat="1" applyFont="1" applyBorder="1"/>
    <xf numFmtId="10" fontId="3" fillId="0" borderId="63" xfId="0" applyNumberFormat="1" applyFont="1" applyBorder="1"/>
    <xf numFmtId="164" fontId="0" fillId="0" borderId="60" xfId="1" applyNumberFormat="1" applyFont="1" applyBorder="1" applyAlignment="1">
      <alignment horizontal="right" vertical="center"/>
    </xf>
    <xf numFmtId="10" fontId="4" fillId="0" borderId="0" xfId="0" quotePrefix="1" applyNumberFormat="1" applyFont="1" applyAlignment="1">
      <alignment horizontal="right"/>
    </xf>
    <xf numFmtId="10" fontId="4" fillId="0" borderId="64" xfId="0" quotePrefix="1" applyNumberFormat="1" applyFont="1" applyBorder="1"/>
    <xf numFmtId="10" fontId="4" fillId="0" borderId="65" xfId="0" quotePrefix="1" applyNumberFormat="1" applyFont="1" applyBorder="1"/>
    <xf numFmtId="10" fontId="5" fillId="0" borderId="66" xfId="0" applyNumberFormat="1" applyFont="1" applyBorder="1"/>
    <xf numFmtId="164" fontId="0" fillId="0" borderId="67" xfId="1" applyNumberFormat="1" applyFont="1" applyBorder="1" applyAlignment="1">
      <alignment horizontal="center" vertical="center"/>
    </xf>
    <xf numFmtId="164" fontId="0" fillId="0" borderId="9" xfId="1" applyNumberFormat="1" applyFont="1" applyBorder="1"/>
    <xf numFmtId="10" fontId="0" fillId="0" borderId="9" xfId="0" applyNumberFormat="1" applyBorder="1"/>
    <xf numFmtId="164" fontId="0" fillId="0" borderId="68" xfId="1" applyNumberFormat="1" applyFont="1" applyBorder="1" applyAlignment="1">
      <alignment horizontal="center" vertical="center"/>
    </xf>
    <xf numFmtId="164" fontId="0" fillId="0" borderId="10" xfId="1" applyNumberFormat="1" applyFont="1" applyBorder="1" applyAlignment="1">
      <alignment horizontal="center" vertical="center"/>
    </xf>
    <xf numFmtId="164" fontId="0" fillId="0" borderId="69" xfId="1" applyNumberFormat="1" applyFont="1" applyBorder="1" applyAlignment="1">
      <alignment horizontal="center" vertical="center"/>
    </xf>
    <xf numFmtId="17" fontId="0" fillId="0" borderId="61" xfId="0" applyNumberFormat="1" applyBorder="1" applyAlignment="1">
      <alignment horizontal="center" vertical="center"/>
    </xf>
    <xf numFmtId="17" fontId="0" fillId="0" borderId="63" xfId="0" applyNumberFormat="1" applyBorder="1" applyAlignment="1">
      <alignment horizontal="center" vertical="center"/>
    </xf>
    <xf numFmtId="49" fontId="0" fillId="0" borderId="63" xfId="0" applyNumberFormat="1" applyBorder="1" applyAlignment="1">
      <alignment horizontal="center"/>
    </xf>
    <xf numFmtId="49" fontId="0" fillId="0" borderId="70" xfId="0" applyNumberFormat="1" applyBorder="1" applyAlignment="1">
      <alignment horizontal="center"/>
    </xf>
    <xf numFmtId="0" fontId="0" fillId="0" borderId="25" xfId="0" applyBorder="1"/>
    <xf numFmtId="164" fontId="0" fillId="0" borderId="2" xfId="1" applyNumberFormat="1" applyFont="1" applyBorder="1" applyAlignment="1">
      <alignment horizontal="center" vertical="center"/>
    </xf>
    <xf numFmtId="0" fontId="0" fillId="0" borderId="72" xfId="0" applyBorder="1"/>
    <xf numFmtId="10" fontId="0" fillId="0" borderId="9" xfId="1" applyNumberFormat="1" applyFont="1" applyBorder="1" applyAlignment="1">
      <alignment horizontal="center" vertical="center"/>
    </xf>
    <xf numFmtId="10" fontId="0" fillId="0" borderId="25" xfId="1" applyNumberFormat="1" applyFont="1" applyBorder="1" applyAlignment="1">
      <alignment horizontal="center" vertical="center"/>
    </xf>
    <xf numFmtId="10" fontId="0" fillId="0" borderId="71" xfId="1" applyNumberFormat="1" applyFont="1" applyBorder="1" applyAlignment="1">
      <alignment horizontal="center" vertical="center"/>
    </xf>
    <xf numFmtId="10" fontId="0" fillId="0" borderId="2" xfId="1" applyNumberFormat="1" applyFont="1" applyBorder="1" applyAlignment="1">
      <alignment horizontal="center" vertical="center"/>
    </xf>
    <xf numFmtId="10" fontId="0" fillId="0" borderId="72" xfId="1" applyNumberFormat="1" applyFont="1" applyBorder="1" applyAlignment="1">
      <alignment horizontal="center" vertical="center"/>
    </xf>
    <xf numFmtId="10" fontId="12" fillId="0" borderId="1" xfId="0" applyNumberFormat="1" applyFont="1" applyBorder="1" applyAlignment="1">
      <alignment horizontal="right"/>
    </xf>
    <xf numFmtId="164" fontId="1" fillId="0" borderId="1" xfId="1" applyNumberFormat="1" applyFont="1" applyBorder="1" applyAlignment="1">
      <alignment horizontal="center" vertical="center"/>
    </xf>
    <xf numFmtId="10" fontId="12" fillId="0" borderId="1" xfId="1" applyNumberFormat="1" applyFont="1" applyBorder="1" applyAlignment="1">
      <alignment horizontal="right"/>
    </xf>
    <xf numFmtId="10" fontId="12" fillId="0" borderId="4" xfId="0" applyNumberFormat="1" applyFont="1" applyBorder="1" applyAlignment="1">
      <alignment horizontal="right"/>
    </xf>
    <xf numFmtId="10" fontId="12" fillId="0" borderId="5" xfId="0" applyNumberFormat="1" applyFont="1" applyBorder="1"/>
    <xf numFmtId="10" fontId="12" fillId="0" borderId="7" xfId="0" applyNumberFormat="1" applyFont="1" applyBorder="1"/>
    <xf numFmtId="10" fontId="12" fillId="0" borderId="9" xfId="0" applyNumberFormat="1" applyFont="1" applyBorder="1" applyAlignment="1">
      <alignment horizontal="right"/>
    </xf>
    <xf numFmtId="164" fontId="1" fillId="0" borderId="18" xfId="1" applyNumberFormat="1" applyFont="1" applyBorder="1" applyAlignment="1">
      <alignment horizontal="right" vertical="center"/>
    </xf>
    <xf numFmtId="164" fontId="1" fillId="0" borderId="15" xfId="1" applyNumberFormat="1" applyFont="1" applyBorder="1" applyAlignment="1">
      <alignment horizontal="right" vertical="center"/>
    </xf>
    <xf numFmtId="164" fontId="1" fillId="0" borderId="25" xfId="1" applyNumberFormat="1" applyFont="1" applyBorder="1" applyAlignment="1">
      <alignment horizontal="right" vertical="center"/>
    </xf>
    <xf numFmtId="10" fontId="0" fillId="0" borderId="2" xfId="0" applyNumberFormat="1" applyBorder="1"/>
    <xf numFmtId="10" fontId="0" fillId="0" borderId="72" xfId="0" applyNumberFormat="1" applyBorder="1"/>
    <xf numFmtId="164" fontId="0" fillId="0" borderId="15" xfId="0" applyNumberFormat="1" applyBorder="1"/>
    <xf numFmtId="164" fontId="0" fillId="0" borderId="25" xfId="1" applyNumberFormat="1" applyFont="1" applyBorder="1"/>
    <xf numFmtId="164" fontId="0" fillId="0" borderId="72" xfId="1" applyNumberFormat="1" applyFont="1" applyBorder="1" applyAlignment="1">
      <alignment horizontal="center" vertical="center"/>
    </xf>
    <xf numFmtId="10" fontId="0" fillId="0" borderId="15" xfId="0" applyNumberFormat="1" applyBorder="1"/>
    <xf numFmtId="10" fontId="0" fillId="0" borderId="25" xfId="0" applyNumberFormat="1" applyBorder="1"/>
    <xf numFmtId="164" fontId="0" fillId="0" borderId="73" xfId="1" applyNumberFormat="1" applyFont="1" applyBorder="1" applyAlignment="1">
      <alignment horizontal="center" vertical="center"/>
    </xf>
    <xf numFmtId="164" fontId="0" fillId="0" borderId="2" xfId="0" applyNumberFormat="1" applyBorder="1"/>
    <xf numFmtId="0" fontId="13" fillId="0" borderId="52" xfId="0" applyFont="1" applyBorder="1"/>
    <xf numFmtId="164" fontId="0" fillId="0" borderId="2" xfId="0" applyNumberFormat="1" applyBorder="1" applyAlignment="1">
      <alignment horizontal="center"/>
    </xf>
    <xf numFmtId="164" fontId="0" fillId="0" borderId="15" xfId="0" applyNumberFormat="1" applyBorder="1" applyAlignment="1">
      <alignment horizontal="center"/>
    </xf>
    <xf numFmtId="164" fontId="1" fillId="0" borderId="71" xfId="1" applyNumberFormat="1" applyFont="1" applyBorder="1" applyAlignment="1">
      <alignment horizontal="center" vertical="center"/>
    </xf>
    <xf numFmtId="10" fontId="12" fillId="0" borderId="18" xfId="1" applyNumberFormat="1" applyFont="1" applyBorder="1" applyAlignment="1">
      <alignment horizontal="right"/>
    </xf>
    <xf numFmtId="164" fontId="1" fillId="0" borderId="36" xfId="1" applyNumberFormat="1" applyFont="1" applyBorder="1" applyAlignment="1">
      <alignment horizontal="center" vertical="center"/>
    </xf>
    <xf numFmtId="164" fontId="1" fillId="0" borderId="54" xfId="1" applyNumberFormat="1" applyFont="1" applyBorder="1" applyAlignment="1">
      <alignment horizontal="center" vertical="center"/>
    </xf>
    <xf numFmtId="164" fontId="1" fillId="0" borderId="72" xfId="1" applyNumberFormat="1" applyFont="1" applyBorder="1" applyAlignment="1">
      <alignment horizontal="center" vertical="center"/>
    </xf>
    <xf numFmtId="10" fontId="12" fillId="0" borderId="12" xfId="1" applyNumberFormat="1" applyFont="1" applyBorder="1" applyAlignment="1">
      <alignment horizontal="right"/>
    </xf>
    <xf numFmtId="10" fontId="12" fillId="0" borderId="13" xfId="0" applyNumberFormat="1" applyFont="1" applyBorder="1"/>
    <xf numFmtId="164" fontId="1" fillId="0" borderId="31" xfId="1" applyNumberFormat="1" applyFont="1" applyBorder="1" applyAlignment="1">
      <alignment horizontal="center" vertical="center"/>
    </xf>
    <xf numFmtId="10" fontId="12" fillId="0" borderId="31" xfId="0" applyNumberFormat="1" applyFont="1" applyBorder="1" applyAlignment="1">
      <alignment horizontal="right"/>
    </xf>
    <xf numFmtId="10" fontId="12" fillId="0" borderId="74" xfId="0" applyNumberFormat="1" applyFont="1" applyBorder="1"/>
    <xf numFmtId="0" fontId="10" fillId="3" borderId="49" xfId="3" applyFont="1" applyBorder="1" applyAlignment="1">
      <alignment horizontal="center"/>
    </xf>
    <xf numFmtId="0" fontId="10" fillId="3" borderId="50" xfId="3" applyFont="1" applyBorder="1" applyAlignment="1">
      <alignment horizontal="center"/>
    </xf>
    <xf numFmtId="0" fontId="10" fillId="3" borderId="56" xfId="3" applyFont="1" applyBorder="1" applyAlignment="1">
      <alignment horizontal="center"/>
    </xf>
    <xf numFmtId="0" fontId="10" fillId="4" borderId="49" xfId="4" applyFont="1" applyBorder="1" applyAlignment="1">
      <alignment horizontal="center"/>
    </xf>
    <xf numFmtId="0" fontId="10" fillId="4" borderId="50" xfId="4" applyFont="1" applyBorder="1" applyAlignment="1">
      <alignment horizontal="center"/>
    </xf>
    <xf numFmtId="0" fontId="10" fillId="4" borderId="56" xfId="4" applyFont="1" applyBorder="1" applyAlignment="1">
      <alignment horizontal="center"/>
    </xf>
    <xf numFmtId="0" fontId="9" fillId="2" borderId="49" xfId="2" applyFont="1" applyBorder="1" applyAlignment="1">
      <alignment horizontal="center"/>
    </xf>
    <xf numFmtId="0" fontId="9" fillId="2" borderId="50" xfId="2" applyFont="1" applyBorder="1" applyAlignment="1">
      <alignment horizontal="center"/>
    </xf>
    <xf numFmtId="0" fontId="9" fillId="2" borderId="56" xfId="2" applyFont="1" applyBorder="1" applyAlignment="1">
      <alignment horizontal="center"/>
    </xf>
    <xf numFmtId="0" fontId="9" fillId="3" borderId="49" xfId="3" applyFont="1" applyBorder="1" applyAlignment="1">
      <alignment horizontal="center"/>
    </xf>
    <xf numFmtId="0" fontId="9" fillId="3" borderId="50" xfId="3" applyFont="1" applyBorder="1" applyAlignment="1">
      <alignment horizontal="center"/>
    </xf>
    <xf numFmtId="0" fontId="9" fillId="3" borderId="56" xfId="3" applyFont="1" applyBorder="1" applyAlignment="1">
      <alignment horizontal="center"/>
    </xf>
    <xf numFmtId="0" fontId="2" fillId="5" borderId="0" xfId="0" applyFont="1" applyFill="1" applyAlignment="1">
      <alignment horizontal="center"/>
    </xf>
    <xf numFmtId="0" fontId="0" fillId="5" borderId="0" xfId="0" applyFill="1" applyAlignment="1">
      <alignment horizontal="center"/>
    </xf>
    <xf numFmtId="0" fontId="10" fillId="3" borderId="49" xfId="3" applyFont="1" applyBorder="1" applyAlignment="1">
      <alignment horizontal="center" wrapText="1"/>
    </xf>
    <xf numFmtId="0" fontId="10" fillId="0" borderId="50" xfId="0" applyFont="1" applyBorder="1" applyAlignment="1">
      <alignment horizontal="center" wrapText="1"/>
    </xf>
    <xf numFmtId="0" fontId="10" fillId="4" borderId="49" xfId="4" applyFont="1" applyBorder="1" applyAlignment="1">
      <alignment horizontal="center" wrapText="1"/>
    </xf>
    <xf numFmtId="0" fontId="10" fillId="0" borderId="56" xfId="0" applyFont="1" applyBorder="1" applyAlignment="1">
      <alignment horizontal="center" wrapText="1"/>
    </xf>
    <xf numFmtId="0" fontId="10" fillId="2" borderId="49" xfId="2" applyFont="1" applyBorder="1" applyAlignment="1">
      <alignment horizontal="center"/>
    </xf>
    <xf numFmtId="0" fontId="10" fillId="2" borderId="50" xfId="2" applyFont="1" applyBorder="1" applyAlignment="1">
      <alignment horizontal="center"/>
    </xf>
    <xf numFmtId="0" fontId="10" fillId="2" borderId="56" xfId="2" applyFont="1" applyBorder="1" applyAlignment="1">
      <alignment horizontal="center"/>
    </xf>
    <xf numFmtId="0" fontId="0" fillId="0" borderId="0" xfId="0" applyAlignment="1">
      <alignment horizontal="left" wrapText="1"/>
    </xf>
    <xf numFmtId="0" fontId="0" fillId="0" borderId="0" xfId="0" applyAlignment="1">
      <alignment horizontal="left"/>
    </xf>
    <xf numFmtId="0" fontId="0" fillId="5" borderId="0" xfId="0" applyFill="1" applyAlignment="1">
      <alignment horizontal="left" wrapText="1"/>
    </xf>
    <xf numFmtId="0" fontId="0" fillId="0" borderId="3" xfId="0" applyBorder="1" applyAlignment="1" applyProtection="1">
      <alignment horizontal="center"/>
      <protection locked="0"/>
    </xf>
    <xf numFmtId="0" fontId="0" fillId="0" borderId="4" xfId="0" applyBorder="1" applyAlignment="1" applyProtection="1">
      <alignment horizontal="center"/>
      <protection locked="0"/>
    </xf>
    <xf numFmtId="0" fontId="0" fillId="0" borderId="5" xfId="0" applyBorder="1" applyAlignment="1" applyProtection="1">
      <alignment horizontal="center"/>
      <protection locked="0"/>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cellXfs>
  <cellStyles count="5">
    <cellStyle name="Bad" xfId="3" builtinId="27"/>
    <cellStyle name="Good" xfId="2" builtinId="26"/>
    <cellStyle name="Neutral" xfId="4" builtinId="28"/>
    <cellStyle name="Normal" xfId="0" builtinId="0"/>
    <cellStyle name="Percent" xfId="1" builtinId="5"/>
  </cellStyles>
  <dxfs count="0"/>
  <tableStyles count="0" defaultTableStyle="TableStyleMedium2" defaultPivotStyle="PivotStyleLight16"/>
  <colors>
    <mruColors>
      <color rgb="FF66FF33"/>
      <color rgb="FFFF99FF"/>
      <color rgb="FFCC3399"/>
      <color rgb="FFCC0000"/>
      <color rgb="FF0000CC"/>
      <color rgb="FFDEDDF1"/>
      <color rgb="FF660066"/>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PAGO - Short Term sickleave</a:t>
            </a:r>
          </a:p>
        </c:rich>
      </c:tx>
      <c:layout>
        <c:manualLayout>
          <c:xMode val="edge"/>
          <c:yMode val="edge"/>
          <c:x val="0.20181125473398703"/>
          <c:y val="2.89109824078817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'Input from HR monthly'!$C$5</c:f>
              <c:strCache>
                <c:ptCount val="1"/>
                <c:pt idx="0">
                  <c:v>WC ST</c:v>
                </c:pt>
              </c:strCache>
            </c:strRef>
          </c:tx>
          <c:spPr>
            <a:ln w="28575" cap="rnd">
              <a:solidFill>
                <a:schemeClr val="accent1"/>
              </a:solidFill>
              <a:round/>
            </a:ln>
            <a:effectLst/>
          </c:spPr>
          <c:marker>
            <c:symbol val="none"/>
          </c:marker>
          <c:cat>
            <c:strRef>
              <c:f>'Input from HR monthly'!$B$54:$B$70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monthly'!$C$54:$C$70</c:f>
              <c:numCache>
                <c:formatCode>0.0%</c:formatCode>
                <c:ptCount val="17"/>
                <c:pt idx="0">
                  <c:v>5.0000000000000001E-3</c:v>
                </c:pt>
                <c:pt idx="1">
                  <c:v>3.0000000000000001E-3</c:v>
                </c:pt>
                <c:pt idx="2">
                  <c:v>1.7999999999999999E-2</c:v>
                </c:pt>
                <c:pt idx="3">
                  <c:v>1.4E-2</c:v>
                </c:pt>
                <c:pt idx="4">
                  <c:v>3.0000000000000001E-3</c:v>
                </c:pt>
                <c:pt idx="5">
                  <c:v>0.01</c:v>
                </c:pt>
                <c:pt idx="6">
                  <c:v>1.7999999999999999E-2</c:v>
                </c:pt>
                <c:pt idx="7">
                  <c:v>1.4999999999999999E-2</c:v>
                </c:pt>
                <c:pt idx="8">
                  <c:v>8.9999999999999993E-3</c:v>
                </c:pt>
                <c:pt idx="9">
                  <c:v>1.0999999999999999E-2</c:v>
                </c:pt>
                <c:pt idx="10">
                  <c:v>8.0000000000000002E-3</c:v>
                </c:pt>
                <c:pt idx="11">
                  <c:v>1.4E-2</c:v>
                </c:pt>
                <c:pt idx="12">
                  <c:v>1.0999999999999999E-2</c:v>
                </c:pt>
                <c:pt idx="13">
                  <c:v>3.1E-2</c:v>
                </c:pt>
                <c:pt idx="14">
                  <c:v>1.2999999999999999E-2</c:v>
                </c:pt>
                <c:pt idx="15">
                  <c:v>2.1999999999999999E-2</c:v>
                </c:pt>
              </c:numCache>
            </c:numRef>
          </c:val>
          <c:smooth val="0"/>
          <c:extLst>
            <c:ext xmlns:c16="http://schemas.microsoft.com/office/drawing/2014/chart" uri="{C3380CC4-5D6E-409C-BE32-E72D297353CC}">
              <c16:uniqueId val="{00000000-2655-4DD0-BCCD-69EDD2CFE183}"/>
            </c:ext>
          </c:extLst>
        </c:ser>
        <c:ser>
          <c:idx val="1"/>
          <c:order val="1"/>
          <c:tx>
            <c:strRef>
              <c:f>'Input from HR monthly'!$D$5</c:f>
              <c:strCache>
                <c:ptCount val="1"/>
                <c:pt idx="0">
                  <c:v>BC ST</c:v>
                </c:pt>
              </c:strCache>
            </c:strRef>
          </c:tx>
          <c:spPr>
            <a:ln w="28575" cap="rnd">
              <a:solidFill>
                <a:schemeClr val="accent2"/>
              </a:solidFill>
              <a:round/>
            </a:ln>
            <a:effectLst/>
          </c:spPr>
          <c:marker>
            <c:symbol val="none"/>
          </c:marker>
          <c:cat>
            <c:strRef>
              <c:f>'Input from HR monthly'!$B$54:$B$70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monthly'!$D$54:$D$70</c:f>
              <c:numCache>
                <c:formatCode>0.0%</c:formatCode>
                <c:ptCount val="17"/>
                <c:pt idx="0">
                  <c:v>5.5E-2</c:v>
                </c:pt>
                <c:pt idx="1">
                  <c:v>3.2000000000000001E-2</c:v>
                </c:pt>
                <c:pt idx="2">
                  <c:v>4.2999999999999997E-2</c:v>
                </c:pt>
                <c:pt idx="3">
                  <c:v>0.03</c:v>
                </c:pt>
                <c:pt idx="4">
                  <c:v>3.5000000000000003E-2</c:v>
                </c:pt>
                <c:pt idx="5">
                  <c:v>0.01</c:v>
                </c:pt>
                <c:pt idx="6">
                  <c:v>3.5999999999999997E-2</c:v>
                </c:pt>
                <c:pt idx="7">
                  <c:v>4.2999999999999997E-2</c:v>
                </c:pt>
                <c:pt idx="8">
                  <c:v>4.8000000000000001E-2</c:v>
                </c:pt>
                <c:pt idx="9">
                  <c:v>3.7999999999999999E-2</c:v>
                </c:pt>
                <c:pt idx="10">
                  <c:v>4.9000000000000002E-2</c:v>
                </c:pt>
                <c:pt idx="11">
                  <c:v>5.5E-2</c:v>
                </c:pt>
                <c:pt idx="12">
                  <c:v>5.6000000000000001E-2</c:v>
                </c:pt>
                <c:pt idx="13">
                  <c:v>5.5E-2</c:v>
                </c:pt>
                <c:pt idx="14">
                  <c:v>5.2999999999999999E-2</c:v>
                </c:pt>
                <c:pt idx="15">
                  <c:v>4.1000000000000002E-2</c:v>
                </c:pt>
              </c:numCache>
            </c:numRef>
          </c:val>
          <c:smooth val="0"/>
          <c:extLst>
            <c:ext xmlns:c16="http://schemas.microsoft.com/office/drawing/2014/chart" uri="{C3380CC4-5D6E-409C-BE32-E72D297353CC}">
              <c16:uniqueId val="{00000001-2655-4DD0-BCCD-69EDD2CFE183}"/>
            </c:ext>
          </c:extLst>
        </c:ser>
        <c:ser>
          <c:idx val="2"/>
          <c:order val="2"/>
          <c:tx>
            <c:strRef>
              <c:f>'Input from HR monthly'!$E$5</c:f>
              <c:strCache>
                <c:ptCount val="1"/>
                <c:pt idx="0">
                  <c:v>ST Target</c:v>
                </c:pt>
              </c:strCache>
            </c:strRef>
          </c:tx>
          <c:spPr>
            <a:ln w="28575" cap="rnd">
              <a:solidFill>
                <a:schemeClr val="accent3"/>
              </a:solidFill>
              <a:round/>
            </a:ln>
            <a:effectLst/>
          </c:spPr>
          <c:marker>
            <c:symbol val="none"/>
          </c:marker>
          <c:cat>
            <c:strRef>
              <c:f>'Input from HR monthly'!$B$54:$B$70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monthly'!$E$54:$E$70</c:f>
              <c:numCache>
                <c:formatCode>0.0%</c:formatCode>
                <c:ptCount val="17"/>
                <c:pt idx="0">
                  <c:v>0.04</c:v>
                </c:pt>
                <c:pt idx="1">
                  <c:v>0.04</c:v>
                </c:pt>
                <c:pt idx="2">
                  <c:v>0.04</c:v>
                </c:pt>
                <c:pt idx="3">
                  <c:v>0.04</c:v>
                </c:pt>
                <c:pt idx="4">
                  <c:v>0.04</c:v>
                </c:pt>
                <c:pt idx="5">
                  <c:v>0.04</c:v>
                </c:pt>
                <c:pt idx="6">
                  <c:v>0.04</c:v>
                </c:pt>
                <c:pt idx="7">
                  <c:v>0.04</c:v>
                </c:pt>
                <c:pt idx="8">
                  <c:v>0.04</c:v>
                </c:pt>
                <c:pt idx="9">
                  <c:v>0.04</c:v>
                </c:pt>
                <c:pt idx="10">
                  <c:v>0.04</c:v>
                </c:pt>
                <c:pt idx="11">
                  <c:v>0.04</c:v>
                </c:pt>
                <c:pt idx="12">
                  <c:v>0.04</c:v>
                </c:pt>
                <c:pt idx="13">
                  <c:v>0.04</c:v>
                </c:pt>
                <c:pt idx="14">
                  <c:v>0.04</c:v>
                </c:pt>
                <c:pt idx="15">
                  <c:v>0.04</c:v>
                </c:pt>
                <c:pt idx="16">
                  <c:v>0.04</c:v>
                </c:pt>
              </c:numCache>
            </c:numRef>
          </c:val>
          <c:smooth val="0"/>
          <c:extLst>
            <c:ext xmlns:c16="http://schemas.microsoft.com/office/drawing/2014/chart" uri="{C3380CC4-5D6E-409C-BE32-E72D297353CC}">
              <c16:uniqueId val="{00000002-2655-4DD0-BCCD-69EDD2CFE183}"/>
            </c:ext>
          </c:extLst>
        </c:ser>
        <c:dLbls>
          <c:showLegendKey val="0"/>
          <c:showVal val="0"/>
          <c:showCatName val="0"/>
          <c:showSerName val="0"/>
          <c:showPercent val="0"/>
          <c:showBubbleSize val="0"/>
        </c:dLbls>
        <c:smooth val="0"/>
        <c:axId val="1090116480"/>
        <c:axId val="1090114560"/>
      </c:lineChart>
      <c:catAx>
        <c:axId val="109011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90114560"/>
        <c:crosses val="autoZero"/>
        <c:auto val="1"/>
        <c:lblAlgn val="ctr"/>
        <c:lblOffset val="100"/>
        <c:noMultiLvlLbl val="0"/>
      </c:catAx>
      <c:valAx>
        <c:axId val="1090114560"/>
        <c:scaling>
          <c:orientation val="minMax"/>
          <c:max val="9.0000000000000024E-2"/>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090116480"/>
        <c:crosses val="autoZero"/>
        <c:crossBetween val="between"/>
        <c:majorUnit val="1.0000000000000002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PACA - Long</a:t>
            </a:r>
            <a:r>
              <a:rPr lang="sv-SE" baseline="0"/>
              <a:t> Term sickleave</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3"/>
          <c:order val="0"/>
          <c:tx>
            <c:strRef>
              <c:f>'Input from HR monthly'!$AM$5</c:f>
              <c:strCache>
                <c:ptCount val="1"/>
                <c:pt idx="0">
                  <c:v>LT Target</c:v>
                </c:pt>
              </c:strCache>
            </c:strRef>
          </c:tx>
          <c:spPr>
            <a:ln w="28575" cap="rnd">
              <a:solidFill>
                <a:schemeClr val="accent3"/>
              </a:solidFill>
              <a:round/>
            </a:ln>
            <a:effectLst/>
          </c:spPr>
          <c:marker>
            <c:symbol val="none"/>
          </c:marker>
          <c:cat>
            <c:strRef>
              <c:f>'Input from HR monthly'!$AI$6:$AI$70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monthly'!$AM$6:$AM$70</c:f>
              <c:numCache>
                <c:formatCode>0.0%</c:formatCode>
                <c:ptCount val="17"/>
                <c:pt idx="0">
                  <c:v>0.04</c:v>
                </c:pt>
                <c:pt idx="1">
                  <c:v>0.04</c:v>
                </c:pt>
                <c:pt idx="2">
                  <c:v>0.04</c:v>
                </c:pt>
                <c:pt idx="3">
                  <c:v>0.04</c:v>
                </c:pt>
                <c:pt idx="4">
                  <c:v>0.04</c:v>
                </c:pt>
                <c:pt idx="5">
                  <c:v>0.04</c:v>
                </c:pt>
                <c:pt idx="6">
                  <c:v>0.04</c:v>
                </c:pt>
                <c:pt idx="7">
                  <c:v>0.04</c:v>
                </c:pt>
                <c:pt idx="8">
                  <c:v>0.04</c:v>
                </c:pt>
                <c:pt idx="9">
                  <c:v>0.04</c:v>
                </c:pt>
                <c:pt idx="10">
                  <c:v>0.04</c:v>
                </c:pt>
                <c:pt idx="11">
                  <c:v>0.04</c:v>
                </c:pt>
                <c:pt idx="12">
                  <c:v>0.04</c:v>
                </c:pt>
                <c:pt idx="13">
                  <c:v>0.04</c:v>
                </c:pt>
                <c:pt idx="14">
                  <c:v>0.04</c:v>
                </c:pt>
                <c:pt idx="15">
                  <c:v>0.04</c:v>
                </c:pt>
                <c:pt idx="16">
                  <c:v>0.04</c:v>
                </c:pt>
              </c:numCache>
            </c:numRef>
          </c:val>
          <c:smooth val="0"/>
          <c:extLst>
            <c:ext xmlns:c16="http://schemas.microsoft.com/office/drawing/2014/chart" uri="{C3380CC4-5D6E-409C-BE32-E72D297353CC}">
              <c16:uniqueId val="{00000003-BF7A-465D-A332-6F2ADCD97888}"/>
            </c:ext>
          </c:extLst>
        </c:ser>
        <c:ser>
          <c:idx val="4"/>
          <c:order val="1"/>
          <c:tx>
            <c:strRef>
              <c:f>'Input from HR monthly'!$AN$5</c:f>
              <c:strCache>
                <c:ptCount val="1"/>
                <c:pt idx="0">
                  <c:v>WC LT</c:v>
                </c:pt>
              </c:strCache>
            </c:strRef>
          </c:tx>
          <c:spPr>
            <a:ln w="28575" cap="rnd">
              <a:solidFill>
                <a:schemeClr val="accent1"/>
              </a:solidFill>
              <a:round/>
            </a:ln>
            <a:effectLst/>
          </c:spPr>
          <c:marker>
            <c:symbol val="none"/>
          </c:marker>
          <c:cat>
            <c:strRef>
              <c:f>'Input from HR monthly'!$AI$6:$AI$70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monthly'!$AN$6:$AN$70</c:f>
              <c:numCache>
                <c:formatCode>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formatCode="0.00%">
                  <c:v>0</c:v>
                </c:pt>
                <c:pt idx="15" formatCode="0.00%">
                  <c:v>0</c:v>
                </c:pt>
              </c:numCache>
            </c:numRef>
          </c:val>
          <c:smooth val="0"/>
          <c:extLst>
            <c:ext xmlns:c16="http://schemas.microsoft.com/office/drawing/2014/chart" uri="{C3380CC4-5D6E-409C-BE32-E72D297353CC}">
              <c16:uniqueId val="{00000004-BF7A-465D-A332-6F2ADCD97888}"/>
            </c:ext>
          </c:extLst>
        </c:ser>
        <c:ser>
          <c:idx val="5"/>
          <c:order val="2"/>
          <c:tx>
            <c:strRef>
              <c:f>'Input from HR monthly'!$AO$5</c:f>
              <c:strCache>
                <c:ptCount val="1"/>
                <c:pt idx="0">
                  <c:v>BC LT</c:v>
                </c:pt>
              </c:strCache>
            </c:strRef>
          </c:tx>
          <c:spPr>
            <a:ln w="28575" cap="rnd">
              <a:solidFill>
                <a:schemeClr val="accent2"/>
              </a:solidFill>
              <a:round/>
            </a:ln>
            <a:effectLst/>
          </c:spPr>
          <c:marker>
            <c:symbol val="none"/>
          </c:marker>
          <c:cat>
            <c:strRef>
              <c:f>'Input from HR monthly'!$AI$6:$AI$70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monthly'!$AO$6:$AO$70</c:f>
              <c:numCache>
                <c:formatCode>0.00%</c:formatCode>
                <c:ptCount val="17"/>
                <c:pt idx="0">
                  <c:v>7.7100000000000002E-2</c:v>
                </c:pt>
                <c:pt idx="1">
                  <c:v>8.3000000000000004E-2</c:v>
                </c:pt>
                <c:pt idx="2">
                  <c:v>6.5000000000000002E-2</c:v>
                </c:pt>
                <c:pt idx="3" formatCode="0.0%">
                  <c:v>0.11</c:v>
                </c:pt>
                <c:pt idx="4" formatCode="0.0%">
                  <c:v>0.107</c:v>
                </c:pt>
                <c:pt idx="5" formatCode="0.0%">
                  <c:v>0.111</c:v>
                </c:pt>
                <c:pt idx="6" formatCode="0.0%">
                  <c:v>8.5000000000000006E-2</c:v>
                </c:pt>
                <c:pt idx="7" formatCode="0.0%">
                  <c:v>0.123</c:v>
                </c:pt>
                <c:pt idx="8" formatCode="0.0%">
                  <c:v>0.104</c:v>
                </c:pt>
                <c:pt idx="9" formatCode="0.0%">
                  <c:v>7.9000000000000001E-2</c:v>
                </c:pt>
                <c:pt idx="10" formatCode="0.0%">
                  <c:v>0.122</c:v>
                </c:pt>
                <c:pt idx="11" formatCode="0.0%">
                  <c:v>6.8000000000000005E-2</c:v>
                </c:pt>
                <c:pt idx="12">
                  <c:v>4.8500000000000001E-2</c:v>
                </c:pt>
                <c:pt idx="13" formatCode="0.0%">
                  <c:v>5.1999999999999998E-2</c:v>
                </c:pt>
                <c:pt idx="14">
                  <c:v>6.9800000000000001E-2</c:v>
                </c:pt>
                <c:pt idx="15">
                  <c:v>6.83E-2</c:v>
                </c:pt>
              </c:numCache>
            </c:numRef>
          </c:val>
          <c:smooth val="0"/>
          <c:extLst>
            <c:ext xmlns:c16="http://schemas.microsoft.com/office/drawing/2014/chart" uri="{C3380CC4-5D6E-409C-BE32-E72D297353CC}">
              <c16:uniqueId val="{00000005-BF7A-465D-A332-6F2ADCD97888}"/>
            </c:ext>
          </c:extLst>
        </c:ser>
        <c:dLbls>
          <c:showLegendKey val="0"/>
          <c:showVal val="0"/>
          <c:showCatName val="0"/>
          <c:showSerName val="0"/>
          <c:showPercent val="0"/>
          <c:showBubbleSize val="0"/>
        </c:dLbls>
        <c:smooth val="0"/>
        <c:axId val="98362864"/>
        <c:axId val="98351824"/>
      </c:lineChart>
      <c:catAx>
        <c:axId val="9836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98351824"/>
        <c:crosses val="autoZero"/>
        <c:auto val="1"/>
        <c:lblAlgn val="ctr"/>
        <c:lblOffset val="100"/>
        <c:noMultiLvlLbl val="0"/>
      </c:catAx>
      <c:valAx>
        <c:axId val="98351824"/>
        <c:scaling>
          <c:orientation val="minMax"/>
          <c:max val="0.1200000000000000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98362864"/>
        <c:crosses val="autoZero"/>
        <c:crossBetween val="between"/>
        <c:majorUnit val="1.0000000000000002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PASI - Short Term sickleave</a:t>
            </a:r>
          </a:p>
        </c:rich>
      </c:tx>
      <c:layout>
        <c:manualLayout>
          <c:xMode val="edge"/>
          <c:yMode val="edge"/>
          <c:x val="0.22396491228070176"/>
          <c:y val="3.5476706015780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'Input from HR monthly'!$J$5</c:f>
              <c:strCache>
                <c:ptCount val="1"/>
                <c:pt idx="0">
                  <c:v>WC ST</c:v>
                </c:pt>
              </c:strCache>
            </c:strRef>
          </c:tx>
          <c:spPr>
            <a:ln w="28575" cap="rnd">
              <a:solidFill>
                <a:schemeClr val="accent1"/>
              </a:solidFill>
              <a:round/>
            </a:ln>
            <a:effectLst/>
          </c:spPr>
          <c:marker>
            <c:symbol val="none"/>
          </c:marker>
          <c:cat>
            <c:strRef>
              <c:f>'Input from HR monthly'!$I$6:$I$70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monthly'!$J$6:$J$70</c:f>
              <c:numCache>
                <c:formatCode>0.0%</c:formatCode>
                <c:ptCount val="17"/>
                <c:pt idx="0">
                  <c:v>6.0000000000000001E-3</c:v>
                </c:pt>
                <c:pt idx="1">
                  <c:v>1.7999999999999999E-2</c:v>
                </c:pt>
                <c:pt idx="2">
                  <c:v>7.0000000000000001E-3</c:v>
                </c:pt>
                <c:pt idx="3">
                  <c:v>0.01</c:v>
                </c:pt>
                <c:pt idx="4">
                  <c:v>2E-3</c:v>
                </c:pt>
                <c:pt idx="5">
                  <c:v>2E-3</c:v>
                </c:pt>
                <c:pt idx="6">
                  <c:v>2.6501766784452299E-3</c:v>
                </c:pt>
                <c:pt idx="7">
                  <c:v>1.9024341486359363E-2</c:v>
                </c:pt>
                <c:pt idx="8">
                  <c:v>1.3625213310580205E-2</c:v>
                </c:pt>
                <c:pt idx="9">
                  <c:v>1.2999999999999999E-2</c:v>
                </c:pt>
                <c:pt idx="10">
                  <c:v>1.2E-2</c:v>
                </c:pt>
                <c:pt idx="11">
                  <c:v>0.03</c:v>
                </c:pt>
                <c:pt idx="12">
                  <c:v>1.4999999999999999E-2</c:v>
                </c:pt>
                <c:pt idx="13">
                  <c:v>2E-3</c:v>
                </c:pt>
                <c:pt idx="14">
                  <c:v>3.0000000000000001E-3</c:v>
                </c:pt>
                <c:pt idx="15">
                  <c:v>8.0000000000000002E-3</c:v>
                </c:pt>
              </c:numCache>
            </c:numRef>
          </c:val>
          <c:smooth val="0"/>
          <c:extLst>
            <c:ext xmlns:c16="http://schemas.microsoft.com/office/drawing/2014/chart" uri="{C3380CC4-5D6E-409C-BE32-E72D297353CC}">
              <c16:uniqueId val="{00000000-C73B-48E0-9885-5ABFE166D88A}"/>
            </c:ext>
          </c:extLst>
        </c:ser>
        <c:ser>
          <c:idx val="1"/>
          <c:order val="1"/>
          <c:tx>
            <c:strRef>
              <c:f>'Input from HR monthly'!$K$5</c:f>
              <c:strCache>
                <c:ptCount val="1"/>
                <c:pt idx="0">
                  <c:v>BC ST</c:v>
                </c:pt>
              </c:strCache>
            </c:strRef>
          </c:tx>
          <c:spPr>
            <a:ln w="28575" cap="rnd">
              <a:solidFill>
                <a:schemeClr val="accent2"/>
              </a:solidFill>
              <a:round/>
            </a:ln>
            <a:effectLst/>
          </c:spPr>
          <c:marker>
            <c:symbol val="none"/>
          </c:marker>
          <c:cat>
            <c:strRef>
              <c:f>'Input from HR monthly'!$I$6:$I$70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monthly'!$K$6:$K$70</c:f>
              <c:numCache>
                <c:formatCode>0.0%</c:formatCode>
                <c:ptCount val="17"/>
                <c:pt idx="0">
                  <c:v>0.03</c:v>
                </c:pt>
                <c:pt idx="1">
                  <c:v>2.5000000000000001E-2</c:v>
                </c:pt>
                <c:pt idx="2">
                  <c:v>3.2000000000000001E-2</c:v>
                </c:pt>
                <c:pt idx="3">
                  <c:v>2.4E-2</c:v>
                </c:pt>
                <c:pt idx="4">
                  <c:v>3.6999999999999998E-2</c:v>
                </c:pt>
                <c:pt idx="5">
                  <c:v>1.4999999999999999E-2</c:v>
                </c:pt>
                <c:pt idx="6">
                  <c:v>2.3247649060990964E-2</c:v>
                </c:pt>
                <c:pt idx="7">
                  <c:v>3.9976905520529703E-2</c:v>
                </c:pt>
                <c:pt idx="8">
                  <c:v>3.3244235082033974E-2</c:v>
                </c:pt>
                <c:pt idx="9">
                  <c:v>2.3E-2</c:v>
                </c:pt>
                <c:pt idx="10">
                  <c:v>3.2000000000000001E-2</c:v>
                </c:pt>
                <c:pt idx="11">
                  <c:v>6.4000000000000001E-2</c:v>
                </c:pt>
                <c:pt idx="12">
                  <c:v>4.4999999999999998E-2</c:v>
                </c:pt>
                <c:pt idx="13">
                  <c:v>4.3999999999999997E-2</c:v>
                </c:pt>
                <c:pt idx="14">
                  <c:v>2.5999999999999999E-2</c:v>
                </c:pt>
                <c:pt idx="15">
                  <c:v>2.8000000000000001E-2</c:v>
                </c:pt>
              </c:numCache>
            </c:numRef>
          </c:val>
          <c:smooth val="0"/>
          <c:extLst>
            <c:ext xmlns:c16="http://schemas.microsoft.com/office/drawing/2014/chart" uri="{C3380CC4-5D6E-409C-BE32-E72D297353CC}">
              <c16:uniqueId val="{00000001-C73B-48E0-9885-5ABFE166D88A}"/>
            </c:ext>
          </c:extLst>
        </c:ser>
        <c:ser>
          <c:idx val="2"/>
          <c:order val="2"/>
          <c:tx>
            <c:strRef>
              <c:f>'Input from HR monthly'!$L$5</c:f>
              <c:strCache>
                <c:ptCount val="1"/>
                <c:pt idx="0">
                  <c:v>ST Target</c:v>
                </c:pt>
              </c:strCache>
            </c:strRef>
          </c:tx>
          <c:spPr>
            <a:ln w="28575" cap="rnd">
              <a:solidFill>
                <a:schemeClr val="accent3"/>
              </a:solidFill>
              <a:round/>
            </a:ln>
            <a:effectLst/>
          </c:spPr>
          <c:marker>
            <c:symbol val="none"/>
          </c:marker>
          <c:cat>
            <c:strRef>
              <c:f>'Input from HR monthly'!$I$6:$I$70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monthly'!$L$6:$L$70</c:f>
              <c:numCache>
                <c:formatCode>0.0%</c:formatCode>
                <c:ptCount val="17"/>
                <c:pt idx="0">
                  <c:v>0.04</c:v>
                </c:pt>
                <c:pt idx="1">
                  <c:v>0.04</c:v>
                </c:pt>
                <c:pt idx="2">
                  <c:v>0.04</c:v>
                </c:pt>
                <c:pt idx="3">
                  <c:v>0.04</c:v>
                </c:pt>
                <c:pt idx="4">
                  <c:v>0.04</c:v>
                </c:pt>
                <c:pt idx="5">
                  <c:v>0.04</c:v>
                </c:pt>
                <c:pt idx="6">
                  <c:v>0.04</c:v>
                </c:pt>
                <c:pt idx="7">
                  <c:v>0.04</c:v>
                </c:pt>
                <c:pt idx="8">
                  <c:v>0.04</c:v>
                </c:pt>
                <c:pt idx="9">
                  <c:v>0.04</c:v>
                </c:pt>
                <c:pt idx="10">
                  <c:v>0.04</c:v>
                </c:pt>
                <c:pt idx="11">
                  <c:v>0.04</c:v>
                </c:pt>
                <c:pt idx="12">
                  <c:v>0.04</c:v>
                </c:pt>
                <c:pt idx="13">
                  <c:v>0.04</c:v>
                </c:pt>
                <c:pt idx="14">
                  <c:v>0.04</c:v>
                </c:pt>
                <c:pt idx="15">
                  <c:v>0.04</c:v>
                </c:pt>
                <c:pt idx="16">
                  <c:v>0.04</c:v>
                </c:pt>
              </c:numCache>
            </c:numRef>
          </c:val>
          <c:smooth val="0"/>
          <c:extLst>
            <c:ext xmlns:c16="http://schemas.microsoft.com/office/drawing/2014/chart" uri="{C3380CC4-5D6E-409C-BE32-E72D297353CC}">
              <c16:uniqueId val="{00000002-C73B-48E0-9885-5ABFE166D88A}"/>
            </c:ext>
          </c:extLst>
        </c:ser>
        <c:dLbls>
          <c:showLegendKey val="0"/>
          <c:showVal val="0"/>
          <c:showCatName val="0"/>
          <c:showSerName val="0"/>
          <c:showPercent val="0"/>
          <c:showBubbleSize val="0"/>
        </c:dLbls>
        <c:smooth val="0"/>
        <c:axId val="1803894304"/>
        <c:axId val="1803886624"/>
      </c:lineChart>
      <c:catAx>
        <c:axId val="180389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803886624"/>
        <c:crosses val="autoZero"/>
        <c:auto val="1"/>
        <c:lblAlgn val="ctr"/>
        <c:lblOffset val="100"/>
        <c:noMultiLvlLbl val="0"/>
      </c:catAx>
      <c:valAx>
        <c:axId val="1803886624"/>
        <c:scaling>
          <c:orientation val="minMax"/>
          <c:max val="9.0000000000000024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803894304"/>
        <c:crosses val="autoZero"/>
        <c:crossBetween val="between"/>
        <c:majorUnit val="1.0000000000000002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PARA - Long Term sickleave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3"/>
          <c:order val="0"/>
          <c:tx>
            <c:strRef>
              <c:f>'Input from HR monthly'!$T$5</c:f>
              <c:strCache>
                <c:ptCount val="1"/>
                <c:pt idx="0">
                  <c:v>LT Target</c:v>
                </c:pt>
              </c:strCache>
            </c:strRef>
          </c:tx>
          <c:spPr>
            <a:ln w="28575" cap="rnd">
              <a:solidFill>
                <a:schemeClr val="accent3"/>
              </a:solidFill>
              <a:round/>
            </a:ln>
            <a:effectLst/>
          </c:spPr>
          <c:marker>
            <c:symbol val="none"/>
          </c:marker>
          <c:cat>
            <c:strRef>
              <c:f>'Input from HR monthly'!$P$6:$P$70</c:f>
              <c:strCache>
                <c:ptCount val="17"/>
                <c:pt idx="0">
                  <c:v>Feb-24</c:v>
                </c:pt>
                <c:pt idx="1">
                  <c:v>Mar-25</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monthly'!$T$6:$T$70</c:f>
              <c:numCache>
                <c:formatCode>0.0%</c:formatCode>
                <c:ptCount val="17"/>
                <c:pt idx="0">
                  <c:v>0.04</c:v>
                </c:pt>
                <c:pt idx="1">
                  <c:v>0.04</c:v>
                </c:pt>
                <c:pt idx="2">
                  <c:v>0.04</c:v>
                </c:pt>
                <c:pt idx="3">
                  <c:v>0.04</c:v>
                </c:pt>
                <c:pt idx="4">
                  <c:v>0.04</c:v>
                </c:pt>
                <c:pt idx="5">
                  <c:v>0.04</c:v>
                </c:pt>
                <c:pt idx="6">
                  <c:v>0.04</c:v>
                </c:pt>
                <c:pt idx="7">
                  <c:v>0.04</c:v>
                </c:pt>
                <c:pt idx="8">
                  <c:v>0.04</c:v>
                </c:pt>
                <c:pt idx="9">
                  <c:v>0.04</c:v>
                </c:pt>
                <c:pt idx="10">
                  <c:v>0.04</c:v>
                </c:pt>
                <c:pt idx="11">
                  <c:v>0.04</c:v>
                </c:pt>
                <c:pt idx="12">
                  <c:v>0.04</c:v>
                </c:pt>
                <c:pt idx="13">
                  <c:v>0.04</c:v>
                </c:pt>
                <c:pt idx="14">
                  <c:v>0.04</c:v>
                </c:pt>
                <c:pt idx="15">
                  <c:v>0.04</c:v>
                </c:pt>
                <c:pt idx="16">
                  <c:v>0.04</c:v>
                </c:pt>
              </c:numCache>
            </c:numRef>
          </c:val>
          <c:smooth val="0"/>
          <c:extLst>
            <c:ext xmlns:c16="http://schemas.microsoft.com/office/drawing/2014/chart" uri="{C3380CC4-5D6E-409C-BE32-E72D297353CC}">
              <c16:uniqueId val="{00000003-EEB0-4454-A814-35703EBC3D45}"/>
            </c:ext>
          </c:extLst>
        </c:ser>
        <c:ser>
          <c:idx val="0"/>
          <c:order val="1"/>
          <c:tx>
            <c:strRef>
              <c:f>'Input from HR monthly'!$U$5</c:f>
              <c:strCache>
                <c:ptCount val="1"/>
                <c:pt idx="0">
                  <c:v>WC LT</c:v>
                </c:pt>
              </c:strCache>
            </c:strRef>
          </c:tx>
          <c:spPr>
            <a:ln w="28575" cap="rnd">
              <a:solidFill>
                <a:schemeClr val="accent1"/>
              </a:solidFill>
              <a:round/>
            </a:ln>
            <a:effectLst/>
          </c:spPr>
          <c:marker>
            <c:symbol val="none"/>
          </c:marker>
          <c:cat>
            <c:strRef>
              <c:f>'Input from HR monthly'!$P$6:$P$70</c:f>
              <c:strCache>
                <c:ptCount val="17"/>
                <c:pt idx="0">
                  <c:v>Feb-24</c:v>
                </c:pt>
                <c:pt idx="1">
                  <c:v>Mar-25</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monthly'!$U$6:$U$70</c:f>
              <c:numCache>
                <c:formatCode>0.0%</c:formatCode>
                <c:ptCount val="17"/>
                <c:pt idx="0">
                  <c:v>6.6000000000000003E-2</c:v>
                </c:pt>
                <c:pt idx="1">
                  <c:v>4.8000000000000001E-2</c:v>
                </c:pt>
                <c:pt idx="2">
                  <c:v>5.0999999999999997E-2</c:v>
                </c:pt>
                <c:pt idx="3">
                  <c:v>3.5999999999999997E-2</c:v>
                </c:pt>
                <c:pt idx="4">
                  <c:v>1.6E-2</c:v>
                </c:pt>
                <c:pt idx="5">
                  <c:v>2E-3</c:v>
                </c:pt>
                <c:pt idx="6">
                  <c:v>0</c:v>
                </c:pt>
                <c:pt idx="7">
                  <c:v>1.7000000000000001E-2</c:v>
                </c:pt>
                <c:pt idx="8">
                  <c:v>4.3999999999999997E-2</c:v>
                </c:pt>
                <c:pt idx="9">
                  <c:v>6.0000000000000001E-3</c:v>
                </c:pt>
                <c:pt idx="10">
                  <c:v>6.0000000000000001E-3</c:v>
                </c:pt>
                <c:pt idx="11">
                  <c:v>1.4999999999999999E-2</c:v>
                </c:pt>
                <c:pt idx="12">
                  <c:v>1.7000000000000001E-2</c:v>
                </c:pt>
                <c:pt idx="13">
                  <c:v>1.7999999999999999E-2</c:v>
                </c:pt>
                <c:pt idx="14" formatCode="0.00%">
                  <c:v>1.9E-2</c:v>
                </c:pt>
                <c:pt idx="15" formatCode="0.00%">
                  <c:v>7.0000000000000001E-3</c:v>
                </c:pt>
              </c:numCache>
            </c:numRef>
          </c:val>
          <c:smooth val="0"/>
          <c:extLst>
            <c:ext xmlns:c16="http://schemas.microsoft.com/office/drawing/2014/chart" uri="{C3380CC4-5D6E-409C-BE32-E72D297353CC}">
              <c16:uniqueId val="{0000000A-EEB0-4454-A814-35703EBC3D45}"/>
            </c:ext>
          </c:extLst>
        </c:ser>
        <c:ser>
          <c:idx val="1"/>
          <c:order val="2"/>
          <c:tx>
            <c:strRef>
              <c:f>'Input from HR monthly'!$V$5</c:f>
              <c:strCache>
                <c:ptCount val="1"/>
                <c:pt idx="0">
                  <c:v>BC LT</c:v>
                </c:pt>
              </c:strCache>
            </c:strRef>
          </c:tx>
          <c:spPr>
            <a:ln w="28575" cap="rnd">
              <a:solidFill>
                <a:schemeClr val="accent2"/>
              </a:solidFill>
              <a:round/>
            </a:ln>
            <a:effectLst/>
          </c:spPr>
          <c:marker>
            <c:symbol val="none"/>
          </c:marker>
          <c:cat>
            <c:strRef>
              <c:f>'Input from HR monthly'!$P$6:$P$70</c:f>
              <c:strCache>
                <c:ptCount val="17"/>
                <c:pt idx="0">
                  <c:v>Feb-24</c:v>
                </c:pt>
                <c:pt idx="1">
                  <c:v>Mar-25</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monthly'!$V$6:$V$70</c:f>
              <c:numCache>
                <c:formatCode>0.0%</c:formatCode>
                <c:ptCount val="17"/>
                <c:pt idx="0">
                  <c:v>4.9000000000000002E-2</c:v>
                </c:pt>
                <c:pt idx="1">
                  <c:v>4.5999999999999999E-2</c:v>
                </c:pt>
                <c:pt idx="2">
                  <c:v>5.3999999999999999E-2</c:v>
                </c:pt>
                <c:pt idx="3">
                  <c:v>5.7000000000000002E-2</c:v>
                </c:pt>
                <c:pt idx="4">
                  <c:v>5.3999999999999999E-2</c:v>
                </c:pt>
                <c:pt idx="5">
                  <c:v>3.7999999999999999E-2</c:v>
                </c:pt>
                <c:pt idx="6">
                  <c:v>4.9000000000000002E-2</c:v>
                </c:pt>
                <c:pt idx="7">
                  <c:v>5.3999999999999999E-2</c:v>
                </c:pt>
                <c:pt idx="8">
                  <c:v>5.0999999999999997E-2</c:v>
                </c:pt>
                <c:pt idx="9">
                  <c:v>4.5999999999999999E-2</c:v>
                </c:pt>
                <c:pt idx="10">
                  <c:v>5.5E-2</c:v>
                </c:pt>
                <c:pt idx="11">
                  <c:v>7.2999999999999995E-2</c:v>
                </c:pt>
                <c:pt idx="12">
                  <c:v>4.4999999999999998E-2</c:v>
                </c:pt>
                <c:pt idx="13">
                  <c:v>6.2E-2</c:v>
                </c:pt>
                <c:pt idx="14" formatCode="0.00%">
                  <c:v>4.2000000000000003E-2</c:v>
                </c:pt>
                <c:pt idx="15" formatCode="0.00%">
                  <c:v>5.8999999999999997E-2</c:v>
                </c:pt>
              </c:numCache>
            </c:numRef>
          </c:val>
          <c:smooth val="0"/>
          <c:extLst>
            <c:ext xmlns:c16="http://schemas.microsoft.com/office/drawing/2014/chart" uri="{C3380CC4-5D6E-409C-BE32-E72D297353CC}">
              <c16:uniqueId val="{0000000B-EEB0-4454-A814-35703EBC3D45}"/>
            </c:ext>
          </c:extLst>
        </c:ser>
        <c:dLbls>
          <c:showLegendKey val="0"/>
          <c:showVal val="0"/>
          <c:showCatName val="0"/>
          <c:showSerName val="0"/>
          <c:showPercent val="0"/>
          <c:showBubbleSize val="0"/>
        </c:dLbls>
        <c:smooth val="0"/>
        <c:axId val="148850176"/>
        <c:axId val="148851616"/>
      </c:lineChart>
      <c:catAx>
        <c:axId val="14885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48851616"/>
        <c:crosses val="autoZero"/>
        <c:auto val="1"/>
        <c:lblAlgn val="ctr"/>
        <c:lblOffset val="100"/>
        <c:noMultiLvlLbl val="0"/>
      </c:catAx>
      <c:valAx>
        <c:axId val="148851616"/>
        <c:scaling>
          <c:orientation val="minMax"/>
          <c:max val="0.1200000000000000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48850176"/>
        <c:crosses val="autoZero"/>
        <c:crossBetween val="between"/>
        <c:majorUnit val="1.0000000000000002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sz="1400" b="0" i="0" u="none" strike="noStrike" kern="1200" spc="0" baseline="0">
                <a:solidFill>
                  <a:sysClr val="windowText" lastClr="000000">
                    <a:lumMod val="65000"/>
                    <a:lumOff val="35000"/>
                  </a:sysClr>
                </a:solidFill>
              </a:rPr>
              <a:t>PAIN - Short Term sickleave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'Input from HR monthly'!$AE$5</c:f>
              <c:strCache>
                <c:ptCount val="1"/>
                <c:pt idx="0">
                  <c:v>WC ST</c:v>
                </c:pt>
              </c:strCache>
            </c:strRef>
          </c:tx>
          <c:spPr>
            <a:ln w="28575" cap="rnd">
              <a:solidFill>
                <a:schemeClr val="accent1"/>
              </a:solidFill>
              <a:round/>
            </a:ln>
            <a:effectLst/>
          </c:spPr>
          <c:marker>
            <c:symbol val="none"/>
          </c:marker>
          <c:cat>
            <c:strRef>
              <c:f>'Input from HR monthly'!$AD$6:$AD$70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monthly'!$AE$6:$AE$70</c:f>
              <c:numCache>
                <c:formatCode>0.0%</c:formatCode>
                <c:ptCount val="17"/>
                <c:pt idx="0">
                  <c:v>0.01</c:v>
                </c:pt>
                <c:pt idx="1">
                  <c:v>1.2E-2</c:v>
                </c:pt>
                <c:pt idx="2">
                  <c:v>7.3000000000000001E-3</c:v>
                </c:pt>
                <c:pt idx="3">
                  <c:v>2.01E-2</c:v>
                </c:pt>
                <c:pt idx="4">
                  <c:v>3.2000000000000002E-3</c:v>
                </c:pt>
                <c:pt idx="5">
                  <c:v>2.5000000000000001E-3</c:v>
                </c:pt>
                <c:pt idx="6">
                  <c:v>0</c:v>
                </c:pt>
                <c:pt idx="7">
                  <c:v>0</c:v>
                </c:pt>
                <c:pt idx="8">
                  <c:v>1.6E-2</c:v>
                </c:pt>
                <c:pt idx="9">
                  <c:v>1.2E-2</c:v>
                </c:pt>
                <c:pt idx="10">
                  <c:v>3.3999999999999998E-3</c:v>
                </c:pt>
                <c:pt idx="11">
                  <c:v>8.5000000000000006E-3</c:v>
                </c:pt>
                <c:pt idx="12">
                  <c:v>1.9400000000000001E-2</c:v>
                </c:pt>
                <c:pt idx="13">
                  <c:v>1.2999999999999999E-2</c:v>
                </c:pt>
                <c:pt idx="14">
                  <c:v>1.0699999999999999E-2</c:v>
                </c:pt>
                <c:pt idx="15">
                  <c:v>5.1999999999999998E-3</c:v>
                </c:pt>
              </c:numCache>
            </c:numRef>
          </c:val>
          <c:smooth val="0"/>
          <c:extLst>
            <c:ext xmlns:c16="http://schemas.microsoft.com/office/drawing/2014/chart" uri="{C3380CC4-5D6E-409C-BE32-E72D297353CC}">
              <c16:uniqueId val="{00000000-D82B-4132-866E-5A45BD7166E9}"/>
            </c:ext>
          </c:extLst>
        </c:ser>
        <c:ser>
          <c:idx val="1"/>
          <c:order val="1"/>
          <c:tx>
            <c:strRef>
              <c:f>'Input from HR monthly'!$AF$5</c:f>
              <c:strCache>
                <c:ptCount val="1"/>
                <c:pt idx="0">
                  <c:v>ST Target</c:v>
                </c:pt>
              </c:strCache>
            </c:strRef>
          </c:tx>
          <c:spPr>
            <a:ln w="28575" cap="rnd">
              <a:solidFill>
                <a:schemeClr val="accent3"/>
              </a:solidFill>
              <a:round/>
            </a:ln>
            <a:effectLst/>
          </c:spPr>
          <c:marker>
            <c:symbol val="none"/>
          </c:marker>
          <c:cat>
            <c:strRef>
              <c:f>'Input from HR monthly'!$AD$6:$AD$70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monthly'!$AF$6:$AF$70</c:f>
              <c:numCache>
                <c:formatCode>0.0%</c:formatCode>
                <c:ptCount val="17"/>
                <c:pt idx="0">
                  <c:v>0.04</c:v>
                </c:pt>
                <c:pt idx="1">
                  <c:v>0.04</c:v>
                </c:pt>
                <c:pt idx="2">
                  <c:v>0.04</c:v>
                </c:pt>
                <c:pt idx="3">
                  <c:v>0.04</c:v>
                </c:pt>
                <c:pt idx="4">
                  <c:v>0.04</c:v>
                </c:pt>
                <c:pt idx="5">
                  <c:v>0.04</c:v>
                </c:pt>
                <c:pt idx="6">
                  <c:v>0.04</c:v>
                </c:pt>
                <c:pt idx="7">
                  <c:v>0.04</c:v>
                </c:pt>
                <c:pt idx="8">
                  <c:v>0.04</c:v>
                </c:pt>
                <c:pt idx="9">
                  <c:v>0.04</c:v>
                </c:pt>
                <c:pt idx="10">
                  <c:v>0.04</c:v>
                </c:pt>
                <c:pt idx="11">
                  <c:v>0.04</c:v>
                </c:pt>
                <c:pt idx="12">
                  <c:v>0.04</c:v>
                </c:pt>
                <c:pt idx="13">
                  <c:v>0.04</c:v>
                </c:pt>
                <c:pt idx="14">
                  <c:v>0.04</c:v>
                </c:pt>
                <c:pt idx="15">
                  <c:v>0.04</c:v>
                </c:pt>
                <c:pt idx="16">
                  <c:v>0.04</c:v>
                </c:pt>
              </c:numCache>
            </c:numRef>
          </c:val>
          <c:smooth val="0"/>
          <c:extLst>
            <c:ext xmlns:c16="http://schemas.microsoft.com/office/drawing/2014/chart" uri="{C3380CC4-5D6E-409C-BE32-E72D297353CC}">
              <c16:uniqueId val="{00000001-D82B-4132-866E-5A45BD7166E9}"/>
            </c:ext>
          </c:extLst>
        </c:ser>
        <c:dLbls>
          <c:showLegendKey val="0"/>
          <c:showVal val="0"/>
          <c:showCatName val="0"/>
          <c:showSerName val="0"/>
          <c:showPercent val="0"/>
          <c:showBubbleSize val="0"/>
        </c:dLbls>
        <c:smooth val="0"/>
        <c:axId val="2083468240"/>
        <c:axId val="2083470160"/>
      </c:lineChart>
      <c:catAx>
        <c:axId val="208346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2083470160"/>
        <c:crosses val="autoZero"/>
        <c:auto val="1"/>
        <c:lblAlgn val="ctr"/>
        <c:lblOffset val="100"/>
        <c:noMultiLvlLbl val="0"/>
      </c:catAx>
      <c:valAx>
        <c:axId val="2083470160"/>
        <c:scaling>
          <c:orientation val="minMax"/>
          <c:max val="9.0000000000000024E-2"/>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2083468240"/>
        <c:crosses val="autoZero"/>
        <c:crossBetween val="between"/>
        <c:majorUnit val="1.0000000000000002E-2"/>
        <c:minorUnit val="2.0000000000000005E-3"/>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PAIN</a:t>
            </a:r>
            <a:r>
              <a:rPr lang="sv-SE" baseline="0"/>
              <a:t> - Long Term sickleave</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'Input from HR monthly'!$AG$5</c:f>
              <c:strCache>
                <c:ptCount val="1"/>
                <c:pt idx="0">
                  <c:v>LT Target</c:v>
                </c:pt>
              </c:strCache>
            </c:strRef>
          </c:tx>
          <c:spPr>
            <a:ln w="28575" cap="rnd">
              <a:solidFill>
                <a:schemeClr val="accent3"/>
              </a:solidFill>
              <a:round/>
            </a:ln>
            <a:effectLst/>
          </c:spPr>
          <c:marker>
            <c:symbol val="none"/>
          </c:marker>
          <c:cat>
            <c:strRef>
              <c:f>'Input from HR monthly'!$AD$6:$AD$70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monthly'!$AG$6:$AG$70</c:f>
              <c:numCache>
                <c:formatCode>0.0%</c:formatCode>
                <c:ptCount val="17"/>
                <c:pt idx="0">
                  <c:v>0.04</c:v>
                </c:pt>
                <c:pt idx="1">
                  <c:v>0.04</c:v>
                </c:pt>
                <c:pt idx="2">
                  <c:v>0.04</c:v>
                </c:pt>
                <c:pt idx="3">
                  <c:v>0.04</c:v>
                </c:pt>
                <c:pt idx="4">
                  <c:v>0.04</c:v>
                </c:pt>
                <c:pt idx="5">
                  <c:v>0.04</c:v>
                </c:pt>
                <c:pt idx="6">
                  <c:v>0.04</c:v>
                </c:pt>
                <c:pt idx="7">
                  <c:v>0.04</c:v>
                </c:pt>
                <c:pt idx="8">
                  <c:v>0.04</c:v>
                </c:pt>
                <c:pt idx="9">
                  <c:v>0.04</c:v>
                </c:pt>
                <c:pt idx="10">
                  <c:v>0.04</c:v>
                </c:pt>
                <c:pt idx="11">
                  <c:v>0.04</c:v>
                </c:pt>
                <c:pt idx="12">
                  <c:v>0.04</c:v>
                </c:pt>
                <c:pt idx="13">
                  <c:v>0.04</c:v>
                </c:pt>
                <c:pt idx="14">
                  <c:v>0.04</c:v>
                </c:pt>
                <c:pt idx="15">
                  <c:v>0.04</c:v>
                </c:pt>
                <c:pt idx="16">
                  <c:v>0.04</c:v>
                </c:pt>
              </c:numCache>
            </c:numRef>
          </c:val>
          <c:smooth val="0"/>
          <c:extLst>
            <c:ext xmlns:c16="http://schemas.microsoft.com/office/drawing/2014/chart" uri="{C3380CC4-5D6E-409C-BE32-E72D297353CC}">
              <c16:uniqueId val="{00000000-A175-4222-A703-88F71F701BB6}"/>
            </c:ext>
          </c:extLst>
        </c:ser>
        <c:ser>
          <c:idx val="1"/>
          <c:order val="1"/>
          <c:tx>
            <c:strRef>
              <c:f>'Input from HR monthly'!$AH$5</c:f>
              <c:strCache>
                <c:ptCount val="1"/>
                <c:pt idx="0">
                  <c:v>WC LT</c:v>
                </c:pt>
              </c:strCache>
            </c:strRef>
          </c:tx>
          <c:spPr>
            <a:ln w="28575" cap="rnd">
              <a:solidFill>
                <a:schemeClr val="accent1"/>
              </a:solidFill>
              <a:round/>
            </a:ln>
            <a:effectLst/>
          </c:spPr>
          <c:marker>
            <c:symbol val="none"/>
          </c:marker>
          <c:cat>
            <c:strRef>
              <c:f>'Input from HR monthly'!$AD$6:$AD$70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monthly'!$AH$6:$AH$70</c:f>
              <c:numCache>
                <c:formatCode>0.0%</c:formatCode>
                <c:ptCount val="17"/>
                <c:pt idx="0">
                  <c:v>1.6E-2</c:v>
                </c:pt>
                <c:pt idx="1">
                  <c:v>1.6E-2</c:v>
                </c:pt>
                <c:pt idx="2">
                  <c:v>1.7100000000000001E-2</c:v>
                </c:pt>
                <c:pt idx="3">
                  <c:v>0.02</c:v>
                </c:pt>
                <c:pt idx="4">
                  <c:v>2.2200000000000001E-2</c:v>
                </c:pt>
                <c:pt idx="5">
                  <c:v>1.9699999999999999E-2</c:v>
                </c:pt>
                <c:pt idx="6">
                  <c:v>1.9199999999999998E-2</c:v>
                </c:pt>
                <c:pt idx="7">
                  <c:v>1.9E-2</c:v>
                </c:pt>
                <c:pt idx="8">
                  <c:v>2.7E-2</c:v>
                </c:pt>
                <c:pt idx="9">
                  <c:v>5.1999999999999998E-2</c:v>
                </c:pt>
                <c:pt idx="10">
                  <c:v>4.5199999999999997E-2</c:v>
                </c:pt>
                <c:pt idx="11">
                  <c:v>1.8200000000000001E-2</c:v>
                </c:pt>
                <c:pt idx="12">
                  <c:v>2.4500000000000001E-2</c:v>
                </c:pt>
                <c:pt idx="13">
                  <c:v>2.1999999999999999E-2</c:v>
                </c:pt>
                <c:pt idx="14">
                  <c:v>2.2700000000000001E-2</c:v>
                </c:pt>
                <c:pt idx="15">
                  <c:v>2.2200000000000001E-2</c:v>
                </c:pt>
              </c:numCache>
            </c:numRef>
          </c:val>
          <c:smooth val="0"/>
          <c:extLst>
            <c:ext xmlns:c16="http://schemas.microsoft.com/office/drawing/2014/chart" uri="{C3380CC4-5D6E-409C-BE32-E72D297353CC}">
              <c16:uniqueId val="{00000001-A175-4222-A703-88F71F701BB6}"/>
            </c:ext>
          </c:extLst>
        </c:ser>
        <c:dLbls>
          <c:showLegendKey val="0"/>
          <c:showVal val="0"/>
          <c:showCatName val="0"/>
          <c:showSerName val="0"/>
          <c:showPercent val="0"/>
          <c:showBubbleSize val="0"/>
        </c:dLbls>
        <c:smooth val="0"/>
        <c:axId val="1132356640"/>
        <c:axId val="1132360960"/>
      </c:lineChart>
      <c:catAx>
        <c:axId val="113235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132360960"/>
        <c:crosses val="autoZero"/>
        <c:auto val="1"/>
        <c:lblAlgn val="ctr"/>
        <c:lblOffset val="100"/>
        <c:noMultiLvlLbl val="0"/>
      </c:catAx>
      <c:valAx>
        <c:axId val="1132360960"/>
        <c:scaling>
          <c:orientation val="minMax"/>
          <c:max val="0.12000000000000001"/>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132356640"/>
        <c:crosses val="autoZero"/>
        <c:crossBetween val="between"/>
        <c:majorUnit val="1.0000000000000002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sz="1600" b="1"/>
              <a:t>Sick Leave Actual Diagram 12 month rolling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'old - not use'!$C$6</c:f>
              <c:strCache>
                <c:ptCount val="1"/>
                <c:pt idx="0">
                  <c:v>PAGO WC ST</c:v>
                </c:pt>
              </c:strCache>
            </c:strRef>
          </c:tx>
          <c:spPr>
            <a:ln w="28575" cap="rnd">
              <a:solidFill>
                <a:schemeClr val="accent6">
                  <a:lumMod val="75000"/>
                </a:schemeClr>
              </a:solidFill>
              <a:round/>
            </a:ln>
            <a:effectLst/>
          </c:spPr>
          <c:marker>
            <c:symbol val="none"/>
          </c:marker>
          <c:cat>
            <c:numRef>
              <c:f>'old - not use'!$B$7:$B$18</c:f>
              <c:numCache>
                <c:formatCode>mmm\-yy</c:formatCode>
                <c:ptCount val="12"/>
                <c:pt idx="0">
                  <c:v>44489</c:v>
                </c:pt>
                <c:pt idx="1">
                  <c:v>44520</c:v>
                </c:pt>
                <c:pt idx="2">
                  <c:v>44550</c:v>
                </c:pt>
                <c:pt idx="3">
                  <c:v>44550</c:v>
                </c:pt>
                <c:pt idx="4">
                  <c:v>44550</c:v>
                </c:pt>
                <c:pt idx="5">
                  <c:v>44550</c:v>
                </c:pt>
                <c:pt idx="6">
                  <c:v>44550</c:v>
                </c:pt>
                <c:pt idx="7">
                  <c:v>44550</c:v>
                </c:pt>
                <c:pt idx="8">
                  <c:v>44550</c:v>
                </c:pt>
                <c:pt idx="9">
                  <c:v>44550</c:v>
                </c:pt>
                <c:pt idx="10">
                  <c:v>44550</c:v>
                </c:pt>
                <c:pt idx="11">
                  <c:v>44550</c:v>
                </c:pt>
              </c:numCache>
            </c:numRef>
          </c:cat>
          <c:val>
            <c:numRef>
              <c:f>'old - not use'!$C$7:$C$18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E-4E8F-9802-A28E6D62A051}"/>
            </c:ext>
          </c:extLst>
        </c:ser>
        <c:ser>
          <c:idx val="1"/>
          <c:order val="1"/>
          <c:tx>
            <c:strRef>
              <c:f>'old - not use'!$D$6</c:f>
              <c:strCache>
                <c:ptCount val="1"/>
                <c:pt idx="0">
                  <c:v>PAGO BC ST</c:v>
                </c:pt>
              </c:strCache>
            </c:strRef>
          </c:tx>
          <c:spPr>
            <a:ln w="28575" cap="rnd">
              <a:solidFill>
                <a:schemeClr val="accent6"/>
              </a:solidFill>
              <a:round/>
            </a:ln>
            <a:effectLst/>
          </c:spPr>
          <c:marker>
            <c:symbol val="none"/>
          </c:marker>
          <c:cat>
            <c:numRef>
              <c:f>'old - not use'!$B$7:$B$18</c:f>
              <c:numCache>
                <c:formatCode>mmm\-yy</c:formatCode>
                <c:ptCount val="12"/>
                <c:pt idx="0">
                  <c:v>44489</c:v>
                </c:pt>
                <c:pt idx="1">
                  <c:v>44520</c:v>
                </c:pt>
                <c:pt idx="2">
                  <c:v>44550</c:v>
                </c:pt>
                <c:pt idx="3">
                  <c:v>44550</c:v>
                </c:pt>
                <c:pt idx="4">
                  <c:v>44550</c:v>
                </c:pt>
                <c:pt idx="5">
                  <c:v>44550</c:v>
                </c:pt>
                <c:pt idx="6">
                  <c:v>44550</c:v>
                </c:pt>
                <c:pt idx="7">
                  <c:v>44550</c:v>
                </c:pt>
                <c:pt idx="8">
                  <c:v>44550</c:v>
                </c:pt>
                <c:pt idx="9">
                  <c:v>44550</c:v>
                </c:pt>
                <c:pt idx="10">
                  <c:v>44550</c:v>
                </c:pt>
                <c:pt idx="11">
                  <c:v>44550</c:v>
                </c:pt>
              </c:numCache>
            </c:numRef>
          </c:cat>
          <c:val>
            <c:numRef>
              <c:f>'old - not use'!$D$7:$D$18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E-4E8F-9802-A28E6D62A051}"/>
            </c:ext>
          </c:extLst>
        </c:ser>
        <c:ser>
          <c:idx val="2"/>
          <c:order val="2"/>
          <c:tx>
            <c:strRef>
              <c:f>'old - not use'!$E$6</c:f>
              <c:strCache>
                <c:ptCount val="1"/>
                <c:pt idx="0">
                  <c:v>PAGO WC LT</c:v>
                </c:pt>
              </c:strCache>
            </c:strRef>
          </c:tx>
          <c:spPr>
            <a:ln w="28575" cap="rnd">
              <a:solidFill>
                <a:schemeClr val="accent6">
                  <a:lumMod val="50000"/>
                </a:schemeClr>
              </a:solidFill>
              <a:round/>
            </a:ln>
            <a:effectLst/>
          </c:spPr>
          <c:marker>
            <c:symbol val="none"/>
          </c:marker>
          <c:cat>
            <c:numRef>
              <c:f>'old - not use'!$B$7:$B$18</c:f>
              <c:numCache>
                <c:formatCode>mmm\-yy</c:formatCode>
                <c:ptCount val="12"/>
                <c:pt idx="0">
                  <c:v>44489</c:v>
                </c:pt>
                <c:pt idx="1">
                  <c:v>44520</c:v>
                </c:pt>
                <c:pt idx="2">
                  <c:v>44550</c:v>
                </c:pt>
                <c:pt idx="3">
                  <c:v>44550</c:v>
                </c:pt>
                <c:pt idx="4">
                  <c:v>44550</c:v>
                </c:pt>
                <c:pt idx="5">
                  <c:v>44550</c:v>
                </c:pt>
                <c:pt idx="6">
                  <c:v>44550</c:v>
                </c:pt>
                <c:pt idx="7">
                  <c:v>44550</c:v>
                </c:pt>
                <c:pt idx="8">
                  <c:v>44550</c:v>
                </c:pt>
                <c:pt idx="9">
                  <c:v>44550</c:v>
                </c:pt>
                <c:pt idx="10">
                  <c:v>44550</c:v>
                </c:pt>
                <c:pt idx="11">
                  <c:v>44550</c:v>
                </c:pt>
              </c:numCache>
            </c:numRef>
          </c:cat>
          <c:val>
            <c:numRef>
              <c:f>'old - not use'!$E$7:$E$18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CB8E-4E8F-9802-A28E6D62A051}"/>
            </c:ext>
          </c:extLst>
        </c:ser>
        <c:ser>
          <c:idx val="3"/>
          <c:order val="3"/>
          <c:tx>
            <c:strRef>
              <c:f>'old - not use'!$F$6</c:f>
              <c:strCache>
                <c:ptCount val="1"/>
                <c:pt idx="0">
                  <c:v>PAGO BC LT</c:v>
                </c:pt>
              </c:strCache>
            </c:strRef>
          </c:tx>
          <c:spPr>
            <a:ln w="28575" cap="rnd">
              <a:solidFill>
                <a:schemeClr val="accent6">
                  <a:lumMod val="40000"/>
                  <a:lumOff val="60000"/>
                </a:schemeClr>
              </a:solidFill>
              <a:round/>
            </a:ln>
            <a:effectLst/>
          </c:spPr>
          <c:marker>
            <c:symbol val="none"/>
          </c:marker>
          <c:cat>
            <c:numRef>
              <c:f>'old - not use'!$B$7:$B$18</c:f>
              <c:numCache>
                <c:formatCode>mmm\-yy</c:formatCode>
                <c:ptCount val="12"/>
                <c:pt idx="0">
                  <c:v>44489</c:v>
                </c:pt>
                <c:pt idx="1">
                  <c:v>44520</c:v>
                </c:pt>
                <c:pt idx="2">
                  <c:v>44550</c:v>
                </c:pt>
                <c:pt idx="3">
                  <c:v>44550</c:v>
                </c:pt>
                <c:pt idx="4">
                  <c:v>44550</c:v>
                </c:pt>
                <c:pt idx="5">
                  <c:v>44550</c:v>
                </c:pt>
                <c:pt idx="6">
                  <c:v>44550</c:v>
                </c:pt>
                <c:pt idx="7">
                  <c:v>44550</c:v>
                </c:pt>
                <c:pt idx="8">
                  <c:v>44550</c:v>
                </c:pt>
                <c:pt idx="9">
                  <c:v>44550</c:v>
                </c:pt>
                <c:pt idx="10">
                  <c:v>44550</c:v>
                </c:pt>
                <c:pt idx="11">
                  <c:v>44550</c:v>
                </c:pt>
              </c:numCache>
            </c:numRef>
          </c:cat>
          <c:val>
            <c:numRef>
              <c:f>'old - not use'!$F$7:$F$18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CB8E-4E8F-9802-A28E6D62A051}"/>
            </c:ext>
          </c:extLst>
        </c:ser>
        <c:ser>
          <c:idx val="4"/>
          <c:order val="4"/>
          <c:tx>
            <c:strRef>
              <c:f>'old - not use'!$G$6</c:f>
              <c:strCache>
                <c:ptCount val="1"/>
                <c:pt idx="0">
                  <c:v>PAGO WC TOT</c:v>
                </c:pt>
              </c:strCache>
            </c:strRef>
          </c:tx>
          <c:spPr>
            <a:ln w="28575" cap="rnd">
              <a:solidFill>
                <a:schemeClr val="accent6">
                  <a:lumMod val="60000"/>
                  <a:lumOff val="40000"/>
                </a:schemeClr>
              </a:solidFill>
              <a:round/>
            </a:ln>
            <a:effectLst/>
          </c:spPr>
          <c:marker>
            <c:symbol val="none"/>
          </c:marker>
          <c:cat>
            <c:numRef>
              <c:f>'old - not use'!$B$7:$B$18</c:f>
              <c:numCache>
                <c:formatCode>mmm\-yy</c:formatCode>
                <c:ptCount val="12"/>
                <c:pt idx="0">
                  <c:v>44489</c:v>
                </c:pt>
                <c:pt idx="1">
                  <c:v>44520</c:v>
                </c:pt>
                <c:pt idx="2">
                  <c:v>44550</c:v>
                </c:pt>
                <c:pt idx="3">
                  <c:v>44550</c:v>
                </c:pt>
                <c:pt idx="4">
                  <c:v>44550</c:v>
                </c:pt>
                <c:pt idx="5">
                  <c:v>44550</c:v>
                </c:pt>
                <c:pt idx="6">
                  <c:v>44550</c:v>
                </c:pt>
                <c:pt idx="7">
                  <c:v>44550</c:v>
                </c:pt>
                <c:pt idx="8">
                  <c:v>44550</c:v>
                </c:pt>
                <c:pt idx="9">
                  <c:v>44550</c:v>
                </c:pt>
                <c:pt idx="10">
                  <c:v>44550</c:v>
                </c:pt>
                <c:pt idx="11">
                  <c:v>44550</c:v>
                </c:pt>
              </c:numCache>
            </c:numRef>
          </c:cat>
          <c:val>
            <c:numRef>
              <c:f>'old - not use'!$G$7:$G$18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CB8E-4E8F-9802-A28E6D62A051}"/>
            </c:ext>
          </c:extLst>
        </c:ser>
        <c:ser>
          <c:idx val="5"/>
          <c:order val="5"/>
          <c:tx>
            <c:strRef>
              <c:f>'old - not use'!$H$6</c:f>
              <c:strCache>
                <c:ptCount val="1"/>
                <c:pt idx="0">
                  <c:v>PAGO BC TOT</c:v>
                </c:pt>
              </c:strCache>
            </c:strRef>
          </c:tx>
          <c:spPr>
            <a:ln w="28575" cap="rnd">
              <a:solidFill>
                <a:srgbClr val="66FF33"/>
              </a:solidFill>
              <a:round/>
            </a:ln>
            <a:effectLst/>
          </c:spPr>
          <c:marker>
            <c:symbol val="none"/>
          </c:marker>
          <c:cat>
            <c:numRef>
              <c:f>'old - not use'!$B$7:$B$18</c:f>
              <c:numCache>
                <c:formatCode>mmm\-yy</c:formatCode>
                <c:ptCount val="12"/>
                <c:pt idx="0">
                  <c:v>44489</c:v>
                </c:pt>
                <c:pt idx="1">
                  <c:v>44520</c:v>
                </c:pt>
                <c:pt idx="2">
                  <c:v>44550</c:v>
                </c:pt>
                <c:pt idx="3">
                  <c:v>44550</c:v>
                </c:pt>
                <c:pt idx="4">
                  <c:v>44550</c:v>
                </c:pt>
                <c:pt idx="5">
                  <c:v>44550</c:v>
                </c:pt>
                <c:pt idx="6">
                  <c:v>44550</c:v>
                </c:pt>
                <c:pt idx="7">
                  <c:v>44550</c:v>
                </c:pt>
                <c:pt idx="8">
                  <c:v>44550</c:v>
                </c:pt>
                <c:pt idx="9">
                  <c:v>44550</c:v>
                </c:pt>
                <c:pt idx="10">
                  <c:v>44550</c:v>
                </c:pt>
                <c:pt idx="11">
                  <c:v>44550</c:v>
                </c:pt>
              </c:numCache>
            </c:numRef>
          </c:cat>
          <c:val>
            <c:numRef>
              <c:f>'old - not use'!$H$7:$H$18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5-CB8E-4E8F-9802-A28E6D62A051}"/>
            </c:ext>
          </c:extLst>
        </c:ser>
        <c:ser>
          <c:idx val="6"/>
          <c:order val="6"/>
          <c:tx>
            <c:strRef>
              <c:f>'old - not use'!$I$6</c:f>
              <c:strCache>
                <c:ptCount val="1"/>
                <c:pt idx="0">
                  <c:v>PASI WC ST</c:v>
                </c:pt>
              </c:strCache>
            </c:strRef>
          </c:tx>
          <c:spPr>
            <a:ln w="28575" cap="rnd">
              <a:solidFill>
                <a:schemeClr val="tx1">
                  <a:lumMod val="50000"/>
                  <a:lumOff val="50000"/>
                </a:schemeClr>
              </a:solidFill>
              <a:round/>
            </a:ln>
            <a:effectLst/>
          </c:spPr>
          <c:marker>
            <c:symbol val="none"/>
          </c:marker>
          <c:cat>
            <c:numRef>
              <c:f>'old - not use'!$B$7:$B$18</c:f>
              <c:numCache>
                <c:formatCode>mmm\-yy</c:formatCode>
                <c:ptCount val="12"/>
                <c:pt idx="0">
                  <c:v>44489</c:v>
                </c:pt>
                <c:pt idx="1">
                  <c:v>44520</c:v>
                </c:pt>
                <c:pt idx="2">
                  <c:v>44550</c:v>
                </c:pt>
                <c:pt idx="3">
                  <c:v>44550</c:v>
                </c:pt>
                <c:pt idx="4">
                  <c:v>44550</c:v>
                </c:pt>
                <c:pt idx="5">
                  <c:v>44550</c:v>
                </c:pt>
                <c:pt idx="6">
                  <c:v>44550</c:v>
                </c:pt>
                <c:pt idx="7">
                  <c:v>44550</c:v>
                </c:pt>
                <c:pt idx="8">
                  <c:v>44550</c:v>
                </c:pt>
                <c:pt idx="9">
                  <c:v>44550</c:v>
                </c:pt>
                <c:pt idx="10">
                  <c:v>44550</c:v>
                </c:pt>
                <c:pt idx="11">
                  <c:v>44550</c:v>
                </c:pt>
              </c:numCache>
            </c:numRef>
          </c:cat>
          <c:val>
            <c:numRef>
              <c:f>'old - not use'!$I$7:$I$18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6-CB8E-4E8F-9802-A28E6D62A051}"/>
            </c:ext>
          </c:extLst>
        </c:ser>
        <c:ser>
          <c:idx val="7"/>
          <c:order val="7"/>
          <c:tx>
            <c:strRef>
              <c:f>'old - not use'!$J$6</c:f>
              <c:strCache>
                <c:ptCount val="1"/>
                <c:pt idx="0">
                  <c:v>PASI BC ST</c:v>
                </c:pt>
              </c:strCache>
            </c:strRef>
          </c:tx>
          <c:spPr>
            <a:ln w="28575" cap="rnd">
              <a:solidFill>
                <a:schemeClr val="bg1">
                  <a:lumMod val="85000"/>
                </a:schemeClr>
              </a:solidFill>
              <a:round/>
            </a:ln>
            <a:effectLst/>
          </c:spPr>
          <c:marker>
            <c:symbol val="none"/>
          </c:marker>
          <c:cat>
            <c:numRef>
              <c:f>'old - not use'!$B$7:$B$18</c:f>
              <c:numCache>
                <c:formatCode>mmm\-yy</c:formatCode>
                <c:ptCount val="12"/>
                <c:pt idx="0">
                  <c:v>44489</c:v>
                </c:pt>
                <c:pt idx="1">
                  <c:v>44520</c:v>
                </c:pt>
                <c:pt idx="2">
                  <c:v>44550</c:v>
                </c:pt>
                <c:pt idx="3">
                  <c:v>44550</c:v>
                </c:pt>
                <c:pt idx="4">
                  <c:v>44550</c:v>
                </c:pt>
                <c:pt idx="5">
                  <c:v>44550</c:v>
                </c:pt>
                <c:pt idx="6">
                  <c:v>44550</c:v>
                </c:pt>
                <c:pt idx="7">
                  <c:v>44550</c:v>
                </c:pt>
                <c:pt idx="8">
                  <c:v>44550</c:v>
                </c:pt>
                <c:pt idx="9">
                  <c:v>44550</c:v>
                </c:pt>
                <c:pt idx="10">
                  <c:v>44550</c:v>
                </c:pt>
                <c:pt idx="11">
                  <c:v>44550</c:v>
                </c:pt>
              </c:numCache>
            </c:numRef>
          </c:cat>
          <c:val>
            <c:numRef>
              <c:f>'old - not use'!$J$7:$J$18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7-CB8E-4E8F-9802-A28E6D62A051}"/>
            </c:ext>
          </c:extLst>
        </c:ser>
        <c:ser>
          <c:idx val="8"/>
          <c:order val="8"/>
          <c:tx>
            <c:strRef>
              <c:f>'old - not use'!$K$6</c:f>
              <c:strCache>
                <c:ptCount val="1"/>
                <c:pt idx="0">
                  <c:v>PASI WC LT</c:v>
                </c:pt>
              </c:strCache>
            </c:strRef>
          </c:tx>
          <c:spPr>
            <a:ln w="28575" cap="rnd">
              <a:solidFill>
                <a:schemeClr val="bg1">
                  <a:lumMod val="65000"/>
                </a:schemeClr>
              </a:solidFill>
              <a:round/>
            </a:ln>
            <a:effectLst/>
          </c:spPr>
          <c:marker>
            <c:symbol val="none"/>
          </c:marker>
          <c:cat>
            <c:numRef>
              <c:f>'old - not use'!$B$7:$B$18</c:f>
              <c:numCache>
                <c:formatCode>mmm\-yy</c:formatCode>
                <c:ptCount val="12"/>
                <c:pt idx="0">
                  <c:v>44489</c:v>
                </c:pt>
                <c:pt idx="1">
                  <c:v>44520</c:v>
                </c:pt>
                <c:pt idx="2">
                  <c:v>44550</c:v>
                </c:pt>
                <c:pt idx="3">
                  <c:v>44550</c:v>
                </c:pt>
                <c:pt idx="4">
                  <c:v>44550</c:v>
                </c:pt>
                <c:pt idx="5">
                  <c:v>44550</c:v>
                </c:pt>
                <c:pt idx="6">
                  <c:v>44550</c:v>
                </c:pt>
                <c:pt idx="7">
                  <c:v>44550</c:v>
                </c:pt>
                <c:pt idx="8">
                  <c:v>44550</c:v>
                </c:pt>
                <c:pt idx="9">
                  <c:v>44550</c:v>
                </c:pt>
                <c:pt idx="10">
                  <c:v>44550</c:v>
                </c:pt>
                <c:pt idx="11">
                  <c:v>44550</c:v>
                </c:pt>
              </c:numCache>
            </c:numRef>
          </c:cat>
          <c:val>
            <c:numRef>
              <c:f>'old - not use'!$K$7:$K$18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8-CB8E-4E8F-9802-A28E6D62A051}"/>
            </c:ext>
          </c:extLst>
        </c:ser>
        <c:ser>
          <c:idx val="9"/>
          <c:order val="9"/>
          <c:tx>
            <c:strRef>
              <c:f>'old - not use'!$L$6</c:f>
              <c:strCache>
                <c:ptCount val="1"/>
                <c:pt idx="0">
                  <c:v>PASI BC LT</c:v>
                </c:pt>
              </c:strCache>
            </c:strRef>
          </c:tx>
          <c:spPr>
            <a:ln w="28575" cap="rnd">
              <a:solidFill>
                <a:schemeClr val="bg1">
                  <a:lumMod val="50000"/>
                </a:schemeClr>
              </a:solidFill>
              <a:round/>
            </a:ln>
            <a:effectLst/>
          </c:spPr>
          <c:marker>
            <c:symbol val="none"/>
          </c:marker>
          <c:cat>
            <c:numRef>
              <c:f>'old - not use'!$B$7:$B$18</c:f>
              <c:numCache>
                <c:formatCode>mmm\-yy</c:formatCode>
                <c:ptCount val="12"/>
                <c:pt idx="0">
                  <c:v>44489</c:v>
                </c:pt>
                <c:pt idx="1">
                  <c:v>44520</c:v>
                </c:pt>
                <c:pt idx="2">
                  <c:v>44550</c:v>
                </c:pt>
                <c:pt idx="3">
                  <c:v>44550</c:v>
                </c:pt>
                <c:pt idx="4">
                  <c:v>44550</c:v>
                </c:pt>
                <c:pt idx="5">
                  <c:v>44550</c:v>
                </c:pt>
                <c:pt idx="6">
                  <c:v>44550</c:v>
                </c:pt>
                <c:pt idx="7">
                  <c:v>44550</c:v>
                </c:pt>
                <c:pt idx="8">
                  <c:v>44550</c:v>
                </c:pt>
                <c:pt idx="9">
                  <c:v>44550</c:v>
                </c:pt>
                <c:pt idx="10">
                  <c:v>44550</c:v>
                </c:pt>
                <c:pt idx="11">
                  <c:v>44550</c:v>
                </c:pt>
              </c:numCache>
            </c:numRef>
          </c:cat>
          <c:val>
            <c:numRef>
              <c:f>'old - not use'!$L$7:$L$18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9-CB8E-4E8F-9802-A28E6D62A051}"/>
            </c:ext>
          </c:extLst>
        </c:ser>
        <c:ser>
          <c:idx val="10"/>
          <c:order val="10"/>
          <c:tx>
            <c:strRef>
              <c:f>'old - not use'!$M$6</c:f>
              <c:strCache>
                <c:ptCount val="1"/>
                <c:pt idx="0">
                  <c:v>PASI WC TOT</c:v>
                </c:pt>
              </c:strCache>
            </c:strRef>
          </c:tx>
          <c:spPr>
            <a:ln w="28575" cap="rnd">
              <a:solidFill>
                <a:schemeClr val="tx1">
                  <a:lumMod val="75000"/>
                  <a:lumOff val="25000"/>
                </a:schemeClr>
              </a:solidFill>
              <a:round/>
            </a:ln>
            <a:effectLst/>
          </c:spPr>
          <c:marker>
            <c:symbol val="none"/>
          </c:marker>
          <c:cat>
            <c:numRef>
              <c:f>'old - not use'!$B$7:$B$18</c:f>
              <c:numCache>
                <c:formatCode>mmm\-yy</c:formatCode>
                <c:ptCount val="12"/>
                <c:pt idx="0">
                  <c:v>44489</c:v>
                </c:pt>
                <c:pt idx="1">
                  <c:v>44520</c:v>
                </c:pt>
                <c:pt idx="2">
                  <c:v>44550</c:v>
                </c:pt>
                <c:pt idx="3">
                  <c:v>44550</c:v>
                </c:pt>
                <c:pt idx="4">
                  <c:v>44550</c:v>
                </c:pt>
                <c:pt idx="5">
                  <c:v>44550</c:v>
                </c:pt>
                <c:pt idx="6">
                  <c:v>44550</c:v>
                </c:pt>
                <c:pt idx="7">
                  <c:v>44550</c:v>
                </c:pt>
                <c:pt idx="8">
                  <c:v>44550</c:v>
                </c:pt>
                <c:pt idx="9">
                  <c:v>44550</c:v>
                </c:pt>
                <c:pt idx="10">
                  <c:v>44550</c:v>
                </c:pt>
                <c:pt idx="11">
                  <c:v>44550</c:v>
                </c:pt>
              </c:numCache>
            </c:numRef>
          </c:cat>
          <c:val>
            <c:numRef>
              <c:f>'old - not use'!$M$7:$M$18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A-CB8E-4E8F-9802-A28E6D62A051}"/>
            </c:ext>
          </c:extLst>
        </c:ser>
        <c:ser>
          <c:idx val="11"/>
          <c:order val="11"/>
          <c:tx>
            <c:strRef>
              <c:f>'old - not use'!$N$6</c:f>
              <c:strCache>
                <c:ptCount val="1"/>
                <c:pt idx="0">
                  <c:v>PASI BC TOT</c:v>
                </c:pt>
              </c:strCache>
            </c:strRef>
          </c:tx>
          <c:spPr>
            <a:ln w="28575" cap="rnd">
              <a:solidFill>
                <a:sysClr val="windowText" lastClr="000000"/>
              </a:solidFill>
              <a:round/>
            </a:ln>
            <a:effectLst/>
          </c:spPr>
          <c:marker>
            <c:symbol val="none"/>
          </c:marker>
          <c:cat>
            <c:numRef>
              <c:f>'old - not use'!$B$7:$B$18</c:f>
              <c:numCache>
                <c:formatCode>mmm\-yy</c:formatCode>
                <c:ptCount val="12"/>
                <c:pt idx="0">
                  <c:v>44489</c:v>
                </c:pt>
                <c:pt idx="1">
                  <c:v>44520</c:v>
                </c:pt>
                <c:pt idx="2">
                  <c:v>44550</c:v>
                </c:pt>
                <c:pt idx="3">
                  <c:v>44550</c:v>
                </c:pt>
                <c:pt idx="4">
                  <c:v>44550</c:v>
                </c:pt>
                <c:pt idx="5">
                  <c:v>44550</c:v>
                </c:pt>
                <c:pt idx="6">
                  <c:v>44550</c:v>
                </c:pt>
                <c:pt idx="7">
                  <c:v>44550</c:v>
                </c:pt>
                <c:pt idx="8">
                  <c:v>44550</c:v>
                </c:pt>
                <c:pt idx="9">
                  <c:v>44550</c:v>
                </c:pt>
                <c:pt idx="10">
                  <c:v>44550</c:v>
                </c:pt>
                <c:pt idx="11">
                  <c:v>44550</c:v>
                </c:pt>
              </c:numCache>
            </c:numRef>
          </c:cat>
          <c:val>
            <c:numRef>
              <c:f>'old - not use'!$N$7:$N$18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B-CB8E-4E8F-9802-A28E6D62A051}"/>
            </c:ext>
          </c:extLst>
        </c:ser>
        <c:ser>
          <c:idx val="12"/>
          <c:order val="12"/>
          <c:tx>
            <c:strRef>
              <c:f>'old - not use'!$O$6</c:f>
              <c:strCache>
                <c:ptCount val="1"/>
                <c:pt idx="0">
                  <c:v>PARA WC ST</c:v>
                </c:pt>
              </c:strCache>
            </c:strRef>
          </c:tx>
          <c:spPr>
            <a:ln w="28575" cap="rnd">
              <a:solidFill>
                <a:schemeClr val="accent4">
                  <a:lumMod val="60000"/>
                  <a:lumOff val="40000"/>
                </a:schemeClr>
              </a:solidFill>
              <a:round/>
            </a:ln>
            <a:effectLst/>
          </c:spPr>
          <c:marker>
            <c:symbol val="none"/>
          </c:marker>
          <c:cat>
            <c:numRef>
              <c:f>'old - not use'!$B$7:$B$18</c:f>
              <c:numCache>
                <c:formatCode>mmm\-yy</c:formatCode>
                <c:ptCount val="12"/>
                <c:pt idx="0">
                  <c:v>44489</c:v>
                </c:pt>
                <c:pt idx="1">
                  <c:v>44520</c:v>
                </c:pt>
                <c:pt idx="2">
                  <c:v>44550</c:v>
                </c:pt>
                <c:pt idx="3">
                  <c:v>44550</c:v>
                </c:pt>
                <c:pt idx="4">
                  <c:v>44550</c:v>
                </c:pt>
                <c:pt idx="5">
                  <c:v>44550</c:v>
                </c:pt>
                <c:pt idx="6">
                  <c:v>44550</c:v>
                </c:pt>
                <c:pt idx="7">
                  <c:v>44550</c:v>
                </c:pt>
                <c:pt idx="8">
                  <c:v>44550</c:v>
                </c:pt>
                <c:pt idx="9">
                  <c:v>44550</c:v>
                </c:pt>
                <c:pt idx="10">
                  <c:v>44550</c:v>
                </c:pt>
                <c:pt idx="11">
                  <c:v>44550</c:v>
                </c:pt>
              </c:numCache>
            </c:numRef>
          </c:cat>
          <c:val>
            <c:numRef>
              <c:f>'old - not use'!$O$7:$O$18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C-CB8E-4E8F-9802-A28E6D62A051}"/>
            </c:ext>
          </c:extLst>
        </c:ser>
        <c:ser>
          <c:idx val="13"/>
          <c:order val="13"/>
          <c:tx>
            <c:strRef>
              <c:f>'old - not use'!$P$6</c:f>
              <c:strCache>
                <c:ptCount val="1"/>
                <c:pt idx="0">
                  <c:v>PARA BC ST</c:v>
                </c:pt>
              </c:strCache>
            </c:strRef>
          </c:tx>
          <c:spPr>
            <a:ln w="28575" cap="rnd">
              <a:solidFill>
                <a:schemeClr val="accent2">
                  <a:lumMod val="80000"/>
                  <a:lumOff val="20000"/>
                </a:schemeClr>
              </a:solidFill>
              <a:round/>
            </a:ln>
            <a:effectLst/>
          </c:spPr>
          <c:marker>
            <c:symbol val="none"/>
          </c:marker>
          <c:cat>
            <c:numRef>
              <c:f>'old - not use'!$B$7:$B$18</c:f>
              <c:numCache>
                <c:formatCode>mmm\-yy</c:formatCode>
                <c:ptCount val="12"/>
                <c:pt idx="0">
                  <c:v>44489</c:v>
                </c:pt>
                <c:pt idx="1">
                  <c:v>44520</c:v>
                </c:pt>
                <c:pt idx="2">
                  <c:v>44550</c:v>
                </c:pt>
                <c:pt idx="3">
                  <c:v>44550</c:v>
                </c:pt>
                <c:pt idx="4">
                  <c:v>44550</c:v>
                </c:pt>
                <c:pt idx="5">
                  <c:v>44550</c:v>
                </c:pt>
                <c:pt idx="6">
                  <c:v>44550</c:v>
                </c:pt>
                <c:pt idx="7">
                  <c:v>44550</c:v>
                </c:pt>
                <c:pt idx="8">
                  <c:v>44550</c:v>
                </c:pt>
                <c:pt idx="9">
                  <c:v>44550</c:v>
                </c:pt>
                <c:pt idx="10">
                  <c:v>44550</c:v>
                </c:pt>
                <c:pt idx="11">
                  <c:v>44550</c:v>
                </c:pt>
              </c:numCache>
            </c:numRef>
          </c:cat>
          <c:val>
            <c:numRef>
              <c:f>'old - not use'!$P$7:$P$18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D-CB8E-4E8F-9802-A28E6D62A051}"/>
            </c:ext>
          </c:extLst>
        </c:ser>
        <c:ser>
          <c:idx val="14"/>
          <c:order val="14"/>
          <c:tx>
            <c:strRef>
              <c:f>'old - not use'!$Q$6</c:f>
              <c:strCache>
                <c:ptCount val="1"/>
                <c:pt idx="0">
                  <c:v>PARA WC LT</c:v>
                </c:pt>
              </c:strCache>
            </c:strRef>
          </c:tx>
          <c:spPr>
            <a:ln w="28575" cap="rnd">
              <a:solidFill>
                <a:schemeClr val="accent4">
                  <a:lumMod val="75000"/>
                </a:schemeClr>
              </a:solidFill>
              <a:round/>
            </a:ln>
            <a:effectLst/>
          </c:spPr>
          <c:marker>
            <c:symbol val="none"/>
          </c:marker>
          <c:cat>
            <c:numRef>
              <c:f>'old - not use'!$B$7:$B$18</c:f>
              <c:numCache>
                <c:formatCode>mmm\-yy</c:formatCode>
                <c:ptCount val="12"/>
                <c:pt idx="0">
                  <c:v>44489</c:v>
                </c:pt>
                <c:pt idx="1">
                  <c:v>44520</c:v>
                </c:pt>
                <c:pt idx="2">
                  <c:v>44550</c:v>
                </c:pt>
                <c:pt idx="3">
                  <c:v>44550</c:v>
                </c:pt>
                <c:pt idx="4">
                  <c:v>44550</c:v>
                </c:pt>
                <c:pt idx="5">
                  <c:v>44550</c:v>
                </c:pt>
                <c:pt idx="6">
                  <c:v>44550</c:v>
                </c:pt>
                <c:pt idx="7">
                  <c:v>44550</c:v>
                </c:pt>
                <c:pt idx="8">
                  <c:v>44550</c:v>
                </c:pt>
                <c:pt idx="9">
                  <c:v>44550</c:v>
                </c:pt>
                <c:pt idx="10">
                  <c:v>44550</c:v>
                </c:pt>
                <c:pt idx="11">
                  <c:v>44550</c:v>
                </c:pt>
              </c:numCache>
            </c:numRef>
          </c:cat>
          <c:val>
            <c:numRef>
              <c:f>'old - not use'!$Q$7:$Q$18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E-CB8E-4E8F-9802-A28E6D62A051}"/>
            </c:ext>
          </c:extLst>
        </c:ser>
        <c:ser>
          <c:idx val="15"/>
          <c:order val="15"/>
          <c:tx>
            <c:strRef>
              <c:f>'old - not use'!$R$6</c:f>
              <c:strCache>
                <c:ptCount val="1"/>
                <c:pt idx="0">
                  <c:v>PARA BC LT</c:v>
                </c:pt>
              </c:strCache>
            </c:strRef>
          </c:tx>
          <c:spPr>
            <a:ln w="28575" cap="rnd">
              <a:solidFill>
                <a:schemeClr val="accent4"/>
              </a:solidFill>
              <a:round/>
            </a:ln>
            <a:effectLst/>
          </c:spPr>
          <c:marker>
            <c:symbol val="none"/>
          </c:marker>
          <c:cat>
            <c:numRef>
              <c:f>'old - not use'!$B$7:$B$18</c:f>
              <c:numCache>
                <c:formatCode>mmm\-yy</c:formatCode>
                <c:ptCount val="12"/>
                <c:pt idx="0">
                  <c:v>44489</c:v>
                </c:pt>
                <c:pt idx="1">
                  <c:v>44520</c:v>
                </c:pt>
                <c:pt idx="2">
                  <c:v>44550</c:v>
                </c:pt>
                <c:pt idx="3">
                  <c:v>44550</c:v>
                </c:pt>
                <c:pt idx="4">
                  <c:v>44550</c:v>
                </c:pt>
                <c:pt idx="5">
                  <c:v>44550</c:v>
                </c:pt>
                <c:pt idx="6">
                  <c:v>44550</c:v>
                </c:pt>
                <c:pt idx="7">
                  <c:v>44550</c:v>
                </c:pt>
                <c:pt idx="8">
                  <c:v>44550</c:v>
                </c:pt>
                <c:pt idx="9">
                  <c:v>44550</c:v>
                </c:pt>
                <c:pt idx="10">
                  <c:v>44550</c:v>
                </c:pt>
                <c:pt idx="11">
                  <c:v>44550</c:v>
                </c:pt>
              </c:numCache>
            </c:numRef>
          </c:cat>
          <c:val>
            <c:numRef>
              <c:f>'old - not use'!$R$7:$R$18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F-CB8E-4E8F-9802-A28E6D62A051}"/>
            </c:ext>
          </c:extLst>
        </c:ser>
        <c:ser>
          <c:idx val="16"/>
          <c:order val="16"/>
          <c:tx>
            <c:strRef>
              <c:f>'old - not use'!$S$6</c:f>
              <c:strCache>
                <c:ptCount val="1"/>
                <c:pt idx="0">
                  <c:v>PARA WC TOT</c:v>
                </c:pt>
              </c:strCache>
            </c:strRef>
          </c:tx>
          <c:spPr>
            <a:ln w="28575" cap="rnd">
              <a:solidFill>
                <a:schemeClr val="accent4">
                  <a:lumMod val="50000"/>
                </a:schemeClr>
              </a:solidFill>
              <a:round/>
            </a:ln>
            <a:effectLst/>
          </c:spPr>
          <c:marker>
            <c:symbol val="none"/>
          </c:marker>
          <c:cat>
            <c:numRef>
              <c:f>'old - not use'!$B$7:$B$18</c:f>
              <c:numCache>
                <c:formatCode>mmm\-yy</c:formatCode>
                <c:ptCount val="12"/>
                <c:pt idx="0">
                  <c:v>44489</c:v>
                </c:pt>
                <c:pt idx="1">
                  <c:v>44520</c:v>
                </c:pt>
                <c:pt idx="2">
                  <c:v>44550</c:v>
                </c:pt>
                <c:pt idx="3">
                  <c:v>44550</c:v>
                </c:pt>
                <c:pt idx="4">
                  <c:v>44550</c:v>
                </c:pt>
                <c:pt idx="5">
                  <c:v>44550</c:v>
                </c:pt>
                <c:pt idx="6">
                  <c:v>44550</c:v>
                </c:pt>
                <c:pt idx="7">
                  <c:v>44550</c:v>
                </c:pt>
                <c:pt idx="8">
                  <c:v>44550</c:v>
                </c:pt>
                <c:pt idx="9">
                  <c:v>44550</c:v>
                </c:pt>
                <c:pt idx="10">
                  <c:v>44550</c:v>
                </c:pt>
                <c:pt idx="11">
                  <c:v>44550</c:v>
                </c:pt>
              </c:numCache>
            </c:numRef>
          </c:cat>
          <c:val>
            <c:numRef>
              <c:f>'old - not use'!$S$7:$S$18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10-CB8E-4E8F-9802-A28E6D62A051}"/>
            </c:ext>
          </c:extLst>
        </c:ser>
        <c:ser>
          <c:idx val="17"/>
          <c:order val="17"/>
          <c:tx>
            <c:strRef>
              <c:f>'old - not use'!$T$6</c:f>
              <c:strCache>
                <c:ptCount val="1"/>
                <c:pt idx="0">
                  <c:v>PARA BC TOT</c:v>
                </c:pt>
              </c:strCache>
            </c:strRef>
          </c:tx>
          <c:spPr>
            <a:ln w="28575" cap="rnd">
              <a:solidFill>
                <a:schemeClr val="accent4">
                  <a:lumMod val="40000"/>
                  <a:lumOff val="60000"/>
                </a:schemeClr>
              </a:solidFill>
              <a:round/>
            </a:ln>
            <a:effectLst/>
          </c:spPr>
          <c:marker>
            <c:symbol val="none"/>
          </c:marker>
          <c:cat>
            <c:numRef>
              <c:f>'old - not use'!$B$7:$B$18</c:f>
              <c:numCache>
                <c:formatCode>mmm\-yy</c:formatCode>
                <c:ptCount val="12"/>
                <c:pt idx="0">
                  <c:v>44489</c:v>
                </c:pt>
                <c:pt idx="1">
                  <c:v>44520</c:v>
                </c:pt>
                <c:pt idx="2">
                  <c:v>44550</c:v>
                </c:pt>
                <c:pt idx="3">
                  <c:v>44550</c:v>
                </c:pt>
                <c:pt idx="4">
                  <c:v>44550</c:v>
                </c:pt>
                <c:pt idx="5">
                  <c:v>44550</c:v>
                </c:pt>
                <c:pt idx="6">
                  <c:v>44550</c:v>
                </c:pt>
                <c:pt idx="7">
                  <c:v>44550</c:v>
                </c:pt>
                <c:pt idx="8">
                  <c:v>44550</c:v>
                </c:pt>
                <c:pt idx="9">
                  <c:v>44550</c:v>
                </c:pt>
                <c:pt idx="10">
                  <c:v>44550</c:v>
                </c:pt>
                <c:pt idx="11">
                  <c:v>44550</c:v>
                </c:pt>
              </c:numCache>
            </c:numRef>
          </c:cat>
          <c:val>
            <c:numRef>
              <c:f>'old - not use'!$T$7:$T$18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11-CB8E-4E8F-9802-A28E6D62A051}"/>
            </c:ext>
          </c:extLst>
        </c:ser>
        <c:ser>
          <c:idx val="18"/>
          <c:order val="18"/>
          <c:tx>
            <c:strRef>
              <c:f>'old - not use'!$U$6</c:f>
              <c:strCache>
                <c:ptCount val="1"/>
                <c:pt idx="0">
                  <c:v>PAGE WC ST</c:v>
                </c:pt>
              </c:strCache>
            </c:strRef>
          </c:tx>
          <c:spPr>
            <a:ln w="28575" cap="rnd">
              <a:solidFill>
                <a:schemeClr val="accent1">
                  <a:lumMod val="50000"/>
                </a:schemeClr>
              </a:solidFill>
              <a:round/>
            </a:ln>
            <a:effectLst/>
          </c:spPr>
          <c:marker>
            <c:symbol val="none"/>
          </c:marker>
          <c:cat>
            <c:numRef>
              <c:f>'old - not use'!$B$7:$B$18</c:f>
              <c:numCache>
                <c:formatCode>mmm\-yy</c:formatCode>
                <c:ptCount val="12"/>
                <c:pt idx="0">
                  <c:v>44489</c:v>
                </c:pt>
                <c:pt idx="1">
                  <c:v>44520</c:v>
                </c:pt>
                <c:pt idx="2">
                  <c:v>44550</c:v>
                </c:pt>
                <c:pt idx="3">
                  <c:v>44550</c:v>
                </c:pt>
                <c:pt idx="4">
                  <c:v>44550</c:v>
                </c:pt>
                <c:pt idx="5">
                  <c:v>44550</c:v>
                </c:pt>
                <c:pt idx="6">
                  <c:v>44550</c:v>
                </c:pt>
                <c:pt idx="7">
                  <c:v>44550</c:v>
                </c:pt>
                <c:pt idx="8">
                  <c:v>44550</c:v>
                </c:pt>
                <c:pt idx="9">
                  <c:v>44550</c:v>
                </c:pt>
                <c:pt idx="10">
                  <c:v>44550</c:v>
                </c:pt>
                <c:pt idx="11">
                  <c:v>44550</c:v>
                </c:pt>
              </c:numCache>
            </c:numRef>
          </c:cat>
          <c:val>
            <c:numRef>
              <c:f>'old - not use'!$U$7:$U$18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12-CB8E-4E8F-9802-A28E6D62A051}"/>
            </c:ext>
          </c:extLst>
        </c:ser>
        <c:ser>
          <c:idx val="19"/>
          <c:order val="19"/>
          <c:tx>
            <c:strRef>
              <c:f>'old - not use'!$V$6</c:f>
              <c:strCache>
                <c:ptCount val="1"/>
                <c:pt idx="0">
                  <c:v>PAGE BC ST</c:v>
                </c:pt>
              </c:strCache>
            </c:strRef>
          </c:tx>
          <c:spPr>
            <a:ln w="28575" cap="rnd">
              <a:solidFill>
                <a:schemeClr val="accent1">
                  <a:lumMod val="75000"/>
                </a:schemeClr>
              </a:solidFill>
              <a:round/>
            </a:ln>
            <a:effectLst/>
          </c:spPr>
          <c:marker>
            <c:symbol val="none"/>
          </c:marker>
          <c:cat>
            <c:numRef>
              <c:f>'old - not use'!$B$7:$B$18</c:f>
              <c:numCache>
                <c:formatCode>mmm\-yy</c:formatCode>
                <c:ptCount val="12"/>
                <c:pt idx="0">
                  <c:v>44489</c:v>
                </c:pt>
                <c:pt idx="1">
                  <c:v>44520</c:v>
                </c:pt>
                <c:pt idx="2">
                  <c:v>44550</c:v>
                </c:pt>
                <c:pt idx="3">
                  <c:v>44550</c:v>
                </c:pt>
                <c:pt idx="4">
                  <c:v>44550</c:v>
                </c:pt>
                <c:pt idx="5">
                  <c:v>44550</c:v>
                </c:pt>
                <c:pt idx="6">
                  <c:v>44550</c:v>
                </c:pt>
                <c:pt idx="7">
                  <c:v>44550</c:v>
                </c:pt>
                <c:pt idx="8">
                  <c:v>44550</c:v>
                </c:pt>
                <c:pt idx="9">
                  <c:v>44550</c:v>
                </c:pt>
                <c:pt idx="10">
                  <c:v>44550</c:v>
                </c:pt>
                <c:pt idx="11">
                  <c:v>44550</c:v>
                </c:pt>
              </c:numCache>
            </c:numRef>
          </c:cat>
          <c:val>
            <c:numRef>
              <c:f>'old - not use'!$V$7:$V$18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13-CB8E-4E8F-9802-A28E6D62A051}"/>
            </c:ext>
          </c:extLst>
        </c:ser>
        <c:ser>
          <c:idx val="20"/>
          <c:order val="20"/>
          <c:tx>
            <c:strRef>
              <c:f>'old - not use'!$W$6</c:f>
              <c:strCache>
                <c:ptCount val="1"/>
                <c:pt idx="0">
                  <c:v>PAGE WC LT</c:v>
                </c:pt>
              </c:strCache>
            </c:strRef>
          </c:tx>
          <c:spPr>
            <a:ln w="28575" cap="rnd">
              <a:solidFill>
                <a:schemeClr val="accent1">
                  <a:lumMod val="60000"/>
                  <a:lumOff val="40000"/>
                </a:schemeClr>
              </a:solidFill>
              <a:round/>
            </a:ln>
            <a:effectLst/>
          </c:spPr>
          <c:marker>
            <c:symbol val="none"/>
          </c:marker>
          <c:cat>
            <c:numRef>
              <c:f>'old - not use'!$B$7:$B$18</c:f>
              <c:numCache>
                <c:formatCode>mmm\-yy</c:formatCode>
                <c:ptCount val="12"/>
                <c:pt idx="0">
                  <c:v>44489</c:v>
                </c:pt>
                <c:pt idx="1">
                  <c:v>44520</c:v>
                </c:pt>
                <c:pt idx="2">
                  <c:v>44550</c:v>
                </c:pt>
                <c:pt idx="3">
                  <c:v>44550</c:v>
                </c:pt>
                <c:pt idx="4">
                  <c:v>44550</c:v>
                </c:pt>
                <c:pt idx="5">
                  <c:v>44550</c:v>
                </c:pt>
                <c:pt idx="6">
                  <c:v>44550</c:v>
                </c:pt>
                <c:pt idx="7">
                  <c:v>44550</c:v>
                </c:pt>
                <c:pt idx="8">
                  <c:v>44550</c:v>
                </c:pt>
                <c:pt idx="9">
                  <c:v>44550</c:v>
                </c:pt>
                <c:pt idx="10">
                  <c:v>44550</c:v>
                </c:pt>
                <c:pt idx="11">
                  <c:v>44550</c:v>
                </c:pt>
              </c:numCache>
            </c:numRef>
          </c:cat>
          <c:val>
            <c:numRef>
              <c:f>'old - not use'!$W$7:$W$18</c:f>
              <c:numCache>
                <c:formatCode>0.0%</c:formatCode>
                <c:ptCount val="12"/>
                <c:pt idx="0">
                  <c:v>44489</c:v>
                </c:pt>
                <c:pt idx="1">
                  <c:v>44520</c:v>
                </c:pt>
                <c:pt idx="2">
                  <c:v>44550</c:v>
                </c:pt>
                <c:pt idx="3">
                  <c:v>44550</c:v>
                </c:pt>
                <c:pt idx="4">
                  <c:v>44550</c:v>
                </c:pt>
                <c:pt idx="5">
                  <c:v>44550</c:v>
                </c:pt>
                <c:pt idx="6">
                  <c:v>44550</c:v>
                </c:pt>
                <c:pt idx="7">
                  <c:v>44550</c:v>
                </c:pt>
                <c:pt idx="8">
                  <c:v>44550</c:v>
                </c:pt>
                <c:pt idx="9">
                  <c:v>44550</c:v>
                </c:pt>
                <c:pt idx="10">
                  <c:v>44550</c:v>
                </c:pt>
                <c:pt idx="11">
                  <c:v>44550</c:v>
                </c:pt>
              </c:numCache>
            </c:numRef>
          </c:val>
          <c:smooth val="0"/>
          <c:extLst>
            <c:ext xmlns:c16="http://schemas.microsoft.com/office/drawing/2014/chart" uri="{C3380CC4-5D6E-409C-BE32-E72D297353CC}">
              <c16:uniqueId val="{00000014-CB8E-4E8F-9802-A28E6D62A051}"/>
            </c:ext>
          </c:extLst>
        </c:ser>
        <c:ser>
          <c:idx val="21"/>
          <c:order val="21"/>
          <c:tx>
            <c:strRef>
              <c:f>'old - not use'!$X$6</c:f>
              <c:strCache>
                <c:ptCount val="1"/>
                <c:pt idx="0">
                  <c:v>PAGE BC LT</c:v>
                </c:pt>
              </c:strCache>
            </c:strRef>
          </c:tx>
          <c:spPr>
            <a:ln w="28575" cap="rnd">
              <a:solidFill>
                <a:srgbClr val="0000CC"/>
              </a:solidFill>
              <a:round/>
            </a:ln>
            <a:effectLst/>
          </c:spPr>
          <c:marker>
            <c:symbol val="none"/>
          </c:marker>
          <c:cat>
            <c:numRef>
              <c:f>'old - not use'!$B$7:$B$18</c:f>
              <c:numCache>
                <c:formatCode>mmm\-yy</c:formatCode>
                <c:ptCount val="12"/>
                <c:pt idx="0">
                  <c:v>44489</c:v>
                </c:pt>
                <c:pt idx="1">
                  <c:v>44520</c:v>
                </c:pt>
                <c:pt idx="2">
                  <c:v>44550</c:v>
                </c:pt>
                <c:pt idx="3">
                  <c:v>44550</c:v>
                </c:pt>
                <c:pt idx="4">
                  <c:v>44550</c:v>
                </c:pt>
                <c:pt idx="5">
                  <c:v>44550</c:v>
                </c:pt>
                <c:pt idx="6">
                  <c:v>44550</c:v>
                </c:pt>
                <c:pt idx="7">
                  <c:v>44550</c:v>
                </c:pt>
                <c:pt idx="8">
                  <c:v>44550</c:v>
                </c:pt>
                <c:pt idx="9">
                  <c:v>44550</c:v>
                </c:pt>
                <c:pt idx="10">
                  <c:v>44550</c:v>
                </c:pt>
                <c:pt idx="11">
                  <c:v>44550</c:v>
                </c:pt>
              </c:numCache>
            </c:numRef>
          </c:cat>
          <c:val>
            <c:numRef>
              <c:f>'old - not use'!$X$7:$X$18</c:f>
              <c:numCache>
                <c:formatCode>0.0%</c:formatCode>
                <c:ptCount val="12"/>
                <c:pt idx="0">
                  <c:v>2.3E-2</c:v>
                </c:pt>
                <c:pt idx="1">
                  <c:v>2.1000000000000001E-2</c:v>
                </c:pt>
                <c:pt idx="2">
                  <c:v>6.0000000000000001E-3</c:v>
                </c:pt>
                <c:pt idx="3">
                  <c:v>6.0000000000000001E-3</c:v>
                </c:pt>
                <c:pt idx="4">
                  <c:v>6.0000000000000001E-3</c:v>
                </c:pt>
                <c:pt idx="5">
                  <c:v>6.0000000000000001E-3</c:v>
                </c:pt>
                <c:pt idx="6">
                  <c:v>6.0000000000000001E-3</c:v>
                </c:pt>
                <c:pt idx="7">
                  <c:v>6.0000000000000001E-3</c:v>
                </c:pt>
                <c:pt idx="8">
                  <c:v>6.0000000000000001E-3</c:v>
                </c:pt>
                <c:pt idx="9">
                  <c:v>6.0000000000000001E-3</c:v>
                </c:pt>
                <c:pt idx="10">
                  <c:v>6.0000000000000001E-3</c:v>
                </c:pt>
                <c:pt idx="11">
                  <c:v>6.0000000000000001E-3</c:v>
                </c:pt>
              </c:numCache>
            </c:numRef>
          </c:val>
          <c:smooth val="0"/>
          <c:extLst>
            <c:ext xmlns:c16="http://schemas.microsoft.com/office/drawing/2014/chart" uri="{C3380CC4-5D6E-409C-BE32-E72D297353CC}">
              <c16:uniqueId val="{00000015-CB8E-4E8F-9802-A28E6D62A051}"/>
            </c:ext>
          </c:extLst>
        </c:ser>
        <c:ser>
          <c:idx val="22"/>
          <c:order val="22"/>
          <c:tx>
            <c:strRef>
              <c:f>'old - not use'!$Y$6</c:f>
              <c:strCache>
                <c:ptCount val="1"/>
                <c:pt idx="0">
                  <c:v>PAGE WC TOT</c:v>
                </c:pt>
              </c:strCache>
            </c:strRef>
          </c:tx>
          <c:spPr>
            <a:ln w="28575" cap="rnd">
              <a:solidFill>
                <a:schemeClr val="accent1"/>
              </a:solidFill>
              <a:round/>
            </a:ln>
            <a:effectLst/>
          </c:spPr>
          <c:marker>
            <c:symbol val="none"/>
          </c:marker>
          <c:cat>
            <c:numRef>
              <c:f>'old - not use'!$B$7:$B$18</c:f>
              <c:numCache>
                <c:formatCode>mmm\-yy</c:formatCode>
                <c:ptCount val="12"/>
                <c:pt idx="0">
                  <c:v>44489</c:v>
                </c:pt>
                <c:pt idx="1">
                  <c:v>44520</c:v>
                </c:pt>
                <c:pt idx="2">
                  <c:v>44550</c:v>
                </c:pt>
                <c:pt idx="3">
                  <c:v>44550</c:v>
                </c:pt>
                <c:pt idx="4">
                  <c:v>44550</c:v>
                </c:pt>
                <c:pt idx="5">
                  <c:v>44550</c:v>
                </c:pt>
                <c:pt idx="6">
                  <c:v>44550</c:v>
                </c:pt>
                <c:pt idx="7">
                  <c:v>44550</c:v>
                </c:pt>
                <c:pt idx="8">
                  <c:v>44550</c:v>
                </c:pt>
                <c:pt idx="9">
                  <c:v>44550</c:v>
                </c:pt>
                <c:pt idx="10">
                  <c:v>44550</c:v>
                </c:pt>
                <c:pt idx="11">
                  <c:v>44550</c:v>
                </c:pt>
              </c:numCache>
            </c:numRef>
          </c:cat>
          <c:val>
            <c:numRef>
              <c:f>'old - not use'!$Y$7:$Y$18</c:f>
              <c:numCache>
                <c:formatCode>0.0%</c:formatCode>
                <c:ptCount val="12"/>
                <c:pt idx="0">
                  <c:v>7.0000000000000007E-2</c:v>
                </c:pt>
                <c:pt idx="1">
                  <c:v>4.3999999999999997E-2</c:v>
                </c:pt>
                <c:pt idx="2">
                  <c:v>3.3000000000000002E-2</c:v>
                </c:pt>
                <c:pt idx="3">
                  <c:v>3.3000000000000002E-2</c:v>
                </c:pt>
                <c:pt idx="4">
                  <c:v>3.3000000000000002E-2</c:v>
                </c:pt>
                <c:pt idx="5">
                  <c:v>3.3000000000000002E-2</c:v>
                </c:pt>
                <c:pt idx="6">
                  <c:v>3.3000000000000002E-2</c:v>
                </c:pt>
                <c:pt idx="7">
                  <c:v>3.3000000000000002E-2</c:v>
                </c:pt>
                <c:pt idx="8">
                  <c:v>3.3000000000000002E-2</c:v>
                </c:pt>
                <c:pt idx="9">
                  <c:v>3.3000000000000002E-2</c:v>
                </c:pt>
                <c:pt idx="10">
                  <c:v>3.3000000000000002E-2</c:v>
                </c:pt>
                <c:pt idx="11">
                  <c:v>3.3000000000000002E-2</c:v>
                </c:pt>
              </c:numCache>
            </c:numRef>
          </c:val>
          <c:smooth val="0"/>
          <c:extLst>
            <c:ext xmlns:c16="http://schemas.microsoft.com/office/drawing/2014/chart" uri="{C3380CC4-5D6E-409C-BE32-E72D297353CC}">
              <c16:uniqueId val="{00000016-CB8E-4E8F-9802-A28E6D62A051}"/>
            </c:ext>
          </c:extLst>
        </c:ser>
        <c:ser>
          <c:idx val="23"/>
          <c:order val="23"/>
          <c:tx>
            <c:strRef>
              <c:f>'old - not use'!$Z$6</c:f>
              <c:strCache>
                <c:ptCount val="1"/>
                <c:pt idx="0">
                  <c:v>PAGE BC TOT</c:v>
                </c:pt>
              </c:strCache>
            </c:strRef>
          </c:tx>
          <c:spPr>
            <a:ln w="28575" cap="rnd">
              <a:solidFill>
                <a:schemeClr val="accent1">
                  <a:lumMod val="40000"/>
                  <a:lumOff val="60000"/>
                </a:schemeClr>
              </a:solidFill>
              <a:round/>
            </a:ln>
            <a:effectLst/>
          </c:spPr>
          <c:marker>
            <c:symbol val="none"/>
          </c:marker>
          <c:cat>
            <c:numRef>
              <c:f>'old - not use'!$B$7:$B$18</c:f>
              <c:numCache>
                <c:formatCode>mmm\-yy</c:formatCode>
                <c:ptCount val="12"/>
                <c:pt idx="0">
                  <c:v>44489</c:v>
                </c:pt>
                <c:pt idx="1">
                  <c:v>44520</c:v>
                </c:pt>
                <c:pt idx="2">
                  <c:v>44550</c:v>
                </c:pt>
                <c:pt idx="3">
                  <c:v>44550</c:v>
                </c:pt>
                <c:pt idx="4">
                  <c:v>44550</c:v>
                </c:pt>
                <c:pt idx="5">
                  <c:v>44550</c:v>
                </c:pt>
                <c:pt idx="6">
                  <c:v>44550</c:v>
                </c:pt>
                <c:pt idx="7">
                  <c:v>44550</c:v>
                </c:pt>
                <c:pt idx="8">
                  <c:v>44550</c:v>
                </c:pt>
                <c:pt idx="9">
                  <c:v>44550</c:v>
                </c:pt>
                <c:pt idx="10">
                  <c:v>44550</c:v>
                </c:pt>
                <c:pt idx="11">
                  <c:v>44550</c:v>
                </c:pt>
              </c:numCache>
            </c:numRef>
          </c:cat>
          <c:val>
            <c:numRef>
              <c:f>'old - not use'!$Z$7:$Z$18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17-CB8E-4E8F-9802-A28E6D62A051}"/>
            </c:ext>
          </c:extLst>
        </c:ser>
        <c:ser>
          <c:idx val="24"/>
          <c:order val="24"/>
          <c:tx>
            <c:strRef>
              <c:f>'old - not use'!$AA$6</c:f>
              <c:strCache>
                <c:ptCount val="1"/>
                <c:pt idx="0">
                  <c:v>PAIN WC ST</c:v>
                </c:pt>
              </c:strCache>
            </c:strRef>
          </c:tx>
          <c:spPr>
            <a:ln w="28575" cap="rnd">
              <a:solidFill>
                <a:srgbClr val="CC3399"/>
              </a:solidFill>
              <a:round/>
            </a:ln>
            <a:effectLst/>
          </c:spPr>
          <c:marker>
            <c:symbol val="none"/>
          </c:marker>
          <c:cat>
            <c:numRef>
              <c:f>'old - not use'!$B$7:$B$18</c:f>
              <c:numCache>
                <c:formatCode>mmm\-yy</c:formatCode>
                <c:ptCount val="12"/>
                <c:pt idx="0">
                  <c:v>44489</c:v>
                </c:pt>
                <c:pt idx="1">
                  <c:v>44520</c:v>
                </c:pt>
                <c:pt idx="2">
                  <c:v>44550</c:v>
                </c:pt>
                <c:pt idx="3">
                  <c:v>44550</c:v>
                </c:pt>
                <c:pt idx="4">
                  <c:v>44550</c:v>
                </c:pt>
                <c:pt idx="5">
                  <c:v>44550</c:v>
                </c:pt>
                <c:pt idx="6">
                  <c:v>44550</c:v>
                </c:pt>
                <c:pt idx="7">
                  <c:v>44550</c:v>
                </c:pt>
                <c:pt idx="8">
                  <c:v>44550</c:v>
                </c:pt>
                <c:pt idx="9">
                  <c:v>44550</c:v>
                </c:pt>
                <c:pt idx="10">
                  <c:v>44550</c:v>
                </c:pt>
                <c:pt idx="11">
                  <c:v>44550</c:v>
                </c:pt>
              </c:numCache>
            </c:numRef>
          </c:cat>
          <c:val>
            <c:numRef>
              <c:f>'old - not use'!$AA$7:$AA$18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18-CB8E-4E8F-9802-A28E6D62A051}"/>
            </c:ext>
          </c:extLst>
        </c:ser>
        <c:ser>
          <c:idx val="25"/>
          <c:order val="25"/>
          <c:tx>
            <c:strRef>
              <c:f>'old - not use'!$AB$6</c:f>
              <c:strCache>
                <c:ptCount val="1"/>
                <c:pt idx="0">
                  <c:v>PAIN BC ST</c:v>
                </c:pt>
              </c:strCache>
            </c:strRef>
          </c:tx>
          <c:spPr>
            <a:ln w="28575" cap="rnd">
              <a:solidFill>
                <a:schemeClr val="accent2">
                  <a:lumMod val="60000"/>
                  <a:lumOff val="40000"/>
                </a:schemeClr>
              </a:solidFill>
              <a:round/>
            </a:ln>
            <a:effectLst/>
          </c:spPr>
          <c:marker>
            <c:symbol val="none"/>
          </c:marker>
          <c:cat>
            <c:numRef>
              <c:f>'old - not use'!$B$7:$B$18</c:f>
              <c:numCache>
                <c:formatCode>mmm\-yy</c:formatCode>
                <c:ptCount val="12"/>
                <c:pt idx="0">
                  <c:v>44489</c:v>
                </c:pt>
                <c:pt idx="1">
                  <c:v>44520</c:v>
                </c:pt>
                <c:pt idx="2">
                  <c:v>44550</c:v>
                </c:pt>
                <c:pt idx="3">
                  <c:v>44550</c:v>
                </c:pt>
                <c:pt idx="4">
                  <c:v>44550</c:v>
                </c:pt>
                <c:pt idx="5">
                  <c:v>44550</c:v>
                </c:pt>
                <c:pt idx="6">
                  <c:v>44550</c:v>
                </c:pt>
                <c:pt idx="7">
                  <c:v>44550</c:v>
                </c:pt>
                <c:pt idx="8">
                  <c:v>44550</c:v>
                </c:pt>
                <c:pt idx="9">
                  <c:v>44550</c:v>
                </c:pt>
                <c:pt idx="10">
                  <c:v>44550</c:v>
                </c:pt>
                <c:pt idx="11">
                  <c:v>44550</c:v>
                </c:pt>
              </c:numCache>
            </c:numRef>
          </c:cat>
          <c:val>
            <c:numRef>
              <c:f>'old - not use'!$AB$7:$AB$18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19-CB8E-4E8F-9802-A28E6D62A051}"/>
            </c:ext>
          </c:extLst>
        </c:ser>
        <c:ser>
          <c:idx val="26"/>
          <c:order val="26"/>
          <c:tx>
            <c:strRef>
              <c:f>'old - not use'!$AC$6</c:f>
              <c:strCache>
                <c:ptCount val="1"/>
                <c:pt idx="0">
                  <c:v>PAIN WC LT</c:v>
                </c:pt>
              </c:strCache>
            </c:strRef>
          </c:tx>
          <c:spPr>
            <a:ln w="28575" cap="rnd">
              <a:solidFill>
                <a:srgbClr val="CC0000"/>
              </a:solidFill>
              <a:round/>
            </a:ln>
            <a:effectLst/>
          </c:spPr>
          <c:marker>
            <c:symbol val="none"/>
          </c:marker>
          <c:cat>
            <c:numRef>
              <c:f>'old - not use'!$B$7:$B$18</c:f>
              <c:numCache>
                <c:formatCode>mmm\-yy</c:formatCode>
                <c:ptCount val="12"/>
                <c:pt idx="0">
                  <c:v>44489</c:v>
                </c:pt>
                <c:pt idx="1">
                  <c:v>44520</c:v>
                </c:pt>
                <c:pt idx="2">
                  <c:v>44550</c:v>
                </c:pt>
                <c:pt idx="3">
                  <c:v>44550</c:v>
                </c:pt>
                <c:pt idx="4">
                  <c:v>44550</c:v>
                </c:pt>
                <c:pt idx="5">
                  <c:v>44550</c:v>
                </c:pt>
                <c:pt idx="6">
                  <c:v>44550</c:v>
                </c:pt>
                <c:pt idx="7">
                  <c:v>44550</c:v>
                </c:pt>
                <c:pt idx="8">
                  <c:v>44550</c:v>
                </c:pt>
                <c:pt idx="9">
                  <c:v>44550</c:v>
                </c:pt>
                <c:pt idx="10">
                  <c:v>44550</c:v>
                </c:pt>
                <c:pt idx="11">
                  <c:v>44550</c:v>
                </c:pt>
              </c:numCache>
            </c:numRef>
          </c:cat>
          <c:val>
            <c:numRef>
              <c:f>'old - not use'!$AC$7:$AC$18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1A-CB8E-4E8F-9802-A28E6D62A051}"/>
            </c:ext>
          </c:extLst>
        </c:ser>
        <c:ser>
          <c:idx val="27"/>
          <c:order val="27"/>
          <c:tx>
            <c:strRef>
              <c:f>'old - not use'!$AD$6</c:f>
              <c:strCache>
                <c:ptCount val="1"/>
                <c:pt idx="0">
                  <c:v>PAIN BC LT</c:v>
                </c:pt>
              </c:strCache>
            </c:strRef>
          </c:tx>
          <c:spPr>
            <a:ln w="28575" cap="rnd">
              <a:solidFill>
                <a:schemeClr val="accent4">
                  <a:lumMod val="60000"/>
                  <a:lumOff val="40000"/>
                </a:schemeClr>
              </a:solidFill>
              <a:round/>
            </a:ln>
            <a:effectLst/>
          </c:spPr>
          <c:marker>
            <c:symbol val="none"/>
          </c:marker>
          <c:cat>
            <c:numRef>
              <c:f>'old - not use'!$B$7:$B$18</c:f>
              <c:numCache>
                <c:formatCode>mmm\-yy</c:formatCode>
                <c:ptCount val="12"/>
                <c:pt idx="0">
                  <c:v>44489</c:v>
                </c:pt>
                <c:pt idx="1">
                  <c:v>44520</c:v>
                </c:pt>
                <c:pt idx="2">
                  <c:v>44550</c:v>
                </c:pt>
                <c:pt idx="3">
                  <c:v>44550</c:v>
                </c:pt>
                <c:pt idx="4">
                  <c:v>44550</c:v>
                </c:pt>
                <c:pt idx="5">
                  <c:v>44550</c:v>
                </c:pt>
                <c:pt idx="6">
                  <c:v>44550</c:v>
                </c:pt>
                <c:pt idx="7">
                  <c:v>44550</c:v>
                </c:pt>
                <c:pt idx="8">
                  <c:v>44550</c:v>
                </c:pt>
                <c:pt idx="9">
                  <c:v>44550</c:v>
                </c:pt>
                <c:pt idx="10">
                  <c:v>44550</c:v>
                </c:pt>
                <c:pt idx="11">
                  <c:v>44550</c:v>
                </c:pt>
              </c:numCache>
            </c:numRef>
          </c:cat>
          <c:val>
            <c:numRef>
              <c:f>'old - not use'!$AD$7:$AD$18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1B-CB8E-4E8F-9802-A28E6D62A051}"/>
            </c:ext>
          </c:extLst>
        </c:ser>
        <c:ser>
          <c:idx val="28"/>
          <c:order val="28"/>
          <c:tx>
            <c:strRef>
              <c:f>'old - not use'!$AE$6</c:f>
              <c:strCache>
                <c:ptCount val="1"/>
                <c:pt idx="0">
                  <c:v>PAIN WC TOT</c:v>
                </c:pt>
              </c:strCache>
            </c:strRef>
          </c:tx>
          <c:spPr>
            <a:ln w="28575" cap="rnd">
              <a:solidFill>
                <a:srgbClr val="FF99FF"/>
              </a:solidFill>
              <a:round/>
            </a:ln>
            <a:effectLst/>
          </c:spPr>
          <c:marker>
            <c:symbol val="none"/>
          </c:marker>
          <c:cat>
            <c:numRef>
              <c:f>'old - not use'!$B$7:$B$18</c:f>
              <c:numCache>
                <c:formatCode>mmm\-yy</c:formatCode>
                <c:ptCount val="12"/>
                <c:pt idx="0">
                  <c:v>44489</c:v>
                </c:pt>
                <c:pt idx="1">
                  <c:v>44520</c:v>
                </c:pt>
                <c:pt idx="2">
                  <c:v>44550</c:v>
                </c:pt>
                <c:pt idx="3">
                  <c:v>44550</c:v>
                </c:pt>
                <c:pt idx="4">
                  <c:v>44550</c:v>
                </c:pt>
                <c:pt idx="5">
                  <c:v>44550</c:v>
                </c:pt>
                <c:pt idx="6">
                  <c:v>44550</c:v>
                </c:pt>
                <c:pt idx="7">
                  <c:v>44550</c:v>
                </c:pt>
                <c:pt idx="8">
                  <c:v>44550</c:v>
                </c:pt>
                <c:pt idx="9">
                  <c:v>44550</c:v>
                </c:pt>
                <c:pt idx="10">
                  <c:v>44550</c:v>
                </c:pt>
                <c:pt idx="11">
                  <c:v>44550</c:v>
                </c:pt>
              </c:numCache>
            </c:numRef>
          </c:cat>
          <c:val>
            <c:numRef>
              <c:f>'old - not use'!$AE$7:$AE$18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1C-CB8E-4E8F-9802-A28E6D62A051}"/>
            </c:ext>
          </c:extLst>
        </c:ser>
        <c:ser>
          <c:idx val="29"/>
          <c:order val="29"/>
          <c:tx>
            <c:strRef>
              <c:f>'old - not use'!$AF$6</c:f>
              <c:strCache>
                <c:ptCount val="1"/>
                <c:pt idx="0">
                  <c:v>PAIN BC TOT</c:v>
                </c:pt>
              </c:strCache>
            </c:strRef>
          </c:tx>
          <c:spPr>
            <a:ln w="28575" cap="rnd">
              <a:solidFill>
                <a:srgbClr val="7030A0"/>
              </a:solidFill>
              <a:round/>
            </a:ln>
            <a:effectLst/>
          </c:spPr>
          <c:marker>
            <c:symbol val="none"/>
          </c:marker>
          <c:cat>
            <c:numRef>
              <c:f>'old - not use'!$B$7:$B$18</c:f>
              <c:numCache>
                <c:formatCode>mmm\-yy</c:formatCode>
                <c:ptCount val="12"/>
                <c:pt idx="0">
                  <c:v>44489</c:v>
                </c:pt>
                <c:pt idx="1">
                  <c:v>44520</c:v>
                </c:pt>
                <c:pt idx="2">
                  <c:v>44550</c:v>
                </c:pt>
                <c:pt idx="3">
                  <c:v>44550</c:v>
                </c:pt>
                <c:pt idx="4">
                  <c:v>44550</c:v>
                </c:pt>
                <c:pt idx="5">
                  <c:v>44550</c:v>
                </c:pt>
                <c:pt idx="6">
                  <c:v>44550</c:v>
                </c:pt>
                <c:pt idx="7">
                  <c:v>44550</c:v>
                </c:pt>
                <c:pt idx="8">
                  <c:v>44550</c:v>
                </c:pt>
                <c:pt idx="9">
                  <c:v>44550</c:v>
                </c:pt>
                <c:pt idx="10">
                  <c:v>44550</c:v>
                </c:pt>
                <c:pt idx="11">
                  <c:v>44550</c:v>
                </c:pt>
              </c:numCache>
            </c:numRef>
          </c:cat>
          <c:val>
            <c:numRef>
              <c:f>'old - not use'!$AF$7:$AF$18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1D-CB8E-4E8F-9802-A28E6D62A051}"/>
            </c:ext>
          </c:extLst>
        </c:ser>
        <c:dLbls>
          <c:showLegendKey val="0"/>
          <c:showVal val="0"/>
          <c:showCatName val="0"/>
          <c:showSerName val="0"/>
          <c:showPercent val="0"/>
          <c:showBubbleSize val="0"/>
        </c:dLbls>
        <c:smooth val="0"/>
        <c:axId val="380676560"/>
        <c:axId val="380671640"/>
      </c:lineChart>
      <c:dateAx>
        <c:axId val="380676560"/>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380671640"/>
        <c:crosses val="autoZero"/>
        <c:auto val="1"/>
        <c:lblOffset val="100"/>
        <c:baseTimeUnit val="months"/>
      </c:dateAx>
      <c:valAx>
        <c:axId val="3806716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380676560"/>
        <c:crosses val="autoZero"/>
        <c:crossBetween val="between"/>
      </c:valAx>
      <c:spPr>
        <a:noFill/>
        <a:ln>
          <a:noFill/>
        </a:ln>
        <a:effectLst/>
      </c:spPr>
    </c:plotArea>
    <c:legend>
      <c:legendPos val="b"/>
      <c:layout>
        <c:manualLayout>
          <c:xMode val="edge"/>
          <c:yMode val="edge"/>
          <c:x val="0.11292571862252158"/>
          <c:y val="0.83333223972003501"/>
          <c:w val="0.73900800050596072"/>
          <c:h val="0.152778871391076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noFill/>
      <a:round/>
    </a:ln>
    <a:effectLst/>
  </c:spPr>
  <c:txPr>
    <a:bodyPr/>
    <a:lstStyle/>
    <a:p>
      <a:pPr>
        <a:defRPr/>
      </a:pPr>
      <a:endParaRPr lang="sv-S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PARA -</a:t>
            </a:r>
            <a:r>
              <a:rPr lang="sv-SE" baseline="0"/>
              <a:t> Short Term sickleave</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'Input from HR monthly'!$Q$5</c:f>
              <c:strCache>
                <c:ptCount val="1"/>
                <c:pt idx="0">
                  <c:v>WC ST</c:v>
                </c:pt>
              </c:strCache>
            </c:strRef>
          </c:tx>
          <c:spPr>
            <a:ln w="28575" cap="rnd">
              <a:solidFill>
                <a:schemeClr val="accent1"/>
              </a:solidFill>
              <a:round/>
            </a:ln>
            <a:effectLst/>
          </c:spPr>
          <c:marker>
            <c:symbol val="none"/>
          </c:marker>
          <c:cat>
            <c:strRef>
              <c:f>'Input from HR monthly'!$P$6:$P$70</c:f>
              <c:strCache>
                <c:ptCount val="17"/>
                <c:pt idx="0">
                  <c:v>Feb-24</c:v>
                </c:pt>
                <c:pt idx="1">
                  <c:v>Mar-25</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monthly'!$Q$6:$Q$70</c:f>
              <c:numCache>
                <c:formatCode>0.0%</c:formatCode>
                <c:ptCount val="17"/>
                <c:pt idx="0">
                  <c:v>0.01</c:v>
                </c:pt>
                <c:pt idx="1">
                  <c:v>2E-3</c:v>
                </c:pt>
                <c:pt idx="2">
                  <c:v>0.02</c:v>
                </c:pt>
                <c:pt idx="3">
                  <c:v>5.0000000000000001E-3</c:v>
                </c:pt>
                <c:pt idx="4">
                  <c:v>1.4999999999999999E-2</c:v>
                </c:pt>
                <c:pt idx="5">
                  <c:v>8.9999999999999993E-3</c:v>
                </c:pt>
                <c:pt idx="6">
                  <c:v>2.5999999999999999E-2</c:v>
                </c:pt>
                <c:pt idx="7">
                  <c:v>2.1999999999999999E-2</c:v>
                </c:pt>
                <c:pt idx="8">
                  <c:v>2.7E-2</c:v>
                </c:pt>
                <c:pt idx="9">
                  <c:v>1.4999999999999999E-2</c:v>
                </c:pt>
                <c:pt idx="10">
                  <c:v>8.9999999999999993E-3</c:v>
                </c:pt>
                <c:pt idx="11">
                  <c:v>8.0000000000000002E-3</c:v>
                </c:pt>
                <c:pt idx="12">
                  <c:v>2.5000000000000001E-2</c:v>
                </c:pt>
                <c:pt idx="13">
                  <c:v>4.0000000000000001E-3</c:v>
                </c:pt>
                <c:pt idx="14" formatCode="0.00%">
                  <c:v>2.4E-2</c:v>
                </c:pt>
                <c:pt idx="15" formatCode="0.00%">
                  <c:v>2.3E-2</c:v>
                </c:pt>
              </c:numCache>
            </c:numRef>
          </c:val>
          <c:smooth val="0"/>
          <c:extLst>
            <c:ext xmlns:c16="http://schemas.microsoft.com/office/drawing/2014/chart" uri="{C3380CC4-5D6E-409C-BE32-E72D297353CC}">
              <c16:uniqueId val="{00000000-14A7-47D6-9287-E5D11F998205}"/>
            </c:ext>
          </c:extLst>
        </c:ser>
        <c:ser>
          <c:idx val="1"/>
          <c:order val="1"/>
          <c:tx>
            <c:strRef>
              <c:f>'Input from HR monthly'!$R$5</c:f>
              <c:strCache>
                <c:ptCount val="1"/>
                <c:pt idx="0">
                  <c:v>BC ST</c:v>
                </c:pt>
              </c:strCache>
            </c:strRef>
          </c:tx>
          <c:spPr>
            <a:ln w="28575" cap="rnd">
              <a:solidFill>
                <a:schemeClr val="accent2"/>
              </a:solidFill>
              <a:round/>
            </a:ln>
            <a:effectLst/>
          </c:spPr>
          <c:marker>
            <c:symbol val="none"/>
          </c:marker>
          <c:cat>
            <c:strRef>
              <c:f>'Input from HR monthly'!$P$6:$P$70</c:f>
              <c:strCache>
                <c:ptCount val="17"/>
                <c:pt idx="0">
                  <c:v>Feb-24</c:v>
                </c:pt>
                <c:pt idx="1">
                  <c:v>Mar-25</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monthly'!$R$6:$R$70</c:f>
              <c:numCache>
                <c:formatCode>0.0%</c:formatCode>
                <c:ptCount val="17"/>
                <c:pt idx="0">
                  <c:v>0.04</c:v>
                </c:pt>
                <c:pt idx="1">
                  <c:v>3.4000000000000002E-2</c:v>
                </c:pt>
                <c:pt idx="2">
                  <c:v>3.5000000000000003E-2</c:v>
                </c:pt>
                <c:pt idx="3">
                  <c:v>1.7999999999999999E-2</c:v>
                </c:pt>
                <c:pt idx="4">
                  <c:v>3.4000000000000002E-2</c:v>
                </c:pt>
                <c:pt idx="5">
                  <c:v>0.02</c:v>
                </c:pt>
                <c:pt idx="6">
                  <c:v>2.5000000000000001E-2</c:v>
                </c:pt>
                <c:pt idx="7">
                  <c:v>0.03</c:v>
                </c:pt>
                <c:pt idx="8">
                  <c:v>3.3000000000000002E-2</c:v>
                </c:pt>
                <c:pt idx="9">
                  <c:v>4.2999999999999997E-2</c:v>
                </c:pt>
                <c:pt idx="10">
                  <c:v>2.1000000000000001E-2</c:v>
                </c:pt>
                <c:pt idx="11">
                  <c:v>4.5999999999999999E-2</c:v>
                </c:pt>
                <c:pt idx="12">
                  <c:v>4.9000000000000002E-2</c:v>
                </c:pt>
                <c:pt idx="13">
                  <c:v>2.9000000000000001E-2</c:v>
                </c:pt>
                <c:pt idx="14" formatCode="0.00%">
                  <c:v>2.4E-2</c:v>
                </c:pt>
                <c:pt idx="15" formatCode="0.00%">
                  <c:v>0.02</c:v>
                </c:pt>
              </c:numCache>
            </c:numRef>
          </c:val>
          <c:smooth val="0"/>
          <c:extLst>
            <c:ext xmlns:c16="http://schemas.microsoft.com/office/drawing/2014/chart" uri="{C3380CC4-5D6E-409C-BE32-E72D297353CC}">
              <c16:uniqueId val="{00000001-14A7-47D6-9287-E5D11F998205}"/>
            </c:ext>
          </c:extLst>
        </c:ser>
        <c:ser>
          <c:idx val="2"/>
          <c:order val="2"/>
          <c:tx>
            <c:strRef>
              <c:f>'Input from HR monthly'!$S$5</c:f>
              <c:strCache>
                <c:ptCount val="1"/>
                <c:pt idx="0">
                  <c:v>ST Target</c:v>
                </c:pt>
              </c:strCache>
            </c:strRef>
          </c:tx>
          <c:spPr>
            <a:ln w="28575" cap="rnd">
              <a:solidFill>
                <a:schemeClr val="accent3"/>
              </a:solidFill>
              <a:round/>
            </a:ln>
            <a:effectLst/>
          </c:spPr>
          <c:marker>
            <c:symbol val="none"/>
          </c:marker>
          <c:cat>
            <c:strRef>
              <c:f>'Input from HR monthly'!$P$6:$P$70</c:f>
              <c:strCache>
                <c:ptCount val="17"/>
                <c:pt idx="0">
                  <c:v>Feb-24</c:v>
                </c:pt>
                <c:pt idx="1">
                  <c:v>Mar-25</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monthly'!$S$6:$S$70</c:f>
              <c:numCache>
                <c:formatCode>0.0%</c:formatCode>
                <c:ptCount val="17"/>
                <c:pt idx="0">
                  <c:v>0.04</c:v>
                </c:pt>
                <c:pt idx="1">
                  <c:v>0.04</c:v>
                </c:pt>
                <c:pt idx="2">
                  <c:v>0.04</c:v>
                </c:pt>
                <c:pt idx="3">
                  <c:v>0.04</c:v>
                </c:pt>
                <c:pt idx="4">
                  <c:v>0.04</c:v>
                </c:pt>
                <c:pt idx="5">
                  <c:v>0.04</c:v>
                </c:pt>
                <c:pt idx="6">
                  <c:v>0.04</c:v>
                </c:pt>
                <c:pt idx="7">
                  <c:v>0.04</c:v>
                </c:pt>
                <c:pt idx="8">
                  <c:v>0.04</c:v>
                </c:pt>
                <c:pt idx="9">
                  <c:v>0.04</c:v>
                </c:pt>
                <c:pt idx="10">
                  <c:v>0.04</c:v>
                </c:pt>
                <c:pt idx="11">
                  <c:v>0.04</c:v>
                </c:pt>
                <c:pt idx="12">
                  <c:v>0.04</c:v>
                </c:pt>
                <c:pt idx="13">
                  <c:v>0.04</c:v>
                </c:pt>
                <c:pt idx="14">
                  <c:v>0.04</c:v>
                </c:pt>
                <c:pt idx="15">
                  <c:v>0.04</c:v>
                </c:pt>
                <c:pt idx="16">
                  <c:v>0.04</c:v>
                </c:pt>
              </c:numCache>
            </c:numRef>
          </c:val>
          <c:smooth val="0"/>
          <c:extLst>
            <c:ext xmlns:c16="http://schemas.microsoft.com/office/drawing/2014/chart" uri="{C3380CC4-5D6E-409C-BE32-E72D297353CC}">
              <c16:uniqueId val="{00000002-14A7-47D6-9287-E5D11F998205}"/>
            </c:ext>
          </c:extLst>
        </c:ser>
        <c:dLbls>
          <c:showLegendKey val="0"/>
          <c:showVal val="0"/>
          <c:showCatName val="0"/>
          <c:showSerName val="0"/>
          <c:showPercent val="0"/>
          <c:showBubbleSize val="0"/>
        </c:dLbls>
        <c:smooth val="0"/>
        <c:axId val="183099088"/>
        <c:axId val="183098128"/>
      </c:lineChart>
      <c:catAx>
        <c:axId val="18309908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83098128"/>
        <c:crosses val="autoZero"/>
        <c:auto val="0"/>
        <c:lblAlgn val="ctr"/>
        <c:lblOffset val="100"/>
        <c:noMultiLvlLbl val="0"/>
      </c:catAx>
      <c:valAx>
        <c:axId val="183098128"/>
        <c:scaling>
          <c:orientation val="minMax"/>
          <c:max val="9.0000000000000024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83099088"/>
        <c:crosses val="autoZero"/>
        <c:crossBetween val="between"/>
        <c:majorUnit val="1.0000000000000002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PAGE - Short Term sickleave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'Input from HR monthly'!$X$5</c:f>
              <c:strCache>
                <c:ptCount val="1"/>
                <c:pt idx="0">
                  <c:v>WC ST</c:v>
                </c:pt>
              </c:strCache>
            </c:strRef>
          </c:tx>
          <c:spPr>
            <a:ln w="28575" cap="rnd">
              <a:solidFill>
                <a:schemeClr val="accent1"/>
              </a:solidFill>
              <a:round/>
            </a:ln>
            <a:effectLst/>
          </c:spPr>
          <c:marker>
            <c:symbol val="none"/>
          </c:marker>
          <c:cat>
            <c:strRef>
              <c:f>'Input from HR monthly'!$W$9:$W$70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monthly'!$X$9:$X$70</c:f>
              <c:numCache>
                <c:formatCode>0.0%</c:formatCode>
                <c:ptCount val="17"/>
                <c:pt idx="0">
                  <c:v>1.9E-2</c:v>
                </c:pt>
                <c:pt idx="1">
                  <c:v>1.0999999999999999E-2</c:v>
                </c:pt>
                <c:pt idx="2">
                  <c:v>0.03</c:v>
                </c:pt>
                <c:pt idx="3">
                  <c:v>5.0000000000000001E-3</c:v>
                </c:pt>
                <c:pt idx="4">
                  <c:v>2.8000000000000001E-2</c:v>
                </c:pt>
                <c:pt idx="5">
                  <c:v>2.7E-2</c:v>
                </c:pt>
                <c:pt idx="6">
                  <c:v>8.0000000000000002E-3</c:v>
                </c:pt>
                <c:pt idx="7">
                  <c:v>3.5999999999999997E-2</c:v>
                </c:pt>
                <c:pt idx="8">
                  <c:v>1.2E-2</c:v>
                </c:pt>
                <c:pt idx="9">
                  <c:v>2.9000000000000001E-2</c:v>
                </c:pt>
                <c:pt idx="10">
                  <c:v>0.01</c:v>
                </c:pt>
                <c:pt idx="11">
                  <c:v>2.8799999999999999E-2</c:v>
                </c:pt>
                <c:pt idx="12">
                  <c:v>4.3999999999999997E-2</c:v>
                </c:pt>
                <c:pt idx="13">
                  <c:v>0.01</c:v>
                </c:pt>
                <c:pt idx="14">
                  <c:v>1.6E-2</c:v>
                </c:pt>
                <c:pt idx="15">
                  <c:v>1.4E-2</c:v>
                </c:pt>
              </c:numCache>
            </c:numRef>
          </c:val>
          <c:smooth val="0"/>
          <c:extLst>
            <c:ext xmlns:c16="http://schemas.microsoft.com/office/drawing/2014/chart" uri="{C3380CC4-5D6E-409C-BE32-E72D297353CC}">
              <c16:uniqueId val="{00000000-228A-40F5-9437-1F7442E704C4}"/>
            </c:ext>
          </c:extLst>
        </c:ser>
        <c:ser>
          <c:idx val="1"/>
          <c:order val="1"/>
          <c:tx>
            <c:strRef>
              <c:f>'Input from HR monthly'!$Y$5</c:f>
              <c:strCache>
                <c:ptCount val="1"/>
                <c:pt idx="0">
                  <c:v>BC ST</c:v>
                </c:pt>
              </c:strCache>
            </c:strRef>
          </c:tx>
          <c:spPr>
            <a:ln w="28575" cap="rnd">
              <a:solidFill>
                <a:schemeClr val="accent2"/>
              </a:solidFill>
              <a:round/>
            </a:ln>
            <a:effectLst/>
          </c:spPr>
          <c:marker>
            <c:symbol val="none"/>
          </c:marker>
          <c:cat>
            <c:strRef>
              <c:f>'Input from HR monthly'!$W$9:$W$70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monthly'!$Y$9:$Y$70</c:f>
              <c:numCache>
                <c:formatCode>0.0%</c:formatCode>
                <c:ptCount val="17"/>
                <c:pt idx="0">
                  <c:v>5.8999999999999997E-2</c:v>
                </c:pt>
                <c:pt idx="1">
                  <c:v>5.7000000000000002E-2</c:v>
                </c:pt>
                <c:pt idx="2">
                  <c:v>3.9E-2</c:v>
                </c:pt>
                <c:pt idx="3">
                  <c:v>4.2999999999999997E-2</c:v>
                </c:pt>
                <c:pt idx="4">
                  <c:v>0.08</c:v>
                </c:pt>
                <c:pt idx="5">
                  <c:v>4.2999999999999997E-2</c:v>
                </c:pt>
                <c:pt idx="6">
                  <c:v>0.04</c:v>
                </c:pt>
                <c:pt idx="7">
                  <c:v>7.1999999999999995E-2</c:v>
                </c:pt>
                <c:pt idx="8">
                  <c:v>7.0000000000000007E-2</c:v>
                </c:pt>
                <c:pt idx="9">
                  <c:v>4.1000000000000002E-2</c:v>
                </c:pt>
                <c:pt idx="10">
                  <c:v>1.6E-2</c:v>
                </c:pt>
                <c:pt idx="11">
                  <c:v>6.0999999999999999E-2</c:v>
                </c:pt>
                <c:pt idx="12">
                  <c:v>0.06</c:v>
                </c:pt>
                <c:pt idx="13">
                  <c:v>8.3000000000000004E-2</c:v>
                </c:pt>
                <c:pt idx="14">
                  <c:v>7.5999999999999998E-2</c:v>
                </c:pt>
                <c:pt idx="15">
                  <c:v>4.4999999999999998E-2</c:v>
                </c:pt>
              </c:numCache>
            </c:numRef>
          </c:val>
          <c:smooth val="0"/>
          <c:extLst>
            <c:ext xmlns:c16="http://schemas.microsoft.com/office/drawing/2014/chart" uri="{C3380CC4-5D6E-409C-BE32-E72D297353CC}">
              <c16:uniqueId val="{00000001-228A-40F5-9437-1F7442E704C4}"/>
            </c:ext>
          </c:extLst>
        </c:ser>
        <c:ser>
          <c:idx val="2"/>
          <c:order val="2"/>
          <c:tx>
            <c:strRef>
              <c:f>'Input from HR monthly'!$Z$5</c:f>
              <c:strCache>
                <c:ptCount val="1"/>
                <c:pt idx="0">
                  <c:v>ST Target</c:v>
                </c:pt>
              </c:strCache>
            </c:strRef>
          </c:tx>
          <c:spPr>
            <a:ln w="28575" cap="rnd">
              <a:solidFill>
                <a:schemeClr val="accent3"/>
              </a:solidFill>
              <a:round/>
            </a:ln>
            <a:effectLst/>
          </c:spPr>
          <c:marker>
            <c:symbol val="none"/>
          </c:marker>
          <c:cat>
            <c:strRef>
              <c:f>'Input from HR monthly'!$W$9:$W$70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monthly'!$Z$9:$Z$70</c:f>
              <c:numCache>
                <c:formatCode>0.0%</c:formatCode>
                <c:ptCount val="17"/>
                <c:pt idx="0">
                  <c:v>0.04</c:v>
                </c:pt>
                <c:pt idx="1">
                  <c:v>0.04</c:v>
                </c:pt>
                <c:pt idx="2">
                  <c:v>0.04</c:v>
                </c:pt>
                <c:pt idx="3">
                  <c:v>0.04</c:v>
                </c:pt>
                <c:pt idx="4">
                  <c:v>0.04</c:v>
                </c:pt>
                <c:pt idx="5">
                  <c:v>0.04</c:v>
                </c:pt>
                <c:pt idx="6">
                  <c:v>0.04</c:v>
                </c:pt>
                <c:pt idx="7">
                  <c:v>0.04</c:v>
                </c:pt>
                <c:pt idx="8">
                  <c:v>0.04</c:v>
                </c:pt>
                <c:pt idx="9">
                  <c:v>0.04</c:v>
                </c:pt>
                <c:pt idx="10">
                  <c:v>0.04</c:v>
                </c:pt>
                <c:pt idx="11">
                  <c:v>0.04</c:v>
                </c:pt>
                <c:pt idx="12">
                  <c:v>0.04</c:v>
                </c:pt>
                <c:pt idx="13">
                  <c:v>0.04</c:v>
                </c:pt>
                <c:pt idx="14">
                  <c:v>0.04</c:v>
                </c:pt>
                <c:pt idx="15">
                  <c:v>0.04</c:v>
                </c:pt>
                <c:pt idx="16">
                  <c:v>0.04</c:v>
                </c:pt>
              </c:numCache>
            </c:numRef>
          </c:val>
          <c:smooth val="0"/>
          <c:extLst>
            <c:ext xmlns:c16="http://schemas.microsoft.com/office/drawing/2014/chart" uri="{C3380CC4-5D6E-409C-BE32-E72D297353CC}">
              <c16:uniqueId val="{00000002-228A-40F5-9437-1F7442E704C4}"/>
            </c:ext>
          </c:extLst>
        </c:ser>
        <c:dLbls>
          <c:showLegendKey val="0"/>
          <c:showVal val="0"/>
          <c:showCatName val="0"/>
          <c:showSerName val="0"/>
          <c:showPercent val="0"/>
          <c:showBubbleSize val="0"/>
        </c:dLbls>
        <c:smooth val="0"/>
        <c:axId val="184665488"/>
        <c:axId val="184663568"/>
      </c:lineChart>
      <c:catAx>
        <c:axId val="18466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84663568"/>
        <c:crosses val="autoZero"/>
        <c:auto val="1"/>
        <c:lblAlgn val="ctr"/>
        <c:lblOffset val="100"/>
        <c:noMultiLvlLbl val="0"/>
      </c:catAx>
      <c:valAx>
        <c:axId val="1846635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84665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PACA - Short Term sickleave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'Input from HR monthly'!$AJ$5:$AJ$29</c:f>
              <c:strCache>
                <c:ptCount val="1"/>
                <c:pt idx="0">
                  <c:v>WC ST</c:v>
                </c:pt>
              </c:strCache>
            </c:strRef>
          </c:tx>
          <c:spPr>
            <a:ln w="28575" cap="rnd">
              <a:solidFill>
                <a:schemeClr val="accent1"/>
              </a:solidFill>
              <a:round/>
            </a:ln>
            <a:effectLst/>
          </c:spPr>
          <c:marker>
            <c:symbol val="none"/>
          </c:marker>
          <c:cat>
            <c:strRef>
              <c:f>'Input from HR monthly'!$AI$30:$AI$70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monthly'!$AJ$30:$AJ$70</c:f>
              <c:numCache>
                <c:formatCode>0.0%</c:formatCode>
                <c:ptCount val="17"/>
                <c:pt idx="0">
                  <c:v>1.2800000000000001E-2</c:v>
                </c:pt>
                <c:pt idx="1">
                  <c:v>4.5199999999999997E-2</c:v>
                </c:pt>
                <c:pt idx="2" formatCode="0.00%">
                  <c:v>5.5999999999999999E-3</c:v>
                </c:pt>
                <c:pt idx="3" formatCode="0.00%">
                  <c:v>1.6E-2</c:v>
                </c:pt>
                <c:pt idx="4" formatCode="0.00%">
                  <c:v>2.75E-2</c:v>
                </c:pt>
                <c:pt idx="5" formatCode="0.00%">
                  <c:v>2.6100000000000002E-2</c:v>
                </c:pt>
                <c:pt idx="6" formatCode="0.00%">
                  <c:v>2.8000000000000001E-2</c:v>
                </c:pt>
                <c:pt idx="7" formatCode="0.00%">
                  <c:v>1.21E-2</c:v>
                </c:pt>
                <c:pt idx="8" formatCode="0.00%">
                  <c:v>3.5999999999999999E-3</c:v>
                </c:pt>
                <c:pt idx="9" formatCode="0.00%">
                  <c:v>2.2800000000000001E-2</c:v>
                </c:pt>
                <c:pt idx="10" formatCode="0.00%">
                  <c:v>8.6E-3</c:v>
                </c:pt>
                <c:pt idx="11" formatCode="0.00%">
                  <c:v>4.0399999999999998E-2</c:v>
                </c:pt>
                <c:pt idx="12" formatCode="0.00%">
                  <c:v>3.2099999999999997E-2</c:v>
                </c:pt>
                <c:pt idx="13" formatCode="0.00%">
                  <c:v>8.3999999999999995E-3</c:v>
                </c:pt>
                <c:pt idx="14" formatCode="0.00%">
                  <c:v>1.6299999999999999E-2</c:v>
                </c:pt>
                <c:pt idx="15" formatCode="0.00%">
                  <c:v>2.5999999999999999E-2</c:v>
                </c:pt>
              </c:numCache>
            </c:numRef>
          </c:val>
          <c:smooth val="0"/>
          <c:extLst>
            <c:ext xmlns:c16="http://schemas.microsoft.com/office/drawing/2014/chart" uri="{C3380CC4-5D6E-409C-BE32-E72D297353CC}">
              <c16:uniqueId val="{00000000-8D79-42E5-A552-9AC4EBFF4C42}"/>
            </c:ext>
          </c:extLst>
        </c:ser>
        <c:ser>
          <c:idx val="1"/>
          <c:order val="1"/>
          <c:tx>
            <c:strRef>
              <c:f>'Input from HR monthly'!$AK$5:$AK$29</c:f>
              <c:strCache>
                <c:ptCount val="1"/>
                <c:pt idx="0">
                  <c:v>BC ST</c:v>
                </c:pt>
              </c:strCache>
            </c:strRef>
          </c:tx>
          <c:spPr>
            <a:ln w="28575" cap="rnd">
              <a:solidFill>
                <a:schemeClr val="accent2"/>
              </a:solidFill>
              <a:round/>
            </a:ln>
            <a:effectLst/>
          </c:spPr>
          <c:marker>
            <c:symbol val="none"/>
          </c:marker>
          <c:cat>
            <c:strRef>
              <c:f>'Input from HR monthly'!$AI$30:$AI$70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monthly'!$AK$30:$AK$70</c:f>
              <c:numCache>
                <c:formatCode>0.00%</c:formatCode>
                <c:ptCount val="17"/>
                <c:pt idx="0">
                  <c:v>3.9199999999999999E-2</c:v>
                </c:pt>
                <c:pt idx="1">
                  <c:v>2.76E-2</c:v>
                </c:pt>
                <c:pt idx="2">
                  <c:v>1.32E-2</c:v>
                </c:pt>
                <c:pt idx="3">
                  <c:v>3.6600000000000001E-2</c:v>
                </c:pt>
                <c:pt idx="4">
                  <c:v>3.5200000000000002E-2</c:v>
                </c:pt>
                <c:pt idx="5">
                  <c:v>3.0200000000000001E-2</c:v>
                </c:pt>
                <c:pt idx="6">
                  <c:v>9.7199999999999995E-2</c:v>
                </c:pt>
                <c:pt idx="7">
                  <c:v>1.7500000000000002E-2</c:v>
                </c:pt>
                <c:pt idx="8">
                  <c:v>1.35E-2</c:v>
                </c:pt>
                <c:pt idx="9">
                  <c:v>1.12E-2</c:v>
                </c:pt>
                <c:pt idx="10">
                  <c:v>6.8400000000000002E-2</c:v>
                </c:pt>
                <c:pt idx="11">
                  <c:v>4.02E-2</c:v>
                </c:pt>
                <c:pt idx="12">
                  <c:v>2.7799999999999998E-2</c:v>
                </c:pt>
                <c:pt idx="13">
                  <c:v>2.5100000000000001E-2</c:v>
                </c:pt>
                <c:pt idx="14">
                  <c:v>3.7699999999999997E-2</c:v>
                </c:pt>
                <c:pt idx="15">
                  <c:v>3.2099999999999997E-2</c:v>
                </c:pt>
              </c:numCache>
            </c:numRef>
          </c:val>
          <c:smooth val="0"/>
          <c:extLst>
            <c:ext xmlns:c16="http://schemas.microsoft.com/office/drawing/2014/chart" uri="{C3380CC4-5D6E-409C-BE32-E72D297353CC}">
              <c16:uniqueId val="{00000001-8D79-42E5-A552-9AC4EBFF4C42}"/>
            </c:ext>
          </c:extLst>
        </c:ser>
        <c:ser>
          <c:idx val="2"/>
          <c:order val="2"/>
          <c:tx>
            <c:strRef>
              <c:f>'Input from HR monthly'!$AL$5:$AL$29</c:f>
              <c:strCache>
                <c:ptCount val="1"/>
                <c:pt idx="0">
                  <c:v>ST Target</c:v>
                </c:pt>
              </c:strCache>
            </c:strRef>
          </c:tx>
          <c:spPr>
            <a:ln w="28575" cap="rnd">
              <a:solidFill>
                <a:schemeClr val="accent3"/>
              </a:solidFill>
              <a:round/>
            </a:ln>
            <a:effectLst/>
          </c:spPr>
          <c:marker>
            <c:symbol val="none"/>
          </c:marker>
          <c:cat>
            <c:strRef>
              <c:f>'Input from HR monthly'!$AI$30:$AI$70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monthly'!$AL$30:$AL$70</c:f>
              <c:numCache>
                <c:formatCode>0.0%</c:formatCode>
                <c:ptCount val="17"/>
                <c:pt idx="0">
                  <c:v>0.04</c:v>
                </c:pt>
                <c:pt idx="1">
                  <c:v>0.04</c:v>
                </c:pt>
                <c:pt idx="2">
                  <c:v>0.04</c:v>
                </c:pt>
                <c:pt idx="3">
                  <c:v>0.04</c:v>
                </c:pt>
                <c:pt idx="4">
                  <c:v>0.04</c:v>
                </c:pt>
                <c:pt idx="5">
                  <c:v>0.04</c:v>
                </c:pt>
                <c:pt idx="6">
                  <c:v>0.04</c:v>
                </c:pt>
                <c:pt idx="7">
                  <c:v>0.04</c:v>
                </c:pt>
                <c:pt idx="8">
                  <c:v>0.04</c:v>
                </c:pt>
                <c:pt idx="9">
                  <c:v>0.04</c:v>
                </c:pt>
                <c:pt idx="10">
                  <c:v>0.04</c:v>
                </c:pt>
                <c:pt idx="11">
                  <c:v>0.04</c:v>
                </c:pt>
                <c:pt idx="12">
                  <c:v>0.04</c:v>
                </c:pt>
                <c:pt idx="13">
                  <c:v>0.04</c:v>
                </c:pt>
                <c:pt idx="14">
                  <c:v>0.04</c:v>
                </c:pt>
                <c:pt idx="15">
                  <c:v>0.04</c:v>
                </c:pt>
                <c:pt idx="16">
                  <c:v>0.04</c:v>
                </c:pt>
              </c:numCache>
            </c:numRef>
          </c:val>
          <c:smooth val="0"/>
          <c:extLst>
            <c:ext xmlns:c16="http://schemas.microsoft.com/office/drawing/2014/chart" uri="{C3380CC4-5D6E-409C-BE32-E72D297353CC}">
              <c16:uniqueId val="{00000002-8D79-42E5-A552-9AC4EBFF4C42}"/>
            </c:ext>
          </c:extLst>
        </c:ser>
        <c:dLbls>
          <c:showLegendKey val="0"/>
          <c:showVal val="0"/>
          <c:showCatName val="0"/>
          <c:showSerName val="0"/>
          <c:showPercent val="0"/>
          <c:showBubbleSize val="0"/>
        </c:dLbls>
        <c:smooth val="0"/>
        <c:axId val="191273008"/>
        <c:axId val="191270608"/>
      </c:lineChart>
      <c:catAx>
        <c:axId val="19127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91270608"/>
        <c:crosses val="autoZero"/>
        <c:auto val="1"/>
        <c:lblAlgn val="ctr"/>
        <c:lblOffset val="100"/>
        <c:noMultiLvlLbl val="0"/>
      </c:catAx>
      <c:valAx>
        <c:axId val="191270608"/>
        <c:scaling>
          <c:orientation val="minMax"/>
          <c:max val="9.0000000000000024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91273008"/>
        <c:crosses val="autoZero"/>
        <c:crossBetween val="between"/>
        <c:majorUnit val="1.0000000000000002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PAST - Short Term sickleave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0"/>
          <c:order val="0"/>
          <c:tx>
            <c:strRef>
              <c:f>'Input from HR monthly'!$AQ$5</c:f>
              <c:strCache>
                <c:ptCount val="1"/>
                <c:pt idx="0">
                  <c:v>WC ST</c:v>
                </c:pt>
              </c:strCache>
            </c:strRef>
          </c:tx>
          <c:spPr>
            <a:ln w="28575" cap="rnd">
              <a:solidFill>
                <a:schemeClr val="accent1"/>
              </a:solidFill>
              <a:round/>
            </a:ln>
            <a:effectLst/>
          </c:spPr>
          <c:marker>
            <c:symbol val="none"/>
          </c:marker>
          <c:cat>
            <c:strRef>
              <c:f>'Input from HR monthly'!$AP$6:$AP$70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monthly'!$AQ$6:$AQ$70</c:f>
              <c:numCache>
                <c:formatCode>0.0%</c:formatCode>
                <c:ptCount val="17"/>
                <c:pt idx="0">
                  <c:v>4.1050903119868639E-3</c:v>
                </c:pt>
                <c:pt idx="1">
                  <c:v>0</c:v>
                </c:pt>
                <c:pt idx="2">
                  <c:v>0</c:v>
                </c:pt>
                <c:pt idx="3">
                  <c:v>4.9088359046283309E-3</c:v>
                </c:pt>
                <c:pt idx="4">
                  <c:v>0</c:v>
                </c:pt>
                <c:pt idx="5">
                  <c:v>0</c:v>
                </c:pt>
                <c:pt idx="6">
                  <c:v>0</c:v>
                </c:pt>
                <c:pt idx="7">
                  <c:v>0</c:v>
                </c:pt>
                <c:pt idx="8">
                  <c:v>0</c:v>
                </c:pt>
                <c:pt idx="9">
                  <c:v>0</c:v>
                </c:pt>
                <c:pt idx="10">
                  <c:v>8.2644628099173556E-3</c:v>
                </c:pt>
                <c:pt idx="11">
                  <c:v>8.1168831168831161E-3</c:v>
                </c:pt>
                <c:pt idx="12">
                  <c:v>0</c:v>
                </c:pt>
                <c:pt idx="13">
                  <c:v>9.700176366843033E-3</c:v>
                </c:pt>
                <c:pt idx="14">
                  <c:v>6.0000000000000001E-3</c:v>
                </c:pt>
                <c:pt idx="15">
                  <c:v>8.576329331046312E-4</c:v>
                </c:pt>
              </c:numCache>
            </c:numRef>
          </c:val>
          <c:smooth val="0"/>
          <c:extLst>
            <c:ext xmlns:c16="http://schemas.microsoft.com/office/drawing/2014/chart" uri="{C3380CC4-5D6E-409C-BE32-E72D297353CC}">
              <c16:uniqueId val="{00000000-468A-4558-BA8B-F5D259649BD9}"/>
            </c:ext>
          </c:extLst>
        </c:ser>
        <c:ser>
          <c:idx val="1"/>
          <c:order val="1"/>
          <c:tx>
            <c:strRef>
              <c:f>'Input from HR monthly'!$AR$5</c:f>
              <c:strCache>
                <c:ptCount val="1"/>
                <c:pt idx="0">
                  <c:v>BC ST</c:v>
                </c:pt>
              </c:strCache>
            </c:strRef>
          </c:tx>
          <c:spPr>
            <a:ln w="28575" cap="rnd">
              <a:solidFill>
                <a:schemeClr val="accent2"/>
              </a:solidFill>
              <a:round/>
            </a:ln>
            <a:effectLst/>
          </c:spPr>
          <c:marker>
            <c:symbol val="none"/>
          </c:marker>
          <c:cat>
            <c:strRef>
              <c:f>'Input from HR monthly'!$AP$6:$AP$70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monthly'!$AR$6:$AR$70</c:f>
              <c:numCache>
                <c:formatCode>0.00%</c:formatCode>
                <c:ptCount val="17"/>
                <c:pt idx="0">
                  <c:v>3.7483912483912481E-2</c:v>
                </c:pt>
                <c:pt idx="1">
                  <c:v>1.5818656229615133E-2</c:v>
                </c:pt>
                <c:pt idx="2">
                  <c:v>1.5364916773367477E-2</c:v>
                </c:pt>
                <c:pt idx="3">
                  <c:v>2.0807453416149067E-2</c:v>
                </c:pt>
                <c:pt idx="4">
                  <c:v>1.9434628975265017E-2</c:v>
                </c:pt>
                <c:pt idx="5">
                  <c:v>1.9800000000000002E-2</c:v>
                </c:pt>
                <c:pt idx="6">
                  <c:v>2.5100000000000001E-2</c:v>
                </c:pt>
                <c:pt idx="7">
                  <c:v>2.5100000000000001E-2</c:v>
                </c:pt>
                <c:pt idx="8">
                  <c:v>2.9180040852057193E-2</c:v>
                </c:pt>
                <c:pt idx="9">
                  <c:v>1.6458932566315115E-2</c:v>
                </c:pt>
                <c:pt idx="10">
                  <c:v>1.6577540106951873E-2</c:v>
                </c:pt>
                <c:pt idx="11">
                  <c:v>2.8756957328385901E-2</c:v>
                </c:pt>
                <c:pt idx="12">
                  <c:v>3.1833910034602078E-2</c:v>
                </c:pt>
                <c:pt idx="13">
                  <c:v>1.7815517815517816E-2</c:v>
                </c:pt>
                <c:pt idx="14">
                  <c:v>1.9800000000000002E-2</c:v>
                </c:pt>
                <c:pt idx="15">
                  <c:v>1.3468013468013467E-2</c:v>
                </c:pt>
              </c:numCache>
            </c:numRef>
          </c:val>
          <c:smooth val="0"/>
          <c:extLst>
            <c:ext xmlns:c16="http://schemas.microsoft.com/office/drawing/2014/chart" uri="{C3380CC4-5D6E-409C-BE32-E72D297353CC}">
              <c16:uniqueId val="{00000001-468A-4558-BA8B-F5D259649BD9}"/>
            </c:ext>
          </c:extLst>
        </c:ser>
        <c:ser>
          <c:idx val="2"/>
          <c:order val="2"/>
          <c:tx>
            <c:strRef>
              <c:f>'Input from HR monthly'!$AS$5</c:f>
              <c:strCache>
                <c:ptCount val="1"/>
                <c:pt idx="0">
                  <c:v>ST Target</c:v>
                </c:pt>
              </c:strCache>
            </c:strRef>
          </c:tx>
          <c:spPr>
            <a:ln w="28575" cap="rnd">
              <a:solidFill>
                <a:schemeClr val="accent3"/>
              </a:solidFill>
              <a:round/>
            </a:ln>
            <a:effectLst/>
          </c:spPr>
          <c:marker>
            <c:symbol val="none"/>
          </c:marker>
          <c:cat>
            <c:strRef>
              <c:f>'Input from HR monthly'!$AP$6:$AP$70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monthly'!$AS$6:$AS$70</c:f>
              <c:numCache>
                <c:formatCode>0.0%</c:formatCode>
                <c:ptCount val="17"/>
                <c:pt idx="0">
                  <c:v>0.04</c:v>
                </c:pt>
                <c:pt idx="1">
                  <c:v>0.04</c:v>
                </c:pt>
                <c:pt idx="2">
                  <c:v>0.04</c:v>
                </c:pt>
                <c:pt idx="3">
                  <c:v>0.04</c:v>
                </c:pt>
                <c:pt idx="4">
                  <c:v>0.04</c:v>
                </c:pt>
                <c:pt idx="5">
                  <c:v>0.04</c:v>
                </c:pt>
                <c:pt idx="6">
                  <c:v>0.04</c:v>
                </c:pt>
                <c:pt idx="7">
                  <c:v>0.04</c:v>
                </c:pt>
                <c:pt idx="8">
                  <c:v>0.04</c:v>
                </c:pt>
                <c:pt idx="9">
                  <c:v>0.04</c:v>
                </c:pt>
                <c:pt idx="10">
                  <c:v>0.04</c:v>
                </c:pt>
                <c:pt idx="11">
                  <c:v>0.04</c:v>
                </c:pt>
                <c:pt idx="12">
                  <c:v>0.04</c:v>
                </c:pt>
                <c:pt idx="13">
                  <c:v>0.04</c:v>
                </c:pt>
                <c:pt idx="14">
                  <c:v>0.04</c:v>
                </c:pt>
                <c:pt idx="15">
                  <c:v>0.04</c:v>
                </c:pt>
                <c:pt idx="16">
                  <c:v>0.04</c:v>
                </c:pt>
              </c:numCache>
            </c:numRef>
          </c:val>
          <c:smooth val="0"/>
          <c:extLst>
            <c:ext xmlns:c16="http://schemas.microsoft.com/office/drawing/2014/chart" uri="{C3380CC4-5D6E-409C-BE32-E72D297353CC}">
              <c16:uniqueId val="{00000002-468A-4558-BA8B-F5D259649BD9}"/>
            </c:ext>
          </c:extLst>
        </c:ser>
        <c:dLbls>
          <c:showLegendKey val="0"/>
          <c:showVal val="0"/>
          <c:showCatName val="0"/>
          <c:showSerName val="0"/>
          <c:showPercent val="0"/>
          <c:showBubbleSize val="0"/>
        </c:dLbls>
        <c:smooth val="0"/>
        <c:axId val="184657056"/>
        <c:axId val="184656576"/>
      </c:lineChart>
      <c:catAx>
        <c:axId val="18465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84656576"/>
        <c:crosses val="autoZero"/>
        <c:auto val="1"/>
        <c:lblAlgn val="ctr"/>
        <c:lblOffset val="100"/>
        <c:noMultiLvlLbl val="0"/>
      </c:catAx>
      <c:valAx>
        <c:axId val="184656576"/>
        <c:scaling>
          <c:orientation val="minMax"/>
          <c:max val="9.0000000000000024E-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84657056"/>
        <c:crosses val="autoZero"/>
        <c:crossBetween val="between"/>
        <c:majorUnit val="1.0000000000000002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PAGO - Long Term sickleave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3"/>
          <c:order val="0"/>
          <c:tx>
            <c:strRef>
              <c:f>'Input from HR monthly'!$F$5</c:f>
              <c:strCache>
                <c:ptCount val="1"/>
                <c:pt idx="0">
                  <c:v>LT Target</c:v>
                </c:pt>
              </c:strCache>
            </c:strRef>
          </c:tx>
          <c:spPr>
            <a:ln w="28575" cap="rnd">
              <a:solidFill>
                <a:schemeClr val="accent3"/>
              </a:solidFill>
              <a:round/>
            </a:ln>
            <a:effectLst/>
          </c:spPr>
          <c:marker>
            <c:symbol val="none"/>
          </c:marker>
          <c:cat>
            <c:strRef>
              <c:f>'Input from HR monthly'!$B$6:$B$70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monthly'!$F$6:$F$70</c:f>
              <c:numCache>
                <c:formatCode>0.0%</c:formatCode>
                <c:ptCount val="17"/>
                <c:pt idx="0">
                  <c:v>0.04</c:v>
                </c:pt>
                <c:pt idx="1">
                  <c:v>0.04</c:v>
                </c:pt>
                <c:pt idx="2">
                  <c:v>0.04</c:v>
                </c:pt>
                <c:pt idx="3">
                  <c:v>0.04</c:v>
                </c:pt>
                <c:pt idx="4">
                  <c:v>0.04</c:v>
                </c:pt>
                <c:pt idx="5">
                  <c:v>0.04</c:v>
                </c:pt>
                <c:pt idx="6">
                  <c:v>0.04</c:v>
                </c:pt>
                <c:pt idx="7">
                  <c:v>0.04</c:v>
                </c:pt>
                <c:pt idx="8">
                  <c:v>0.04</c:v>
                </c:pt>
                <c:pt idx="9">
                  <c:v>0.04</c:v>
                </c:pt>
                <c:pt idx="10">
                  <c:v>0.04</c:v>
                </c:pt>
                <c:pt idx="11">
                  <c:v>0.04</c:v>
                </c:pt>
                <c:pt idx="12">
                  <c:v>0.04</c:v>
                </c:pt>
                <c:pt idx="13">
                  <c:v>0.04</c:v>
                </c:pt>
                <c:pt idx="14">
                  <c:v>0.04</c:v>
                </c:pt>
                <c:pt idx="15">
                  <c:v>0.04</c:v>
                </c:pt>
                <c:pt idx="16">
                  <c:v>0.04</c:v>
                </c:pt>
              </c:numCache>
            </c:numRef>
          </c:val>
          <c:smooth val="0"/>
          <c:extLst>
            <c:ext xmlns:c16="http://schemas.microsoft.com/office/drawing/2014/chart" uri="{C3380CC4-5D6E-409C-BE32-E72D297353CC}">
              <c16:uniqueId val="{00000003-5F0D-4579-81B5-786F5A4FDCCC}"/>
            </c:ext>
          </c:extLst>
        </c:ser>
        <c:ser>
          <c:idx val="4"/>
          <c:order val="1"/>
          <c:tx>
            <c:strRef>
              <c:f>'Input from HR monthly'!$G$5</c:f>
              <c:strCache>
                <c:ptCount val="1"/>
                <c:pt idx="0">
                  <c:v>WC LT</c:v>
                </c:pt>
              </c:strCache>
            </c:strRef>
          </c:tx>
          <c:spPr>
            <a:ln w="28575" cap="rnd">
              <a:solidFill>
                <a:schemeClr val="accent1"/>
              </a:solidFill>
              <a:round/>
            </a:ln>
            <a:effectLst/>
          </c:spPr>
          <c:marker>
            <c:symbol val="none"/>
          </c:marker>
          <c:cat>
            <c:strRef>
              <c:f>'Input from HR monthly'!$B$6:$B$70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monthly'!$G$6:$G$70</c:f>
              <c:numCache>
                <c:formatCode>0.0%</c:formatCode>
                <c:ptCount val="17"/>
                <c:pt idx="0">
                  <c:v>3.5999999999999997E-2</c:v>
                </c:pt>
                <c:pt idx="1">
                  <c:v>3.4000000000000002E-2</c:v>
                </c:pt>
                <c:pt idx="2">
                  <c:v>2.3E-2</c:v>
                </c:pt>
                <c:pt idx="3">
                  <c:v>2.8000000000000001E-2</c:v>
                </c:pt>
                <c:pt idx="4">
                  <c:v>2.5000000000000001E-2</c:v>
                </c:pt>
                <c:pt idx="5">
                  <c:v>8.0000000000000002E-3</c:v>
                </c:pt>
                <c:pt idx="6">
                  <c:v>1.0999999999999999E-2</c:v>
                </c:pt>
                <c:pt idx="7">
                  <c:v>1.2999999999999999E-2</c:v>
                </c:pt>
                <c:pt idx="8">
                  <c:v>0</c:v>
                </c:pt>
                <c:pt idx="9">
                  <c:v>0</c:v>
                </c:pt>
                <c:pt idx="10">
                  <c:v>0</c:v>
                </c:pt>
                <c:pt idx="11">
                  <c:v>0</c:v>
                </c:pt>
                <c:pt idx="12">
                  <c:v>0</c:v>
                </c:pt>
                <c:pt idx="13">
                  <c:v>0</c:v>
                </c:pt>
                <c:pt idx="14">
                  <c:v>0</c:v>
                </c:pt>
                <c:pt idx="15">
                  <c:v>0</c:v>
                </c:pt>
              </c:numCache>
            </c:numRef>
          </c:val>
          <c:smooth val="0"/>
          <c:extLst>
            <c:ext xmlns:c16="http://schemas.microsoft.com/office/drawing/2014/chart" uri="{C3380CC4-5D6E-409C-BE32-E72D297353CC}">
              <c16:uniqueId val="{00000004-5F0D-4579-81B5-786F5A4FDCCC}"/>
            </c:ext>
          </c:extLst>
        </c:ser>
        <c:ser>
          <c:idx val="5"/>
          <c:order val="2"/>
          <c:tx>
            <c:strRef>
              <c:f>'Input from HR monthly'!$H$5</c:f>
              <c:strCache>
                <c:ptCount val="1"/>
                <c:pt idx="0">
                  <c:v>BC LT</c:v>
                </c:pt>
              </c:strCache>
            </c:strRef>
          </c:tx>
          <c:spPr>
            <a:ln w="28575" cap="rnd">
              <a:solidFill>
                <a:schemeClr val="accent2"/>
              </a:solidFill>
              <a:round/>
            </a:ln>
            <a:effectLst/>
          </c:spPr>
          <c:marker>
            <c:symbol val="none"/>
          </c:marker>
          <c:cat>
            <c:strRef>
              <c:f>'Input from HR monthly'!$B$6:$B$70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monthly'!$H$6:$H$70</c:f>
              <c:numCache>
                <c:formatCode>0.0%</c:formatCode>
                <c:ptCount val="17"/>
                <c:pt idx="0">
                  <c:v>4.4999999999999998E-2</c:v>
                </c:pt>
                <c:pt idx="1">
                  <c:v>4.2999999999999997E-2</c:v>
                </c:pt>
                <c:pt idx="2">
                  <c:v>3.3000000000000002E-2</c:v>
                </c:pt>
                <c:pt idx="3">
                  <c:v>2.9000000000000001E-2</c:v>
                </c:pt>
                <c:pt idx="4">
                  <c:v>3.4000000000000002E-2</c:v>
                </c:pt>
                <c:pt idx="5">
                  <c:v>3.4000000000000002E-2</c:v>
                </c:pt>
                <c:pt idx="6">
                  <c:v>3.4000000000000002E-2</c:v>
                </c:pt>
                <c:pt idx="7">
                  <c:v>4.2999999999999997E-2</c:v>
                </c:pt>
                <c:pt idx="8">
                  <c:v>3.6999999999999998E-2</c:v>
                </c:pt>
                <c:pt idx="9">
                  <c:v>3.2000000000000001E-2</c:v>
                </c:pt>
                <c:pt idx="10">
                  <c:v>4.1000000000000002E-2</c:v>
                </c:pt>
                <c:pt idx="11">
                  <c:v>4.1000000000000002E-2</c:v>
                </c:pt>
                <c:pt idx="12">
                  <c:v>3.5000000000000003E-2</c:v>
                </c:pt>
                <c:pt idx="13">
                  <c:v>3.3000000000000002E-2</c:v>
                </c:pt>
                <c:pt idx="14">
                  <c:v>4.3999999999999997E-2</c:v>
                </c:pt>
                <c:pt idx="15">
                  <c:v>3.6999999999999998E-2</c:v>
                </c:pt>
              </c:numCache>
            </c:numRef>
          </c:val>
          <c:smooth val="0"/>
          <c:extLst>
            <c:ext xmlns:c16="http://schemas.microsoft.com/office/drawing/2014/chart" uri="{C3380CC4-5D6E-409C-BE32-E72D297353CC}">
              <c16:uniqueId val="{00000005-5F0D-4579-81B5-786F5A4FDCCC}"/>
            </c:ext>
          </c:extLst>
        </c:ser>
        <c:dLbls>
          <c:showLegendKey val="0"/>
          <c:showVal val="0"/>
          <c:showCatName val="0"/>
          <c:showSerName val="0"/>
          <c:showPercent val="0"/>
          <c:showBubbleSize val="0"/>
        </c:dLbls>
        <c:smooth val="0"/>
        <c:axId val="30338048"/>
        <c:axId val="30336608"/>
      </c:lineChart>
      <c:catAx>
        <c:axId val="3033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30336608"/>
        <c:crosses val="autoZero"/>
        <c:auto val="1"/>
        <c:lblAlgn val="ctr"/>
        <c:lblOffset val="100"/>
        <c:noMultiLvlLbl val="0"/>
      </c:catAx>
      <c:valAx>
        <c:axId val="30336608"/>
        <c:scaling>
          <c:orientation val="minMax"/>
          <c:max val="0.12000000000000001"/>
          <c:min val="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30338048"/>
        <c:crosses val="autoZero"/>
        <c:crossBetween val="between"/>
        <c:majorUnit val="1.0000000000000002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PASI - Long</a:t>
            </a:r>
            <a:r>
              <a:rPr lang="sv-SE" baseline="0"/>
              <a:t> Term sickleave</a:t>
            </a: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3"/>
          <c:order val="0"/>
          <c:tx>
            <c:strRef>
              <c:f>'Input from HR monthly'!$M$5</c:f>
              <c:strCache>
                <c:ptCount val="1"/>
                <c:pt idx="0">
                  <c:v>LT Target</c:v>
                </c:pt>
              </c:strCache>
            </c:strRef>
          </c:tx>
          <c:spPr>
            <a:ln w="28575" cap="rnd">
              <a:solidFill>
                <a:schemeClr val="accent3"/>
              </a:solidFill>
              <a:round/>
            </a:ln>
            <a:effectLst/>
          </c:spPr>
          <c:marker>
            <c:symbol val="none"/>
          </c:marker>
          <c:cat>
            <c:strRef>
              <c:f>'Input from HR monthly'!$I$6:$I$70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monthly'!$M$6:$M$70</c:f>
              <c:numCache>
                <c:formatCode>0.0%</c:formatCode>
                <c:ptCount val="17"/>
                <c:pt idx="0">
                  <c:v>0.04</c:v>
                </c:pt>
                <c:pt idx="1">
                  <c:v>0.04</c:v>
                </c:pt>
                <c:pt idx="2">
                  <c:v>0.04</c:v>
                </c:pt>
                <c:pt idx="3">
                  <c:v>0.04</c:v>
                </c:pt>
                <c:pt idx="4">
                  <c:v>0.04</c:v>
                </c:pt>
                <c:pt idx="5">
                  <c:v>0.04</c:v>
                </c:pt>
                <c:pt idx="6">
                  <c:v>0.04</c:v>
                </c:pt>
                <c:pt idx="7">
                  <c:v>0.04</c:v>
                </c:pt>
                <c:pt idx="8">
                  <c:v>0.04</c:v>
                </c:pt>
                <c:pt idx="9">
                  <c:v>0.04</c:v>
                </c:pt>
                <c:pt idx="10">
                  <c:v>0.04</c:v>
                </c:pt>
                <c:pt idx="11">
                  <c:v>0.04</c:v>
                </c:pt>
                <c:pt idx="12">
                  <c:v>0.04</c:v>
                </c:pt>
                <c:pt idx="13">
                  <c:v>0.04</c:v>
                </c:pt>
                <c:pt idx="14">
                  <c:v>0.04</c:v>
                </c:pt>
                <c:pt idx="15">
                  <c:v>0.04</c:v>
                </c:pt>
                <c:pt idx="16">
                  <c:v>0.04</c:v>
                </c:pt>
              </c:numCache>
            </c:numRef>
          </c:val>
          <c:smooth val="0"/>
          <c:extLst>
            <c:ext xmlns:c16="http://schemas.microsoft.com/office/drawing/2014/chart" uri="{C3380CC4-5D6E-409C-BE32-E72D297353CC}">
              <c16:uniqueId val="{00000003-DD8D-4E44-B7A4-6DBFE7D08BDB}"/>
            </c:ext>
          </c:extLst>
        </c:ser>
        <c:ser>
          <c:idx val="4"/>
          <c:order val="1"/>
          <c:tx>
            <c:strRef>
              <c:f>'Input from HR monthly'!$N$5</c:f>
              <c:strCache>
                <c:ptCount val="1"/>
                <c:pt idx="0">
                  <c:v>WC LT</c:v>
                </c:pt>
              </c:strCache>
            </c:strRef>
          </c:tx>
          <c:spPr>
            <a:ln w="28575" cap="rnd">
              <a:solidFill>
                <a:schemeClr val="accent1"/>
              </a:solidFill>
              <a:round/>
            </a:ln>
            <a:effectLst/>
          </c:spPr>
          <c:marker>
            <c:symbol val="none"/>
          </c:marker>
          <c:cat>
            <c:strRef>
              <c:f>'Input from HR monthly'!$I$6:$I$70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monthly'!$N$6:$N$70</c:f>
              <c:numCache>
                <c:formatCode>0.0%</c:formatCode>
                <c:ptCount val="17"/>
                <c:pt idx="0">
                  <c:v>8.0000000000000002E-3</c:v>
                </c:pt>
                <c:pt idx="1">
                  <c:v>0.02</c:v>
                </c:pt>
                <c:pt idx="2">
                  <c:v>0.02</c:v>
                </c:pt>
                <c:pt idx="3">
                  <c:v>3.7999999999999999E-2</c:v>
                </c:pt>
                <c:pt idx="4">
                  <c:v>1.7999999999999999E-2</c:v>
                </c:pt>
                <c:pt idx="5">
                  <c:v>8.9999999999999993E-3</c:v>
                </c:pt>
                <c:pt idx="6">
                  <c:v>7.2954946996466432E-3</c:v>
                </c:pt>
                <c:pt idx="7">
                  <c:v>2.6930385700846663E-2</c:v>
                </c:pt>
                <c:pt idx="8">
                  <c:v>3.7423528156996594E-2</c:v>
                </c:pt>
                <c:pt idx="9">
                  <c:v>4.9000000000000002E-2</c:v>
                </c:pt>
                <c:pt idx="10">
                  <c:v>4.2000000000000003E-2</c:v>
                </c:pt>
                <c:pt idx="11">
                  <c:v>3.5999999999999997E-2</c:v>
                </c:pt>
                <c:pt idx="12">
                  <c:v>2.7E-2</c:v>
                </c:pt>
                <c:pt idx="13">
                  <c:v>3.6999999999999998E-2</c:v>
                </c:pt>
                <c:pt idx="14">
                  <c:v>2.8000000000000001E-2</c:v>
                </c:pt>
                <c:pt idx="15">
                  <c:v>8.0000000000000002E-3</c:v>
                </c:pt>
              </c:numCache>
            </c:numRef>
          </c:val>
          <c:smooth val="0"/>
          <c:extLst>
            <c:ext xmlns:c16="http://schemas.microsoft.com/office/drawing/2014/chart" uri="{C3380CC4-5D6E-409C-BE32-E72D297353CC}">
              <c16:uniqueId val="{00000004-DD8D-4E44-B7A4-6DBFE7D08BDB}"/>
            </c:ext>
          </c:extLst>
        </c:ser>
        <c:ser>
          <c:idx val="5"/>
          <c:order val="2"/>
          <c:tx>
            <c:strRef>
              <c:f>'Input from HR monthly'!$O$5</c:f>
              <c:strCache>
                <c:ptCount val="1"/>
                <c:pt idx="0">
                  <c:v>BC LT</c:v>
                </c:pt>
              </c:strCache>
            </c:strRef>
          </c:tx>
          <c:spPr>
            <a:ln w="28575" cap="rnd">
              <a:solidFill>
                <a:schemeClr val="accent2"/>
              </a:solidFill>
              <a:round/>
            </a:ln>
            <a:effectLst/>
          </c:spPr>
          <c:marker>
            <c:symbol val="none"/>
          </c:marker>
          <c:cat>
            <c:strRef>
              <c:f>'Input from HR monthly'!$I$6:$I$70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monthly'!$O$6:$O$70</c:f>
              <c:numCache>
                <c:formatCode>0.0%</c:formatCode>
                <c:ptCount val="17"/>
                <c:pt idx="0">
                  <c:v>0.03</c:v>
                </c:pt>
                <c:pt idx="1">
                  <c:v>2.5999999999999999E-2</c:v>
                </c:pt>
                <c:pt idx="2">
                  <c:v>2.7E-2</c:v>
                </c:pt>
                <c:pt idx="3">
                  <c:v>2.3E-2</c:v>
                </c:pt>
                <c:pt idx="4">
                  <c:v>1.7000000000000001E-2</c:v>
                </c:pt>
                <c:pt idx="5">
                  <c:v>2.1000000000000001E-2</c:v>
                </c:pt>
                <c:pt idx="6">
                  <c:v>1.9826788406028705E-2</c:v>
                </c:pt>
                <c:pt idx="7">
                  <c:v>2.4264660023049302E-2</c:v>
                </c:pt>
                <c:pt idx="8">
                  <c:v>3.4630712607169989E-2</c:v>
                </c:pt>
                <c:pt idx="9">
                  <c:v>3.9E-2</c:v>
                </c:pt>
                <c:pt idx="10">
                  <c:v>4.5999999999999999E-2</c:v>
                </c:pt>
                <c:pt idx="11">
                  <c:v>3.9E-2</c:v>
                </c:pt>
                <c:pt idx="12">
                  <c:v>3.7999999999999999E-2</c:v>
                </c:pt>
                <c:pt idx="13">
                  <c:v>2.9000000000000001E-2</c:v>
                </c:pt>
                <c:pt idx="14">
                  <c:v>2.5000000000000001E-2</c:v>
                </c:pt>
                <c:pt idx="15">
                  <c:v>2.1999999999999999E-2</c:v>
                </c:pt>
              </c:numCache>
            </c:numRef>
          </c:val>
          <c:smooth val="0"/>
          <c:extLst>
            <c:ext xmlns:c16="http://schemas.microsoft.com/office/drawing/2014/chart" uri="{C3380CC4-5D6E-409C-BE32-E72D297353CC}">
              <c16:uniqueId val="{00000005-DD8D-4E44-B7A4-6DBFE7D08BDB}"/>
            </c:ext>
          </c:extLst>
        </c:ser>
        <c:dLbls>
          <c:showLegendKey val="0"/>
          <c:showVal val="0"/>
          <c:showCatName val="0"/>
          <c:showSerName val="0"/>
          <c:showPercent val="0"/>
          <c:showBubbleSize val="0"/>
        </c:dLbls>
        <c:smooth val="0"/>
        <c:axId val="154660096"/>
        <c:axId val="154667776"/>
      </c:lineChart>
      <c:catAx>
        <c:axId val="15466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54667776"/>
        <c:crosses val="autoZero"/>
        <c:auto val="1"/>
        <c:lblAlgn val="ctr"/>
        <c:lblOffset val="100"/>
        <c:noMultiLvlLbl val="0"/>
      </c:catAx>
      <c:valAx>
        <c:axId val="154667776"/>
        <c:scaling>
          <c:orientation val="minMax"/>
          <c:max val="0.1200000000000000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54660096"/>
        <c:crosses val="autoZero"/>
        <c:crossBetween val="between"/>
        <c:majorUnit val="1.0000000000000002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PAGE - Long</a:t>
            </a:r>
            <a:r>
              <a:rPr lang="sv-SE" baseline="0"/>
              <a:t> Term sickleave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3"/>
          <c:order val="0"/>
          <c:tx>
            <c:strRef>
              <c:f>'Input from HR monthly'!$AA$5</c:f>
              <c:strCache>
                <c:ptCount val="1"/>
                <c:pt idx="0">
                  <c:v>LT Target</c:v>
                </c:pt>
              </c:strCache>
            </c:strRef>
          </c:tx>
          <c:spPr>
            <a:ln w="28575" cap="rnd">
              <a:solidFill>
                <a:schemeClr val="accent3"/>
              </a:solidFill>
              <a:round/>
            </a:ln>
            <a:effectLst/>
          </c:spPr>
          <c:marker>
            <c:symbol val="none"/>
          </c:marker>
          <c:cat>
            <c:strRef>
              <c:f>'Input from HR monthly'!$W$6:$W$70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monthly'!$AA$6:$AA$70</c:f>
              <c:numCache>
                <c:formatCode>0.0%</c:formatCode>
                <c:ptCount val="17"/>
                <c:pt idx="0">
                  <c:v>0.04</c:v>
                </c:pt>
                <c:pt idx="1">
                  <c:v>0.04</c:v>
                </c:pt>
                <c:pt idx="2">
                  <c:v>0.04</c:v>
                </c:pt>
                <c:pt idx="3">
                  <c:v>0.04</c:v>
                </c:pt>
                <c:pt idx="4">
                  <c:v>0.04</c:v>
                </c:pt>
                <c:pt idx="5">
                  <c:v>0.04</c:v>
                </c:pt>
                <c:pt idx="6">
                  <c:v>0.04</c:v>
                </c:pt>
                <c:pt idx="7">
                  <c:v>0.04</c:v>
                </c:pt>
                <c:pt idx="8">
                  <c:v>0.04</c:v>
                </c:pt>
                <c:pt idx="9">
                  <c:v>0.04</c:v>
                </c:pt>
                <c:pt idx="10">
                  <c:v>0.04</c:v>
                </c:pt>
                <c:pt idx="11">
                  <c:v>0.04</c:v>
                </c:pt>
                <c:pt idx="12">
                  <c:v>0.04</c:v>
                </c:pt>
                <c:pt idx="13">
                  <c:v>0.04</c:v>
                </c:pt>
                <c:pt idx="14">
                  <c:v>0.04</c:v>
                </c:pt>
                <c:pt idx="15">
                  <c:v>0.04</c:v>
                </c:pt>
                <c:pt idx="16">
                  <c:v>0.04</c:v>
                </c:pt>
              </c:numCache>
            </c:numRef>
          </c:val>
          <c:smooth val="0"/>
          <c:extLst>
            <c:ext xmlns:c16="http://schemas.microsoft.com/office/drawing/2014/chart" uri="{C3380CC4-5D6E-409C-BE32-E72D297353CC}">
              <c16:uniqueId val="{00000003-D7E8-4643-BC40-357884FF550E}"/>
            </c:ext>
          </c:extLst>
        </c:ser>
        <c:ser>
          <c:idx val="4"/>
          <c:order val="1"/>
          <c:tx>
            <c:strRef>
              <c:f>'Input from HR monthly'!$AB$5</c:f>
              <c:strCache>
                <c:ptCount val="1"/>
                <c:pt idx="0">
                  <c:v>WC LT</c:v>
                </c:pt>
              </c:strCache>
            </c:strRef>
          </c:tx>
          <c:spPr>
            <a:ln w="28575" cap="rnd">
              <a:solidFill>
                <a:schemeClr val="accent1"/>
              </a:solidFill>
              <a:round/>
            </a:ln>
            <a:effectLst/>
          </c:spPr>
          <c:marker>
            <c:symbol val="none"/>
          </c:marker>
          <c:cat>
            <c:strRef>
              <c:f>'Input from HR monthly'!$W$6:$W$70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monthly'!$AB$6:$AB$70</c:f>
              <c:numCache>
                <c:formatCode>0.0%</c:formatCode>
                <c:ptCount val="17"/>
                <c:pt idx="0">
                  <c:v>0</c:v>
                </c:pt>
                <c:pt idx="1">
                  <c:v>8.0000000000000002E-3</c:v>
                </c:pt>
                <c:pt idx="2">
                  <c:v>1.4999999999999999E-2</c:v>
                </c:pt>
                <c:pt idx="3">
                  <c:v>8.0000000000000002E-3</c:v>
                </c:pt>
                <c:pt idx="4">
                  <c:v>0</c:v>
                </c:pt>
                <c:pt idx="5">
                  <c:v>1.4E-2</c:v>
                </c:pt>
                <c:pt idx="6">
                  <c:v>2.8000000000000001E-2</c:v>
                </c:pt>
                <c:pt idx="7">
                  <c:v>1.9E-2</c:v>
                </c:pt>
                <c:pt idx="8">
                  <c:v>1.7999999999999999E-2</c:v>
                </c:pt>
                <c:pt idx="9">
                  <c:v>1.7000000000000001E-2</c:v>
                </c:pt>
                <c:pt idx="10">
                  <c:v>1.9E-2</c:v>
                </c:pt>
                <c:pt idx="11">
                  <c:v>1.7000000000000001E-2</c:v>
                </c:pt>
                <c:pt idx="12">
                  <c:v>6.0000000000000001E-3</c:v>
                </c:pt>
                <c:pt idx="13">
                  <c:v>1.6E-2</c:v>
                </c:pt>
                <c:pt idx="14">
                  <c:v>2.4E-2</c:v>
                </c:pt>
                <c:pt idx="15">
                  <c:v>2.1999999999999999E-2</c:v>
                </c:pt>
              </c:numCache>
            </c:numRef>
          </c:val>
          <c:smooth val="0"/>
          <c:extLst>
            <c:ext xmlns:c16="http://schemas.microsoft.com/office/drawing/2014/chart" uri="{C3380CC4-5D6E-409C-BE32-E72D297353CC}">
              <c16:uniqueId val="{00000004-D7E8-4643-BC40-357884FF550E}"/>
            </c:ext>
          </c:extLst>
        </c:ser>
        <c:ser>
          <c:idx val="5"/>
          <c:order val="2"/>
          <c:tx>
            <c:strRef>
              <c:f>'Input from HR monthly'!$AC$5</c:f>
              <c:strCache>
                <c:ptCount val="1"/>
                <c:pt idx="0">
                  <c:v>BC LT</c:v>
                </c:pt>
              </c:strCache>
            </c:strRef>
          </c:tx>
          <c:spPr>
            <a:ln w="28575" cap="rnd">
              <a:solidFill>
                <a:schemeClr val="accent2"/>
              </a:solidFill>
              <a:round/>
            </a:ln>
            <a:effectLst/>
          </c:spPr>
          <c:marker>
            <c:symbol val="none"/>
          </c:marker>
          <c:cat>
            <c:strRef>
              <c:f>'Input from HR monthly'!$W$6:$W$70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monthly'!$AC$6:$AC$70</c:f>
              <c:numCache>
                <c:formatCode>0.0%</c:formatCode>
                <c:ptCount val="17"/>
                <c:pt idx="0">
                  <c:v>6.2E-2</c:v>
                </c:pt>
                <c:pt idx="1">
                  <c:v>6.2E-2</c:v>
                </c:pt>
                <c:pt idx="2">
                  <c:v>0.05</c:v>
                </c:pt>
                <c:pt idx="3">
                  <c:v>5.0999999999999997E-2</c:v>
                </c:pt>
                <c:pt idx="4">
                  <c:v>4.9000000000000002E-2</c:v>
                </c:pt>
                <c:pt idx="5">
                  <c:v>5.5E-2</c:v>
                </c:pt>
                <c:pt idx="6">
                  <c:v>4.2000000000000003E-2</c:v>
                </c:pt>
                <c:pt idx="7">
                  <c:v>4.1000000000000002E-2</c:v>
                </c:pt>
                <c:pt idx="8">
                  <c:v>0.05</c:v>
                </c:pt>
                <c:pt idx="9">
                  <c:v>4.3999999999999997E-2</c:v>
                </c:pt>
                <c:pt idx="10">
                  <c:v>5.0999999999999997E-2</c:v>
                </c:pt>
                <c:pt idx="11">
                  <c:v>3.3099999999999997E-2</c:v>
                </c:pt>
                <c:pt idx="12">
                  <c:v>3.7499999999999999E-2</c:v>
                </c:pt>
                <c:pt idx="13">
                  <c:v>6.8000000000000005E-2</c:v>
                </c:pt>
                <c:pt idx="14">
                  <c:v>5.8999999999999997E-2</c:v>
                </c:pt>
                <c:pt idx="15">
                  <c:v>7.8E-2</c:v>
                </c:pt>
              </c:numCache>
            </c:numRef>
          </c:val>
          <c:smooth val="0"/>
          <c:extLst>
            <c:ext xmlns:c16="http://schemas.microsoft.com/office/drawing/2014/chart" uri="{C3380CC4-5D6E-409C-BE32-E72D297353CC}">
              <c16:uniqueId val="{00000005-D7E8-4643-BC40-357884FF550E}"/>
            </c:ext>
          </c:extLst>
        </c:ser>
        <c:dLbls>
          <c:showLegendKey val="0"/>
          <c:showVal val="0"/>
          <c:showCatName val="0"/>
          <c:showSerName val="0"/>
          <c:showPercent val="0"/>
          <c:showBubbleSize val="0"/>
        </c:dLbls>
        <c:smooth val="0"/>
        <c:axId val="1841488448"/>
        <c:axId val="1841485568"/>
      </c:lineChart>
      <c:catAx>
        <c:axId val="184148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841485568"/>
        <c:crosses val="autoZero"/>
        <c:auto val="1"/>
        <c:lblAlgn val="ctr"/>
        <c:lblOffset val="100"/>
        <c:noMultiLvlLbl val="0"/>
      </c:catAx>
      <c:valAx>
        <c:axId val="1841485568"/>
        <c:scaling>
          <c:orientation val="minMax"/>
          <c:max val="0.1200000000000000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1841488448"/>
        <c:crosses val="autoZero"/>
        <c:crossBetween val="between"/>
        <c:majorUnit val="1.0000000000000002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PAST - Long</a:t>
            </a:r>
            <a:r>
              <a:rPr lang="sv-SE" baseline="0"/>
              <a:t> Term sickleave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lineChart>
        <c:grouping val="standard"/>
        <c:varyColors val="0"/>
        <c:ser>
          <c:idx val="3"/>
          <c:order val="0"/>
          <c:tx>
            <c:strRef>
              <c:f>'Input from HR monthly'!$AT$5</c:f>
              <c:strCache>
                <c:ptCount val="1"/>
                <c:pt idx="0">
                  <c:v>LT Target</c:v>
                </c:pt>
              </c:strCache>
            </c:strRef>
          </c:tx>
          <c:spPr>
            <a:ln w="28575" cap="rnd">
              <a:solidFill>
                <a:schemeClr val="accent3"/>
              </a:solidFill>
              <a:round/>
            </a:ln>
            <a:effectLst/>
          </c:spPr>
          <c:marker>
            <c:symbol val="none"/>
          </c:marker>
          <c:cat>
            <c:strRef>
              <c:f>'Input from HR monthly'!$AP$6:$AP$70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monthly'!$AT$6:$AT$70</c:f>
              <c:numCache>
                <c:formatCode>0.0%</c:formatCode>
                <c:ptCount val="17"/>
                <c:pt idx="0">
                  <c:v>0.04</c:v>
                </c:pt>
                <c:pt idx="1">
                  <c:v>0.04</c:v>
                </c:pt>
                <c:pt idx="2">
                  <c:v>0.04</c:v>
                </c:pt>
                <c:pt idx="3">
                  <c:v>0.04</c:v>
                </c:pt>
                <c:pt idx="4">
                  <c:v>0.04</c:v>
                </c:pt>
                <c:pt idx="5">
                  <c:v>0.04</c:v>
                </c:pt>
                <c:pt idx="6">
                  <c:v>0.04</c:v>
                </c:pt>
                <c:pt idx="7">
                  <c:v>0.04</c:v>
                </c:pt>
                <c:pt idx="8">
                  <c:v>0.04</c:v>
                </c:pt>
                <c:pt idx="9">
                  <c:v>0.04</c:v>
                </c:pt>
                <c:pt idx="10">
                  <c:v>0.04</c:v>
                </c:pt>
                <c:pt idx="11">
                  <c:v>0.04</c:v>
                </c:pt>
                <c:pt idx="12">
                  <c:v>0.04</c:v>
                </c:pt>
                <c:pt idx="13">
                  <c:v>0.04</c:v>
                </c:pt>
                <c:pt idx="14">
                  <c:v>0.04</c:v>
                </c:pt>
                <c:pt idx="15">
                  <c:v>0.04</c:v>
                </c:pt>
                <c:pt idx="16">
                  <c:v>0.04</c:v>
                </c:pt>
              </c:numCache>
            </c:numRef>
          </c:val>
          <c:smooth val="0"/>
          <c:extLst>
            <c:ext xmlns:c16="http://schemas.microsoft.com/office/drawing/2014/chart" uri="{C3380CC4-5D6E-409C-BE32-E72D297353CC}">
              <c16:uniqueId val="{00000003-EB36-443B-AC72-9138ACF42AF5}"/>
            </c:ext>
          </c:extLst>
        </c:ser>
        <c:ser>
          <c:idx val="4"/>
          <c:order val="1"/>
          <c:tx>
            <c:strRef>
              <c:f>'Input from HR monthly'!$AU$5</c:f>
              <c:strCache>
                <c:ptCount val="1"/>
                <c:pt idx="0">
                  <c:v>WC LT</c:v>
                </c:pt>
              </c:strCache>
            </c:strRef>
          </c:tx>
          <c:spPr>
            <a:ln w="28575" cap="rnd">
              <a:solidFill>
                <a:schemeClr val="accent1"/>
              </a:solidFill>
              <a:round/>
            </a:ln>
            <a:effectLst/>
          </c:spPr>
          <c:marker>
            <c:symbol val="none"/>
          </c:marker>
          <c:cat>
            <c:strRef>
              <c:f>'Input from HR monthly'!$AP$6:$AP$70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monthly'!$AU$6:$AU$70</c:f>
              <c:numCache>
                <c:formatCode>0.00%</c:formatCode>
                <c:ptCount val="17"/>
                <c:pt idx="0">
                  <c:v>0</c:v>
                </c:pt>
                <c:pt idx="1">
                  <c:v>0</c:v>
                </c:pt>
                <c:pt idx="2">
                  <c:v>0</c:v>
                </c:pt>
                <c:pt idx="3">
                  <c:v>0</c:v>
                </c:pt>
                <c:pt idx="4">
                  <c:v>0</c:v>
                </c:pt>
                <c:pt idx="5">
                  <c:v>0</c:v>
                </c:pt>
                <c:pt idx="6">
                  <c:v>0</c:v>
                </c:pt>
                <c:pt idx="7">
                  <c:v>0</c:v>
                </c:pt>
                <c:pt idx="8">
                  <c:v>8.4541062801932361E-3</c:v>
                </c:pt>
                <c:pt idx="9">
                  <c:v>0</c:v>
                </c:pt>
                <c:pt idx="10">
                  <c:v>0</c:v>
                </c:pt>
                <c:pt idx="11">
                  <c:v>0</c:v>
                </c:pt>
                <c:pt idx="12">
                  <c:v>0</c:v>
                </c:pt>
                <c:pt idx="13">
                  <c:v>0</c:v>
                </c:pt>
                <c:pt idx="14">
                  <c:v>0.02</c:v>
                </c:pt>
                <c:pt idx="15">
                  <c:v>1.8867924528301886E-2</c:v>
                </c:pt>
              </c:numCache>
            </c:numRef>
          </c:val>
          <c:smooth val="0"/>
          <c:extLst>
            <c:ext xmlns:c16="http://schemas.microsoft.com/office/drawing/2014/chart" uri="{C3380CC4-5D6E-409C-BE32-E72D297353CC}">
              <c16:uniqueId val="{00000004-EB36-443B-AC72-9138ACF42AF5}"/>
            </c:ext>
          </c:extLst>
        </c:ser>
        <c:ser>
          <c:idx val="5"/>
          <c:order val="2"/>
          <c:tx>
            <c:strRef>
              <c:f>'Input from HR monthly'!$AV$5</c:f>
              <c:strCache>
                <c:ptCount val="1"/>
                <c:pt idx="0">
                  <c:v>BC LT</c:v>
                </c:pt>
              </c:strCache>
            </c:strRef>
          </c:tx>
          <c:spPr>
            <a:ln w="28575" cap="rnd">
              <a:solidFill>
                <a:schemeClr val="accent2"/>
              </a:solidFill>
              <a:round/>
            </a:ln>
            <a:effectLst/>
          </c:spPr>
          <c:marker>
            <c:symbol val="none"/>
          </c:marker>
          <c:cat>
            <c:strRef>
              <c:f>'Input from HR monthly'!$AP$6:$AP$70</c:f>
              <c:strCache>
                <c:ptCount val="17"/>
                <c:pt idx="0">
                  <c:v>Feb-24</c:v>
                </c:pt>
                <c:pt idx="1">
                  <c:v>Mar-24</c:v>
                </c:pt>
                <c:pt idx="2">
                  <c:v>Apr-24</c:v>
                </c:pt>
                <c:pt idx="3">
                  <c:v>May-24</c:v>
                </c:pt>
                <c:pt idx="4">
                  <c:v>Jun-24</c:v>
                </c:pt>
                <c:pt idx="5">
                  <c:v>Jul-24</c:v>
                </c:pt>
                <c:pt idx="6">
                  <c:v>Aug-24</c:v>
                </c:pt>
                <c:pt idx="7">
                  <c:v>Sep-24</c:v>
                </c:pt>
                <c:pt idx="8">
                  <c:v>Oct-24</c:v>
                </c:pt>
                <c:pt idx="9">
                  <c:v>Nov-24</c:v>
                </c:pt>
                <c:pt idx="10">
                  <c:v>Dec-24</c:v>
                </c:pt>
                <c:pt idx="11">
                  <c:v>jan-25</c:v>
                </c:pt>
                <c:pt idx="12">
                  <c:v>feb-25</c:v>
                </c:pt>
                <c:pt idx="13">
                  <c:v>mar-25</c:v>
                </c:pt>
                <c:pt idx="14">
                  <c:v>apr-25</c:v>
                </c:pt>
                <c:pt idx="15">
                  <c:v>maj-25</c:v>
                </c:pt>
                <c:pt idx="16">
                  <c:v>jun-25</c:v>
                </c:pt>
              </c:strCache>
            </c:strRef>
          </c:cat>
          <c:val>
            <c:numRef>
              <c:f>'Input from HR monthly'!$AV$6:$AV$70</c:f>
              <c:numCache>
                <c:formatCode>0.00%</c:formatCode>
                <c:ptCount val="17"/>
                <c:pt idx="0">
                  <c:v>5.5501930501930502E-2</c:v>
                </c:pt>
                <c:pt idx="1">
                  <c:v>5.4305283757338549E-2</c:v>
                </c:pt>
                <c:pt idx="2">
                  <c:v>6.4980793854033297E-2</c:v>
                </c:pt>
                <c:pt idx="3">
                  <c:v>7.1273291925465845E-2</c:v>
                </c:pt>
                <c:pt idx="4">
                  <c:v>8.9045936395759723E-2</c:v>
                </c:pt>
                <c:pt idx="5">
                  <c:v>8.1199999999999994E-2</c:v>
                </c:pt>
                <c:pt idx="6">
                  <c:v>0.1021</c:v>
                </c:pt>
                <c:pt idx="7">
                  <c:v>9.7900000000000001E-2</c:v>
                </c:pt>
                <c:pt idx="8">
                  <c:v>9.0604026845637578E-2</c:v>
                </c:pt>
                <c:pt idx="9">
                  <c:v>7.3369565217391311E-2</c:v>
                </c:pt>
                <c:pt idx="10">
                  <c:v>9.2691622103386814E-2</c:v>
                </c:pt>
                <c:pt idx="11">
                  <c:v>6.2925170068027211E-2</c:v>
                </c:pt>
                <c:pt idx="12">
                  <c:v>8.7370242214532878E-2</c:v>
                </c:pt>
                <c:pt idx="13">
                  <c:v>7.176157176157176E-2</c:v>
                </c:pt>
                <c:pt idx="14">
                  <c:v>8.0500000000000002E-2</c:v>
                </c:pt>
                <c:pt idx="15">
                  <c:v>6.1105561105561104E-2</c:v>
                </c:pt>
              </c:numCache>
            </c:numRef>
          </c:val>
          <c:smooth val="0"/>
          <c:extLst>
            <c:ext xmlns:c16="http://schemas.microsoft.com/office/drawing/2014/chart" uri="{C3380CC4-5D6E-409C-BE32-E72D297353CC}">
              <c16:uniqueId val="{00000005-EB36-443B-AC72-9138ACF42AF5}"/>
            </c:ext>
          </c:extLst>
        </c:ser>
        <c:dLbls>
          <c:showLegendKey val="0"/>
          <c:showVal val="0"/>
          <c:showCatName val="0"/>
          <c:showSerName val="0"/>
          <c:showPercent val="0"/>
          <c:showBubbleSize val="0"/>
        </c:dLbls>
        <c:smooth val="0"/>
        <c:axId val="228878032"/>
        <c:axId val="228875632"/>
      </c:lineChart>
      <c:catAx>
        <c:axId val="22887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228875632"/>
        <c:crosses val="autoZero"/>
        <c:auto val="1"/>
        <c:lblAlgn val="ctr"/>
        <c:lblOffset val="100"/>
        <c:noMultiLvlLbl val="0"/>
      </c:catAx>
      <c:valAx>
        <c:axId val="228875632"/>
        <c:scaling>
          <c:orientation val="minMax"/>
          <c:max val="0.1200000000000000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228878032"/>
        <c:crosses val="autoZero"/>
        <c:crossBetween val="between"/>
        <c:majorUnit val="1.0000000000000002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fmlaLink="'old - not use'!$F$23" lockText="1" noThreeD="1"/>
</file>

<file path=xl/ctrlProps/ctrlProp10.xml><?xml version="1.0" encoding="utf-8"?>
<formControlPr xmlns="http://schemas.microsoft.com/office/spreadsheetml/2009/9/main" objectType="CheckBox" checked="Checked" fmlaLink="'old - not use'!$L$25" lockText="1" noThreeD="1"/>
</file>

<file path=xl/ctrlProps/ctrlProp11.xml><?xml version="1.0" encoding="utf-8"?>
<formControlPr xmlns="http://schemas.microsoft.com/office/spreadsheetml/2009/9/main" objectType="List" dx="26" fmlaLink="OLD!$A$18" fmlaRange="'Input from HR monthly'!$B$6:$B$29" noThreeD="1" sel="22" val="0"/>
</file>

<file path=xl/ctrlProps/ctrlProp2.xml><?xml version="1.0" encoding="utf-8"?>
<formControlPr xmlns="http://schemas.microsoft.com/office/spreadsheetml/2009/9/main" objectType="CheckBox" fmlaLink="'old - not use'!$F$24" lockText="1" noThreeD="1"/>
</file>

<file path=xl/ctrlProps/ctrlProp3.xml><?xml version="1.0" encoding="utf-8"?>
<formControlPr xmlns="http://schemas.microsoft.com/office/spreadsheetml/2009/9/main" objectType="CheckBox" fmlaLink="'old - not use'!$F$25" lockText="1" noThreeD="1"/>
</file>

<file path=xl/ctrlProps/ctrlProp4.xml><?xml version="1.0" encoding="utf-8"?>
<formControlPr xmlns="http://schemas.microsoft.com/office/spreadsheetml/2009/9/main" objectType="CheckBox" checked="Checked" fmlaLink="'old - not use'!$F$26" lockText="1" noThreeD="1"/>
</file>

<file path=xl/ctrlProps/ctrlProp5.xml><?xml version="1.0" encoding="utf-8"?>
<formControlPr xmlns="http://schemas.microsoft.com/office/spreadsheetml/2009/9/main" objectType="CheckBox" fmlaLink="'old - not use'!$F$27" lockText="1" noThreeD="1"/>
</file>

<file path=xl/ctrlProps/ctrlProp6.xml><?xml version="1.0" encoding="utf-8"?>
<formControlPr xmlns="http://schemas.microsoft.com/office/spreadsheetml/2009/9/main" objectType="CheckBox" checked="Checked" fmlaLink="'old - not use'!$I$23" lockText="1" noThreeD="1"/>
</file>

<file path=xl/ctrlProps/ctrlProp7.xml><?xml version="1.0" encoding="utf-8"?>
<formControlPr xmlns="http://schemas.microsoft.com/office/spreadsheetml/2009/9/main" objectType="CheckBox" checked="Checked" fmlaLink="'old - not use'!$I$24" lockText="1" noThreeD="1"/>
</file>

<file path=xl/ctrlProps/ctrlProp8.xml><?xml version="1.0" encoding="utf-8"?>
<formControlPr xmlns="http://schemas.microsoft.com/office/spreadsheetml/2009/9/main" objectType="CheckBox" fmlaLink="'old - not use'!$L$23" lockText="1" noThreeD="1"/>
</file>

<file path=xl/ctrlProps/ctrlProp9.xml><?xml version="1.0" encoding="utf-8"?>
<formControlPr xmlns="http://schemas.microsoft.com/office/spreadsheetml/2009/9/main" objectType="CheckBox" checked="Checked" fmlaLink="'old - not use'!$L$24" lockText="1" noThreeD="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xdr:col>
      <xdr:colOff>11638</xdr:colOff>
      <xdr:row>71</xdr:row>
      <xdr:rowOff>10588</xdr:rowOff>
    </xdr:from>
    <xdr:to>
      <xdr:col>8</xdr:col>
      <xdr:colOff>87388</xdr:colOff>
      <xdr:row>84</xdr:row>
      <xdr:rowOff>54088</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148166</xdr:colOff>
      <xdr:row>71</xdr:row>
      <xdr:rowOff>10590</xdr:rowOff>
    </xdr:from>
    <xdr:to>
      <xdr:col>22</xdr:col>
      <xdr:colOff>361500</xdr:colOff>
      <xdr:row>84</xdr:row>
      <xdr:rowOff>54090</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359835</xdr:colOff>
      <xdr:row>71</xdr:row>
      <xdr:rowOff>10583</xdr:rowOff>
    </xdr:from>
    <xdr:to>
      <xdr:col>28</xdr:col>
      <xdr:colOff>562585</xdr:colOff>
      <xdr:row>84</xdr:row>
      <xdr:rowOff>54083</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190502</xdr:colOff>
      <xdr:row>71</xdr:row>
      <xdr:rowOff>10582</xdr:rowOff>
    </xdr:from>
    <xdr:to>
      <xdr:col>41</xdr:col>
      <xdr:colOff>44002</xdr:colOff>
      <xdr:row>84</xdr:row>
      <xdr:rowOff>54082</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41</xdr:col>
      <xdr:colOff>48683</xdr:colOff>
      <xdr:row>71</xdr:row>
      <xdr:rowOff>10583</xdr:rowOff>
    </xdr:from>
    <xdr:to>
      <xdr:col>46</xdr:col>
      <xdr:colOff>526599</xdr:colOff>
      <xdr:row>84</xdr:row>
      <xdr:rowOff>54083</xdr:rowOff>
    </xdr:to>
    <xdr:graphicFrame macro="">
      <xdr:nvGraphicFramePr>
        <xdr:cNvPr id="2" name="Chart 9">
          <a:extLst>
            <a:ext uri="{FF2B5EF4-FFF2-40B4-BE49-F238E27FC236}">
              <a16:creationId xmlns:a16="http://schemas.microsoft.com/office/drawing/2014/main" id="{00000000-0008-0000-0200-000002000000}"/>
            </a:ext>
            <a:ext uri="{147F2762-F138-4A5C-976F-8EAC2B608ADB}">
              <a16:predDERef xmlns:a16="http://schemas.microsoft.com/office/drawing/2014/main" pre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613832</xdr:colOff>
      <xdr:row>87</xdr:row>
      <xdr:rowOff>4235</xdr:rowOff>
    </xdr:from>
    <xdr:to>
      <xdr:col>8</xdr:col>
      <xdr:colOff>65165</xdr:colOff>
      <xdr:row>100</xdr:row>
      <xdr:rowOff>47735</xdr:rowOff>
    </xdr:to>
    <xdr:graphicFrame macro="">
      <xdr:nvGraphicFramePr>
        <xdr:cNvPr id="10" name="Chart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74082</xdr:colOff>
      <xdr:row>87</xdr:row>
      <xdr:rowOff>10583</xdr:rowOff>
    </xdr:from>
    <xdr:to>
      <xdr:col>15</xdr:col>
      <xdr:colOff>149832</xdr:colOff>
      <xdr:row>100</xdr:row>
      <xdr:rowOff>54083</xdr:rowOff>
    </xdr:to>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349251</xdr:colOff>
      <xdr:row>87</xdr:row>
      <xdr:rowOff>10586</xdr:rowOff>
    </xdr:from>
    <xdr:to>
      <xdr:col>28</xdr:col>
      <xdr:colOff>552001</xdr:colOff>
      <xdr:row>100</xdr:row>
      <xdr:rowOff>54086</xdr:rowOff>
    </xdr:to>
    <xdr:graphicFrame macro="">
      <xdr:nvGraphicFramePr>
        <xdr:cNvPr id="15" name="Chart 14">
          <a:extLst>
            <a:ext uri="{FF2B5EF4-FFF2-40B4-BE49-F238E27FC236}">
              <a16:creationId xmlns:a16="http://schemas.microsoft.com/office/drawing/2014/main" id="{00000000-0008-0000-02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41</xdr:col>
      <xdr:colOff>42333</xdr:colOff>
      <xdr:row>87</xdr:row>
      <xdr:rowOff>14818</xdr:rowOff>
    </xdr:from>
    <xdr:to>
      <xdr:col>46</xdr:col>
      <xdr:colOff>520249</xdr:colOff>
      <xdr:row>100</xdr:row>
      <xdr:rowOff>58318</xdr:rowOff>
    </xdr:to>
    <xdr:graphicFrame macro="">
      <xdr:nvGraphicFramePr>
        <xdr:cNvPr id="16" name="Chart 15">
          <a:extLst>
            <a:ext uri="{FF2B5EF4-FFF2-40B4-BE49-F238E27FC236}">
              <a16:creationId xmlns:a16="http://schemas.microsoft.com/office/drawing/2014/main" id="{00000000-0008-0000-02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35</xdr:col>
      <xdr:colOff>201083</xdr:colOff>
      <xdr:row>87</xdr:row>
      <xdr:rowOff>4237</xdr:rowOff>
    </xdr:from>
    <xdr:to>
      <xdr:col>41</xdr:col>
      <xdr:colOff>54583</xdr:colOff>
      <xdr:row>100</xdr:row>
      <xdr:rowOff>47737</xdr:rowOff>
    </xdr:to>
    <xdr:graphicFrame macro="">
      <xdr:nvGraphicFramePr>
        <xdr:cNvPr id="17" name="Chart 16">
          <a:extLst>
            <a:ext uri="{FF2B5EF4-FFF2-40B4-BE49-F238E27FC236}">
              <a16:creationId xmlns:a16="http://schemas.microsoft.com/office/drawing/2014/main" id="{00000000-0008-0000-02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63500</xdr:colOff>
      <xdr:row>71</xdr:row>
      <xdr:rowOff>4233</xdr:rowOff>
    </xdr:from>
    <xdr:to>
      <xdr:col>15</xdr:col>
      <xdr:colOff>139250</xdr:colOff>
      <xdr:row>84</xdr:row>
      <xdr:rowOff>47733</xdr:rowOff>
    </xdr:to>
    <xdr:graphicFrame macro="">
      <xdr:nvGraphicFramePr>
        <xdr:cNvPr id="18" name="Chart 17">
          <a:extLst>
            <a:ext uri="{FF2B5EF4-FFF2-40B4-BE49-F238E27FC236}">
              <a16:creationId xmlns:a16="http://schemas.microsoft.com/office/drawing/2014/main" id="{00000000-0008-0000-02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137584</xdr:colOff>
      <xdr:row>87</xdr:row>
      <xdr:rowOff>14815</xdr:rowOff>
    </xdr:from>
    <xdr:to>
      <xdr:col>22</xdr:col>
      <xdr:colOff>350918</xdr:colOff>
      <xdr:row>100</xdr:row>
      <xdr:rowOff>58315</xdr:rowOff>
    </xdr:to>
    <xdr:graphicFrame macro="">
      <xdr:nvGraphicFramePr>
        <xdr:cNvPr id="20" name="Chart 19">
          <a:extLst>
            <a:ext uri="{FF2B5EF4-FFF2-40B4-BE49-F238E27FC236}">
              <a16:creationId xmlns:a16="http://schemas.microsoft.com/office/drawing/2014/main" id="{00000000-0008-0000-02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29</xdr:col>
      <xdr:colOff>1</xdr:colOff>
      <xdr:row>71</xdr:row>
      <xdr:rowOff>14816</xdr:rowOff>
    </xdr:from>
    <xdr:to>
      <xdr:col>35</xdr:col>
      <xdr:colOff>202751</xdr:colOff>
      <xdr:row>84</xdr:row>
      <xdr:rowOff>58316</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28</xdr:col>
      <xdr:colOff>555625</xdr:colOff>
      <xdr:row>87</xdr:row>
      <xdr:rowOff>14815</xdr:rowOff>
    </xdr:from>
    <xdr:to>
      <xdr:col>35</xdr:col>
      <xdr:colOff>186875</xdr:colOff>
      <xdr:row>100</xdr:row>
      <xdr:rowOff>58315</xdr:rowOff>
    </xdr:to>
    <xdr:graphicFrame macro="">
      <xdr:nvGraphicFramePr>
        <xdr:cNvPr id="13" name="Chart 12">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296333</xdr:colOff>
      <xdr:row>0</xdr:row>
      <xdr:rowOff>38947</xdr:rowOff>
    </xdr:from>
    <xdr:to>
      <xdr:col>17</xdr:col>
      <xdr:colOff>52493</xdr:colOff>
      <xdr:row>30</xdr:row>
      <xdr:rowOff>42027</xdr:rowOff>
    </xdr:to>
    <xdr:graphicFrame macro="">
      <xdr:nvGraphicFramePr>
        <xdr:cNvPr id="20" name="Chart 19">
          <a:extLst>
            <a:ext uri="{FF2B5EF4-FFF2-40B4-BE49-F238E27FC236}">
              <a16:creationId xmlns:a16="http://schemas.microsoft.com/office/drawing/2014/main" id="{00000000-0008-0000-09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55</xdr:col>
      <xdr:colOff>203836</xdr:colOff>
      <xdr:row>0</xdr:row>
      <xdr:rowOff>173278</xdr:rowOff>
    </xdr:from>
    <xdr:to>
      <xdr:col>75</xdr:col>
      <xdr:colOff>44461</xdr:colOff>
      <xdr:row>7</xdr:row>
      <xdr:rowOff>161247</xdr:rowOff>
    </xdr:to>
    <xdr:grpSp>
      <xdr:nvGrpSpPr>
        <xdr:cNvPr id="8" name="Group 7">
          <a:extLst>
            <a:ext uri="{FF2B5EF4-FFF2-40B4-BE49-F238E27FC236}">
              <a16:creationId xmlns:a16="http://schemas.microsoft.com/office/drawing/2014/main" id="{00000000-0008-0000-0900-000008000000}"/>
            </a:ext>
          </a:extLst>
        </xdr:cNvPr>
        <xdr:cNvGrpSpPr/>
      </xdr:nvGrpSpPr>
      <xdr:grpSpPr>
        <a:xfrm>
          <a:off x="34255711" y="173278"/>
          <a:ext cx="12223125" cy="1321469"/>
          <a:chOff x="10248900" y="99093"/>
          <a:chExt cx="3215640" cy="2118680"/>
        </a:xfrm>
      </xdr:grpSpPr>
      <xdr:sp macro="" textlink="">
        <xdr:nvSpPr>
          <xdr:cNvPr id="2" name="Rectangle: Rounded Corners 1">
            <a:extLst>
              <a:ext uri="{FF2B5EF4-FFF2-40B4-BE49-F238E27FC236}">
                <a16:creationId xmlns:a16="http://schemas.microsoft.com/office/drawing/2014/main" id="{00000000-0008-0000-0900-000002000000}"/>
              </a:ext>
            </a:extLst>
          </xdr:cNvPr>
          <xdr:cNvSpPr/>
        </xdr:nvSpPr>
        <xdr:spPr>
          <a:xfrm>
            <a:off x="10248900" y="99093"/>
            <a:ext cx="3215640" cy="2118680"/>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mc:AlternateContent xmlns:mc="http://schemas.openxmlformats.org/markup-compatibility/2006">
        <mc:Choice xmlns:a14="http://schemas.microsoft.com/office/drawing/2010/main" Requires="a14">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900-0000020C0000}"/>
                  </a:ext>
                </a:extLst>
              </xdr:cNvPr>
              <xdr:cNvSpPr/>
            </xdr:nvSpPr>
            <xdr:spPr bwMode="auto">
              <a:xfrm>
                <a:off x="10386060" y="386237"/>
                <a:ext cx="739140" cy="21730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cs typeface="Segoe UI"/>
                  </a:rPr>
                  <a:t>PAGO</a:t>
                </a:r>
              </a:p>
            </xdr:txBody>
          </xdr:sp>
        </mc:Choice>
        <mc:Fallback/>
      </mc:AlternateContent>
      <mc:AlternateContent xmlns:mc="http://schemas.openxmlformats.org/markup-compatibility/2006">
        <mc:Choice xmlns:a14="http://schemas.microsoft.com/office/drawing/2010/main" Requires="a14">
          <xdr:sp macro="" textlink="">
            <xdr:nvSpPr>
              <xdr:cNvPr id="3080" name="Check Box 8" hidden="1">
                <a:extLst>
                  <a:ext uri="{63B3BB69-23CF-44E3-9099-C40C66FF867C}">
                    <a14:compatExt spid="_x0000_s3080"/>
                  </a:ext>
                  <a:ext uri="{FF2B5EF4-FFF2-40B4-BE49-F238E27FC236}">
                    <a16:creationId xmlns:a16="http://schemas.microsoft.com/office/drawing/2014/main" id="{00000000-0008-0000-0900-0000080C0000}"/>
                  </a:ext>
                </a:extLst>
              </xdr:cNvPr>
              <xdr:cNvSpPr/>
            </xdr:nvSpPr>
            <xdr:spPr bwMode="auto">
              <a:xfrm>
                <a:off x="10386060" y="665624"/>
                <a:ext cx="739140" cy="21730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cs typeface="Segoe UI"/>
                  </a:rPr>
                  <a:t>PASI</a:t>
                </a:r>
              </a:p>
            </xdr:txBody>
          </xdr:sp>
        </mc:Choice>
        <mc:Fallback/>
      </mc:AlternateContent>
      <mc:AlternateContent xmlns:mc="http://schemas.openxmlformats.org/markup-compatibility/2006">
        <mc:Choice xmlns:a14="http://schemas.microsoft.com/office/drawing/2010/main" Requires="a14">
          <xdr:sp macro="" textlink="">
            <xdr:nvSpPr>
              <xdr:cNvPr id="3081" name="Check Box 9" hidden="1">
                <a:extLst>
                  <a:ext uri="{63B3BB69-23CF-44E3-9099-C40C66FF867C}">
                    <a14:compatExt spid="_x0000_s3081"/>
                  </a:ext>
                  <a:ext uri="{FF2B5EF4-FFF2-40B4-BE49-F238E27FC236}">
                    <a16:creationId xmlns:a16="http://schemas.microsoft.com/office/drawing/2014/main" id="{00000000-0008-0000-0900-0000090C0000}"/>
                  </a:ext>
                </a:extLst>
              </xdr:cNvPr>
              <xdr:cNvSpPr/>
            </xdr:nvSpPr>
            <xdr:spPr bwMode="auto">
              <a:xfrm>
                <a:off x="10386060" y="945015"/>
                <a:ext cx="739140" cy="21730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cs typeface="Segoe UI"/>
                  </a:rPr>
                  <a:t>PARA</a:t>
                </a:r>
              </a:p>
            </xdr:txBody>
          </xdr:sp>
        </mc:Choice>
        <mc:Fallback/>
      </mc:AlternateContent>
      <mc:AlternateContent xmlns:mc="http://schemas.openxmlformats.org/markup-compatibility/2006">
        <mc:Choice xmlns:a14="http://schemas.microsoft.com/office/drawing/2010/main" Requires="a14">
          <xdr:sp macro="" textlink="">
            <xdr:nvSpPr>
              <xdr:cNvPr id="3083" name="Check Box 11" hidden="1">
                <a:extLst>
                  <a:ext uri="{63B3BB69-23CF-44E3-9099-C40C66FF867C}">
                    <a14:compatExt spid="_x0000_s3083"/>
                  </a:ext>
                  <a:ext uri="{FF2B5EF4-FFF2-40B4-BE49-F238E27FC236}">
                    <a16:creationId xmlns:a16="http://schemas.microsoft.com/office/drawing/2014/main" id="{00000000-0008-0000-0900-00000B0C0000}"/>
                  </a:ext>
                </a:extLst>
              </xdr:cNvPr>
              <xdr:cNvSpPr/>
            </xdr:nvSpPr>
            <xdr:spPr bwMode="auto">
              <a:xfrm>
                <a:off x="10378440" y="1232162"/>
                <a:ext cx="792480" cy="21730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cs typeface="Segoe UI"/>
                  </a:rPr>
                  <a:t>PAGE</a:t>
                </a:r>
              </a:p>
            </xdr:txBody>
          </xdr:sp>
        </mc:Choice>
        <mc:Fallback/>
      </mc:AlternateContent>
      <mc:AlternateContent xmlns:mc="http://schemas.openxmlformats.org/markup-compatibility/2006">
        <mc:Choice xmlns:a14="http://schemas.microsoft.com/office/drawing/2010/main" Requires="a14">
          <xdr:sp macro="" textlink="">
            <xdr:nvSpPr>
              <xdr:cNvPr id="3084" name="Check Box 12" hidden="1">
                <a:extLst>
                  <a:ext uri="{63B3BB69-23CF-44E3-9099-C40C66FF867C}">
                    <a14:compatExt spid="_x0000_s3084"/>
                  </a:ext>
                  <a:ext uri="{FF2B5EF4-FFF2-40B4-BE49-F238E27FC236}">
                    <a16:creationId xmlns:a16="http://schemas.microsoft.com/office/drawing/2014/main" id="{00000000-0008-0000-0900-00000C0C0000}"/>
                  </a:ext>
                </a:extLst>
              </xdr:cNvPr>
              <xdr:cNvSpPr/>
            </xdr:nvSpPr>
            <xdr:spPr bwMode="auto">
              <a:xfrm>
                <a:off x="10378440" y="1527069"/>
                <a:ext cx="792480" cy="21730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cs typeface="Segoe UI"/>
                  </a:rPr>
                  <a:t>PAIN</a:t>
                </a:r>
              </a:p>
            </xdr:txBody>
          </xdr:sp>
        </mc:Choice>
        <mc:Fallback/>
      </mc:AlternateContent>
      <mc:AlternateContent xmlns:mc="http://schemas.openxmlformats.org/markup-compatibility/2006">
        <mc:Choice xmlns:a14="http://schemas.microsoft.com/office/drawing/2010/main" Requires="a14">
          <xdr:sp macro="" textlink="">
            <xdr:nvSpPr>
              <xdr:cNvPr id="3086" name="Check Box 14" hidden="1">
                <a:extLst>
                  <a:ext uri="{63B3BB69-23CF-44E3-9099-C40C66FF867C}">
                    <a14:compatExt spid="_x0000_s3086"/>
                  </a:ext>
                  <a:ext uri="{FF2B5EF4-FFF2-40B4-BE49-F238E27FC236}">
                    <a16:creationId xmlns:a16="http://schemas.microsoft.com/office/drawing/2014/main" id="{00000000-0008-0000-0900-00000E0C0000}"/>
                  </a:ext>
                </a:extLst>
              </xdr:cNvPr>
              <xdr:cNvSpPr/>
            </xdr:nvSpPr>
            <xdr:spPr bwMode="auto">
              <a:xfrm>
                <a:off x="11193780" y="386237"/>
                <a:ext cx="792480" cy="21730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cs typeface="Segoe UI"/>
                  </a:rPr>
                  <a:t>Blue Color</a:t>
                </a:r>
              </a:p>
            </xdr:txBody>
          </xdr:sp>
        </mc:Choice>
        <mc:Fallback/>
      </mc:AlternateContent>
      <mc:AlternateContent xmlns:mc="http://schemas.openxmlformats.org/markup-compatibility/2006">
        <mc:Choice xmlns:a14="http://schemas.microsoft.com/office/drawing/2010/main" Requires="a14">
          <xdr:sp macro="" textlink="">
            <xdr:nvSpPr>
              <xdr:cNvPr id="3087" name="Check Box 15" hidden="1">
                <a:extLst>
                  <a:ext uri="{63B3BB69-23CF-44E3-9099-C40C66FF867C}">
                    <a14:compatExt spid="_x0000_s3087"/>
                  </a:ext>
                  <a:ext uri="{FF2B5EF4-FFF2-40B4-BE49-F238E27FC236}">
                    <a16:creationId xmlns:a16="http://schemas.microsoft.com/office/drawing/2014/main" id="{00000000-0008-0000-0900-00000F0C0000}"/>
                  </a:ext>
                </a:extLst>
              </xdr:cNvPr>
              <xdr:cNvSpPr/>
            </xdr:nvSpPr>
            <xdr:spPr bwMode="auto">
              <a:xfrm>
                <a:off x="11186160" y="673391"/>
                <a:ext cx="792480" cy="21730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cs typeface="Segoe UI"/>
                  </a:rPr>
                  <a:t>White Color</a:t>
                </a:r>
              </a:p>
            </xdr:txBody>
          </xdr:sp>
        </mc:Choice>
        <mc:Fallback/>
      </mc:AlternateContent>
      <mc:AlternateContent xmlns:mc="http://schemas.openxmlformats.org/markup-compatibility/2006">
        <mc:Choice xmlns:a14="http://schemas.microsoft.com/office/drawing/2010/main" Requires="a14">
          <xdr:sp macro="" textlink="">
            <xdr:nvSpPr>
              <xdr:cNvPr id="3088" name="Check Box 16" hidden="1">
                <a:extLst>
                  <a:ext uri="{63B3BB69-23CF-44E3-9099-C40C66FF867C}">
                    <a14:compatExt spid="_x0000_s3088"/>
                  </a:ext>
                  <a:ext uri="{FF2B5EF4-FFF2-40B4-BE49-F238E27FC236}">
                    <a16:creationId xmlns:a16="http://schemas.microsoft.com/office/drawing/2014/main" id="{00000000-0008-0000-0900-0000100C0000}"/>
                  </a:ext>
                </a:extLst>
              </xdr:cNvPr>
              <xdr:cNvSpPr/>
            </xdr:nvSpPr>
            <xdr:spPr bwMode="auto">
              <a:xfrm>
                <a:off x="12108180" y="378480"/>
                <a:ext cx="792480" cy="21730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cs typeface="Segoe UI"/>
                  </a:rPr>
                  <a:t>Short Term</a:t>
                </a:r>
              </a:p>
            </xdr:txBody>
          </xdr:sp>
        </mc:Choice>
        <mc:Fallback/>
      </mc:AlternateContent>
      <mc:AlternateContent xmlns:mc="http://schemas.openxmlformats.org/markup-compatibility/2006">
        <mc:Choice xmlns:a14="http://schemas.microsoft.com/office/drawing/2010/main" Requires="a14">
          <xdr:sp macro="" textlink="">
            <xdr:nvSpPr>
              <xdr:cNvPr id="3089" name="Check Box 17" hidden="1">
                <a:extLst>
                  <a:ext uri="{63B3BB69-23CF-44E3-9099-C40C66FF867C}">
                    <a14:compatExt spid="_x0000_s3089"/>
                  </a:ext>
                  <a:ext uri="{FF2B5EF4-FFF2-40B4-BE49-F238E27FC236}">
                    <a16:creationId xmlns:a16="http://schemas.microsoft.com/office/drawing/2014/main" id="{00000000-0008-0000-0900-0000110C0000}"/>
                  </a:ext>
                </a:extLst>
              </xdr:cNvPr>
              <xdr:cNvSpPr/>
            </xdr:nvSpPr>
            <xdr:spPr bwMode="auto">
              <a:xfrm>
                <a:off x="12100560" y="673391"/>
                <a:ext cx="792480" cy="21730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cs typeface="Segoe UI"/>
                  </a:rPr>
                  <a:t>Long Term</a:t>
                </a:r>
              </a:p>
            </xdr:txBody>
          </xdr:sp>
        </mc:Choice>
        <mc:Fallback/>
      </mc:AlternateContent>
      <mc:AlternateContent xmlns:mc="http://schemas.openxmlformats.org/markup-compatibility/2006">
        <mc:Choice xmlns:a14="http://schemas.microsoft.com/office/drawing/2010/main" Requires="a14">
          <xdr:sp macro="" textlink="">
            <xdr:nvSpPr>
              <xdr:cNvPr id="3090" name="Check Box 18" hidden="1">
                <a:extLst>
                  <a:ext uri="{63B3BB69-23CF-44E3-9099-C40C66FF867C}">
                    <a14:compatExt spid="_x0000_s3090"/>
                  </a:ext>
                  <a:ext uri="{FF2B5EF4-FFF2-40B4-BE49-F238E27FC236}">
                    <a16:creationId xmlns:a16="http://schemas.microsoft.com/office/drawing/2014/main" id="{00000000-0008-0000-0900-0000120C0000}"/>
                  </a:ext>
                </a:extLst>
              </xdr:cNvPr>
              <xdr:cNvSpPr/>
            </xdr:nvSpPr>
            <xdr:spPr bwMode="auto">
              <a:xfrm>
                <a:off x="12092940" y="945015"/>
                <a:ext cx="1097280" cy="24834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sv-SE" sz="800" b="0" i="0" u="none" strike="noStrike" baseline="0">
                    <a:solidFill>
                      <a:srgbClr val="000000"/>
                    </a:solidFill>
                    <a:latin typeface="Segoe UI"/>
                    <a:cs typeface="Segoe UI"/>
                  </a:rPr>
                  <a:t>Total (Short&amp;Long)</a:t>
                </a:r>
              </a:p>
            </xdr:txBody>
          </xdr:sp>
        </mc:Choice>
        <mc:Fallback/>
      </mc:AlternateContent>
    </xdr:grpSp>
    <xdr:clientData/>
  </xdr:twoCellAnchor>
  <xdr:twoCellAnchor>
    <xdr:from>
      <xdr:col>0</xdr:col>
      <xdr:colOff>110067</xdr:colOff>
      <xdr:row>0</xdr:row>
      <xdr:rowOff>76207</xdr:rowOff>
    </xdr:from>
    <xdr:to>
      <xdr:col>23</xdr:col>
      <xdr:colOff>118533</xdr:colOff>
      <xdr:row>31</xdr:row>
      <xdr:rowOff>53975</xdr:rowOff>
    </xdr:to>
    <xdr:sp macro="" textlink="">
      <xdr:nvSpPr>
        <xdr:cNvPr id="3" name="Rectangle: Rounded Corners 2">
          <a:extLst>
            <a:ext uri="{FF2B5EF4-FFF2-40B4-BE49-F238E27FC236}">
              <a16:creationId xmlns:a16="http://schemas.microsoft.com/office/drawing/2014/main" id="{00000000-0008-0000-0900-000003000000}"/>
            </a:ext>
          </a:extLst>
        </xdr:cNvPr>
        <xdr:cNvSpPr/>
      </xdr:nvSpPr>
      <xdr:spPr>
        <a:xfrm>
          <a:off x="110067" y="76207"/>
          <a:ext cx="14029266" cy="575203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xdr:twoCellAnchor>
    <xdr:from>
      <xdr:col>16</xdr:col>
      <xdr:colOff>520699</xdr:colOff>
      <xdr:row>12</xdr:row>
      <xdr:rowOff>175294</xdr:rowOff>
    </xdr:from>
    <xdr:to>
      <xdr:col>22</xdr:col>
      <xdr:colOff>78739</xdr:colOff>
      <xdr:row>21</xdr:row>
      <xdr:rowOff>143934</xdr:rowOff>
    </xdr:to>
    <xdr:sp macro="" textlink="">
      <xdr:nvSpPr>
        <xdr:cNvPr id="19" name="Rectangle: Rounded Corners 18">
          <a:extLst>
            <a:ext uri="{FF2B5EF4-FFF2-40B4-BE49-F238E27FC236}">
              <a16:creationId xmlns:a16="http://schemas.microsoft.com/office/drawing/2014/main" id="{00000000-0008-0000-0900-000013000000}"/>
            </a:ext>
          </a:extLst>
        </xdr:cNvPr>
        <xdr:cNvSpPr/>
      </xdr:nvSpPr>
      <xdr:spPr>
        <a:xfrm>
          <a:off x="10274299" y="2410494"/>
          <a:ext cx="3215640" cy="1645040"/>
        </a:xfrm>
        <a:prstGeom prst="round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sv-SE" sz="1100"/>
        </a:p>
      </xdr:txBody>
    </xdr:sp>
    <xdr:clientData/>
  </xdr:twoCellAnchor>
  <mc:AlternateContent xmlns:mc="http://schemas.openxmlformats.org/markup-compatibility/2006">
    <mc:Choice xmlns:a14="http://schemas.microsoft.com/office/drawing/2010/main" Requires="a14">
      <xdr:twoCellAnchor editAs="oneCell">
        <xdr:from>
          <xdr:col>17</xdr:col>
          <xdr:colOff>190500</xdr:colOff>
          <xdr:row>15</xdr:row>
          <xdr:rowOff>66675</xdr:rowOff>
        </xdr:from>
        <xdr:to>
          <xdr:col>18</xdr:col>
          <xdr:colOff>495300</xdr:colOff>
          <xdr:row>20</xdr:row>
          <xdr:rowOff>66675</xdr:rowOff>
        </xdr:to>
        <xdr:sp macro="" textlink="">
          <xdr:nvSpPr>
            <xdr:cNvPr id="3092" name="List Box 20" hidden="1">
              <a:extLst>
                <a:ext uri="{63B3BB69-23CF-44E3-9099-C40C66FF867C}">
                  <a14:compatExt spid="_x0000_s3092"/>
                </a:ext>
                <a:ext uri="{FF2B5EF4-FFF2-40B4-BE49-F238E27FC236}">
                  <a16:creationId xmlns:a16="http://schemas.microsoft.com/office/drawing/2014/main" id="{00000000-0008-0000-0900-000014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93134</xdr:colOff>
      <xdr:row>13</xdr:row>
      <xdr:rowOff>101601</xdr:rowOff>
    </xdr:from>
    <xdr:to>
      <xdr:col>19</xdr:col>
      <xdr:colOff>212377</xdr:colOff>
      <xdr:row>14</xdr:row>
      <xdr:rowOff>179895</xdr:rowOff>
    </xdr:to>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10456334" y="2523068"/>
          <a:ext cx="133844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sv-SE" sz="1100"/>
            <a:t>Choose</a:t>
          </a:r>
          <a:r>
            <a:rPr lang="sv-SE" sz="1100" baseline="0"/>
            <a:t> Start Month</a:t>
          </a:r>
          <a:endParaRPr lang="sv-S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106680</xdr:colOff>
      <xdr:row>2</xdr:row>
      <xdr:rowOff>160020</xdr:rowOff>
    </xdr:from>
    <xdr:to>
      <xdr:col>12</xdr:col>
      <xdr:colOff>160020</xdr:colOff>
      <xdr:row>21</xdr:row>
      <xdr:rowOff>99060</xdr:rowOff>
    </xdr:to>
    <xdr:sp macro="" textlink="">
      <xdr:nvSpPr>
        <xdr:cNvPr id="2" name="Star: 12 Points 1">
          <a:extLst>
            <a:ext uri="{FF2B5EF4-FFF2-40B4-BE49-F238E27FC236}">
              <a16:creationId xmlns:a16="http://schemas.microsoft.com/office/drawing/2014/main" id="{00000000-0008-0000-0A00-000002000000}"/>
            </a:ext>
          </a:extLst>
        </xdr:cNvPr>
        <xdr:cNvSpPr/>
      </xdr:nvSpPr>
      <xdr:spPr>
        <a:xfrm>
          <a:off x="1935480" y="525780"/>
          <a:ext cx="5539740" cy="3421380"/>
        </a:xfrm>
        <a:prstGeom prst="star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sv-SE" sz="4000"/>
            <a:t>Do not touc</a:t>
          </a:r>
          <a:r>
            <a:rPr lang="sv-SE" sz="4000" baseline="0"/>
            <a:t>h this sheet</a:t>
          </a:r>
          <a:endParaRPr lang="sv-SE" sz="40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365760</xdr:colOff>
      <xdr:row>2</xdr:row>
      <xdr:rowOff>91440</xdr:rowOff>
    </xdr:from>
    <xdr:to>
      <xdr:col>15</xdr:col>
      <xdr:colOff>419100</xdr:colOff>
      <xdr:row>21</xdr:row>
      <xdr:rowOff>38100</xdr:rowOff>
    </xdr:to>
    <xdr:sp macro="" textlink="">
      <xdr:nvSpPr>
        <xdr:cNvPr id="2" name="Star: 12 Points 1">
          <a:extLst>
            <a:ext uri="{FF2B5EF4-FFF2-40B4-BE49-F238E27FC236}">
              <a16:creationId xmlns:a16="http://schemas.microsoft.com/office/drawing/2014/main" id="{00000000-0008-0000-0B00-000002000000}"/>
            </a:ext>
          </a:extLst>
        </xdr:cNvPr>
        <xdr:cNvSpPr/>
      </xdr:nvSpPr>
      <xdr:spPr>
        <a:xfrm>
          <a:off x="4023360" y="464820"/>
          <a:ext cx="5539740" cy="3421380"/>
        </a:xfrm>
        <a:prstGeom prst="star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sv-SE" sz="4000"/>
            <a:t>Do not touc</a:t>
          </a:r>
          <a:r>
            <a:rPr lang="sv-SE" sz="4000" baseline="0"/>
            <a:t>h this sheet</a:t>
          </a:r>
          <a:endParaRPr lang="sv-SE" sz="4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865FD-A35A-4C77-AD48-9F7CF264363E}">
  <dimension ref="A1"/>
  <sheetViews>
    <sheetView topLeftCell="A10" workbookViewId="0">
      <selection activeCell="J12" sqref="E4:J12"/>
    </sheetView>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
  <sheetViews>
    <sheetView showGridLines="0" zoomScale="92" zoomScaleNormal="92" workbookViewId="0">
      <selection activeCell="N36" sqref="N36"/>
    </sheetView>
  </sheetViews>
  <sheetFormatPr defaultColWidth="9.28515625" defaultRowHeight="15"/>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Check Box 2">
              <controlPr defaultSize="0" autoFill="0" autoLine="0" autoPict="0">
                <anchor moveWithCells="1">
                  <from>
                    <xdr:col>56</xdr:col>
                    <xdr:colOff>106077</xdr:colOff>
                    <xdr:row>1</xdr:row>
                    <xdr:rowOff>161876</xdr:rowOff>
                  </from>
                  <to>
                    <xdr:col>60</xdr:col>
                    <xdr:colOff>439158</xdr:colOff>
                    <xdr:row>2</xdr:row>
                    <xdr:rowOff>106912</xdr:rowOff>
                  </to>
                </anchor>
              </controlPr>
            </control>
          </mc:Choice>
        </mc:AlternateContent>
        <mc:AlternateContent xmlns:mc="http://schemas.openxmlformats.org/markup-compatibility/2006">
          <mc:Choice Requires="x14">
            <control shapeId="3080" r:id="rId5" name="Check Box 8">
              <controlPr defaultSize="0" autoFill="0" autoLine="0" autoPict="0">
                <anchor moveWithCells="1">
                  <from>
                    <xdr:col>56</xdr:col>
                    <xdr:colOff>106077</xdr:colOff>
                    <xdr:row>2</xdr:row>
                    <xdr:rowOff>145636</xdr:rowOff>
                  </from>
                  <to>
                    <xdr:col>60</xdr:col>
                    <xdr:colOff>439158</xdr:colOff>
                    <xdr:row>3</xdr:row>
                    <xdr:rowOff>90672</xdr:rowOff>
                  </to>
                </anchor>
              </controlPr>
            </control>
          </mc:Choice>
        </mc:AlternateContent>
        <mc:AlternateContent xmlns:mc="http://schemas.openxmlformats.org/markup-compatibility/2006">
          <mc:Choice Requires="x14">
            <control shapeId="3081" r:id="rId6" name="Check Box 9">
              <controlPr defaultSize="0" autoFill="0" autoLine="0" autoPict="0">
                <anchor moveWithCells="1">
                  <from>
                    <xdr:col>56</xdr:col>
                    <xdr:colOff>106077</xdr:colOff>
                    <xdr:row>3</xdr:row>
                    <xdr:rowOff>129399</xdr:rowOff>
                  </from>
                  <to>
                    <xdr:col>60</xdr:col>
                    <xdr:colOff>439158</xdr:colOff>
                    <xdr:row>4</xdr:row>
                    <xdr:rowOff>74435</xdr:rowOff>
                  </to>
                </anchor>
              </controlPr>
            </control>
          </mc:Choice>
        </mc:AlternateContent>
        <mc:AlternateContent xmlns:mc="http://schemas.openxmlformats.org/markup-compatibility/2006">
          <mc:Choice Requires="x14">
            <control shapeId="3083" r:id="rId7" name="Check Box 11">
              <controlPr defaultSize="0" autoFill="0" autoLine="0" autoPict="0">
                <anchor moveWithCells="1">
                  <from>
                    <xdr:col>56</xdr:col>
                    <xdr:colOff>77112</xdr:colOff>
                    <xdr:row>4</xdr:row>
                    <xdr:rowOff>117999</xdr:rowOff>
                  </from>
                  <to>
                    <xdr:col>60</xdr:col>
                    <xdr:colOff>612946</xdr:colOff>
                    <xdr:row>5</xdr:row>
                    <xdr:rowOff>63035</xdr:rowOff>
                  </to>
                </anchor>
              </controlPr>
            </control>
          </mc:Choice>
        </mc:AlternateContent>
        <mc:AlternateContent xmlns:mc="http://schemas.openxmlformats.org/markup-compatibility/2006">
          <mc:Choice Requires="x14">
            <control shapeId="3084" r:id="rId8" name="Check Box 12">
              <controlPr defaultSize="0" autoFill="0" autoLine="0" autoPict="0">
                <anchor moveWithCells="1">
                  <from>
                    <xdr:col>56</xdr:col>
                    <xdr:colOff>77112</xdr:colOff>
                    <xdr:row>5</xdr:row>
                    <xdr:rowOff>111439</xdr:rowOff>
                  </from>
                  <to>
                    <xdr:col>60</xdr:col>
                    <xdr:colOff>612946</xdr:colOff>
                    <xdr:row>6</xdr:row>
                    <xdr:rowOff>56475</xdr:rowOff>
                  </to>
                </anchor>
              </controlPr>
            </control>
          </mc:Choice>
        </mc:AlternateContent>
        <mc:AlternateContent xmlns:mc="http://schemas.openxmlformats.org/markup-compatibility/2006">
          <mc:Choice Requires="x14">
            <control shapeId="3086" r:id="rId9" name="Check Box 14">
              <controlPr defaultSize="0" autoFill="0" autoLine="0" autoPict="0">
                <anchor moveWithCells="1">
                  <from>
                    <xdr:col>61</xdr:col>
                    <xdr:colOff>80715</xdr:colOff>
                    <xdr:row>1</xdr:row>
                    <xdr:rowOff>161876</xdr:rowOff>
                  </from>
                  <to>
                    <xdr:col>65</xdr:col>
                    <xdr:colOff>616549</xdr:colOff>
                    <xdr:row>2</xdr:row>
                    <xdr:rowOff>106912</xdr:rowOff>
                  </to>
                </anchor>
              </controlPr>
            </control>
          </mc:Choice>
        </mc:AlternateContent>
        <mc:AlternateContent xmlns:mc="http://schemas.openxmlformats.org/markup-compatibility/2006">
          <mc:Choice Requires="x14">
            <control shapeId="3087" r:id="rId10" name="Check Box 15">
              <controlPr defaultSize="0" autoFill="0" autoLine="0" autoPict="0">
                <anchor moveWithCells="1">
                  <from>
                    <xdr:col>61</xdr:col>
                    <xdr:colOff>51750</xdr:colOff>
                    <xdr:row>2</xdr:row>
                    <xdr:rowOff>150481</xdr:rowOff>
                  </from>
                  <to>
                    <xdr:col>65</xdr:col>
                    <xdr:colOff>587584</xdr:colOff>
                    <xdr:row>3</xdr:row>
                    <xdr:rowOff>95517</xdr:rowOff>
                  </to>
                </anchor>
              </controlPr>
            </control>
          </mc:Choice>
        </mc:AlternateContent>
        <mc:AlternateContent xmlns:mc="http://schemas.openxmlformats.org/markup-compatibility/2006">
          <mc:Choice Requires="x14">
            <control shapeId="3088" r:id="rId11" name="Check Box 16">
              <controlPr defaultSize="0" autoFill="0" autoLine="0" autoPict="0">
                <anchor moveWithCells="1">
                  <from>
                    <xdr:col>66</xdr:col>
                    <xdr:colOff>460860</xdr:colOff>
                    <xdr:row>1</xdr:row>
                    <xdr:rowOff>157038</xdr:rowOff>
                  </from>
                  <to>
                    <xdr:col>71</xdr:col>
                    <xdr:colOff>377569</xdr:colOff>
                    <xdr:row>2</xdr:row>
                    <xdr:rowOff>102074</xdr:rowOff>
                  </to>
                </anchor>
              </controlPr>
            </control>
          </mc:Choice>
        </mc:AlternateContent>
        <mc:AlternateContent xmlns:mc="http://schemas.openxmlformats.org/markup-compatibility/2006">
          <mc:Choice Requires="x14">
            <control shapeId="3089" r:id="rId12" name="Check Box 17">
              <controlPr defaultSize="0" autoFill="0" autoLine="0" autoPict="0">
                <anchor moveWithCells="1">
                  <from>
                    <xdr:col>66</xdr:col>
                    <xdr:colOff>431896</xdr:colOff>
                    <xdr:row>2</xdr:row>
                    <xdr:rowOff>150481</xdr:rowOff>
                  </from>
                  <to>
                    <xdr:col>71</xdr:col>
                    <xdr:colOff>348605</xdr:colOff>
                    <xdr:row>3</xdr:row>
                    <xdr:rowOff>95517</xdr:rowOff>
                  </to>
                </anchor>
              </controlPr>
            </control>
          </mc:Choice>
        </mc:AlternateContent>
        <mc:AlternateContent xmlns:mc="http://schemas.openxmlformats.org/markup-compatibility/2006">
          <mc:Choice Requires="x14">
            <control shapeId="3090" r:id="rId13" name="Check Box 18">
              <controlPr defaultSize="0" autoFill="0" autoLine="0" autoPict="0">
                <anchor moveWithCells="1">
                  <from>
                    <xdr:col>66</xdr:col>
                    <xdr:colOff>402931</xdr:colOff>
                    <xdr:row>3</xdr:row>
                    <xdr:rowOff>129399</xdr:rowOff>
                  </from>
                  <to>
                    <xdr:col>73</xdr:col>
                    <xdr:colOff>239980</xdr:colOff>
                    <xdr:row>4</xdr:row>
                    <xdr:rowOff>93797</xdr:rowOff>
                  </to>
                </anchor>
              </controlPr>
            </control>
          </mc:Choice>
        </mc:AlternateContent>
        <mc:AlternateContent xmlns:mc="http://schemas.openxmlformats.org/markup-compatibility/2006">
          <mc:Choice Requires="x14">
            <control shapeId="3092" r:id="rId14" name="List Box 20">
              <controlPr defaultSize="0" autoLine="0" autoPict="0">
                <anchor moveWithCells="1">
                  <from>
                    <xdr:col>17</xdr:col>
                    <xdr:colOff>190500</xdr:colOff>
                    <xdr:row>15</xdr:row>
                    <xdr:rowOff>66675</xdr:rowOff>
                  </from>
                  <to>
                    <xdr:col>18</xdr:col>
                    <xdr:colOff>495300</xdr:colOff>
                    <xdr:row>20</xdr:row>
                    <xdr:rowOff>66675</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AL42"/>
  <sheetViews>
    <sheetView workbookViewId="0">
      <selection activeCell="R7" sqref="R7"/>
    </sheetView>
  </sheetViews>
  <sheetFormatPr defaultColWidth="9.28515625" defaultRowHeight="15"/>
  <sheetData>
    <row r="3" spans="2:38">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2:38" ht="15.75" thickBot="1">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row>
    <row r="5" spans="2:38">
      <c r="B5" s="7"/>
      <c r="C5" s="192" t="s">
        <v>42</v>
      </c>
      <c r="D5" s="193"/>
      <c r="E5" s="193"/>
      <c r="F5" s="193"/>
      <c r="G5" s="193"/>
      <c r="H5" s="194"/>
      <c r="I5" s="192" t="s">
        <v>43</v>
      </c>
      <c r="J5" s="193"/>
      <c r="K5" s="193"/>
      <c r="L5" s="193"/>
      <c r="M5" s="193"/>
      <c r="N5" s="194"/>
      <c r="O5" s="192" t="s">
        <v>44</v>
      </c>
      <c r="P5" s="193"/>
      <c r="Q5" s="193"/>
      <c r="R5" s="193"/>
      <c r="S5" s="193"/>
      <c r="T5" s="194"/>
      <c r="U5" s="192" t="s">
        <v>45</v>
      </c>
      <c r="V5" s="193"/>
      <c r="W5" s="193"/>
      <c r="X5" s="193"/>
      <c r="Y5" s="193"/>
      <c r="Z5" s="194"/>
      <c r="AA5" s="192" t="s">
        <v>46</v>
      </c>
      <c r="AB5" s="193"/>
      <c r="AC5" s="193"/>
      <c r="AD5" s="193"/>
      <c r="AE5" s="193"/>
      <c r="AF5" s="194"/>
      <c r="AG5" s="6"/>
      <c r="AH5" s="6"/>
      <c r="AI5" s="6"/>
      <c r="AJ5" s="6"/>
      <c r="AK5" s="6"/>
      <c r="AL5" s="6"/>
    </row>
    <row r="6" spans="2:38">
      <c r="B6" s="22"/>
      <c r="C6" s="8" t="s">
        <v>47</v>
      </c>
      <c r="D6" s="9" t="s">
        <v>48</v>
      </c>
      <c r="E6" s="9" t="s">
        <v>49</v>
      </c>
      <c r="F6" s="9" t="s">
        <v>50</v>
      </c>
      <c r="G6" s="9" t="s">
        <v>51</v>
      </c>
      <c r="H6" s="10" t="s">
        <v>52</v>
      </c>
      <c r="I6" s="8" t="s">
        <v>53</v>
      </c>
      <c r="J6" s="9" t="s">
        <v>54</v>
      </c>
      <c r="K6" s="9" t="s">
        <v>55</v>
      </c>
      <c r="L6" s="9" t="s">
        <v>56</v>
      </c>
      <c r="M6" s="9" t="s">
        <v>57</v>
      </c>
      <c r="N6" s="10" t="s">
        <v>58</v>
      </c>
      <c r="O6" s="8" t="s">
        <v>59</v>
      </c>
      <c r="P6" s="9" t="s">
        <v>60</v>
      </c>
      <c r="Q6" s="9" t="s">
        <v>61</v>
      </c>
      <c r="R6" s="9" t="s">
        <v>62</v>
      </c>
      <c r="S6" s="9" t="s">
        <v>63</v>
      </c>
      <c r="T6" s="10" t="s">
        <v>64</v>
      </c>
      <c r="U6" s="8" t="s">
        <v>65</v>
      </c>
      <c r="V6" s="9" t="s">
        <v>66</v>
      </c>
      <c r="W6" s="9" t="s">
        <v>67</v>
      </c>
      <c r="X6" s="9" t="s">
        <v>68</v>
      </c>
      <c r="Y6" s="9" t="s">
        <v>69</v>
      </c>
      <c r="Z6" s="10" t="s">
        <v>70</v>
      </c>
      <c r="AA6" s="11" t="s">
        <v>71</v>
      </c>
      <c r="AB6" s="9" t="s">
        <v>72</v>
      </c>
      <c r="AC6" s="9" t="s">
        <v>73</v>
      </c>
      <c r="AD6" s="9" t="s">
        <v>74</v>
      </c>
      <c r="AE6" s="9" t="s">
        <v>75</v>
      </c>
      <c r="AF6" s="10" t="s">
        <v>76</v>
      </c>
      <c r="AG6" s="6"/>
      <c r="AH6" s="6"/>
      <c r="AI6" s="6"/>
      <c r="AJ6" s="6"/>
      <c r="AK6" s="6"/>
      <c r="AL6" s="6"/>
    </row>
    <row r="7" spans="2:38">
      <c r="B7" s="23">
        <f>OLD!B4</f>
        <v>44489</v>
      </c>
      <c r="C7" s="21" t="str">
        <f>IF(AND($F$23=TRUE,$I$24=TRUE,$L$23=TRUE),OLD!C4,"")</f>
        <v/>
      </c>
      <c r="D7" s="12" t="str">
        <f>IF(AND($F$23=TRUE,$I$23=TRUE,$L$23=TRUE),OLD!D4,"")</f>
        <v/>
      </c>
      <c r="E7" s="12" t="str">
        <f>IF(AND($F$23=TRUE,$I$24=TRUE,$L$24=TRUE),OLD!E4,"")</f>
        <v/>
      </c>
      <c r="F7" s="12" t="str">
        <f>IF(AND($F$23=TRUE,$I$23=TRUE,$L$24=TRUE),OLD!F4,"")</f>
        <v/>
      </c>
      <c r="G7" s="12" t="str">
        <f>IF(AND($F$23=TRUE,$I$24=TRUE,$L$25=TRUE),OLD!G4,"")</f>
        <v/>
      </c>
      <c r="H7" s="12" t="str">
        <f>IF(AND($F$23=TRUE,$I$23=TRUE,$L$25=TRUE),OLD!H4,"")</f>
        <v/>
      </c>
      <c r="I7" s="12" t="str">
        <f>IF(AND($F$24=TRUE,$I$24=TRUE,$L$23=TRUE),OLD!I4,"")</f>
        <v/>
      </c>
      <c r="J7" s="12" t="str">
        <f>IF(AND($F$24=TRUE,$I$23=TRUE,$L$23=TRUE),OLD!J4,"")</f>
        <v/>
      </c>
      <c r="K7" s="12" t="str">
        <f>IF(AND($F$24=TRUE,$I$24=TRUE,$L$24=TRUE),OLD!K4,"")</f>
        <v/>
      </c>
      <c r="L7" s="12" t="str">
        <f>IF(AND($F$24=TRUE,$I$23=TRUE,$L$24=TRUE),OLD!L4,"")</f>
        <v/>
      </c>
      <c r="M7" s="12" t="str">
        <f>IF(AND($F$24=TRUE,$I$24=TRUE,$L$25=TRUE),OLD!M4,"")</f>
        <v/>
      </c>
      <c r="N7" s="12" t="str">
        <f>IF(AND($F$24=TRUE,$I$23=TRUE,$L$25=TRUE),OLD!N4,"")</f>
        <v/>
      </c>
      <c r="O7" s="12" t="str">
        <f>IF(AND($F$25=TRUE,$I$24=TRUE,$L$23=TRUE),OLD!O4,"")</f>
        <v/>
      </c>
      <c r="P7" s="12" t="str">
        <f>IF(AND($F$25=TRUE,$I$23=TRUE,$L$23=TRUE),OLD!P4,"")</f>
        <v/>
      </c>
      <c r="Q7" s="12" t="str">
        <f>IF(AND($F$25=TRUE,$I$24=TRUE,$L$24=TRUE),OLD!Q4,"")</f>
        <v/>
      </c>
      <c r="R7" s="12" t="str">
        <f>IF(AND($F$25=TRUE,$I$23=TRUE,$L$24=TRUE),OLD!R4,"")</f>
        <v/>
      </c>
      <c r="S7" s="12" t="str">
        <f>IF(AND($F$25=TRUE,$I$24=TRUE,$L$25=TRUE),OLD!S4,"")</f>
        <v/>
      </c>
      <c r="T7" s="12" t="str">
        <f>IF(AND($F$25=TRUE,$I$23=TRUE,$L$25=TRUE),OLD!T4,"")</f>
        <v/>
      </c>
      <c r="U7" s="12" t="str">
        <f>IF(AND($F$26=TRUE,$I$24=TRUE,$L$23=TRUE),OLD!U4,"")</f>
        <v/>
      </c>
      <c r="V7" s="12" t="str">
        <f>IF(AND($F$26=TRUE,$I$23=TRUE,$L$23=TRUE),OLD!V4,"")</f>
        <v/>
      </c>
      <c r="W7" s="12">
        <f>IF(AND($F$26=TRUE,$I$24=TRUE,$L$24=TRUE),OLD!W4,"")</f>
        <v>44489</v>
      </c>
      <c r="X7" s="12">
        <f>IF(AND($F$26=TRUE,$I$23=TRUE,$L$24=TRUE),OLD!X4,"")</f>
        <v>2.3E-2</v>
      </c>
      <c r="Y7" s="12">
        <f>IF(AND($F$26=TRUE,$I$24=TRUE,$L$25=TRUE),OLD!Y4,"")</f>
        <v>7.0000000000000007E-2</v>
      </c>
      <c r="Z7" s="12">
        <f>IF(AND($F$26=TRUE,$I$23=TRUE,$L$25=TRUE),OLD!Z4,"")</f>
        <v>0</v>
      </c>
      <c r="AA7" s="12" t="str">
        <f>IF(AND($F$27=TRUE,$I$24=TRUE,$L$23=TRUE),OLD!AA4,"")</f>
        <v/>
      </c>
      <c r="AB7" s="12" t="str">
        <f>IF(AND($F$27=TRUE,$I$23=TRUE,$L$23=TRUE),OLD!AB4,"")</f>
        <v/>
      </c>
      <c r="AC7" s="12" t="str">
        <f>IF(AND($F$27=TRUE,$I$24=TRUE,$L$24=TRUE),OLD!AC4,"")</f>
        <v/>
      </c>
      <c r="AD7" s="12" t="str">
        <f>IF(AND($F$27=TRUE,$I$23=TRUE,$L$24=TRUE),OLD!AD4,"")</f>
        <v/>
      </c>
      <c r="AE7" s="12" t="str">
        <f>IF(AND($F$27=TRUE,$I$24=TRUE,$L$25=TRUE),OLD!AE4,"")</f>
        <v/>
      </c>
      <c r="AF7" s="12" t="str">
        <f>IF(AND($F$27=TRUE,$I$23=TRUE,$L$25=TRUE),OLD!AF4,"")</f>
        <v/>
      </c>
      <c r="AG7" s="6"/>
      <c r="AH7" s="6"/>
      <c r="AI7" s="6"/>
      <c r="AJ7" s="6"/>
      <c r="AK7" s="6"/>
      <c r="AL7" s="6"/>
    </row>
    <row r="8" spans="2:38">
      <c r="B8" s="23">
        <f>OLD!B5</f>
        <v>44520</v>
      </c>
      <c r="C8" s="21" t="str">
        <f>IF(AND($F$23=TRUE,$I$24=TRUE,$L$23=TRUE),OLD!C5,"")</f>
        <v/>
      </c>
      <c r="D8" s="12" t="str">
        <f>IF(AND($F$23=TRUE,$I$23=TRUE,$L$23=TRUE),OLD!D5,"")</f>
        <v/>
      </c>
      <c r="E8" s="12" t="str">
        <f>IF(AND($F$23=TRUE,$I$24=TRUE,$L$24=TRUE),OLD!E5,"")</f>
        <v/>
      </c>
      <c r="F8" s="12" t="str">
        <f>IF(AND($F$23=TRUE,$I$23=TRUE,$L$24=TRUE),OLD!F5,"")</f>
        <v/>
      </c>
      <c r="G8" s="12" t="str">
        <f>IF(AND($F$23=TRUE,$I$24=TRUE,$L$25=TRUE),OLD!G5,"")</f>
        <v/>
      </c>
      <c r="H8" s="12" t="str">
        <f>IF(AND($F$23=TRUE,$I$23=TRUE,$L$25=TRUE),OLD!H5,"")</f>
        <v/>
      </c>
      <c r="I8" s="12" t="str">
        <f>IF(AND($F$24=TRUE,$I$24=TRUE,$L$23=TRUE),OLD!I5,"")</f>
        <v/>
      </c>
      <c r="J8" s="12" t="str">
        <f>IF(AND($F$24=TRUE,$I$23=TRUE,$L$23=TRUE),OLD!J5,"")</f>
        <v/>
      </c>
      <c r="K8" s="12" t="str">
        <f>IF(AND($F$24=TRUE,$I$24=TRUE,$L$24=TRUE),OLD!K5,"")</f>
        <v/>
      </c>
      <c r="L8" s="12" t="str">
        <f>IF(AND($F$24=TRUE,$I$23=TRUE,$L$24=TRUE),OLD!L5,"")</f>
        <v/>
      </c>
      <c r="M8" s="12" t="str">
        <f>IF(AND($F$24=TRUE,$I$24=TRUE,$L$25=TRUE),OLD!M5,"")</f>
        <v/>
      </c>
      <c r="N8" s="12" t="str">
        <f>IF(AND($F$24=TRUE,$I$23=TRUE,$L$25=TRUE),OLD!N5,"")</f>
        <v/>
      </c>
      <c r="O8" s="12" t="str">
        <f>IF(AND($F$25=TRUE,$I$24=TRUE,$L$23=TRUE),OLD!O5,"")</f>
        <v/>
      </c>
      <c r="P8" s="12" t="str">
        <f>IF(AND($F$25=TRUE,$I$23=TRUE,$L$23=TRUE),OLD!P5,"")</f>
        <v/>
      </c>
      <c r="Q8" s="12" t="str">
        <f>IF(AND($F$25=TRUE,$I$24=TRUE,$L$24=TRUE),OLD!Q5,"")</f>
        <v/>
      </c>
      <c r="R8" s="12" t="str">
        <f>IF(AND($F$25=TRUE,$I$23=TRUE,$L$24=TRUE),OLD!R5,"")</f>
        <v/>
      </c>
      <c r="S8" s="12" t="str">
        <f>IF(AND($F$25=TRUE,$I$24=TRUE,$L$25=TRUE),OLD!S5,"")</f>
        <v/>
      </c>
      <c r="T8" s="12" t="str">
        <f>IF(AND($F$25=TRUE,$I$23=TRUE,$L$25=TRUE),OLD!T5,"")</f>
        <v/>
      </c>
      <c r="U8" s="12" t="str">
        <f>IF(AND($F$26=TRUE,$I$24=TRUE,$L$23=TRUE),OLD!U5,"")</f>
        <v/>
      </c>
      <c r="V8" s="12" t="str">
        <f>IF(AND($F$26=TRUE,$I$23=TRUE,$L$23=TRUE),OLD!V5,"")</f>
        <v/>
      </c>
      <c r="W8" s="12">
        <f>IF(AND($F$26=TRUE,$I$24=TRUE,$L$24=TRUE),OLD!W5,"")</f>
        <v>44520</v>
      </c>
      <c r="X8" s="12">
        <f>IF(AND($F$26=TRUE,$I$23=TRUE,$L$24=TRUE),OLD!X5,"")</f>
        <v>2.1000000000000001E-2</v>
      </c>
      <c r="Y8" s="12">
        <f>IF(AND($F$26=TRUE,$I$24=TRUE,$L$25=TRUE),OLD!Y5,"")</f>
        <v>4.3999999999999997E-2</v>
      </c>
      <c r="Z8" s="12">
        <f>IF(AND($F$26=TRUE,$I$23=TRUE,$L$25=TRUE),OLD!Z5,"")</f>
        <v>0</v>
      </c>
      <c r="AA8" s="12" t="str">
        <f>IF(AND($F$27=TRUE,$I$24=TRUE,$L$23=TRUE),OLD!AA5,"")</f>
        <v/>
      </c>
      <c r="AB8" s="12" t="str">
        <f>IF(AND($F$27=TRUE,$I$23=TRUE,$L$23=TRUE),OLD!AB5,"")</f>
        <v/>
      </c>
      <c r="AC8" s="12" t="str">
        <f>IF(AND($F$27=TRUE,$I$24=TRUE,$L$24=TRUE),OLD!AC5,"")</f>
        <v/>
      </c>
      <c r="AD8" s="12" t="str">
        <f>IF(AND($F$27=TRUE,$I$23=TRUE,$L$24=TRUE),OLD!AD5,"")</f>
        <v/>
      </c>
      <c r="AE8" s="12" t="str">
        <f>IF(AND($F$27=TRUE,$I$24=TRUE,$L$25=TRUE),OLD!AE5,"")</f>
        <v/>
      </c>
      <c r="AF8" s="12" t="str">
        <f>IF(AND($F$27=TRUE,$I$23=TRUE,$L$25=TRUE),OLD!AF5,"")</f>
        <v/>
      </c>
      <c r="AG8" s="6"/>
      <c r="AH8" s="6"/>
      <c r="AI8" s="6"/>
      <c r="AJ8" s="6"/>
      <c r="AK8" s="6"/>
      <c r="AL8" s="6"/>
    </row>
    <row r="9" spans="2:38">
      <c r="B9" s="23">
        <f>OLD!B6</f>
        <v>44550</v>
      </c>
      <c r="C9" s="21" t="str">
        <f>IF(AND($F$23=TRUE,$I$24=TRUE,$L$23=TRUE),OLD!C6,"")</f>
        <v/>
      </c>
      <c r="D9" s="12" t="str">
        <f>IF(AND($F$23=TRUE,$I$23=TRUE,$L$23=TRUE),OLD!D6,"")</f>
        <v/>
      </c>
      <c r="E9" s="12" t="str">
        <f>IF(AND($F$23=TRUE,$I$24=TRUE,$L$24=TRUE),OLD!E6,"")</f>
        <v/>
      </c>
      <c r="F9" s="12" t="str">
        <f>IF(AND($F$23=TRUE,$I$23=TRUE,$L$24=TRUE),OLD!F6,"")</f>
        <v/>
      </c>
      <c r="G9" s="12" t="str">
        <f>IF(AND($F$23=TRUE,$I$24=TRUE,$L$25=TRUE),OLD!G6,"")</f>
        <v/>
      </c>
      <c r="H9" s="12" t="str">
        <f>IF(AND($F$23=TRUE,$I$23=TRUE,$L$25=TRUE),OLD!H6,"")</f>
        <v/>
      </c>
      <c r="I9" s="12" t="str">
        <f>IF(AND($F$24=TRUE,$I$24=TRUE,$L$23=TRUE),OLD!I6,"")</f>
        <v/>
      </c>
      <c r="J9" s="12" t="str">
        <f>IF(AND($F$24=TRUE,$I$23=TRUE,$L$23=TRUE),OLD!J6,"")</f>
        <v/>
      </c>
      <c r="K9" s="12" t="str">
        <f>IF(AND($F$24=TRUE,$I$24=TRUE,$L$24=TRUE),OLD!K6,"")</f>
        <v/>
      </c>
      <c r="L9" s="12" t="str">
        <f>IF(AND($F$24=TRUE,$I$23=TRUE,$L$24=TRUE),OLD!L6,"")</f>
        <v/>
      </c>
      <c r="M9" s="12" t="str">
        <f>IF(AND($F$24=TRUE,$I$24=TRUE,$L$25=TRUE),OLD!M6,"")</f>
        <v/>
      </c>
      <c r="N9" s="12" t="str">
        <f>IF(AND($F$24=TRUE,$I$23=TRUE,$L$25=TRUE),OLD!N6,"")</f>
        <v/>
      </c>
      <c r="O9" s="12" t="str">
        <f>IF(AND($F$25=TRUE,$I$24=TRUE,$L$23=TRUE),OLD!O6,"")</f>
        <v/>
      </c>
      <c r="P9" s="12" t="str">
        <f>IF(AND($F$25=TRUE,$I$23=TRUE,$L$23=TRUE),OLD!P6,"")</f>
        <v/>
      </c>
      <c r="Q9" s="12" t="str">
        <f>IF(AND($F$25=TRUE,$I$24=TRUE,$L$24=TRUE),OLD!Q6,"")</f>
        <v/>
      </c>
      <c r="R9" s="12" t="str">
        <f>IF(AND($F$25=TRUE,$I$23=TRUE,$L$24=TRUE),OLD!R6,"")</f>
        <v/>
      </c>
      <c r="S9" s="12" t="str">
        <f>IF(AND($F$25=TRUE,$I$24=TRUE,$L$25=TRUE),OLD!S6,"")</f>
        <v/>
      </c>
      <c r="T9" s="12" t="str">
        <f>IF(AND($F$25=TRUE,$I$23=TRUE,$L$25=TRUE),OLD!T6,"")</f>
        <v/>
      </c>
      <c r="U9" s="12" t="str">
        <f>IF(AND($F$26=TRUE,$I$24=TRUE,$L$23=TRUE),OLD!U6,"")</f>
        <v/>
      </c>
      <c r="V9" s="12" t="str">
        <f>IF(AND($F$26=TRUE,$I$23=TRUE,$L$23=TRUE),OLD!V6,"")</f>
        <v/>
      </c>
      <c r="W9" s="12">
        <f>IF(AND($F$26=TRUE,$I$24=TRUE,$L$24=TRUE),OLD!W6,"")</f>
        <v>44550</v>
      </c>
      <c r="X9" s="12">
        <f>IF(AND($F$26=TRUE,$I$23=TRUE,$L$24=TRUE),OLD!X6,"")</f>
        <v>6.0000000000000001E-3</v>
      </c>
      <c r="Y9" s="12">
        <f>IF(AND($F$26=TRUE,$I$24=TRUE,$L$25=TRUE),OLD!Y6,"")</f>
        <v>3.3000000000000002E-2</v>
      </c>
      <c r="Z9" s="12">
        <f>IF(AND($F$26=TRUE,$I$23=TRUE,$L$25=TRUE),OLD!Z6,"")</f>
        <v>0</v>
      </c>
      <c r="AA9" s="12" t="str">
        <f>IF(AND($F$27=TRUE,$I$24=TRUE,$L$23=TRUE),OLD!AA6,"")</f>
        <v/>
      </c>
      <c r="AB9" s="12" t="str">
        <f>IF(AND($F$27=TRUE,$I$23=TRUE,$L$23=TRUE),OLD!AB6,"")</f>
        <v/>
      </c>
      <c r="AC9" s="12" t="str">
        <f>IF(AND($F$27=TRUE,$I$24=TRUE,$L$24=TRUE),OLD!AC6,"")</f>
        <v/>
      </c>
      <c r="AD9" s="12" t="str">
        <f>IF(AND($F$27=TRUE,$I$23=TRUE,$L$24=TRUE),OLD!AD6,"")</f>
        <v/>
      </c>
      <c r="AE9" s="12" t="str">
        <f>IF(AND($F$27=TRUE,$I$24=TRUE,$L$25=TRUE),OLD!AE6,"")</f>
        <v/>
      </c>
      <c r="AF9" s="12" t="str">
        <f>IF(AND($F$27=TRUE,$I$23=TRUE,$L$25=TRUE),OLD!AF6,"")</f>
        <v/>
      </c>
      <c r="AG9" s="6"/>
      <c r="AH9" s="6"/>
      <c r="AI9" s="6"/>
      <c r="AJ9" s="6"/>
      <c r="AK9" s="6"/>
      <c r="AL9" s="6"/>
    </row>
    <row r="10" spans="2:38">
      <c r="B10" s="23">
        <f>OLD!B7</f>
        <v>44550</v>
      </c>
      <c r="C10" s="21" t="str">
        <f>IF(AND($F$23=TRUE,$I$24=TRUE,$L$23=TRUE),OLD!C7,"")</f>
        <v/>
      </c>
      <c r="D10" s="12" t="str">
        <f>IF(AND($F$23=TRUE,$I$23=TRUE,$L$23=TRUE),OLD!D7,"")</f>
        <v/>
      </c>
      <c r="E10" s="12" t="str">
        <f>IF(AND($F$23=TRUE,$I$24=TRUE,$L$24=TRUE),OLD!E7,"")</f>
        <v/>
      </c>
      <c r="F10" s="12" t="str">
        <f>IF(AND($F$23=TRUE,$I$23=TRUE,$L$24=TRUE),OLD!F7,"")</f>
        <v/>
      </c>
      <c r="G10" s="12" t="str">
        <f>IF(AND($F$23=TRUE,$I$24=TRUE,$L$25=TRUE),OLD!G7,"")</f>
        <v/>
      </c>
      <c r="H10" s="12" t="str">
        <f>IF(AND($F$23=TRUE,$I$23=TRUE,$L$25=TRUE),OLD!H7,"")</f>
        <v/>
      </c>
      <c r="I10" s="12" t="str">
        <f>IF(AND($F$24=TRUE,$I$24=TRUE,$L$23=TRUE),OLD!I7,"")</f>
        <v/>
      </c>
      <c r="J10" s="12" t="str">
        <f>IF(AND($F$24=TRUE,$I$23=TRUE,$L$23=TRUE),OLD!J7,"")</f>
        <v/>
      </c>
      <c r="K10" s="12" t="str">
        <f>IF(AND($F$24=TRUE,$I$24=TRUE,$L$24=TRUE),OLD!K7,"")</f>
        <v/>
      </c>
      <c r="L10" s="12" t="str">
        <f>IF(AND($F$24=TRUE,$I$23=TRUE,$L$24=TRUE),OLD!L7,"")</f>
        <v/>
      </c>
      <c r="M10" s="12" t="str">
        <f>IF(AND($F$24=TRUE,$I$24=TRUE,$L$25=TRUE),OLD!M7,"")</f>
        <v/>
      </c>
      <c r="N10" s="12" t="str">
        <f>IF(AND($F$24=TRUE,$I$23=TRUE,$L$25=TRUE),OLD!N7,"")</f>
        <v/>
      </c>
      <c r="O10" s="12" t="str">
        <f>IF(AND($F$25=TRUE,$I$24=TRUE,$L$23=TRUE),OLD!O7,"")</f>
        <v/>
      </c>
      <c r="P10" s="12" t="str">
        <f>IF(AND($F$25=TRUE,$I$23=TRUE,$L$23=TRUE),OLD!P7,"")</f>
        <v/>
      </c>
      <c r="Q10" s="12" t="str">
        <f>IF(AND($F$25=TRUE,$I$24=TRUE,$L$24=TRUE),OLD!Q7,"")</f>
        <v/>
      </c>
      <c r="R10" s="12" t="str">
        <f>IF(AND($F$25=TRUE,$I$23=TRUE,$L$24=TRUE),OLD!R7,"")</f>
        <v/>
      </c>
      <c r="S10" s="12" t="str">
        <f>IF(AND($F$25=TRUE,$I$24=TRUE,$L$25=TRUE),OLD!S7,"")</f>
        <v/>
      </c>
      <c r="T10" s="12" t="str">
        <f>IF(AND($F$25=TRUE,$I$23=TRUE,$L$25=TRUE),OLD!T7,"")</f>
        <v/>
      </c>
      <c r="U10" s="12" t="str">
        <f>IF(AND($F$26=TRUE,$I$24=TRUE,$L$23=TRUE),OLD!U7,"")</f>
        <v/>
      </c>
      <c r="V10" s="12" t="str">
        <f>IF(AND($F$26=TRUE,$I$23=TRUE,$L$23=TRUE),OLD!V7,"")</f>
        <v/>
      </c>
      <c r="W10" s="12">
        <f>IF(AND($F$26=TRUE,$I$24=TRUE,$L$24=TRUE),OLD!W7,"")</f>
        <v>44550</v>
      </c>
      <c r="X10" s="12">
        <f>IF(AND($F$26=TRUE,$I$23=TRUE,$L$24=TRUE),OLD!X7,"")</f>
        <v>6.0000000000000001E-3</v>
      </c>
      <c r="Y10" s="12">
        <f>IF(AND($F$26=TRUE,$I$24=TRUE,$L$25=TRUE),OLD!Y7,"")</f>
        <v>3.3000000000000002E-2</v>
      </c>
      <c r="Z10" s="12">
        <f>IF(AND($F$26=TRUE,$I$23=TRUE,$L$25=TRUE),OLD!Z7,"")</f>
        <v>0</v>
      </c>
      <c r="AA10" s="12" t="str">
        <f>IF(AND($F$27=TRUE,$I$24=TRUE,$L$23=TRUE),OLD!AA7,"")</f>
        <v/>
      </c>
      <c r="AB10" s="12" t="str">
        <f>IF(AND($F$27=TRUE,$I$23=TRUE,$L$23=TRUE),OLD!AB7,"")</f>
        <v/>
      </c>
      <c r="AC10" s="12" t="str">
        <f>IF(AND($F$27=TRUE,$I$24=TRUE,$L$24=TRUE),OLD!AC7,"")</f>
        <v/>
      </c>
      <c r="AD10" s="12" t="str">
        <f>IF(AND($F$27=TRUE,$I$23=TRUE,$L$24=TRUE),OLD!AD7,"")</f>
        <v/>
      </c>
      <c r="AE10" s="12" t="str">
        <f>IF(AND($F$27=TRUE,$I$24=TRUE,$L$25=TRUE),OLD!AE7,"")</f>
        <v/>
      </c>
      <c r="AF10" s="12" t="str">
        <f>IF(AND($F$27=TRUE,$I$23=TRUE,$L$25=TRUE),OLD!AF7,"")</f>
        <v/>
      </c>
      <c r="AG10" s="6"/>
      <c r="AH10" s="6"/>
      <c r="AI10" s="6"/>
      <c r="AJ10" s="6"/>
      <c r="AK10" s="6"/>
      <c r="AL10" s="6"/>
    </row>
    <row r="11" spans="2:38">
      <c r="B11" s="23">
        <f>OLD!B8</f>
        <v>44550</v>
      </c>
      <c r="C11" s="21" t="str">
        <f>IF(AND($F$23=TRUE,$I$24=TRUE,$L$23=TRUE),OLD!C8,"")</f>
        <v/>
      </c>
      <c r="D11" s="12" t="str">
        <f>IF(AND($F$23=TRUE,$I$23=TRUE,$L$23=TRUE),OLD!D8,"")</f>
        <v/>
      </c>
      <c r="E11" s="12" t="str">
        <f>IF(AND($F$23=TRUE,$I$24=TRUE,$L$24=TRUE),OLD!E8,"")</f>
        <v/>
      </c>
      <c r="F11" s="12" t="str">
        <f>IF(AND($F$23=TRUE,$I$23=TRUE,$L$24=TRUE),OLD!F8,"")</f>
        <v/>
      </c>
      <c r="G11" s="12" t="str">
        <f>IF(AND($F$23=TRUE,$I$24=TRUE,$L$25=TRUE),OLD!G8,"")</f>
        <v/>
      </c>
      <c r="H11" s="12" t="str">
        <f>IF(AND($F$23=TRUE,$I$23=TRUE,$L$25=TRUE),OLD!H8,"")</f>
        <v/>
      </c>
      <c r="I11" s="12" t="str">
        <f>IF(AND($F$24=TRUE,$I$24=TRUE,$L$23=TRUE),OLD!I8,"")</f>
        <v/>
      </c>
      <c r="J11" s="12" t="str">
        <f>IF(AND($F$24=TRUE,$I$23=TRUE,$L$23=TRUE),OLD!J8,"")</f>
        <v/>
      </c>
      <c r="K11" s="12" t="str">
        <f>IF(AND($F$24=TRUE,$I$24=TRUE,$L$24=TRUE),OLD!K8,"")</f>
        <v/>
      </c>
      <c r="L11" s="12" t="str">
        <f>IF(AND($F$24=TRUE,$I$23=TRUE,$L$24=TRUE),OLD!L8,"")</f>
        <v/>
      </c>
      <c r="M11" s="12" t="str">
        <f>IF(AND($F$24=TRUE,$I$24=TRUE,$L$25=TRUE),OLD!M8,"")</f>
        <v/>
      </c>
      <c r="N11" s="12" t="str">
        <f>IF(AND($F$24=TRUE,$I$23=TRUE,$L$25=TRUE),OLD!N8,"")</f>
        <v/>
      </c>
      <c r="O11" s="12" t="str">
        <f>IF(AND($F$25=TRUE,$I$24=TRUE,$L$23=TRUE),OLD!O8,"")</f>
        <v/>
      </c>
      <c r="P11" s="12" t="str">
        <f>IF(AND($F$25=TRUE,$I$23=TRUE,$L$23=TRUE),OLD!P8,"")</f>
        <v/>
      </c>
      <c r="Q11" s="12" t="str">
        <f>IF(AND($F$25=TRUE,$I$24=TRUE,$L$24=TRUE),OLD!Q8,"")</f>
        <v/>
      </c>
      <c r="R11" s="12" t="str">
        <f>IF(AND($F$25=TRUE,$I$23=TRUE,$L$24=TRUE),OLD!R8,"")</f>
        <v/>
      </c>
      <c r="S11" s="12" t="str">
        <f>IF(AND($F$25=TRUE,$I$24=TRUE,$L$25=TRUE),OLD!S8,"")</f>
        <v/>
      </c>
      <c r="T11" s="12" t="str">
        <f>IF(AND($F$25=TRUE,$I$23=TRUE,$L$25=TRUE),OLD!T8,"")</f>
        <v/>
      </c>
      <c r="U11" s="12" t="str">
        <f>IF(AND($F$26=TRUE,$I$24=TRUE,$L$23=TRUE),OLD!U8,"")</f>
        <v/>
      </c>
      <c r="V11" s="12" t="str">
        <f>IF(AND($F$26=TRUE,$I$23=TRUE,$L$23=TRUE),OLD!V8,"")</f>
        <v/>
      </c>
      <c r="W11" s="12">
        <f>IF(AND($F$26=TRUE,$I$24=TRUE,$L$24=TRUE),OLD!W8,"")</f>
        <v>44550</v>
      </c>
      <c r="X11" s="12">
        <f>IF(AND($F$26=TRUE,$I$23=TRUE,$L$24=TRUE),OLD!X8,"")</f>
        <v>6.0000000000000001E-3</v>
      </c>
      <c r="Y11" s="12">
        <f>IF(AND($F$26=TRUE,$I$24=TRUE,$L$25=TRUE),OLD!Y8,"")</f>
        <v>3.3000000000000002E-2</v>
      </c>
      <c r="Z11" s="12">
        <f>IF(AND($F$26=TRUE,$I$23=TRUE,$L$25=TRUE),OLD!Z8,"")</f>
        <v>0</v>
      </c>
      <c r="AA11" s="12" t="str">
        <f>IF(AND($F$27=TRUE,$I$24=TRUE,$L$23=TRUE),OLD!AA8,"")</f>
        <v/>
      </c>
      <c r="AB11" s="12" t="str">
        <f>IF(AND($F$27=TRUE,$I$23=TRUE,$L$23=TRUE),OLD!AB8,"")</f>
        <v/>
      </c>
      <c r="AC11" s="12" t="str">
        <f>IF(AND($F$27=TRUE,$I$24=TRUE,$L$24=TRUE),OLD!AC8,"")</f>
        <v/>
      </c>
      <c r="AD11" s="12" t="str">
        <f>IF(AND($F$27=TRUE,$I$23=TRUE,$L$24=TRUE),OLD!AD8,"")</f>
        <v/>
      </c>
      <c r="AE11" s="12" t="str">
        <f>IF(AND($F$27=TRUE,$I$24=TRUE,$L$25=TRUE),OLD!AE8,"")</f>
        <v/>
      </c>
      <c r="AF11" s="12" t="str">
        <f>IF(AND($F$27=TRUE,$I$23=TRUE,$L$25=TRUE),OLD!AF8,"")</f>
        <v/>
      </c>
      <c r="AG11" s="6"/>
      <c r="AH11" s="6"/>
      <c r="AI11" s="6"/>
      <c r="AJ11" s="6"/>
      <c r="AK11" s="6"/>
      <c r="AL11" s="6"/>
    </row>
    <row r="12" spans="2:38">
      <c r="B12" s="23">
        <f>OLD!B9</f>
        <v>44550</v>
      </c>
      <c r="C12" s="21" t="str">
        <f>IF(AND($F$23=TRUE,$I$24=TRUE,$L$23=TRUE),OLD!C9,"")</f>
        <v/>
      </c>
      <c r="D12" s="12" t="str">
        <f>IF(AND($F$23=TRUE,$I$23=TRUE,$L$23=TRUE),OLD!D9,"")</f>
        <v/>
      </c>
      <c r="E12" s="12" t="str">
        <f>IF(AND($F$23=TRUE,$I$24=TRUE,$L$24=TRUE),OLD!E9,"")</f>
        <v/>
      </c>
      <c r="F12" s="12" t="str">
        <f>IF(AND($F$23=TRUE,$I$23=TRUE,$L$24=TRUE),OLD!F9,"")</f>
        <v/>
      </c>
      <c r="G12" s="12" t="str">
        <f>IF(AND($F$23=TRUE,$I$24=TRUE,$L$25=TRUE),OLD!G9,"")</f>
        <v/>
      </c>
      <c r="H12" s="12" t="str">
        <f>IF(AND($F$23=TRUE,$I$23=TRUE,$L$25=TRUE),OLD!H9,"")</f>
        <v/>
      </c>
      <c r="I12" s="12" t="str">
        <f>IF(AND($F$24=TRUE,$I$24=TRUE,$L$23=TRUE),OLD!I9,"")</f>
        <v/>
      </c>
      <c r="J12" s="12" t="str">
        <f>IF(AND($F$24=TRUE,$I$23=TRUE,$L$23=TRUE),OLD!J9,"")</f>
        <v/>
      </c>
      <c r="K12" s="12" t="str">
        <f>IF(AND($F$24=TRUE,$I$24=TRUE,$L$24=TRUE),OLD!K9,"")</f>
        <v/>
      </c>
      <c r="L12" s="12" t="str">
        <f>IF(AND($F$24=TRUE,$I$23=TRUE,$L$24=TRUE),OLD!L9,"")</f>
        <v/>
      </c>
      <c r="M12" s="12" t="str">
        <f>IF(AND($F$24=TRUE,$I$24=TRUE,$L$25=TRUE),OLD!M9,"")</f>
        <v/>
      </c>
      <c r="N12" s="12" t="str">
        <f>IF(AND($F$24=TRUE,$I$23=TRUE,$L$25=TRUE),OLD!N9,"")</f>
        <v/>
      </c>
      <c r="O12" s="12" t="str">
        <f>IF(AND($F$25=TRUE,$I$24=TRUE,$L$23=TRUE),OLD!O9,"")</f>
        <v/>
      </c>
      <c r="P12" s="12" t="str">
        <f>IF(AND($F$25=TRUE,$I$23=TRUE,$L$23=TRUE),OLD!P9,"")</f>
        <v/>
      </c>
      <c r="Q12" s="12" t="str">
        <f>IF(AND($F$25=TRUE,$I$24=TRUE,$L$24=TRUE),OLD!Q9,"")</f>
        <v/>
      </c>
      <c r="R12" s="12" t="str">
        <f>IF(AND($F$25=TRUE,$I$23=TRUE,$L$24=TRUE),OLD!R9,"")</f>
        <v/>
      </c>
      <c r="S12" s="12" t="str">
        <f>IF(AND($F$25=TRUE,$I$24=TRUE,$L$25=TRUE),OLD!S9,"")</f>
        <v/>
      </c>
      <c r="T12" s="12" t="str">
        <f>IF(AND($F$25=TRUE,$I$23=TRUE,$L$25=TRUE),OLD!T9,"")</f>
        <v/>
      </c>
      <c r="U12" s="12" t="str">
        <f>IF(AND($F$26=TRUE,$I$24=TRUE,$L$23=TRUE),OLD!U9,"")</f>
        <v/>
      </c>
      <c r="V12" s="12" t="str">
        <f>IF(AND($F$26=TRUE,$I$23=TRUE,$L$23=TRUE),OLD!V9,"")</f>
        <v/>
      </c>
      <c r="W12" s="12">
        <f>IF(AND($F$26=TRUE,$I$24=TRUE,$L$24=TRUE),OLD!W9,"")</f>
        <v>44550</v>
      </c>
      <c r="X12" s="12">
        <f>IF(AND($F$26=TRUE,$I$23=TRUE,$L$24=TRUE),OLD!X9,"")</f>
        <v>6.0000000000000001E-3</v>
      </c>
      <c r="Y12" s="12">
        <f>IF(AND($F$26=TRUE,$I$24=TRUE,$L$25=TRUE),OLD!Y9,"")</f>
        <v>3.3000000000000002E-2</v>
      </c>
      <c r="Z12" s="12">
        <f>IF(AND($F$26=TRUE,$I$23=TRUE,$L$25=TRUE),OLD!Z9,"")</f>
        <v>0</v>
      </c>
      <c r="AA12" s="12" t="str">
        <f>IF(AND($F$27=TRUE,$I$24=TRUE,$L$23=TRUE),OLD!AA9,"")</f>
        <v/>
      </c>
      <c r="AB12" s="12" t="str">
        <f>IF(AND($F$27=TRUE,$I$23=TRUE,$L$23=TRUE),OLD!AB9,"")</f>
        <v/>
      </c>
      <c r="AC12" s="12" t="str">
        <f>IF(AND($F$27=TRUE,$I$24=TRUE,$L$24=TRUE),OLD!AC9,"")</f>
        <v/>
      </c>
      <c r="AD12" s="12" t="str">
        <f>IF(AND($F$27=TRUE,$I$23=TRUE,$L$24=TRUE),OLD!AD9,"")</f>
        <v/>
      </c>
      <c r="AE12" s="12" t="str">
        <f>IF(AND($F$27=TRUE,$I$24=TRUE,$L$25=TRUE),OLD!AE9,"")</f>
        <v/>
      </c>
      <c r="AF12" s="12" t="str">
        <f>IF(AND($F$27=TRUE,$I$23=TRUE,$L$25=TRUE),OLD!AF9,"")</f>
        <v/>
      </c>
      <c r="AG12" s="6"/>
      <c r="AH12" s="6"/>
      <c r="AI12" s="6"/>
      <c r="AJ12" s="6"/>
      <c r="AK12" s="6"/>
      <c r="AL12" s="6"/>
    </row>
    <row r="13" spans="2:38">
      <c r="B13" s="23">
        <f>OLD!B10</f>
        <v>44550</v>
      </c>
      <c r="C13" s="21" t="str">
        <f>IF(AND($F$23=TRUE,$I$24=TRUE,$L$23=TRUE),OLD!C10,"")</f>
        <v/>
      </c>
      <c r="D13" s="12" t="str">
        <f>IF(AND($F$23=TRUE,$I$23=TRUE,$L$23=TRUE),OLD!D10,"")</f>
        <v/>
      </c>
      <c r="E13" s="12" t="str">
        <f>IF(AND($F$23=TRUE,$I$24=TRUE,$L$24=TRUE),OLD!E10,"")</f>
        <v/>
      </c>
      <c r="F13" s="12" t="str">
        <f>IF(AND($F$23=TRUE,$I$23=TRUE,$L$24=TRUE),OLD!F10,"")</f>
        <v/>
      </c>
      <c r="G13" s="12" t="str">
        <f>IF(AND($F$23=TRUE,$I$24=TRUE,$L$25=TRUE),OLD!G10,"")</f>
        <v/>
      </c>
      <c r="H13" s="12" t="str">
        <f>IF(AND($F$23=TRUE,$I$23=TRUE,$L$25=TRUE),OLD!H10,"")</f>
        <v/>
      </c>
      <c r="I13" s="12" t="str">
        <f>IF(AND($F$24=TRUE,$I$24=TRUE,$L$23=TRUE),OLD!I10,"")</f>
        <v/>
      </c>
      <c r="J13" s="12" t="str">
        <f>IF(AND($F$24=TRUE,$I$23=TRUE,$L$23=TRUE),OLD!J10,"")</f>
        <v/>
      </c>
      <c r="K13" s="12" t="str">
        <f>IF(AND($F$24=TRUE,$I$24=TRUE,$L$24=TRUE),OLD!K10,"")</f>
        <v/>
      </c>
      <c r="L13" s="12" t="str">
        <f>IF(AND($F$24=TRUE,$I$23=TRUE,$L$24=TRUE),OLD!L10,"")</f>
        <v/>
      </c>
      <c r="M13" s="12" t="str">
        <f>IF(AND($F$24=TRUE,$I$24=TRUE,$L$25=TRUE),OLD!M10,"")</f>
        <v/>
      </c>
      <c r="N13" s="12" t="str">
        <f>IF(AND($F$24=TRUE,$I$23=TRUE,$L$25=TRUE),OLD!N10,"")</f>
        <v/>
      </c>
      <c r="O13" s="12" t="str">
        <f>IF(AND($F$25=TRUE,$I$24=TRUE,$L$23=TRUE),OLD!O10,"")</f>
        <v/>
      </c>
      <c r="P13" s="12" t="str">
        <f>IF(AND($F$25=TRUE,$I$23=TRUE,$L$23=TRUE),OLD!P10,"")</f>
        <v/>
      </c>
      <c r="Q13" s="12" t="str">
        <f>IF(AND($F$25=TRUE,$I$24=TRUE,$L$24=TRUE),OLD!Q10,"")</f>
        <v/>
      </c>
      <c r="R13" s="12" t="str">
        <f>IF(AND($F$25=TRUE,$I$23=TRUE,$L$24=TRUE),OLD!R10,"")</f>
        <v/>
      </c>
      <c r="S13" s="12" t="str">
        <f>IF(AND($F$25=TRUE,$I$24=TRUE,$L$25=TRUE),OLD!S10,"")</f>
        <v/>
      </c>
      <c r="T13" s="12" t="str">
        <f>IF(AND($F$25=TRUE,$I$23=TRUE,$L$25=TRUE),OLD!T10,"")</f>
        <v/>
      </c>
      <c r="U13" s="12" t="str">
        <f>IF(AND($F$26=TRUE,$I$24=TRUE,$L$23=TRUE),OLD!U10,"")</f>
        <v/>
      </c>
      <c r="V13" s="12" t="str">
        <f>IF(AND($F$26=TRUE,$I$23=TRUE,$L$23=TRUE),OLD!V10,"")</f>
        <v/>
      </c>
      <c r="W13" s="12">
        <f>IF(AND($F$26=TRUE,$I$24=TRUE,$L$24=TRUE),OLD!W10,"")</f>
        <v>44550</v>
      </c>
      <c r="X13" s="12">
        <f>IF(AND($F$26=TRUE,$I$23=TRUE,$L$24=TRUE),OLD!X10,"")</f>
        <v>6.0000000000000001E-3</v>
      </c>
      <c r="Y13" s="12">
        <f>IF(AND($F$26=TRUE,$I$24=TRUE,$L$25=TRUE),OLD!Y10,"")</f>
        <v>3.3000000000000002E-2</v>
      </c>
      <c r="Z13" s="12">
        <f>IF(AND($F$26=TRUE,$I$23=TRUE,$L$25=TRUE),OLD!Z10,"")</f>
        <v>0</v>
      </c>
      <c r="AA13" s="12" t="str">
        <f>IF(AND($F$27=TRUE,$I$24=TRUE,$L$23=TRUE),OLD!AA10,"")</f>
        <v/>
      </c>
      <c r="AB13" s="12" t="str">
        <f>IF(AND($F$27=TRUE,$I$23=TRUE,$L$23=TRUE),OLD!AB10,"")</f>
        <v/>
      </c>
      <c r="AC13" s="12" t="str">
        <f>IF(AND($F$27=TRUE,$I$24=TRUE,$L$24=TRUE),OLD!AC10,"")</f>
        <v/>
      </c>
      <c r="AD13" s="12" t="str">
        <f>IF(AND($F$27=TRUE,$I$23=TRUE,$L$24=TRUE),OLD!AD10,"")</f>
        <v/>
      </c>
      <c r="AE13" s="12" t="str">
        <f>IF(AND($F$27=TRUE,$I$24=TRUE,$L$25=TRUE),OLD!AE10,"")</f>
        <v/>
      </c>
      <c r="AF13" s="12" t="str">
        <f>IF(AND($F$27=TRUE,$I$23=TRUE,$L$25=TRUE),OLD!AF10,"")</f>
        <v/>
      </c>
      <c r="AG13" s="6"/>
      <c r="AH13" s="6"/>
      <c r="AI13" s="6"/>
      <c r="AJ13" s="6"/>
      <c r="AK13" s="6"/>
      <c r="AL13" s="6"/>
    </row>
    <row r="14" spans="2:38">
      <c r="B14" s="23">
        <f>OLD!B11</f>
        <v>44550</v>
      </c>
      <c r="C14" s="21" t="str">
        <f>IF(AND($F$23=TRUE,$I$24=TRUE,$L$23=TRUE),OLD!C11,"")</f>
        <v/>
      </c>
      <c r="D14" s="12" t="str">
        <f>IF(AND($F$23=TRUE,$I$23=TRUE,$L$23=TRUE),OLD!D11,"")</f>
        <v/>
      </c>
      <c r="E14" s="12" t="str">
        <f>IF(AND($F$23=TRUE,$I$24=TRUE,$L$24=TRUE),OLD!E11,"")</f>
        <v/>
      </c>
      <c r="F14" s="12" t="str">
        <f>IF(AND($F$23=TRUE,$I$23=TRUE,$L$24=TRUE),OLD!F11,"")</f>
        <v/>
      </c>
      <c r="G14" s="12" t="str">
        <f>IF(AND($F$23=TRUE,$I$24=TRUE,$L$25=TRUE),OLD!G11,"")</f>
        <v/>
      </c>
      <c r="H14" s="12" t="str">
        <f>IF(AND($F$23=TRUE,$I$23=TRUE,$L$25=TRUE),OLD!H11,"")</f>
        <v/>
      </c>
      <c r="I14" s="12" t="str">
        <f>IF(AND($F$24=TRUE,$I$24=TRUE,$L$23=TRUE),OLD!I11,"")</f>
        <v/>
      </c>
      <c r="J14" s="12" t="str">
        <f>IF(AND($F$24=TRUE,$I$23=TRUE,$L$23=TRUE),OLD!J11,"")</f>
        <v/>
      </c>
      <c r="K14" s="12" t="str">
        <f>IF(AND($F$24=TRUE,$I$24=TRUE,$L$24=TRUE),OLD!K11,"")</f>
        <v/>
      </c>
      <c r="L14" s="12" t="str">
        <f>IF(AND($F$24=TRUE,$I$23=TRUE,$L$24=TRUE),OLD!L11,"")</f>
        <v/>
      </c>
      <c r="M14" s="12" t="str">
        <f>IF(AND($F$24=TRUE,$I$24=TRUE,$L$25=TRUE),OLD!M11,"")</f>
        <v/>
      </c>
      <c r="N14" s="12" t="str">
        <f>IF(AND($F$24=TRUE,$I$23=TRUE,$L$25=TRUE),OLD!N11,"")</f>
        <v/>
      </c>
      <c r="O14" s="12" t="str">
        <f>IF(AND($F$25=TRUE,$I$24=TRUE,$L$23=TRUE),OLD!O11,"")</f>
        <v/>
      </c>
      <c r="P14" s="12" t="str">
        <f>IF(AND($F$25=TRUE,$I$23=TRUE,$L$23=TRUE),OLD!P11,"")</f>
        <v/>
      </c>
      <c r="Q14" s="12" t="str">
        <f>IF(AND($F$25=TRUE,$I$24=TRUE,$L$24=TRUE),OLD!Q11,"")</f>
        <v/>
      </c>
      <c r="R14" s="12" t="str">
        <f>IF(AND($F$25=TRUE,$I$23=TRUE,$L$24=TRUE),OLD!R11,"")</f>
        <v/>
      </c>
      <c r="S14" s="12" t="str">
        <f>IF(AND($F$25=TRUE,$I$24=TRUE,$L$25=TRUE),OLD!S11,"")</f>
        <v/>
      </c>
      <c r="T14" s="12" t="str">
        <f>IF(AND($F$25=TRUE,$I$23=TRUE,$L$25=TRUE),OLD!T11,"")</f>
        <v/>
      </c>
      <c r="U14" s="12" t="str">
        <f>IF(AND($F$26=TRUE,$I$24=TRUE,$L$23=TRUE),OLD!U11,"")</f>
        <v/>
      </c>
      <c r="V14" s="12" t="str">
        <f>IF(AND($F$26=TRUE,$I$23=TRUE,$L$23=TRUE),OLD!V11,"")</f>
        <v/>
      </c>
      <c r="W14" s="12">
        <f>IF(AND($F$26=TRUE,$I$24=TRUE,$L$24=TRUE),OLD!W11,"")</f>
        <v>44550</v>
      </c>
      <c r="X14" s="12">
        <f>IF(AND($F$26=TRUE,$I$23=TRUE,$L$24=TRUE),OLD!X11,"")</f>
        <v>6.0000000000000001E-3</v>
      </c>
      <c r="Y14" s="12">
        <f>IF(AND($F$26=TRUE,$I$24=TRUE,$L$25=TRUE),OLD!Y11,"")</f>
        <v>3.3000000000000002E-2</v>
      </c>
      <c r="Z14" s="12">
        <f>IF(AND($F$26=TRUE,$I$23=TRUE,$L$25=TRUE),OLD!Z11,"")</f>
        <v>0</v>
      </c>
      <c r="AA14" s="12" t="str">
        <f>IF(AND($F$27=TRUE,$I$24=TRUE,$L$23=TRUE),OLD!AA11,"")</f>
        <v/>
      </c>
      <c r="AB14" s="12" t="str">
        <f>IF(AND($F$27=TRUE,$I$23=TRUE,$L$23=TRUE),OLD!AB11,"")</f>
        <v/>
      </c>
      <c r="AC14" s="12" t="str">
        <f>IF(AND($F$27=TRUE,$I$24=TRUE,$L$24=TRUE),OLD!AC11,"")</f>
        <v/>
      </c>
      <c r="AD14" s="12" t="str">
        <f>IF(AND($F$27=TRUE,$I$23=TRUE,$L$24=TRUE),OLD!AD11,"")</f>
        <v/>
      </c>
      <c r="AE14" s="12" t="str">
        <f>IF(AND($F$27=TRUE,$I$24=TRUE,$L$25=TRUE),OLD!AE11,"")</f>
        <v/>
      </c>
      <c r="AF14" s="12" t="str">
        <f>IF(AND($F$27=TRUE,$I$23=TRUE,$L$25=TRUE),OLD!AF11,"")</f>
        <v/>
      </c>
      <c r="AG14" s="6"/>
      <c r="AH14" s="6"/>
      <c r="AI14" s="6"/>
      <c r="AJ14" s="6"/>
      <c r="AK14" s="6"/>
      <c r="AL14" s="6"/>
    </row>
    <row r="15" spans="2:38">
      <c r="B15" s="23">
        <f>OLD!B12</f>
        <v>44550</v>
      </c>
      <c r="C15" s="21" t="str">
        <f>IF(AND($F$23=TRUE,$I$24=TRUE,$L$23=TRUE),OLD!C12,"")</f>
        <v/>
      </c>
      <c r="D15" s="12" t="str">
        <f>IF(AND($F$23=TRUE,$I$23=TRUE,$L$23=TRUE),OLD!D12,"")</f>
        <v/>
      </c>
      <c r="E15" s="12" t="str">
        <f>IF(AND($F$23=TRUE,$I$24=TRUE,$L$24=TRUE),OLD!E12,"")</f>
        <v/>
      </c>
      <c r="F15" s="12" t="str">
        <f>IF(AND($F$23=TRUE,$I$23=TRUE,$L$24=TRUE),OLD!F12,"")</f>
        <v/>
      </c>
      <c r="G15" s="12" t="str">
        <f>IF(AND($F$23=TRUE,$I$24=TRUE,$L$25=TRUE),OLD!G12,"")</f>
        <v/>
      </c>
      <c r="H15" s="12" t="str">
        <f>IF(AND($F$23=TRUE,$I$23=TRUE,$L$25=TRUE),OLD!H12,"")</f>
        <v/>
      </c>
      <c r="I15" s="12" t="str">
        <f>IF(AND($F$24=TRUE,$I$24=TRUE,$L$23=TRUE),OLD!I12,"")</f>
        <v/>
      </c>
      <c r="J15" s="12" t="str">
        <f>IF(AND($F$24=TRUE,$I$23=TRUE,$L$23=TRUE),OLD!J12,"")</f>
        <v/>
      </c>
      <c r="K15" s="12" t="str">
        <f>IF(AND($F$24=TRUE,$I$24=TRUE,$L$24=TRUE),OLD!K12,"")</f>
        <v/>
      </c>
      <c r="L15" s="12" t="str">
        <f>IF(AND($F$24=TRUE,$I$23=TRUE,$L$24=TRUE),OLD!L12,"")</f>
        <v/>
      </c>
      <c r="M15" s="12" t="str">
        <f>IF(AND($F$24=TRUE,$I$24=TRUE,$L$25=TRUE),OLD!M12,"")</f>
        <v/>
      </c>
      <c r="N15" s="12" t="str">
        <f>IF(AND($F$24=TRUE,$I$23=TRUE,$L$25=TRUE),OLD!N12,"")</f>
        <v/>
      </c>
      <c r="O15" s="12" t="str">
        <f>IF(AND($F$25=TRUE,$I$24=TRUE,$L$23=TRUE),OLD!O12,"")</f>
        <v/>
      </c>
      <c r="P15" s="12" t="str">
        <f>IF(AND($F$25=TRUE,$I$23=TRUE,$L$23=TRUE),OLD!P12,"")</f>
        <v/>
      </c>
      <c r="Q15" s="12" t="str">
        <f>IF(AND($F$25=TRUE,$I$24=TRUE,$L$24=TRUE),OLD!Q12,"")</f>
        <v/>
      </c>
      <c r="R15" s="12" t="str">
        <f>IF(AND($F$25=TRUE,$I$23=TRUE,$L$24=TRUE),OLD!R12,"")</f>
        <v/>
      </c>
      <c r="S15" s="12" t="str">
        <f>IF(AND($F$25=TRUE,$I$24=TRUE,$L$25=TRUE),OLD!S12,"")</f>
        <v/>
      </c>
      <c r="T15" s="12" t="str">
        <f>IF(AND($F$25=TRUE,$I$23=TRUE,$L$25=TRUE),OLD!T12,"")</f>
        <v/>
      </c>
      <c r="U15" s="12" t="str">
        <f>IF(AND($F$26=TRUE,$I$24=TRUE,$L$23=TRUE),OLD!U12,"")</f>
        <v/>
      </c>
      <c r="V15" s="12" t="str">
        <f>IF(AND($F$26=TRUE,$I$23=TRUE,$L$23=TRUE),OLD!V12,"")</f>
        <v/>
      </c>
      <c r="W15" s="12">
        <f>IF(AND($F$26=TRUE,$I$24=TRUE,$L$24=TRUE),OLD!W12,"")</f>
        <v>44550</v>
      </c>
      <c r="X15" s="12">
        <f>IF(AND($F$26=TRUE,$I$23=TRUE,$L$24=TRUE),OLD!X12,"")</f>
        <v>6.0000000000000001E-3</v>
      </c>
      <c r="Y15" s="12">
        <f>IF(AND($F$26=TRUE,$I$24=TRUE,$L$25=TRUE),OLD!Y12,"")</f>
        <v>3.3000000000000002E-2</v>
      </c>
      <c r="Z15" s="12">
        <f>IF(AND($F$26=TRUE,$I$23=TRUE,$L$25=TRUE),OLD!Z12,"")</f>
        <v>0</v>
      </c>
      <c r="AA15" s="12" t="str">
        <f>IF(AND($F$27=TRUE,$I$24=TRUE,$L$23=TRUE),OLD!AA12,"")</f>
        <v/>
      </c>
      <c r="AB15" s="12" t="str">
        <f>IF(AND($F$27=TRUE,$I$23=TRUE,$L$23=TRUE),OLD!AB12,"")</f>
        <v/>
      </c>
      <c r="AC15" s="12" t="str">
        <f>IF(AND($F$27=TRUE,$I$24=TRUE,$L$24=TRUE),OLD!AC12,"")</f>
        <v/>
      </c>
      <c r="AD15" s="12" t="str">
        <f>IF(AND($F$27=TRUE,$I$23=TRUE,$L$24=TRUE),OLD!AD12,"")</f>
        <v/>
      </c>
      <c r="AE15" s="12" t="str">
        <f>IF(AND($F$27=TRUE,$I$24=TRUE,$L$25=TRUE),OLD!AE12,"")</f>
        <v/>
      </c>
      <c r="AF15" s="12" t="str">
        <f>IF(AND($F$27=TRUE,$I$23=TRUE,$L$25=TRUE),OLD!AF12,"")</f>
        <v/>
      </c>
      <c r="AG15" s="6"/>
      <c r="AH15" s="6"/>
      <c r="AI15" s="6"/>
      <c r="AJ15" s="6"/>
      <c r="AK15" s="6"/>
      <c r="AL15" s="6"/>
    </row>
    <row r="16" spans="2:38">
      <c r="B16" s="23">
        <f>OLD!B13</f>
        <v>44550</v>
      </c>
      <c r="C16" s="21" t="str">
        <f>IF(AND($F$23=TRUE,$I$24=TRUE,$L$23=TRUE),OLD!C13,"")</f>
        <v/>
      </c>
      <c r="D16" s="12" t="str">
        <f>IF(AND($F$23=TRUE,$I$23=TRUE,$L$23=TRUE),OLD!D13,"")</f>
        <v/>
      </c>
      <c r="E16" s="12" t="str">
        <f>IF(AND($F$23=TRUE,$I$24=TRUE,$L$24=TRUE),OLD!E13,"")</f>
        <v/>
      </c>
      <c r="F16" s="12" t="str">
        <f>IF(AND($F$23=TRUE,$I$23=TRUE,$L$24=TRUE),OLD!F13,"")</f>
        <v/>
      </c>
      <c r="G16" s="12" t="str">
        <f>IF(AND($F$23=TRUE,$I$24=TRUE,$L$25=TRUE),OLD!G13,"")</f>
        <v/>
      </c>
      <c r="H16" s="12" t="str">
        <f>IF(AND($F$23=TRUE,$I$23=TRUE,$L$25=TRUE),OLD!H13,"")</f>
        <v/>
      </c>
      <c r="I16" s="12" t="str">
        <f>IF(AND($F$24=TRUE,$I$24=TRUE,$L$23=TRUE),OLD!I13,"")</f>
        <v/>
      </c>
      <c r="J16" s="12" t="str">
        <f>IF(AND($F$24=TRUE,$I$23=TRUE,$L$23=TRUE),OLD!J13,"")</f>
        <v/>
      </c>
      <c r="K16" s="12" t="str">
        <f>IF(AND($F$24=TRUE,$I$24=TRUE,$L$24=TRUE),OLD!K13,"")</f>
        <v/>
      </c>
      <c r="L16" s="12" t="str">
        <f>IF(AND($F$24=TRUE,$I$23=TRUE,$L$24=TRUE),OLD!L13,"")</f>
        <v/>
      </c>
      <c r="M16" s="12" t="str">
        <f>IF(AND($F$24=TRUE,$I$24=TRUE,$L$25=TRUE),OLD!M13,"")</f>
        <v/>
      </c>
      <c r="N16" s="12" t="str">
        <f>IF(AND($F$24=TRUE,$I$23=TRUE,$L$25=TRUE),OLD!N13,"")</f>
        <v/>
      </c>
      <c r="O16" s="12" t="str">
        <f>IF(AND($F$25=TRUE,$I$24=TRUE,$L$23=TRUE),OLD!O13,"")</f>
        <v/>
      </c>
      <c r="P16" s="12" t="str">
        <f>IF(AND($F$25=TRUE,$I$23=TRUE,$L$23=TRUE),OLD!P13,"")</f>
        <v/>
      </c>
      <c r="Q16" s="12" t="str">
        <f>IF(AND($F$25=TRUE,$I$24=TRUE,$L$24=TRUE),OLD!Q13,"")</f>
        <v/>
      </c>
      <c r="R16" s="12" t="str">
        <f>IF(AND($F$25=TRUE,$I$23=TRUE,$L$24=TRUE),OLD!R13,"")</f>
        <v/>
      </c>
      <c r="S16" s="12" t="str">
        <f>IF(AND($F$25=TRUE,$I$24=TRUE,$L$25=TRUE),OLD!S13,"")</f>
        <v/>
      </c>
      <c r="T16" s="12" t="str">
        <f>IF(AND($F$25=TRUE,$I$23=TRUE,$L$25=TRUE),OLD!T13,"")</f>
        <v/>
      </c>
      <c r="U16" s="12" t="str">
        <f>IF(AND($F$26=TRUE,$I$24=TRUE,$L$23=TRUE),OLD!U13,"")</f>
        <v/>
      </c>
      <c r="V16" s="12" t="str">
        <f>IF(AND($F$26=TRUE,$I$23=TRUE,$L$23=TRUE),OLD!V13,"")</f>
        <v/>
      </c>
      <c r="W16" s="12">
        <f>IF(AND($F$26=TRUE,$I$24=TRUE,$L$24=TRUE),OLD!W13,"")</f>
        <v>44550</v>
      </c>
      <c r="X16" s="12">
        <f>IF(AND($F$26=TRUE,$I$23=TRUE,$L$24=TRUE),OLD!X13,"")</f>
        <v>6.0000000000000001E-3</v>
      </c>
      <c r="Y16" s="12">
        <f>IF(AND($F$26=TRUE,$I$24=TRUE,$L$25=TRUE),OLD!Y13,"")</f>
        <v>3.3000000000000002E-2</v>
      </c>
      <c r="Z16" s="12">
        <f>IF(AND($F$26=TRUE,$I$23=TRUE,$L$25=TRUE),OLD!Z13,"")</f>
        <v>0</v>
      </c>
      <c r="AA16" s="12" t="str">
        <f>IF(AND($F$27=TRUE,$I$24=TRUE,$L$23=TRUE),OLD!AA13,"")</f>
        <v/>
      </c>
      <c r="AB16" s="12" t="str">
        <f>IF(AND($F$27=TRUE,$I$23=TRUE,$L$23=TRUE),OLD!AB13,"")</f>
        <v/>
      </c>
      <c r="AC16" s="12" t="str">
        <f>IF(AND($F$27=TRUE,$I$24=TRUE,$L$24=TRUE),OLD!AC13,"")</f>
        <v/>
      </c>
      <c r="AD16" s="12" t="str">
        <f>IF(AND($F$27=TRUE,$I$23=TRUE,$L$24=TRUE),OLD!AD13,"")</f>
        <v/>
      </c>
      <c r="AE16" s="12" t="str">
        <f>IF(AND($F$27=TRUE,$I$24=TRUE,$L$25=TRUE),OLD!AE13,"")</f>
        <v/>
      </c>
      <c r="AF16" s="12" t="str">
        <f>IF(AND($F$27=TRUE,$I$23=TRUE,$L$25=TRUE),OLD!AF13,"")</f>
        <v/>
      </c>
      <c r="AG16" s="6"/>
      <c r="AH16" s="6"/>
      <c r="AI16" s="6"/>
      <c r="AJ16" s="6"/>
      <c r="AK16" s="6"/>
      <c r="AL16" s="6"/>
    </row>
    <row r="17" spans="2:38">
      <c r="B17" s="23">
        <f>OLD!B14</f>
        <v>44550</v>
      </c>
      <c r="C17" s="21" t="str">
        <f>IF(AND($F$23=TRUE,$I$24=TRUE,$L$23=TRUE),OLD!C14,"")</f>
        <v/>
      </c>
      <c r="D17" s="12" t="str">
        <f>IF(AND($F$23=TRUE,$I$23=TRUE,$L$23=TRUE),OLD!D14,"")</f>
        <v/>
      </c>
      <c r="E17" s="12" t="str">
        <f>IF(AND($F$23=TRUE,$I$24=TRUE,$L$24=TRUE),OLD!E14,"")</f>
        <v/>
      </c>
      <c r="F17" s="12" t="str">
        <f>IF(AND($F$23=TRUE,$I$23=TRUE,$L$24=TRUE),OLD!F14,"")</f>
        <v/>
      </c>
      <c r="G17" s="12" t="str">
        <f>IF(AND($F$23=TRUE,$I$24=TRUE,$L$25=TRUE),OLD!G14,"")</f>
        <v/>
      </c>
      <c r="H17" s="12" t="str">
        <f>IF(AND($F$23=TRUE,$I$23=TRUE,$L$25=TRUE),OLD!H14,"")</f>
        <v/>
      </c>
      <c r="I17" s="12" t="str">
        <f>IF(AND($F$24=TRUE,$I$24=TRUE,$L$23=TRUE),OLD!I14,"")</f>
        <v/>
      </c>
      <c r="J17" s="12" t="str">
        <f>IF(AND($F$24=TRUE,$I$23=TRUE,$L$23=TRUE),OLD!J14,"")</f>
        <v/>
      </c>
      <c r="K17" s="12" t="str">
        <f>IF(AND($F$24=TRUE,$I$24=TRUE,$L$24=TRUE),OLD!K14,"")</f>
        <v/>
      </c>
      <c r="L17" s="12" t="str">
        <f>IF(AND($F$24=TRUE,$I$23=TRUE,$L$24=TRUE),OLD!L14,"")</f>
        <v/>
      </c>
      <c r="M17" s="12" t="str">
        <f>IF(AND($F$24=TRUE,$I$24=TRUE,$L$25=TRUE),OLD!M14,"")</f>
        <v/>
      </c>
      <c r="N17" s="12" t="str">
        <f>IF(AND($F$24=TRUE,$I$23=TRUE,$L$25=TRUE),OLD!N14,"")</f>
        <v/>
      </c>
      <c r="O17" s="12" t="str">
        <f>IF(AND($F$25=TRUE,$I$24=TRUE,$L$23=TRUE),OLD!O14,"")</f>
        <v/>
      </c>
      <c r="P17" s="12" t="str">
        <f>IF(AND($F$25=TRUE,$I$23=TRUE,$L$23=TRUE),OLD!P14,"")</f>
        <v/>
      </c>
      <c r="Q17" s="12" t="str">
        <f>IF(AND($F$25=TRUE,$I$24=TRUE,$L$24=TRUE),OLD!Q14,"")</f>
        <v/>
      </c>
      <c r="R17" s="12" t="str">
        <f>IF(AND($F$25=TRUE,$I$23=TRUE,$L$24=TRUE),OLD!R14,"")</f>
        <v/>
      </c>
      <c r="S17" s="12" t="str">
        <f>IF(AND($F$25=TRUE,$I$24=TRUE,$L$25=TRUE),OLD!S14,"")</f>
        <v/>
      </c>
      <c r="T17" s="12" t="str">
        <f>IF(AND($F$25=TRUE,$I$23=TRUE,$L$25=TRUE),OLD!T14,"")</f>
        <v/>
      </c>
      <c r="U17" s="12" t="str">
        <f>IF(AND($F$26=TRUE,$I$24=TRUE,$L$23=TRUE),OLD!U14,"")</f>
        <v/>
      </c>
      <c r="V17" s="12" t="str">
        <f>IF(AND($F$26=TRUE,$I$23=TRUE,$L$23=TRUE),OLD!V14,"")</f>
        <v/>
      </c>
      <c r="W17" s="12">
        <f>IF(AND($F$26=TRUE,$I$24=TRUE,$L$24=TRUE),OLD!W14,"")</f>
        <v>44550</v>
      </c>
      <c r="X17" s="12">
        <f>IF(AND($F$26=TRUE,$I$23=TRUE,$L$24=TRUE),OLD!X14,"")</f>
        <v>6.0000000000000001E-3</v>
      </c>
      <c r="Y17" s="12">
        <f>IF(AND($F$26=TRUE,$I$24=TRUE,$L$25=TRUE),OLD!Y14,"")</f>
        <v>3.3000000000000002E-2</v>
      </c>
      <c r="Z17" s="12">
        <f>IF(AND($F$26=TRUE,$I$23=TRUE,$L$25=TRUE),OLD!Z14,"")</f>
        <v>0</v>
      </c>
      <c r="AA17" s="12" t="str">
        <f>IF(AND($F$27=TRUE,$I$24=TRUE,$L$23=TRUE),OLD!AA14,"")</f>
        <v/>
      </c>
      <c r="AB17" s="12" t="str">
        <f>IF(AND($F$27=TRUE,$I$23=TRUE,$L$23=TRUE),OLD!AB14,"")</f>
        <v/>
      </c>
      <c r="AC17" s="12" t="str">
        <f>IF(AND($F$27=TRUE,$I$24=TRUE,$L$24=TRUE),OLD!AC14,"")</f>
        <v/>
      </c>
      <c r="AD17" s="12" t="str">
        <f>IF(AND($F$27=TRUE,$I$23=TRUE,$L$24=TRUE),OLD!AD14,"")</f>
        <v/>
      </c>
      <c r="AE17" s="12" t="str">
        <f>IF(AND($F$27=TRUE,$I$24=TRUE,$L$25=TRUE),OLD!AE14,"")</f>
        <v/>
      </c>
      <c r="AF17" s="12" t="str">
        <f>IF(AND($F$27=TRUE,$I$23=TRUE,$L$25=TRUE),OLD!AF14,"")</f>
        <v/>
      </c>
      <c r="AG17" s="6"/>
      <c r="AH17" s="6"/>
      <c r="AI17" s="6"/>
      <c r="AJ17" s="6"/>
      <c r="AK17" s="6"/>
      <c r="AL17" s="6"/>
    </row>
    <row r="18" spans="2:38">
      <c r="B18" s="23">
        <f>OLD!B15</f>
        <v>44550</v>
      </c>
      <c r="C18" s="21" t="str">
        <f>IF(AND($F$23=TRUE,$I$24=TRUE,$L$23=TRUE),OLD!C15,"")</f>
        <v/>
      </c>
      <c r="D18" s="12" t="str">
        <f>IF(AND($F$23=TRUE,$I$23=TRUE,$L$23=TRUE),OLD!D15,"")</f>
        <v/>
      </c>
      <c r="E18" s="12" t="str">
        <f>IF(AND($F$23=TRUE,$I$24=TRUE,$L$24=TRUE),OLD!E15,"")</f>
        <v/>
      </c>
      <c r="F18" s="12" t="str">
        <f>IF(AND($F$23=TRUE,$I$23=TRUE,$L$24=TRUE),OLD!F15,"")</f>
        <v/>
      </c>
      <c r="G18" s="12" t="str">
        <f>IF(AND($F$23=TRUE,$I$24=TRUE,$L$25=TRUE),OLD!G15,"")</f>
        <v/>
      </c>
      <c r="H18" s="12" t="str">
        <f>IF(AND($F$23=TRUE,$I$23=TRUE,$L$25=TRUE),OLD!H15,"")</f>
        <v/>
      </c>
      <c r="I18" s="12" t="str">
        <f>IF(AND($F$24=TRUE,$I$24=TRUE,$L$23=TRUE),OLD!I15,"")</f>
        <v/>
      </c>
      <c r="J18" s="12" t="str">
        <f>IF(AND($F$24=TRUE,$I$23=TRUE,$L$23=TRUE),OLD!J15,"")</f>
        <v/>
      </c>
      <c r="K18" s="12" t="str">
        <f>IF(AND($F$24=TRUE,$I$24=TRUE,$L$24=TRUE),OLD!K15,"")</f>
        <v/>
      </c>
      <c r="L18" s="12" t="str">
        <f>IF(AND($F$24=TRUE,$I$23=TRUE,$L$24=TRUE),OLD!L15,"")</f>
        <v/>
      </c>
      <c r="M18" s="12" t="str">
        <f>IF(AND($F$24=TRUE,$I$24=TRUE,$L$25=TRUE),OLD!M15,"")</f>
        <v/>
      </c>
      <c r="N18" s="12" t="str">
        <f>IF(AND($F$24=TRUE,$I$23=TRUE,$L$25=TRUE),OLD!N15,"")</f>
        <v/>
      </c>
      <c r="O18" s="12" t="str">
        <f>IF(AND($F$25=TRUE,$I$24=TRUE,$L$23=TRUE),OLD!O15,"")</f>
        <v/>
      </c>
      <c r="P18" s="12" t="str">
        <f>IF(AND($F$25=TRUE,$I$23=TRUE,$L$23=TRUE),OLD!P15,"")</f>
        <v/>
      </c>
      <c r="Q18" s="12" t="str">
        <f>IF(AND($F$25=TRUE,$I$24=TRUE,$L$24=TRUE),OLD!Q15,"")</f>
        <v/>
      </c>
      <c r="R18" s="12" t="str">
        <f>IF(AND($F$25=TRUE,$I$23=TRUE,$L$24=TRUE),OLD!R15,"")</f>
        <v/>
      </c>
      <c r="S18" s="12" t="str">
        <f>IF(AND($F$25=TRUE,$I$24=TRUE,$L$25=TRUE),OLD!S15,"")</f>
        <v/>
      </c>
      <c r="T18" s="12" t="str">
        <f>IF(AND($F$25=TRUE,$I$23=TRUE,$L$25=TRUE),OLD!T15,"")</f>
        <v/>
      </c>
      <c r="U18" s="12" t="str">
        <f>IF(AND($F$26=TRUE,$I$24=TRUE,$L$23=TRUE),OLD!U15,"")</f>
        <v/>
      </c>
      <c r="V18" s="12" t="str">
        <f>IF(AND($F$26=TRUE,$I$23=TRUE,$L$23=TRUE),OLD!V15,"")</f>
        <v/>
      </c>
      <c r="W18" s="12">
        <f>IF(AND($F$26=TRUE,$I$24=TRUE,$L$24=TRUE),OLD!W15,"")</f>
        <v>44550</v>
      </c>
      <c r="X18" s="12">
        <f>IF(AND($F$26=TRUE,$I$23=TRUE,$L$24=TRUE),OLD!X15,"")</f>
        <v>6.0000000000000001E-3</v>
      </c>
      <c r="Y18" s="12">
        <f>IF(AND($F$26=TRUE,$I$24=TRUE,$L$25=TRUE),OLD!Y15,"")</f>
        <v>3.3000000000000002E-2</v>
      </c>
      <c r="Z18" s="12">
        <f>IF(AND($F$26=TRUE,$I$23=TRUE,$L$25=TRUE),OLD!Z15,"")</f>
        <v>0</v>
      </c>
      <c r="AA18" s="12" t="str">
        <f>IF(AND($F$27=TRUE,$I$24=TRUE,$L$23=TRUE),OLD!AA15,"")</f>
        <v/>
      </c>
      <c r="AB18" s="12" t="str">
        <f>IF(AND($F$27=TRUE,$I$23=TRUE,$L$23=TRUE),OLD!AB15,"")</f>
        <v/>
      </c>
      <c r="AC18" s="12" t="str">
        <f>IF(AND($F$27=TRUE,$I$24=TRUE,$L$24=TRUE),OLD!AC15,"")</f>
        <v/>
      </c>
      <c r="AD18" s="12" t="str">
        <f>IF(AND($F$27=TRUE,$I$23=TRUE,$L$24=TRUE),OLD!AD15,"")</f>
        <v/>
      </c>
      <c r="AE18" s="12" t="str">
        <f>IF(AND($F$27=TRUE,$I$24=TRUE,$L$25=TRUE),OLD!AE15,"")</f>
        <v/>
      </c>
      <c r="AF18" s="12" t="str">
        <f>IF(AND($F$27=TRUE,$I$23=TRUE,$L$25=TRUE),OLD!AF15,"")</f>
        <v/>
      </c>
      <c r="AG18" s="6"/>
      <c r="AH18" s="6"/>
      <c r="AI18" s="6"/>
      <c r="AJ18" s="6"/>
      <c r="AK18" s="6"/>
      <c r="AL18" s="6"/>
    </row>
    <row r="19" spans="2:38">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row>
    <row r="20" spans="2:38">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2:38">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row>
    <row r="22" spans="2:38">
      <c r="B22" s="6"/>
      <c r="C22" s="6"/>
      <c r="D22" s="6"/>
      <c r="E22" s="6" t="s">
        <v>77</v>
      </c>
      <c r="F22" s="6"/>
      <c r="G22" s="6"/>
      <c r="H22" s="6" t="s">
        <v>78</v>
      </c>
      <c r="I22" s="6"/>
      <c r="J22" s="6"/>
      <c r="K22" s="6" t="s">
        <v>79</v>
      </c>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2:38">
      <c r="B23" s="6"/>
      <c r="C23" s="6"/>
      <c r="D23" s="6"/>
      <c r="E23" s="6" t="s">
        <v>42</v>
      </c>
      <c r="F23" s="6" t="b">
        <v>0</v>
      </c>
      <c r="G23" s="6"/>
      <c r="H23" s="6" t="s">
        <v>80</v>
      </c>
      <c r="I23" s="6" t="b">
        <v>1</v>
      </c>
      <c r="J23" s="6"/>
      <c r="K23" s="6" t="s">
        <v>81</v>
      </c>
      <c r="L23" s="6" t="b">
        <v>0</v>
      </c>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2:38">
      <c r="B24" s="6"/>
      <c r="C24" s="6"/>
      <c r="D24" s="6"/>
      <c r="E24" s="6" t="s">
        <v>43</v>
      </c>
      <c r="F24" s="6" t="b">
        <v>0</v>
      </c>
      <c r="G24" s="6"/>
      <c r="H24" s="6" t="s">
        <v>82</v>
      </c>
      <c r="I24" s="6" t="b">
        <v>1</v>
      </c>
      <c r="J24" s="6"/>
      <c r="K24" s="6" t="s">
        <v>83</v>
      </c>
      <c r="L24" s="6" t="b">
        <v>1</v>
      </c>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2:38">
      <c r="B25" s="6"/>
      <c r="C25" s="6"/>
      <c r="D25" s="6"/>
      <c r="E25" s="6" t="s">
        <v>44</v>
      </c>
      <c r="F25" s="6" t="b">
        <v>0</v>
      </c>
      <c r="G25" s="6"/>
      <c r="H25" s="6"/>
      <c r="I25" s="6"/>
      <c r="J25" s="6"/>
      <c r="K25" s="6" t="s">
        <v>84</v>
      </c>
      <c r="L25" s="6" t="b">
        <v>1</v>
      </c>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2:38">
      <c r="B26" s="6"/>
      <c r="C26" s="6"/>
      <c r="D26" s="6"/>
      <c r="E26" s="6" t="s">
        <v>45</v>
      </c>
      <c r="F26" s="6" t="b">
        <v>1</v>
      </c>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2:38">
      <c r="B27" s="6"/>
      <c r="C27" s="6"/>
      <c r="D27" s="6"/>
      <c r="E27" s="6" t="s">
        <v>46</v>
      </c>
      <c r="F27" s="6" t="b">
        <v>0</v>
      </c>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2:38">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2:38">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2:38">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2:38">
      <c r="F31" s="6"/>
    </row>
    <row r="32" spans="2:38">
      <c r="F32" s="6"/>
    </row>
    <row r="33" spans="6:6">
      <c r="F33" s="6"/>
    </row>
    <row r="34" spans="6:6">
      <c r="F34" s="6"/>
    </row>
    <row r="35" spans="6:6">
      <c r="F35" s="6"/>
    </row>
    <row r="36" spans="6:6">
      <c r="F36" s="6"/>
    </row>
    <row r="37" spans="6:6">
      <c r="F37" s="6"/>
    </row>
    <row r="38" spans="6:6">
      <c r="F38" s="6"/>
    </row>
    <row r="39" spans="6:6">
      <c r="F39" s="6"/>
    </row>
    <row r="40" spans="6:6">
      <c r="F40" s="6"/>
    </row>
    <row r="41" spans="6:6">
      <c r="F41" s="6"/>
    </row>
    <row r="42" spans="6:6">
      <c r="F42" s="6"/>
    </row>
  </sheetData>
  <sheetProtection formatCells="0" formatColumns="0" formatRows="0" insertColumns="0" insertRows="0" insertHyperlinks="0" deleteColumns="0" deleteRows="0" sort="0" autoFilter="0" pivotTables="0"/>
  <mergeCells count="5">
    <mergeCell ref="C5:H5"/>
    <mergeCell ref="I5:N5"/>
    <mergeCell ref="O5:T5"/>
    <mergeCell ref="U5:Z5"/>
    <mergeCell ref="AA5:AF5"/>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29"/>
  <sheetViews>
    <sheetView workbookViewId="0">
      <pane xSplit="2" ySplit="3" topLeftCell="H17" activePane="bottomRight" state="frozen"/>
      <selection pane="bottomRight" activeCell="H17" sqref="H17"/>
      <selection pane="bottomLeft" activeCell="A4" sqref="A4"/>
      <selection pane="topRight" activeCell="C1" sqref="C1"/>
    </sheetView>
  </sheetViews>
  <sheetFormatPr defaultColWidth="9.28515625" defaultRowHeight="15"/>
  <sheetData>
    <row r="1" spans="1:32" ht="15.75" thickBot="1"/>
    <row r="2" spans="1:32">
      <c r="B2" s="1"/>
      <c r="C2" s="195" t="s">
        <v>42</v>
      </c>
      <c r="D2" s="196"/>
      <c r="E2" s="196"/>
      <c r="F2" s="196"/>
      <c r="G2" s="196"/>
      <c r="H2" s="197"/>
      <c r="I2" s="195" t="s">
        <v>43</v>
      </c>
      <c r="J2" s="196"/>
      <c r="K2" s="196"/>
      <c r="L2" s="196"/>
      <c r="M2" s="196"/>
      <c r="N2" s="197"/>
      <c r="O2" s="195" t="s">
        <v>44</v>
      </c>
      <c r="P2" s="196"/>
      <c r="Q2" s="196"/>
      <c r="R2" s="196"/>
      <c r="S2" s="196"/>
      <c r="T2" s="197"/>
      <c r="U2" s="195" t="s">
        <v>45</v>
      </c>
      <c r="V2" s="196"/>
      <c r="W2" s="196"/>
      <c r="X2" s="196"/>
      <c r="Y2" s="196"/>
      <c r="Z2" s="197"/>
      <c r="AA2" s="195" t="s">
        <v>46</v>
      </c>
      <c r="AB2" s="196"/>
      <c r="AC2" s="196"/>
      <c r="AD2" s="196"/>
      <c r="AE2" s="196"/>
      <c r="AF2" s="197"/>
    </row>
    <row r="3" spans="1:32">
      <c r="A3" s="20" t="s">
        <v>10</v>
      </c>
      <c r="B3" s="19" t="s">
        <v>11</v>
      </c>
      <c r="C3" s="13" t="s">
        <v>12</v>
      </c>
      <c r="D3" s="14" t="s">
        <v>13</v>
      </c>
      <c r="E3" s="14" t="s">
        <v>16</v>
      </c>
      <c r="F3" s="14" t="s">
        <v>17</v>
      </c>
      <c r="G3" s="14" t="s">
        <v>85</v>
      </c>
      <c r="H3" s="15" t="s">
        <v>86</v>
      </c>
      <c r="I3" s="13" t="s">
        <v>12</v>
      </c>
      <c r="J3" s="14" t="s">
        <v>13</v>
      </c>
      <c r="K3" s="14" t="s">
        <v>16</v>
      </c>
      <c r="L3" s="14" t="s">
        <v>17</v>
      </c>
      <c r="M3" s="14" t="s">
        <v>85</v>
      </c>
      <c r="N3" s="15" t="s">
        <v>86</v>
      </c>
      <c r="O3" s="13" t="s">
        <v>12</v>
      </c>
      <c r="P3" s="14" t="s">
        <v>13</v>
      </c>
      <c r="Q3" s="14" t="s">
        <v>16</v>
      </c>
      <c r="R3" s="14" t="s">
        <v>17</v>
      </c>
      <c r="S3" s="14" t="s">
        <v>85</v>
      </c>
      <c r="T3" s="15" t="s">
        <v>86</v>
      </c>
      <c r="U3" s="13" t="s">
        <v>12</v>
      </c>
      <c r="V3" s="14" t="s">
        <v>13</v>
      </c>
      <c r="W3" s="14" t="s">
        <v>16</v>
      </c>
      <c r="X3" s="14" t="s">
        <v>17</v>
      </c>
      <c r="Y3" s="14" t="s">
        <v>87</v>
      </c>
      <c r="Z3" s="15" t="s">
        <v>86</v>
      </c>
      <c r="AA3" s="16" t="s">
        <v>12</v>
      </c>
      <c r="AB3" s="14" t="s">
        <v>13</v>
      </c>
      <c r="AC3" s="14" t="s">
        <v>16</v>
      </c>
      <c r="AD3" s="14" t="s">
        <v>17</v>
      </c>
      <c r="AE3" s="14" t="s">
        <v>87</v>
      </c>
      <c r="AF3" s="15" t="s">
        <v>86</v>
      </c>
    </row>
    <row r="4" spans="1:32">
      <c r="A4" s="20">
        <v>1</v>
      </c>
      <c r="B4" s="24">
        <f>VLOOKUP($A18,'Input from HR monthly'!$A$6:$AH$29,B18,TRUE)</f>
        <v>44489</v>
      </c>
      <c r="C4" s="2">
        <f>VLOOKUP($A18,'Input from HR monthly'!$A$6:$AH$29,C18,TRUE)</f>
        <v>2E-3</v>
      </c>
      <c r="D4" s="2">
        <f>VLOOKUP($A18,'Input from HR monthly'!$A$6:$AH$29,D18,TRUE)</f>
        <v>4.5999999999999999E-2</v>
      </c>
      <c r="E4" s="2">
        <f>VLOOKUP($A18,'Input from HR monthly'!$A$6:$AH$29,E18,TRUE)</f>
        <v>0</v>
      </c>
      <c r="F4" s="2">
        <f>VLOOKUP($A18,'Input from HR monthly'!$A$6:$AH$29,F18,TRUE)</f>
        <v>0</v>
      </c>
      <c r="G4" s="2">
        <f>VLOOKUP($A18,'Input from HR monthly'!$A$6:$AH$29,G18,TRUE)</f>
        <v>7.0000000000000001E-3</v>
      </c>
      <c r="H4" s="2">
        <f>VLOOKUP($A18,'Input from HR monthly'!$A$6:$AH$29,H18,TRUE)</f>
        <v>2.8000000000000001E-2</v>
      </c>
      <c r="I4" s="2">
        <f>VLOOKUP($A18,'Input from HR monthly'!$A$6:$AH$29,I18,TRUE)</f>
        <v>44489</v>
      </c>
      <c r="J4" s="2">
        <f>VLOOKUP($A18,'Input from HR monthly'!$A$6:$AH$29,J18,TRUE)</f>
        <v>8.0000000000000002E-3</v>
      </c>
      <c r="K4" s="2">
        <f>VLOOKUP($A18,'Input from HR monthly'!$A$6:$AH$29,K18,TRUE)</f>
        <v>3.4000000000000002E-2</v>
      </c>
      <c r="L4" s="2">
        <f>VLOOKUP($A18,'Input from HR monthly'!$A$6:$AH$29,L18,TRUE)</f>
        <v>0</v>
      </c>
      <c r="M4" s="2">
        <f>VLOOKUP($A18,'Input from HR monthly'!$A$6:$AH$29,M18,TRUE)</f>
        <v>0</v>
      </c>
      <c r="N4" s="2">
        <f>VLOOKUP($A18,'Input from HR monthly'!$A$6:$AH$29,N18,TRUE)</f>
        <v>0</v>
      </c>
      <c r="O4" s="2">
        <f>VLOOKUP($A18,'Input from HR monthly'!$A$6:$AH$29,O18,TRUE)</f>
        <v>0.03</v>
      </c>
      <c r="P4" s="2">
        <f>VLOOKUP($A18,'Input from HR monthly'!$A$6:$AH$29,P18,TRUE)</f>
        <v>44489</v>
      </c>
      <c r="Q4" s="2">
        <f>VLOOKUP($A18,'Input from HR monthly'!$A$6:$AH$29,Q18,TRUE)</f>
        <v>1.6E-2</v>
      </c>
      <c r="R4" s="2">
        <f>VLOOKUP($A18,'Input from HR monthly'!$A$6:$AH$29,R18,TRUE)</f>
        <v>4.8000000000000001E-2</v>
      </c>
      <c r="S4" s="2">
        <f>VLOOKUP($A18,'Input from HR monthly'!$A$6:$AH$29,S18,TRUE)</f>
        <v>0</v>
      </c>
      <c r="T4" s="2">
        <f>VLOOKUP($A18,'Input from HR monthly'!$A$6:$AH$29,T18,TRUE)</f>
        <v>0</v>
      </c>
      <c r="U4" s="2">
        <f>VLOOKUP($A18,'Input from HR monthly'!$A$6:$AH$29,U18,TRUE)</f>
        <v>0.03</v>
      </c>
      <c r="V4" s="2">
        <f>VLOOKUP($A18,'Input from HR monthly'!$A$6:$AH$29,V18,TRUE)</f>
        <v>8.4000000000000005E-2</v>
      </c>
      <c r="W4" s="2">
        <f>VLOOKUP($A18,'Input from HR monthly'!$A$6:$AH$29,W18,TRUE)</f>
        <v>44489</v>
      </c>
      <c r="X4" s="2">
        <f>VLOOKUP($A18,'Input from HR monthly'!$A$6:$AH$29,X18,TRUE)</f>
        <v>2.3E-2</v>
      </c>
      <c r="Y4" s="2">
        <f>VLOOKUP($A18,'Input from HR monthly'!$A$6:$AH$29,Y18,TRUE)</f>
        <v>7.0000000000000007E-2</v>
      </c>
      <c r="Z4" s="2">
        <f>VLOOKUP($A18,'Input from HR monthly'!$A$6:$AH$29,Z18,TRUE)</f>
        <v>0</v>
      </c>
      <c r="AA4" s="2">
        <f>VLOOKUP($A18,'Input from HR monthly'!$A$6:$AH$29,AA18,TRUE)</f>
        <v>0</v>
      </c>
      <c r="AB4" s="2">
        <f>VLOOKUP($A18,'Input from HR monthly'!$A$6:$AH$29,AB18,TRUE)</f>
        <v>2.5999999999999999E-2</v>
      </c>
      <c r="AC4" s="2">
        <f>VLOOKUP($A18,'Input from HR monthly'!$A$6:$AH$29,AC18,TRUE)</f>
        <v>0.109</v>
      </c>
      <c r="AD4" s="2">
        <f>VLOOKUP($A18,'Input from HR monthly'!$A$6:$AH$29,AD18,TRUE)</f>
        <v>44489</v>
      </c>
      <c r="AE4" s="2">
        <f>VLOOKUP($A18,'Input from HR monthly'!$A$6:$AH$29,AE18,TRUE)</f>
        <v>6.0000000000000001E-3</v>
      </c>
      <c r="AF4" s="2">
        <f>VLOOKUP($A18,'Input from HR monthly'!$A$6:$AH$29,AF18,TRUE)</f>
        <v>0</v>
      </c>
    </row>
    <row r="5" spans="1:32">
      <c r="A5" s="20">
        <v>2</v>
      </c>
      <c r="B5" s="24">
        <f>VLOOKUP($A19,'Input from HR monthly'!$A$6:$AH$29,B19,TRUE)</f>
        <v>44520</v>
      </c>
      <c r="C5" s="2">
        <f>VLOOKUP($A19,'Input from HR monthly'!$A$6:$AH$29,C19,TRUE)</f>
        <v>1.7000000000000001E-2</v>
      </c>
      <c r="D5" s="2">
        <f>VLOOKUP($A19,'Input from HR monthly'!$A$6:$AH$29,D19,TRUE)</f>
        <v>0.05</v>
      </c>
      <c r="E5" s="2">
        <f>VLOOKUP($A19,'Input from HR monthly'!$A$6:$AH$29,E19,TRUE)</f>
        <v>0</v>
      </c>
      <c r="F5" s="2">
        <f>VLOOKUP($A19,'Input from HR monthly'!$A$6:$AH$29,F19,TRUE)</f>
        <v>0</v>
      </c>
      <c r="G5" s="2">
        <f>VLOOKUP($A19,'Input from HR monthly'!$A$6:$AH$29,G19,TRUE)</f>
        <v>2.5000000000000001E-2</v>
      </c>
      <c r="H5" s="2">
        <f>VLOOKUP($A19,'Input from HR monthly'!$A$6:$AH$29,H19,TRUE)</f>
        <v>3.7999999999999999E-2</v>
      </c>
      <c r="I5" s="2">
        <f>VLOOKUP($A19,'Input from HR monthly'!$A$6:$AH$29,I19,TRUE)</f>
        <v>44520</v>
      </c>
      <c r="J5" s="2">
        <f>VLOOKUP($A19,'Input from HR monthly'!$A$6:$AH$29,J19,TRUE)</f>
        <v>2.3E-2</v>
      </c>
      <c r="K5" s="2">
        <f>VLOOKUP($A19,'Input from HR monthly'!$A$6:$AH$29,K19,TRUE)</f>
        <v>4.7E-2</v>
      </c>
      <c r="L5" s="2">
        <f>VLOOKUP($A19,'Input from HR monthly'!$A$6:$AH$29,L19,TRUE)</f>
        <v>0</v>
      </c>
      <c r="M5" s="2">
        <f>VLOOKUP($A19,'Input from HR monthly'!$A$6:$AH$29,M19,TRUE)</f>
        <v>0</v>
      </c>
      <c r="N5" s="2">
        <f>VLOOKUP($A19,'Input from HR monthly'!$A$6:$AH$29,N19,TRUE)</f>
        <v>0</v>
      </c>
      <c r="O5" s="2">
        <f>VLOOKUP($A19,'Input from HR monthly'!$A$6:$AH$29,O19,TRUE)</f>
        <v>2.7E-2</v>
      </c>
      <c r="P5" s="2">
        <f>VLOOKUP($A19,'Input from HR monthly'!$A$6:$AH$29,P19,TRUE)</f>
        <v>44520</v>
      </c>
      <c r="Q5" s="2">
        <f>VLOOKUP($A19,'Input from HR monthly'!$A$6:$AH$29,Q19,TRUE)</f>
        <v>1.4999999999999999E-2</v>
      </c>
      <c r="R5" s="2">
        <f>VLOOKUP($A19,'Input from HR monthly'!$A$6:$AH$29,R19,TRUE)</f>
        <v>4.3999999999999997E-2</v>
      </c>
      <c r="S5" s="2">
        <f>VLOOKUP($A19,'Input from HR monthly'!$A$6:$AH$29,S19,TRUE)</f>
        <v>0</v>
      </c>
      <c r="T5" s="2">
        <f>VLOOKUP($A19,'Input from HR monthly'!$A$6:$AH$29,T19,TRUE)</f>
        <v>0</v>
      </c>
      <c r="U5" s="2">
        <f>VLOOKUP($A19,'Input from HR monthly'!$A$6:$AH$29,U19,TRUE)</f>
        <v>0.03</v>
      </c>
      <c r="V5" s="2">
        <f>VLOOKUP($A19,'Input from HR monthly'!$A$6:$AH$29,V19,TRUE)</f>
        <v>8.3000000000000004E-2</v>
      </c>
      <c r="W5" s="2">
        <f>VLOOKUP($A19,'Input from HR monthly'!$A$6:$AH$29,W19,TRUE)</f>
        <v>44520</v>
      </c>
      <c r="X5" s="2">
        <f>VLOOKUP($A19,'Input from HR monthly'!$A$6:$AH$29,X19,TRUE)</f>
        <v>2.1000000000000001E-2</v>
      </c>
      <c r="Y5" s="2">
        <f>VLOOKUP($A19,'Input from HR monthly'!$A$6:$AH$29,Y19,TRUE)</f>
        <v>4.3999999999999997E-2</v>
      </c>
      <c r="Z5" s="2">
        <f>VLOOKUP($A19,'Input from HR monthly'!$A$6:$AH$29,Z19,TRUE)</f>
        <v>0</v>
      </c>
      <c r="AA5" s="2">
        <f>VLOOKUP($A19,'Input from HR monthly'!$A$6:$AH$29,AA19,TRUE)</f>
        <v>0</v>
      </c>
      <c r="AB5" s="2">
        <f>VLOOKUP($A19,'Input from HR monthly'!$A$6:$AH$29,AB19,TRUE)</f>
        <v>3.4000000000000002E-2</v>
      </c>
      <c r="AC5" s="2">
        <f>VLOOKUP($A19,'Input from HR monthly'!$A$6:$AH$29,AC19,TRUE)</f>
        <v>0.13400000000000001</v>
      </c>
      <c r="AD5" s="2">
        <f>VLOOKUP($A19,'Input from HR monthly'!$A$6:$AH$29,AD19,TRUE)</f>
        <v>44520</v>
      </c>
      <c r="AE5" s="2">
        <f>VLOOKUP($A19,'Input from HR monthly'!$A$6:$AH$29,AE19,TRUE)</f>
        <v>2.0000000000000001E-4</v>
      </c>
      <c r="AF5" s="2">
        <f>VLOOKUP($A19,'Input from HR monthly'!$A$6:$AH$29,AF19,TRUE)</f>
        <v>0</v>
      </c>
    </row>
    <row r="6" spans="1:32">
      <c r="A6" s="20">
        <v>3</v>
      </c>
      <c r="B6" s="24">
        <f>VLOOKUP($A20,'Input from HR monthly'!$A$6:$AH$29,B20,TRUE)</f>
        <v>44550</v>
      </c>
      <c r="C6" s="2">
        <f>VLOOKUP($A20,'Input from HR monthly'!$A$6:$AH$29,C20,TRUE)</f>
        <v>1.7999999999999999E-2</v>
      </c>
      <c r="D6" s="2">
        <f>VLOOKUP($A20,'Input from HR monthly'!$A$6:$AH$29,D20,TRUE)</f>
        <v>6.0999999999999999E-2</v>
      </c>
      <c r="E6" s="2">
        <f>VLOOKUP($A20,'Input from HR monthly'!$A$6:$AH$29,E20,TRUE)</f>
        <v>0</v>
      </c>
      <c r="F6" s="2">
        <f>VLOOKUP($A20,'Input from HR monthly'!$A$6:$AH$29,F20,TRUE)</f>
        <v>0</v>
      </c>
      <c r="G6" s="2">
        <f>VLOOKUP($A20,'Input from HR monthly'!$A$6:$AH$29,G20,TRUE)</f>
        <v>2.5999999999999999E-2</v>
      </c>
      <c r="H6" s="2">
        <f>VLOOKUP($A20,'Input from HR monthly'!$A$6:$AH$29,H20,TRUE)</f>
        <v>0.05</v>
      </c>
      <c r="I6" s="2">
        <f>VLOOKUP($A20,'Input from HR monthly'!$A$6:$AH$29,I20,TRUE)</f>
        <v>44550</v>
      </c>
      <c r="J6" s="2">
        <f>VLOOKUP($A20,'Input from HR monthly'!$A$6:$AH$29,J20,TRUE)</f>
        <v>1.6E-2</v>
      </c>
      <c r="K6" s="2">
        <f>VLOOKUP($A20,'Input from HR monthly'!$A$6:$AH$29,K20,TRUE)</f>
        <v>4.5999999999999999E-2</v>
      </c>
      <c r="L6" s="2">
        <f>VLOOKUP($A20,'Input from HR monthly'!$A$6:$AH$29,L20,TRUE)</f>
        <v>0</v>
      </c>
      <c r="M6" s="2">
        <f>VLOOKUP($A20,'Input from HR monthly'!$A$6:$AH$29,M20,TRUE)</f>
        <v>0</v>
      </c>
      <c r="N6" s="2">
        <f>VLOOKUP($A20,'Input from HR monthly'!$A$6:$AH$29,N20,TRUE)</f>
        <v>0</v>
      </c>
      <c r="O6" s="2">
        <f>VLOOKUP($A20,'Input from HR monthly'!$A$6:$AH$29,O20,TRUE)</f>
        <v>2.1000000000000001E-2</v>
      </c>
      <c r="P6" s="2">
        <f>VLOOKUP($A20,'Input from HR monthly'!$A$6:$AH$29,P20,TRUE)</f>
        <v>44550</v>
      </c>
      <c r="Q6" s="2">
        <f>VLOOKUP($A20,'Input from HR monthly'!$A$6:$AH$29,Q20,TRUE)</f>
        <v>2.8000000000000001E-2</v>
      </c>
      <c r="R6" s="2">
        <f>VLOOKUP($A20,'Input from HR monthly'!$A$6:$AH$29,R20,TRUE)</f>
        <v>4.4999999999999998E-2</v>
      </c>
      <c r="S6" s="2">
        <f>VLOOKUP($A20,'Input from HR monthly'!$A$6:$AH$29,S20,TRUE)</f>
        <v>0</v>
      </c>
      <c r="T6" s="2">
        <f>VLOOKUP($A20,'Input from HR monthly'!$A$6:$AH$29,T20,TRUE)</f>
        <v>0</v>
      </c>
      <c r="U6" s="2">
        <f>VLOOKUP($A20,'Input from HR monthly'!$A$6:$AH$29,U20,TRUE)</f>
        <v>0</v>
      </c>
      <c r="V6" s="2">
        <f>VLOOKUP($A20,'Input from HR monthly'!$A$6:$AH$29,V20,TRUE)</f>
        <v>7.0000000000000007E-2</v>
      </c>
      <c r="W6" s="2">
        <f>VLOOKUP($A20,'Input from HR monthly'!$A$6:$AH$29,W20,TRUE)</f>
        <v>44550</v>
      </c>
      <c r="X6" s="2">
        <f>VLOOKUP($A20,'Input from HR monthly'!$A$6:$AH$29,X20,TRUE)</f>
        <v>6.0000000000000001E-3</v>
      </c>
      <c r="Y6" s="2">
        <f>VLOOKUP($A20,'Input from HR monthly'!$A$6:$AH$29,Y20,TRUE)</f>
        <v>3.3000000000000002E-2</v>
      </c>
      <c r="Z6" s="2">
        <f>VLOOKUP($A20,'Input from HR monthly'!$A$6:$AH$29,Z20,TRUE)</f>
        <v>0</v>
      </c>
      <c r="AA6" s="2">
        <f>VLOOKUP($A20,'Input from HR monthly'!$A$6:$AH$29,AA20,TRUE)</f>
        <v>0</v>
      </c>
      <c r="AB6" s="2">
        <f>VLOOKUP($A20,'Input from HR monthly'!$A$6:$AH$29,AB20,TRUE)</f>
        <v>2.3E-2</v>
      </c>
      <c r="AC6" s="2">
        <f>VLOOKUP($A20,'Input from HR monthly'!$A$6:$AH$29,AC20,TRUE)</f>
        <v>0.12</v>
      </c>
      <c r="AD6" s="2">
        <f>VLOOKUP($A20,'Input from HR monthly'!$A$6:$AH$29,AD20,TRUE)</f>
        <v>44550</v>
      </c>
      <c r="AE6" s="2">
        <f>VLOOKUP($A20,'Input from HR monthly'!$A$6:$AH$29,AE20,TRUE)</f>
        <v>3.0000000000000001E-3</v>
      </c>
      <c r="AF6" s="2">
        <f>VLOOKUP($A20,'Input from HR monthly'!$A$6:$AH$29,AF20,TRUE)</f>
        <v>0</v>
      </c>
    </row>
    <row r="7" spans="1:32">
      <c r="A7" s="20">
        <v>4</v>
      </c>
      <c r="B7" s="24">
        <f>VLOOKUP($A21,'Input from HR monthly'!$A$6:$AH$29,B21,TRUE)</f>
        <v>44550</v>
      </c>
      <c r="C7" s="2">
        <f>VLOOKUP($A21,'Input from HR monthly'!$A$6:$AH$29,C21,TRUE)</f>
        <v>1.7999999999999999E-2</v>
      </c>
      <c r="D7" s="2">
        <f>VLOOKUP($A21,'Input from HR monthly'!$A$6:$AH$29,D21,TRUE)</f>
        <v>6.0999999999999999E-2</v>
      </c>
      <c r="E7" s="2">
        <f>VLOOKUP($A21,'Input from HR monthly'!$A$6:$AH$29,E21,TRUE)</f>
        <v>0</v>
      </c>
      <c r="F7" s="2">
        <f>VLOOKUP($A21,'Input from HR monthly'!$A$6:$AH$29,F21,TRUE)</f>
        <v>0</v>
      </c>
      <c r="G7" s="2">
        <f>VLOOKUP($A21,'Input from HR monthly'!$A$6:$AH$29,G21,TRUE)</f>
        <v>2.5999999999999999E-2</v>
      </c>
      <c r="H7" s="2">
        <f>VLOOKUP($A21,'Input from HR monthly'!$A$6:$AH$29,H21,TRUE)</f>
        <v>0.05</v>
      </c>
      <c r="I7" s="2">
        <f>VLOOKUP($A21,'Input from HR monthly'!$A$6:$AH$29,I21,TRUE)</f>
        <v>44550</v>
      </c>
      <c r="J7" s="2">
        <f>VLOOKUP($A21,'Input from HR monthly'!$A$6:$AH$29,J21,TRUE)</f>
        <v>1.6E-2</v>
      </c>
      <c r="K7" s="2">
        <f>VLOOKUP($A21,'Input from HR monthly'!$A$6:$AH$29,K21,TRUE)</f>
        <v>4.5999999999999999E-2</v>
      </c>
      <c r="L7" s="2">
        <f>VLOOKUP($A21,'Input from HR monthly'!$A$6:$AH$29,L21,TRUE)</f>
        <v>0</v>
      </c>
      <c r="M7" s="2">
        <f>VLOOKUP($A21,'Input from HR monthly'!$A$6:$AH$29,M21,TRUE)</f>
        <v>0</v>
      </c>
      <c r="N7" s="2">
        <f>VLOOKUP($A21,'Input from HR monthly'!$A$6:$AH$29,N21,TRUE)</f>
        <v>0</v>
      </c>
      <c r="O7" s="2">
        <f>VLOOKUP($A21,'Input from HR monthly'!$A$6:$AH$29,O21,TRUE)</f>
        <v>2.1000000000000001E-2</v>
      </c>
      <c r="P7" s="2">
        <f>VLOOKUP($A21,'Input from HR monthly'!$A$6:$AH$29,P21,TRUE)</f>
        <v>44550</v>
      </c>
      <c r="Q7" s="2">
        <f>VLOOKUP($A21,'Input from HR monthly'!$A$6:$AH$29,Q21,TRUE)</f>
        <v>2.8000000000000001E-2</v>
      </c>
      <c r="R7" s="2">
        <f>VLOOKUP($A21,'Input from HR monthly'!$A$6:$AH$29,R21,TRUE)</f>
        <v>4.4999999999999998E-2</v>
      </c>
      <c r="S7" s="2">
        <f>VLOOKUP($A21,'Input from HR monthly'!$A$6:$AH$29,S21,TRUE)</f>
        <v>0</v>
      </c>
      <c r="T7" s="2">
        <f>VLOOKUP($A21,'Input from HR monthly'!$A$6:$AH$29,T21,TRUE)</f>
        <v>0</v>
      </c>
      <c r="U7" s="2">
        <f>VLOOKUP($A21,'Input from HR monthly'!$A$6:$AH$29,U21,TRUE)</f>
        <v>0</v>
      </c>
      <c r="V7" s="2">
        <f>VLOOKUP($A21,'Input from HR monthly'!$A$6:$AH$29,V21,TRUE)</f>
        <v>7.0000000000000007E-2</v>
      </c>
      <c r="W7" s="2">
        <f>VLOOKUP($A21,'Input from HR monthly'!$A$6:$AH$29,W21,TRUE)</f>
        <v>44550</v>
      </c>
      <c r="X7" s="2">
        <f>VLOOKUP($A21,'Input from HR monthly'!$A$6:$AH$29,X21,TRUE)</f>
        <v>6.0000000000000001E-3</v>
      </c>
      <c r="Y7" s="2">
        <f>VLOOKUP($A21,'Input from HR monthly'!$A$6:$AH$29,Y21,TRUE)</f>
        <v>3.3000000000000002E-2</v>
      </c>
      <c r="Z7" s="2">
        <f>VLOOKUP($A21,'Input from HR monthly'!$A$6:$AH$29,Z21,TRUE)</f>
        <v>0</v>
      </c>
      <c r="AA7" s="2">
        <f>VLOOKUP($A21,'Input from HR monthly'!$A$6:$AH$29,AA21,TRUE)</f>
        <v>0</v>
      </c>
      <c r="AB7" s="2">
        <f>VLOOKUP($A21,'Input from HR monthly'!$A$6:$AH$29,AB21,TRUE)</f>
        <v>2.3E-2</v>
      </c>
      <c r="AC7" s="2">
        <f>VLOOKUP($A21,'Input from HR monthly'!$A$6:$AH$29,AC21,TRUE)</f>
        <v>0.12</v>
      </c>
      <c r="AD7" s="2">
        <f>VLOOKUP($A21,'Input from HR monthly'!$A$6:$AH$29,AD21,TRUE)</f>
        <v>44550</v>
      </c>
      <c r="AE7" s="2">
        <f>VLOOKUP($A21,'Input from HR monthly'!$A$6:$AH$29,AE21,TRUE)</f>
        <v>3.0000000000000001E-3</v>
      </c>
      <c r="AF7" s="2">
        <f>VLOOKUP($A21,'Input from HR monthly'!$A$6:$AH$29,AF21,TRUE)</f>
        <v>0</v>
      </c>
    </row>
    <row r="8" spans="1:32">
      <c r="A8" s="20">
        <v>5</v>
      </c>
      <c r="B8" s="24">
        <f>VLOOKUP($A22,'Input from HR monthly'!$A$6:$AH$29,B22,TRUE)</f>
        <v>44550</v>
      </c>
      <c r="C8" s="2">
        <f>VLOOKUP($A22,'Input from HR monthly'!$A$6:$AH$29,C22,TRUE)</f>
        <v>1.7999999999999999E-2</v>
      </c>
      <c r="D8" s="2">
        <f>VLOOKUP($A22,'Input from HR monthly'!$A$6:$AH$29,D22,TRUE)</f>
        <v>6.0999999999999999E-2</v>
      </c>
      <c r="E8" s="2">
        <f>VLOOKUP($A22,'Input from HR monthly'!$A$6:$AH$29,E22,TRUE)</f>
        <v>0</v>
      </c>
      <c r="F8" s="2">
        <f>VLOOKUP($A22,'Input from HR monthly'!$A$6:$AH$29,F22,TRUE)</f>
        <v>0</v>
      </c>
      <c r="G8" s="2">
        <f>VLOOKUP($A22,'Input from HR monthly'!$A$6:$AH$29,G22,TRUE)</f>
        <v>2.5999999999999999E-2</v>
      </c>
      <c r="H8" s="2">
        <f>VLOOKUP($A22,'Input from HR monthly'!$A$6:$AH$29,H22,TRUE)</f>
        <v>0.05</v>
      </c>
      <c r="I8" s="2">
        <f>VLOOKUP($A22,'Input from HR monthly'!$A$6:$AH$29,I22,TRUE)</f>
        <v>44550</v>
      </c>
      <c r="J8" s="2">
        <f>VLOOKUP($A22,'Input from HR monthly'!$A$6:$AH$29,J22,TRUE)</f>
        <v>1.6E-2</v>
      </c>
      <c r="K8" s="2">
        <f>VLOOKUP($A22,'Input from HR monthly'!$A$6:$AH$29,K22,TRUE)</f>
        <v>4.5999999999999999E-2</v>
      </c>
      <c r="L8" s="2">
        <f>VLOOKUP($A22,'Input from HR monthly'!$A$6:$AH$29,L22,TRUE)</f>
        <v>0</v>
      </c>
      <c r="M8" s="2">
        <f>VLOOKUP($A22,'Input from HR monthly'!$A$6:$AH$29,M22,TRUE)</f>
        <v>0</v>
      </c>
      <c r="N8" s="2">
        <f>VLOOKUP($A22,'Input from HR monthly'!$A$6:$AH$29,N22,TRUE)</f>
        <v>0</v>
      </c>
      <c r="O8" s="2">
        <f>VLOOKUP($A22,'Input from HR monthly'!$A$6:$AH$29,O22,TRUE)</f>
        <v>2.1000000000000001E-2</v>
      </c>
      <c r="P8" s="2">
        <f>VLOOKUP($A22,'Input from HR monthly'!$A$6:$AH$29,P22,TRUE)</f>
        <v>44550</v>
      </c>
      <c r="Q8" s="2">
        <f>VLOOKUP($A22,'Input from HR monthly'!$A$6:$AH$29,Q22,TRUE)</f>
        <v>2.8000000000000001E-2</v>
      </c>
      <c r="R8" s="2">
        <f>VLOOKUP($A22,'Input from HR monthly'!$A$6:$AH$29,R22,TRUE)</f>
        <v>4.4999999999999998E-2</v>
      </c>
      <c r="S8" s="2">
        <f>VLOOKUP($A22,'Input from HR monthly'!$A$6:$AH$29,S22,TRUE)</f>
        <v>0</v>
      </c>
      <c r="T8" s="2">
        <f>VLOOKUP($A22,'Input from HR monthly'!$A$6:$AH$29,T22,TRUE)</f>
        <v>0</v>
      </c>
      <c r="U8" s="2">
        <f>VLOOKUP($A22,'Input from HR monthly'!$A$6:$AH$29,U22,TRUE)</f>
        <v>0</v>
      </c>
      <c r="V8" s="2">
        <f>VLOOKUP($A22,'Input from HR monthly'!$A$6:$AH$29,V22,TRUE)</f>
        <v>7.0000000000000007E-2</v>
      </c>
      <c r="W8" s="2">
        <f>VLOOKUP($A22,'Input from HR monthly'!$A$6:$AH$29,W22,TRUE)</f>
        <v>44550</v>
      </c>
      <c r="X8" s="2">
        <f>VLOOKUP($A22,'Input from HR monthly'!$A$6:$AH$29,X22,TRUE)</f>
        <v>6.0000000000000001E-3</v>
      </c>
      <c r="Y8" s="2">
        <f>VLOOKUP($A22,'Input from HR monthly'!$A$6:$AH$29,Y22,TRUE)</f>
        <v>3.3000000000000002E-2</v>
      </c>
      <c r="Z8" s="2">
        <f>VLOOKUP($A22,'Input from HR monthly'!$A$6:$AH$29,Z22,TRUE)</f>
        <v>0</v>
      </c>
      <c r="AA8" s="2">
        <f>VLOOKUP($A22,'Input from HR monthly'!$A$6:$AH$29,AA22,TRUE)</f>
        <v>0</v>
      </c>
      <c r="AB8" s="2">
        <f>VLOOKUP($A22,'Input from HR monthly'!$A$6:$AH$29,AB22,TRUE)</f>
        <v>2.3E-2</v>
      </c>
      <c r="AC8" s="2">
        <f>VLOOKUP($A22,'Input from HR monthly'!$A$6:$AH$29,AC22,TRUE)</f>
        <v>0.12</v>
      </c>
      <c r="AD8" s="2">
        <f>VLOOKUP($A22,'Input from HR monthly'!$A$6:$AH$29,AD22,TRUE)</f>
        <v>44550</v>
      </c>
      <c r="AE8" s="2">
        <f>VLOOKUP($A22,'Input from HR monthly'!$A$6:$AH$29,AE22,TRUE)</f>
        <v>3.0000000000000001E-3</v>
      </c>
      <c r="AF8" s="2">
        <f>VLOOKUP($A22,'Input from HR monthly'!$A$6:$AH$29,AF22,TRUE)</f>
        <v>0</v>
      </c>
    </row>
    <row r="9" spans="1:32">
      <c r="A9" s="20">
        <v>6</v>
      </c>
      <c r="B9" s="24">
        <f>VLOOKUP($A23,'Input from HR monthly'!$A$6:$AH$29,B23,TRUE)</f>
        <v>44550</v>
      </c>
      <c r="C9" s="2">
        <f>VLOOKUP($A23,'Input from HR monthly'!$A$6:$AH$29,C23,TRUE)</f>
        <v>1.7999999999999999E-2</v>
      </c>
      <c r="D9" s="2">
        <f>VLOOKUP($A23,'Input from HR monthly'!$A$6:$AH$29,D23,TRUE)</f>
        <v>6.0999999999999999E-2</v>
      </c>
      <c r="E9" s="2">
        <f>VLOOKUP($A23,'Input from HR monthly'!$A$6:$AH$29,E23,TRUE)</f>
        <v>0</v>
      </c>
      <c r="F9" s="2">
        <f>VLOOKUP($A23,'Input from HR monthly'!$A$6:$AH$29,F23,TRUE)</f>
        <v>0</v>
      </c>
      <c r="G9" s="2">
        <f>VLOOKUP($A23,'Input from HR monthly'!$A$6:$AH$29,G23,TRUE)</f>
        <v>2.5999999999999999E-2</v>
      </c>
      <c r="H9" s="2">
        <f>VLOOKUP($A23,'Input from HR monthly'!$A$6:$AH$29,H23,TRUE)</f>
        <v>0.05</v>
      </c>
      <c r="I9" s="2">
        <f>VLOOKUP($A23,'Input from HR monthly'!$A$6:$AH$29,I23,TRUE)</f>
        <v>44550</v>
      </c>
      <c r="J9" s="2">
        <f>VLOOKUP($A23,'Input from HR monthly'!$A$6:$AH$29,J23,TRUE)</f>
        <v>1.6E-2</v>
      </c>
      <c r="K9" s="2">
        <f>VLOOKUP($A23,'Input from HR monthly'!$A$6:$AH$29,K23,TRUE)</f>
        <v>4.5999999999999999E-2</v>
      </c>
      <c r="L9" s="2">
        <f>VLOOKUP($A23,'Input from HR monthly'!$A$6:$AH$29,L23,TRUE)</f>
        <v>0</v>
      </c>
      <c r="M9" s="2">
        <f>VLOOKUP($A23,'Input from HR monthly'!$A$6:$AH$29,M23,TRUE)</f>
        <v>0</v>
      </c>
      <c r="N9" s="2">
        <f>VLOOKUP($A23,'Input from HR monthly'!$A$6:$AH$29,N23,TRUE)</f>
        <v>0</v>
      </c>
      <c r="O9" s="2">
        <f>VLOOKUP($A23,'Input from HR monthly'!$A$6:$AH$29,O23,TRUE)</f>
        <v>2.1000000000000001E-2</v>
      </c>
      <c r="P9" s="2">
        <f>VLOOKUP($A23,'Input from HR monthly'!$A$6:$AH$29,P23,TRUE)</f>
        <v>44550</v>
      </c>
      <c r="Q9" s="2">
        <f>VLOOKUP($A23,'Input from HR monthly'!$A$6:$AH$29,Q23,TRUE)</f>
        <v>2.8000000000000001E-2</v>
      </c>
      <c r="R9" s="2">
        <f>VLOOKUP($A23,'Input from HR monthly'!$A$6:$AH$29,R23,TRUE)</f>
        <v>4.4999999999999998E-2</v>
      </c>
      <c r="S9" s="2">
        <f>VLOOKUP($A23,'Input from HR monthly'!$A$6:$AH$29,S23,TRUE)</f>
        <v>0</v>
      </c>
      <c r="T9" s="2">
        <f>VLOOKUP($A23,'Input from HR monthly'!$A$6:$AH$29,T23,TRUE)</f>
        <v>0</v>
      </c>
      <c r="U9" s="2">
        <f>VLOOKUP($A23,'Input from HR monthly'!$A$6:$AH$29,U23,TRUE)</f>
        <v>0</v>
      </c>
      <c r="V9" s="2">
        <f>VLOOKUP($A23,'Input from HR monthly'!$A$6:$AH$29,V23,TRUE)</f>
        <v>7.0000000000000007E-2</v>
      </c>
      <c r="W9" s="2">
        <f>VLOOKUP($A23,'Input from HR monthly'!$A$6:$AH$29,W23,TRUE)</f>
        <v>44550</v>
      </c>
      <c r="X9" s="2">
        <f>VLOOKUP($A23,'Input from HR monthly'!$A$6:$AH$29,X23,TRUE)</f>
        <v>6.0000000000000001E-3</v>
      </c>
      <c r="Y9" s="2">
        <f>VLOOKUP($A23,'Input from HR monthly'!$A$6:$AH$29,Y23,TRUE)</f>
        <v>3.3000000000000002E-2</v>
      </c>
      <c r="Z9" s="2">
        <f>VLOOKUP($A23,'Input from HR monthly'!$A$6:$AH$29,Z23,TRUE)</f>
        <v>0</v>
      </c>
      <c r="AA9" s="2">
        <f>VLOOKUP($A23,'Input from HR monthly'!$A$6:$AH$29,AA23,TRUE)</f>
        <v>0</v>
      </c>
      <c r="AB9" s="2">
        <f>VLOOKUP($A23,'Input from HR monthly'!$A$6:$AH$29,AB23,TRUE)</f>
        <v>2.3E-2</v>
      </c>
      <c r="AC9" s="2">
        <f>VLOOKUP($A23,'Input from HR monthly'!$A$6:$AH$29,AC23,TRUE)</f>
        <v>0.12</v>
      </c>
      <c r="AD9" s="2">
        <f>VLOOKUP($A23,'Input from HR monthly'!$A$6:$AH$29,AD23,TRUE)</f>
        <v>44550</v>
      </c>
      <c r="AE9" s="2">
        <f>VLOOKUP($A23,'Input from HR monthly'!$A$6:$AH$29,AE23,TRUE)</f>
        <v>3.0000000000000001E-3</v>
      </c>
      <c r="AF9" s="2">
        <f>VLOOKUP($A23,'Input from HR monthly'!$A$6:$AH$29,AF23,TRUE)</f>
        <v>0</v>
      </c>
    </row>
    <row r="10" spans="1:32">
      <c r="A10" s="20">
        <v>7</v>
      </c>
      <c r="B10" s="24">
        <f>VLOOKUP($A24,'Input from HR monthly'!$A$6:$AH$29,B24,TRUE)</f>
        <v>44550</v>
      </c>
      <c r="C10" s="2">
        <f>VLOOKUP($A24,'Input from HR monthly'!$A$6:$AH$29,C24,TRUE)</f>
        <v>1.7999999999999999E-2</v>
      </c>
      <c r="D10" s="2">
        <f>VLOOKUP($A24,'Input from HR monthly'!$A$6:$AH$29,D24,TRUE)</f>
        <v>6.0999999999999999E-2</v>
      </c>
      <c r="E10" s="2">
        <f>VLOOKUP($A24,'Input from HR monthly'!$A$6:$AH$29,E24,TRUE)</f>
        <v>0</v>
      </c>
      <c r="F10" s="2">
        <f>VLOOKUP($A24,'Input from HR monthly'!$A$6:$AH$29,F24,TRUE)</f>
        <v>0</v>
      </c>
      <c r="G10" s="2">
        <f>VLOOKUP($A24,'Input from HR monthly'!$A$6:$AH$29,G24,TRUE)</f>
        <v>2.5999999999999999E-2</v>
      </c>
      <c r="H10" s="2">
        <f>VLOOKUP($A24,'Input from HR monthly'!$A$6:$AH$29,H24,TRUE)</f>
        <v>0.05</v>
      </c>
      <c r="I10" s="2">
        <f>VLOOKUP($A24,'Input from HR monthly'!$A$6:$AH$29,I24,TRUE)</f>
        <v>44550</v>
      </c>
      <c r="J10" s="2">
        <f>VLOOKUP($A24,'Input from HR monthly'!$A$6:$AH$29,J24,TRUE)</f>
        <v>1.6E-2</v>
      </c>
      <c r="K10" s="2">
        <f>VLOOKUP($A24,'Input from HR monthly'!$A$6:$AH$29,K24,TRUE)</f>
        <v>4.5999999999999999E-2</v>
      </c>
      <c r="L10" s="2">
        <f>VLOOKUP($A24,'Input from HR monthly'!$A$6:$AH$29,L24,TRUE)</f>
        <v>0</v>
      </c>
      <c r="M10" s="2">
        <f>VLOOKUP($A24,'Input from HR monthly'!$A$6:$AH$29,M24,TRUE)</f>
        <v>0</v>
      </c>
      <c r="N10" s="2">
        <f>VLOOKUP($A24,'Input from HR monthly'!$A$6:$AH$29,N24,TRUE)</f>
        <v>0</v>
      </c>
      <c r="O10" s="2">
        <f>VLOOKUP($A24,'Input from HR monthly'!$A$6:$AH$29,O24,TRUE)</f>
        <v>2.1000000000000001E-2</v>
      </c>
      <c r="P10" s="2">
        <f>VLOOKUP($A24,'Input from HR monthly'!$A$6:$AH$29,P24,TRUE)</f>
        <v>44550</v>
      </c>
      <c r="Q10" s="2">
        <f>VLOOKUP($A24,'Input from HR monthly'!$A$6:$AH$29,Q24,TRUE)</f>
        <v>2.8000000000000001E-2</v>
      </c>
      <c r="R10" s="2">
        <f>VLOOKUP($A24,'Input from HR monthly'!$A$6:$AH$29,R24,TRUE)</f>
        <v>4.4999999999999998E-2</v>
      </c>
      <c r="S10" s="2">
        <f>VLOOKUP($A24,'Input from HR monthly'!$A$6:$AH$29,S24,TRUE)</f>
        <v>0</v>
      </c>
      <c r="T10" s="2">
        <f>VLOOKUP($A24,'Input from HR monthly'!$A$6:$AH$29,T24,TRUE)</f>
        <v>0</v>
      </c>
      <c r="U10" s="2">
        <f>VLOOKUP($A24,'Input from HR monthly'!$A$6:$AH$29,U24,TRUE)</f>
        <v>0</v>
      </c>
      <c r="V10" s="2">
        <f>VLOOKUP($A24,'Input from HR monthly'!$A$6:$AH$29,V24,TRUE)</f>
        <v>7.0000000000000007E-2</v>
      </c>
      <c r="W10" s="2">
        <f>VLOOKUP($A24,'Input from HR monthly'!$A$6:$AH$29,W24,TRUE)</f>
        <v>44550</v>
      </c>
      <c r="X10" s="2">
        <f>VLOOKUP($A24,'Input from HR monthly'!$A$6:$AH$29,X24,TRUE)</f>
        <v>6.0000000000000001E-3</v>
      </c>
      <c r="Y10" s="2">
        <f>VLOOKUP($A24,'Input from HR monthly'!$A$6:$AH$29,Y24,TRUE)</f>
        <v>3.3000000000000002E-2</v>
      </c>
      <c r="Z10" s="2">
        <f>VLOOKUP($A24,'Input from HR monthly'!$A$6:$AH$29,Z24,TRUE)</f>
        <v>0</v>
      </c>
      <c r="AA10" s="2">
        <f>VLOOKUP($A24,'Input from HR monthly'!$A$6:$AH$29,AA24,TRUE)</f>
        <v>0</v>
      </c>
      <c r="AB10" s="2">
        <f>VLOOKUP($A24,'Input from HR monthly'!$A$6:$AH$29,AB24,TRUE)</f>
        <v>2.3E-2</v>
      </c>
      <c r="AC10" s="2">
        <f>VLOOKUP($A24,'Input from HR monthly'!$A$6:$AH$29,AC24,TRUE)</f>
        <v>0.12</v>
      </c>
      <c r="AD10" s="2">
        <f>VLOOKUP($A24,'Input from HR monthly'!$A$6:$AH$29,AD24,TRUE)</f>
        <v>44550</v>
      </c>
      <c r="AE10" s="2">
        <f>VLOOKUP($A24,'Input from HR monthly'!$A$6:$AH$29,AE24,TRUE)</f>
        <v>3.0000000000000001E-3</v>
      </c>
      <c r="AF10" s="2">
        <f>VLOOKUP($A24,'Input from HR monthly'!$A$6:$AH$29,AF24,TRUE)</f>
        <v>0</v>
      </c>
    </row>
    <row r="11" spans="1:32">
      <c r="A11" s="20">
        <v>8</v>
      </c>
      <c r="B11" s="24">
        <f>VLOOKUP($A25,'Input from HR monthly'!$A$6:$AH$29,B25,TRUE)</f>
        <v>44550</v>
      </c>
      <c r="C11" s="2">
        <f>VLOOKUP($A25,'Input from HR monthly'!$A$6:$AH$29,C25,TRUE)</f>
        <v>1.7999999999999999E-2</v>
      </c>
      <c r="D11" s="2">
        <f>VLOOKUP($A25,'Input from HR monthly'!$A$6:$AH$29,D25,TRUE)</f>
        <v>6.0999999999999999E-2</v>
      </c>
      <c r="E11" s="2">
        <f>VLOOKUP($A25,'Input from HR monthly'!$A$6:$AH$29,E25,TRUE)</f>
        <v>0</v>
      </c>
      <c r="F11" s="2">
        <f>VLOOKUP($A25,'Input from HR monthly'!$A$6:$AH$29,F25,TRUE)</f>
        <v>0</v>
      </c>
      <c r="G11" s="2">
        <f>VLOOKUP($A25,'Input from HR monthly'!$A$6:$AH$29,G25,TRUE)</f>
        <v>2.5999999999999999E-2</v>
      </c>
      <c r="H11" s="2">
        <f>VLOOKUP($A25,'Input from HR monthly'!$A$6:$AH$29,H25,TRUE)</f>
        <v>0.05</v>
      </c>
      <c r="I11" s="2">
        <f>VLOOKUP($A25,'Input from HR monthly'!$A$6:$AH$29,I25,TRUE)</f>
        <v>44550</v>
      </c>
      <c r="J11" s="2">
        <f>VLOOKUP($A25,'Input from HR monthly'!$A$6:$AH$29,J25,TRUE)</f>
        <v>1.6E-2</v>
      </c>
      <c r="K11" s="2">
        <f>VLOOKUP($A25,'Input from HR monthly'!$A$6:$AH$29,K25,TRUE)</f>
        <v>4.5999999999999999E-2</v>
      </c>
      <c r="L11" s="2">
        <f>VLOOKUP($A25,'Input from HR monthly'!$A$6:$AH$29,L25,TRUE)</f>
        <v>0</v>
      </c>
      <c r="M11" s="2">
        <f>VLOOKUP($A25,'Input from HR monthly'!$A$6:$AH$29,M25,TRUE)</f>
        <v>0</v>
      </c>
      <c r="N11" s="2">
        <f>VLOOKUP($A25,'Input from HR monthly'!$A$6:$AH$29,N25,TRUE)</f>
        <v>0</v>
      </c>
      <c r="O11" s="2">
        <f>VLOOKUP($A25,'Input from HR monthly'!$A$6:$AH$29,O25,TRUE)</f>
        <v>2.1000000000000001E-2</v>
      </c>
      <c r="P11" s="2">
        <f>VLOOKUP($A25,'Input from HR monthly'!$A$6:$AH$29,P25,TRUE)</f>
        <v>44550</v>
      </c>
      <c r="Q11" s="2">
        <f>VLOOKUP($A25,'Input from HR monthly'!$A$6:$AH$29,Q25,TRUE)</f>
        <v>2.8000000000000001E-2</v>
      </c>
      <c r="R11" s="2">
        <f>VLOOKUP($A25,'Input from HR monthly'!$A$6:$AH$29,R25,TRUE)</f>
        <v>4.4999999999999998E-2</v>
      </c>
      <c r="S11" s="2">
        <f>VLOOKUP($A25,'Input from HR monthly'!$A$6:$AH$29,S25,TRUE)</f>
        <v>0</v>
      </c>
      <c r="T11" s="2">
        <f>VLOOKUP($A25,'Input from HR monthly'!$A$6:$AH$29,T25,TRUE)</f>
        <v>0</v>
      </c>
      <c r="U11" s="2">
        <f>VLOOKUP($A25,'Input from HR monthly'!$A$6:$AH$29,U25,TRUE)</f>
        <v>0</v>
      </c>
      <c r="V11" s="2">
        <f>VLOOKUP($A25,'Input from HR monthly'!$A$6:$AH$29,V25,TRUE)</f>
        <v>7.0000000000000007E-2</v>
      </c>
      <c r="W11" s="2">
        <f>VLOOKUP($A25,'Input from HR monthly'!$A$6:$AH$29,W25,TRUE)</f>
        <v>44550</v>
      </c>
      <c r="X11" s="2">
        <f>VLOOKUP($A25,'Input from HR monthly'!$A$6:$AH$29,X25,TRUE)</f>
        <v>6.0000000000000001E-3</v>
      </c>
      <c r="Y11" s="2">
        <f>VLOOKUP($A25,'Input from HR monthly'!$A$6:$AH$29,Y25,TRUE)</f>
        <v>3.3000000000000002E-2</v>
      </c>
      <c r="Z11" s="2">
        <f>VLOOKUP($A25,'Input from HR monthly'!$A$6:$AH$29,Z25,TRUE)</f>
        <v>0</v>
      </c>
      <c r="AA11" s="2">
        <f>VLOOKUP($A25,'Input from HR monthly'!$A$6:$AH$29,AA25,TRUE)</f>
        <v>0</v>
      </c>
      <c r="AB11" s="2">
        <f>VLOOKUP($A25,'Input from HR monthly'!$A$6:$AH$29,AB25,TRUE)</f>
        <v>2.3E-2</v>
      </c>
      <c r="AC11" s="2">
        <f>VLOOKUP($A25,'Input from HR monthly'!$A$6:$AH$29,AC25,TRUE)</f>
        <v>0.12</v>
      </c>
      <c r="AD11" s="2">
        <f>VLOOKUP($A25,'Input from HR monthly'!$A$6:$AH$29,AD25,TRUE)</f>
        <v>44550</v>
      </c>
      <c r="AE11" s="2">
        <f>VLOOKUP($A25,'Input from HR monthly'!$A$6:$AH$29,AE25,TRUE)</f>
        <v>3.0000000000000001E-3</v>
      </c>
      <c r="AF11" s="2">
        <f>VLOOKUP($A25,'Input from HR monthly'!$A$6:$AH$29,AF25,TRUE)</f>
        <v>0</v>
      </c>
    </row>
    <row r="12" spans="1:32">
      <c r="A12" s="20">
        <v>9</v>
      </c>
      <c r="B12" s="24">
        <f>VLOOKUP($A26,'Input from HR monthly'!$A$6:$AH$29,B26,TRUE)</f>
        <v>44550</v>
      </c>
      <c r="C12" s="2">
        <f>VLOOKUP($A26,'Input from HR monthly'!$A$6:$AH$29,C26,TRUE)</f>
        <v>1.7999999999999999E-2</v>
      </c>
      <c r="D12" s="2">
        <f>VLOOKUP($A26,'Input from HR monthly'!$A$6:$AH$29,D26,TRUE)</f>
        <v>6.0999999999999999E-2</v>
      </c>
      <c r="E12" s="2">
        <f>VLOOKUP($A26,'Input from HR monthly'!$A$6:$AH$29,E26,TRUE)</f>
        <v>0</v>
      </c>
      <c r="F12" s="2">
        <f>VLOOKUP($A26,'Input from HR monthly'!$A$6:$AH$29,F26,TRUE)</f>
        <v>0</v>
      </c>
      <c r="G12" s="2">
        <f>VLOOKUP($A26,'Input from HR monthly'!$A$6:$AH$29,G26,TRUE)</f>
        <v>2.5999999999999999E-2</v>
      </c>
      <c r="H12" s="2">
        <f>VLOOKUP($A26,'Input from HR monthly'!$A$6:$AH$29,H26,TRUE)</f>
        <v>0.05</v>
      </c>
      <c r="I12" s="2">
        <f>VLOOKUP($A26,'Input from HR monthly'!$A$6:$AH$29,I26,TRUE)</f>
        <v>44550</v>
      </c>
      <c r="J12" s="2">
        <f>VLOOKUP($A26,'Input from HR monthly'!$A$6:$AH$29,J26,TRUE)</f>
        <v>1.6E-2</v>
      </c>
      <c r="K12" s="2">
        <f>VLOOKUP($A26,'Input from HR monthly'!$A$6:$AH$29,K26,TRUE)</f>
        <v>4.5999999999999999E-2</v>
      </c>
      <c r="L12" s="2">
        <f>VLOOKUP($A26,'Input from HR monthly'!$A$6:$AH$29,L26,TRUE)</f>
        <v>0</v>
      </c>
      <c r="M12" s="2">
        <f>VLOOKUP($A26,'Input from HR monthly'!$A$6:$AH$29,M26,TRUE)</f>
        <v>0</v>
      </c>
      <c r="N12" s="2">
        <f>VLOOKUP($A26,'Input from HR monthly'!$A$6:$AH$29,N26,TRUE)</f>
        <v>0</v>
      </c>
      <c r="O12" s="2">
        <f>VLOOKUP($A26,'Input from HR monthly'!$A$6:$AH$29,O26,TRUE)</f>
        <v>2.1000000000000001E-2</v>
      </c>
      <c r="P12" s="2">
        <f>VLOOKUP($A26,'Input from HR monthly'!$A$6:$AH$29,P26,TRUE)</f>
        <v>44550</v>
      </c>
      <c r="Q12" s="2">
        <f>VLOOKUP($A26,'Input from HR monthly'!$A$6:$AH$29,Q26,TRUE)</f>
        <v>2.8000000000000001E-2</v>
      </c>
      <c r="R12" s="2">
        <f>VLOOKUP($A26,'Input from HR monthly'!$A$6:$AH$29,R26,TRUE)</f>
        <v>4.4999999999999998E-2</v>
      </c>
      <c r="S12" s="2">
        <f>VLOOKUP($A26,'Input from HR monthly'!$A$6:$AH$29,S26,TRUE)</f>
        <v>0</v>
      </c>
      <c r="T12" s="2">
        <f>VLOOKUP($A26,'Input from HR monthly'!$A$6:$AH$29,T26,TRUE)</f>
        <v>0</v>
      </c>
      <c r="U12" s="2">
        <f>VLOOKUP($A26,'Input from HR monthly'!$A$6:$AH$29,U26,TRUE)</f>
        <v>0</v>
      </c>
      <c r="V12" s="2">
        <f>VLOOKUP($A26,'Input from HR monthly'!$A$6:$AH$29,V26,TRUE)</f>
        <v>7.0000000000000007E-2</v>
      </c>
      <c r="W12" s="2">
        <f>VLOOKUP($A26,'Input from HR monthly'!$A$6:$AH$29,W26,TRUE)</f>
        <v>44550</v>
      </c>
      <c r="X12" s="2">
        <f>VLOOKUP($A26,'Input from HR monthly'!$A$6:$AH$29,X26,TRUE)</f>
        <v>6.0000000000000001E-3</v>
      </c>
      <c r="Y12" s="2">
        <f>VLOOKUP($A26,'Input from HR monthly'!$A$6:$AH$29,Y26,TRUE)</f>
        <v>3.3000000000000002E-2</v>
      </c>
      <c r="Z12" s="2">
        <f>VLOOKUP($A26,'Input from HR monthly'!$A$6:$AH$29,Z26,TRUE)</f>
        <v>0</v>
      </c>
      <c r="AA12" s="2">
        <f>VLOOKUP($A26,'Input from HR monthly'!$A$6:$AH$29,AA26,TRUE)</f>
        <v>0</v>
      </c>
      <c r="AB12" s="2">
        <f>VLOOKUP($A26,'Input from HR monthly'!$A$6:$AH$29,AB26,TRUE)</f>
        <v>2.3E-2</v>
      </c>
      <c r="AC12" s="2">
        <f>VLOOKUP($A26,'Input from HR monthly'!$A$6:$AH$29,AC26,TRUE)</f>
        <v>0.12</v>
      </c>
      <c r="AD12" s="2">
        <f>VLOOKUP($A26,'Input from HR monthly'!$A$6:$AH$29,AD26,TRUE)</f>
        <v>44550</v>
      </c>
      <c r="AE12" s="2">
        <f>VLOOKUP($A26,'Input from HR monthly'!$A$6:$AH$29,AE26,TRUE)</f>
        <v>3.0000000000000001E-3</v>
      </c>
      <c r="AF12" s="2">
        <f>VLOOKUP($A26,'Input from HR monthly'!$A$6:$AH$29,AF26,TRUE)</f>
        <v>0</v>
      </c>
    </row>
    <row r="13" spans="1:32">
      <c r="A13" s="20">
        <v>10</v>
      </c>
      <c r="B13" s="24">
        <f>VLOOKUP($A27,'Input from HR monthly'!$A$6:$AH$29,B27,TRUE)</f>
        <v>44550</v>
      </c>
      <c r="C13" s="2">
        <f>VLOOKUP($A27,'Input from HR monthly'!$A$6:$AH$29,C27,TRUE)</f>
        <v>1.7999999999999999E-2</v>
      </c>
      <c r="D13" s="2">
        <f>VLOOKUP($A27,'Input from HR monthly'!$A$6:$AH$29,D27,TRUE)</f>
        <v>6.0999999999999999E-2</v>
      </c>
      <c r="E13" s="2">
        <f>VLOOKUP($A27,'Input from HR monthly'!$A$6:$AH$29,E27,TRUE)</f>
        <v>0</v>
      </c>
      <c r="F13" s="2">
        <f>VLOOKUP($A27,'Input from HR monthly'!$A$6:$AH$29,F27,TRUE)</f>
        <v>0</v>
      </c>
      <c r="G13" s="2">
        <f>VLOOKUP($A27,'Input from HR monthly'!$A$6:$AH$29,G27,TRUE)</f>
        <v>2.5999999999999999E-2</v>
      </c>
      <c r="H13" s="2">
        <f>VLOOKUP($A27,'Input from HR monthly'!$A$6:$AH$29,H27,TRUE)</f>
        <v>0.05</v>
      </c>
      <c r="I13" s="2">
        <f>VLOOKUP($A27,'Input from HR monthly'!$A$6:$AH$29,I27,TRUE)</f>
        <v>44550</v>
      </c>
      <c r="J13" s="2">
        <f>VLOOKUP($A27,'Input from HR monthly'!$A$6:$AH$29,J27,TRUE)</f>
        <v>1.6E-2</v>
      </c>
      <c r="K13" s="2">
        <f>VLOOKUP($A27,'Input from HR monthly'!$A$6:$AH$29,K27,TRUE)</f>
        <v>4.5999999999999999E-2</v>
      </c>
      <c r="L13" s="2">
        <f>VLOOKUP($A27,'Input from HR monthly'!$A$6:$AH$29,L27,TRUE)</f>
        <v>0</v>
      </c>
      <c r="M13" s="2">
        <f>VLOOKUP($A27,'Input from HR monthly'!$A$6:$AH$29,M27,TRUE)</f>
        <v>0</v>
      </c>
      <c r="N13" s="2">
        <f>VLOOKUP($A27,'Input from HR monthly'!$A$6:$AH$29,N27,TRUE)</f>
        <v>0</v>
      </c>
      <c r="O13" s="2">
        <f>VLOOKUP($A27,'Input from HR monthly'!$A$6:$AH$29,O27,TRUE)</f>
        <v>2.1000000000000001E-2</v>
      </c>
      <c r="P13" s="2">
        <f>VLOOKUP($A27,'Input from HR monthly'!$A$6:$AH$29,P27,TRUE)</f>
        <v>44550</v>
      </c>
      <c r="Q13" s="2">
        <f>VLOOKUP($A27,'Input from HR monthly'!$A$6:$AH$29,Q27,TRUE)</f>
        <v>2.8000000000000001E-2</v>
      </c>
      <c r="R13" s="2">
        <f>VLOOKUP($A27,'Input from HR monthly'!$A$6:$AH$29,R27,TRUE)</f>
        <v>4.4999999999999998E-2</v>
      </c>
      <c r="S13" s="2">
        <f>VLOOKUP($A27,'Input from HR monthly'!$A$6:$AH$29,S27,TRUE)</f>
        <v>0</v>
      </c>
      <c r="T13" s="2">
        <f>VLOOKUP($A27,'Input from HR monthly'!$A$6:$AH$29,T27,TRUE)</f>
        <v>0</v>
      </c>
      <c r="U13" s="2">
        <f>VLOOKUP($A27,'Input from HR monthly'!$A$6:$AH$29,U27,TRUE)</f>
        <v>0</v>
      </c>
      <c r="V13" s="2">
        <f>VLOOKUP($A27,'Input from HR monthly'!$A$6:$AH$29,V27,TRUE)</f>
        <v>7.0000000000000007E-2</v>
      </c>
      <c r="W13" s="2">
        <f>VLOOKUP($A27,'Input from HR monthly'!$A$6:$AH$29,W27,TRUE)</f>
        <v>44550</v>
      </c>
      <c r="X13" s="2">
        <f>VLOOKUP($A27,'Input from HR monthly'!$A$6:$AH$29,X27,TRUE)</f>
        <v>6.0000000000000001E-3</v>
      </c>
      <c r="Y13" s="2">
        <f>VLOOKUP($A27,'Input from HR monthly'!$A$6:$AH$29,Y27,TRUE)</f>
        <v>3.3000000000000002E-2</v>
      </c>
      <c r="Z13" s="2">
        <f>VLOOKUP($A27,'Input from HR monthly'!$A$6:$AH$29,Z27,TRUE)</f>
        <v>0</v>
      </c>
      <c r="AA13" s="2">
        <f>VLOOKUP($A27,'Input from HR monthly'!$A$6:$AH$29,AA27,TRUE)</f>
        <v>0</v>
      </c>
      <c r="AB13" s="2">
        <f>VLOOKUP($A27,'Input from HR monthly'!$A$6:$AH$29,AB27,TRUE)</f>
        <v>2.3E-2</v>
      </c>
      <c r="AC13" s="2">
        <f>VLOOKUP($A27,'Input from HR monthly'!$A$6:$AH$29,AC27,TRUE)</f>
        <v>0.12</v>
      </c>
      <c r="AD13" s="2">
        <f>VLOOKUP($A27,'Input from HR monthly'!$A$6:$AH$29,AD27,TRUE)</f>
        <v>44550</v>
      </c>
      <c r="AE13" s="2">
        <f>VLOOKUP($A27,'Input from HR monthly'!$A$6:$AH$29,AE27,TRUE)</f>
        <v>3.0000000000000001E-3</v>
      </c>
      <c r="AF13" s="2">
        <f>VLOOKUP($A27,'Input from HR monthly'!$A$6:$AH$29,AF27,TRUE)</f>
        <v>0</v>
      </c>
    </row>
    <row r="14" spans="1:32">
      <c r="A14" s="20">
        <v>11</v>
      </c>
      <c r="B14" s="24">
        <f>VLOOKUP($A28,'Input from HR monthly'!$A$6:$AH$29,B28,TRUE)</f>
        <v>44550</v>
      </c>
      <c r="C14" s="2">
        <f>VLOOKUP($A28,'Input from HR monthly'!$A$6:$AH$29,C28,TRUE)</f>
        <v>1.7999999999999999E-2</v>
      </c>
      <c r="D14" s="2">
        <f>VLOOKUP($A28,'Input from HR monthly'!$A$6:$AH$29,D28,TRUE)</f>
        <v>6.0999999999999999E-2</v>
      </c>
      <c r="E14" s="2">
        <f>VLOOKUP($A28,'Input from HR monthly'!$A$6:$AH$29,E28,TRUE)</f>
        <v>0</v>
      </c>
      <c r="F14" s="2">
        <f>VLOOKUP($A28,'Input from HR monthly'!$A$6:$AH$29,F28,TRUE)</f>
        <v>0</v>
      </c>
      <c r="G14" s="2">
        <f>VLOOKUP($A28,'Input from HR monthly'!$A$6:$AH$29,G28,TRUE)</f>
        <v>2.5999999999999999E-2</v>
      </c>
      <c r="H14" s="2">
        <f>VLOOKUP($A28,'Input from HR monthly'!$A$6:$AH$29,H28,TRUE)</f>
        <v>0.05</v>
      </c>
      <c r="I14" s="2">
        <f>VLOOKUP($A28,'Input from HR monthly'!$A$6:$AH$29,I28,TRUE)</f>
        <v>44550</v>
      </c>
      <c r="J14" s="2">
        <f>VLOOKUP($A28,'Input from HR monthly'!$A$6:$AH$29,J28,TRUE)</f>
        <v>1.6E-2</v>
      </c>
      <c r="K14" s="2">
        <f>VLOOKUP($A28,'Input from HR monthly'!$A$6:$AH$29,K28,TRUE)</f>
        <v>4.5999999999999999E-2</v>
      </c>
      <c r="L14" s="2">
        <f>VLOOKUP($A28,'Input from HR monthly'!$A$6:$AH$29,L28,TRUE)</f>
        <v>0</v>
      </c>
      <c r="M14" s="2">
        <f>VLOOKUP($A28,'Input from HR monthly'!$A$6:$AH$29,M28,TRUE)</f>
        <v>0</v>
      </c>
      <c r="N14" s="2">
        <f>VLOOKUP($A28,'Input from HR monthly'!$A$6:$AH$29,N28,TRUE)</f>
        <v>0</v>
      </c>
      <c r="O14" s="2">
        <f>VLOOKUP($A28,'Input from HR monthly'!$A$6:$AH$29,O28,TRUE)</f>
        <v>2.1000000000000001E-2</v>
      </c>
      <c r="P14" s="2">
        <f>VLOOKUP($A28,'Input from HR monthly'!$A$6:$AH$29,P28,TRUE)</f>
        <v>44550</v>
      </c>
      <c r="Q14" s="2">
        <f>VLOOKUP($A28,'Input from HR monthly'!$A$6:$AH$29,Q28,TRUE)</f>
        <v>2.8000000000000001E-2</v>
      </c>
      <c r="R14" s="2">
        <f>VLOOKUP($A28,'Input from HR monthly'!$A$6:$AH$29,R28,TRUE)</f>
        <v>4.4999999999999998E-2</v>
      </c>
      <c r="S14" s="2">
        <f>VLOOKUP($A28,'Input from HR monthly'!$A$6:$AH$29,S28,TRUE)</f>
        <v>0</v>
      </c>
      <c r="T14" s="2">
        <f>VLOOKUP($A28,'Input from HR monthly'!$A$6:$AH$29,T28,TRUE)</f>
        <v>0</v>
      </c>
      <c r="U14" s="2">
        <f>VLOOKUP($A28,'Input from HR monthly'!$A$6:$AH$29,U28,TRUE)</f>
        <v>0</v>
      </c>
      <c r="V14" s="2">
        <f>VLOOKUP($A28,'Input from HR monthly'!$A$6:$AH$29,V28,TRUE)</f>
        <v>7.0000000000000007E-2</v>
      </c>
      <c r="W14" s="2">
        <f>VLOOKUP($A28,'Input from HR monthly'!$A$6:$AH$29,W28,TRUE)</f>
        <v>44550</v>
      </c>
      <c r="X14" s="2">
        <f>VLOOKUP($A28,'Input from HR monthly'!$A$6:$AH$29,X28,TRUE)</f>
        <v>6.0000000000000001E-3</v>
      </c>
      <c r="Y14" s="2">
        <f>VLOOKUP($A28,'Input from HR monthly'!$A$6:$AH$29,Y28,TRUE)</f>
        <v>3.3000000000000002E-2</v>
      </c>
      <c r="Z14" s="2">
        <f>VLOOKUP($A28,'Input from HR monthly'!$A$6:$AH$29,Z28,TRUE)</f>
        <v>0</v>
      </c>
      <c r="AA14" s="2">
        <f>VLOOKUP($A28,'Input from HR monthly'!$A$6:$AH$29,AA28,TRUE)</f>
        <v>0</v>
      </c>
      <c r="AB14" s="2">
        <f>VLOOKUP($A28,'Input from HR monthly'!$A$6:$AH$29,AB28,TRUE)</f>
        <v>2.3E-2</v>
      </c>
      <c r="AC14" s="2">
        <f>VLOOKUP($A28,'Input from HR monthly'!$A$6:$AH$29,AC28,TRUE)</f>
        <v>0.12</v>
      </c>
      <c r="AD14" s="2">
        <f>VLOOKUP($A28,'Input from HR monthly'!$A$6:$AH$29,AD28,TRUE)</f>
        <v>44550</v>
      </c>
      <c r="AE14" s="2">
        <f>VLOOKUP($A28,'Input from HR monthly'!$A$6:$AH$29,AE28,TRUE)</f>
        <v>3.0000000000000001E-3</v>
      </c>
      <c r="AF14" s="2">
        <f>VLOOKUP($A28,'Input from HR monthly'!$A$6:$AH$29,AF28,TRUE)</f>
        <v>0</v>
      </c>
    </row>
    <row r="15" spans="1:32">
      <c r="A15" s="20">
        <v>12</v>
      </c>
      <c r="B15" s="24">
        <f>VLOOKUP($A29,'Input from HR monthly'!$A$6:$AH$29,B29,TRUE)</f>
        <v>44550</v>
      </c>
      <c r="C15" s="2">
        <f>VLOOKUP($A29,'Input from HR monthly'!$A$6:$AH$29,C29,TRUE)</f>
        <v>1.7999999999999999E-2</v>
      </c>
      <c r="D15" s="2">
        <f>VLOOKUP($A29,'Input from HR monthly'!$A$6:$AH$29,D29,TRUE)</f>
        <v>6.0999999999999999E-2</v>
      </c>
      <c r="E15" s="2">
        <f>VLOOKUP($A29,'Input from HR monthly'!$A$6:$AH$29,E29,TRUE)</f>
        <v>0</v>
      </c>
      <c r="F15" s="2">
        <f>VLOOKUP($A29,'Input from HR monthly'!$A$6:$AH$29,F29,TRUE)</f>
        <v>0</v>
      </c>
      <c r="G15" s="2">
        <f>VLOOKUP($A29,'Input from HR monthly'!$A$6:$AH$29,G29,TRUE)</f>
        <v>2.5999999999999999E-2</v>
      </c>
      <c r="H15" s="2">
        <f>VLOOKUP($A29,'Input from HR monthly'!$A$6:$AH$29,H29,TRUE)</f>
        <v>0.05</v>
      </c>
      <c r="I15" s="2">
        <f>VLOOKUP($A29,'Input from HR monthly'!$A$6:$AH$29,I29,TRUE)</f>
        <v>44550</v>
      </c>
      <c r="J15" s="2">
        <f>VLOOKUP($A29,'Input from HR monthly'!$A$6:$AH$29,J29,TRUE)</f>
        <v>1.6E-2</v>
      </c>
      <c r="K15" s="2">
        <f>VLOOKUP($A29,'Input from HR monthly'!$A$6:$AH$29,K29,TRUE)</f>
        <v>4.5999999999999999E-2</v>
      </c>
      <c r="L15" s="2">
        <f>VLOOKUP($A29,'Input from HR monthly'!$A$6:$AH$29,L29,TRUE)</f>
        <v>0</v>
      </c>
      <c r="M15" s="2">
        <f>VLOOKUP($A29,'Input from HR monthly'!$A$6:$AH$29,M29,TRUE)</f>
        <v>0</v>
      </c>
      <c r="N15" s="2">
        <f>VLOOKUP($A29,'Input from HR monthly'!$A$6:$AH$29,N29,TRUE)</f>
        <v>0</v>
      </c>
      <c r="O15" s="2">
        <f>VLOOKUP($A29,'Input from HR monthly'!$A$6:$AH$29,O29,TRUE)</f>
        <v>2.1000000000000001E-2</v>
      </c>
      <c r="P15" s="2">
        <f>VLOOKUP($A29,'Input from HR monthly'!$A$6:$AH$29,P29,TRUE)</f>
        <v>44550</v>
      </c>
      <c r="Q15" s="2">
        <f>VLOOKUP($A29,'Input from HR monthly'!$A$6:$AH$29,Q29,TRUE)</f>
        <v>2.8000000000000001E-2</v>
      </c>
      <c r="R15" s="2">
        <f>VLOOKUP($A29,'Input from HR monthly'!$A$6:$AH$29,R29,TRUE)</f>
        <v>4.4999999999999998E-2</v>
      </c>
      <c r="S15" s="2">
        <f>VLOOKUP($A29,'Input from HR monthly'!$A$6:$AH$29,S29,TRUE)</f>
        <v>0</v>
      </c>
      <c r="T15" s="2">
        <f>VLOOKUP($A29,'Input from HR monthly'!$A$6:$AH$29,T29,TRUE)</f>
        <v>0</v>
      </c>
      <c r="U15" s="2">
        <f>VLOOKUP($A29,'Input from HR monthly'!$A$6:$AH$29,U29,TRUE)</f>
        <v>0</v>
      </c>
      <c r="V15" s="2">
        <f>VLOOKUP($A29,'Input from HR monthly'!$A$6:$AH$29,V29,TRUE)</f>
        <v>7.0000000000000007E-2</v>
      </c>
      <c r="W15" s="2">
        <f>VLOOKUP($A29,'Input from HR monthly'!$A$6:$AH$29,W29,TRUE)</f>
        <v>44550</v>
      </c>
      <c r="X15" s="2">
        <f>VLOOKUP($A29,'Input from HR monthly'!$A$6:$AH$29,X29,TRUE)</f>
        <v>6.0000000000000001E-3</v>
      </c>
      <c r="Y15" s="2">
        <f>VLOOKUP($A29,'Input from HR monthly'!$A$6:$AH$29,Y29,TRUE)</f>
        <v>3.3000000000000002E-2</v>
      </c>
      <c r="Z15" s="2">
        <f>VLOOKUP($A29,'Input from HR monthly'!$A$6:$AH$29,Z29,TRUE)</f>
        <v>0</v>
      </c>
      <c r="AA15" s="2">
        <f>VLOOKUP($A29,'Input from HR monthly'!$A$6:$AH$29,AA29,TRUE)</f>
        <v>0</v>
      </c>
      <c r="AB15" s="2">
        <f>VLOOKUP($A29,'Input from HR monthly'!$A$6:$AH$29,AB29,TRUE)</f>
        <v>2.3E-2</v>
      </c>
      <c r="AC15" s="2">
        <f>VLOOKUP($A29,'Input from HR monthly'!$A$6:$AH$29,AC29,TRUE)</f>
        <v>0.12</v>
      </c>
      <c r="AD15" s="2">
        <f>VLOOKUP($A29,'Input from HR monthly'!$A$6:$AH$29,AD29,TRUE)</f>
        <v>44550</v>
      </c>
      <c r="AE15" s="2">
        <f>VLOOKUP($A29,'Input from HR monthly'!$A$6:$AH$29,AE29,TRUE)</f>
        <v>3.0000000000000001E-3</v>
      </c>
      <c r="AF15" s="2">
        <f>VLOOKUP($A29,'Input from HR monthly'!$A$6:$AH$29,AF29,TRUE)</f>
        <v>0</v>
      </c>
    </row>
    <row r="17" spans="1:32">
      <c r="A17" t="s">
        <v>88</v>
      </c>
    </row>
    <row r="18" spans="1:32">
      <c r="A18">
        <v>22</v>
      </c>
      <c r="B18">
        <v>2</v>
      </c>
      <c r="C18">
        <v>3</v>
      </c>
      <c r="D18">
        <v>4</v>
      </c>
      <c r="E18">
        <v>5</v>
      </c>
      <c r="F18">
        <v>6</v>
      </c>
      <c r="G18">
        <v>7</v>
      </c>
      <c r="H18">
        <v>8</v>
      </c>
      <c r="I18">
        <v>9</v>
      </c>
      <c r="J18">
        <v>10</v>
      </c>
      <c r="K18">
        <v>11</v>
      </c>
      <c r="L18">
        <v>12</v>
      </c>
      <c r="M18">
        <v>13</v>
      </c>
      <c r="N18">
        <v>14</v>
      </c>
      <c r="O18">
        <v>15</v>
      </c>
      <c r="P18">
        <v>16</v>
      </c>
      <c r="Q18">
        <v>17</v>
      </c>
      <c r="R18">
        <v>18</v>
      </c>
      <c r="S18">
        <v>19</v>
      </c>
      <c r="T18">
        <v>20</v>
      </c>
      <c r="U18">
        <v>21</v>
      </c>
      <c r="V18">
        <v>22</v>
      </c>
      <c r="W18">
        <v>23</v>
      </c>
      <c r="X18">
        <v>24</v>
      </c>
      <c r="Y18">
        <v>25</v>
      </c>
      <c r="Z18">
        <v>26</v>
      </c>
      <c r="AA18">
        <v>27</v>
      </c>
      <c r="AB18">
        <v>28</v>
      </c>
      <c r="AC18">
        <v>29</v>
      </c>
      <c r="AD18">
        <v>30</v>
      </c>
      <c r="AE18">
        <v>31</v>
      </c>
      <c r="AF18">
        <v>32</v>
      </c>
    </row>
    <row r="19" spans="1:32">
      <c r="A19">
        <f t="shared" ref="A19:A29" si="0">A18+1</f>
        <v>23</v>
      </c>
      <c r="B19">
        <v>2</v>
      </c>
      <c r="C19">
        <v>3</v>
      </c>
      <c r="D19">
        <v>4</v>
      </c>
      <c r="E19">
        <v>5</v>
      </c>
      <c r="F19">
        <v>6</v>
      </c>
      <c r="G19">
        <v>7</v>
      </c>
      <c r="H19">
        <v>8</v>
      </c>
      <c r="I19">
        <v>9</v>
      </c>
      <c r="J19">
        <v>10</v>
      </c>
      <c r="K19">
        <v>11</v>
      </c>
      <c r="L19">
        <v>12</v>
      </c>
      <c r="M19">
        <v>13</v>
      </c>
      <c r="N19">
        <v>14</v>
      </c>
      <c r="O19">
        <v>15</v>
      </c>
      <c r="P19">
        <v>16</v>
      </c>
      <c r="Q19">
        <v>17</v>
      </c>
      <c r="R19">
        <v>18</v>
      </c>
      <c r="S19">
        <v>19</v>
      </c>
      <c r="T19">
        <v>20</v>
      </c>
      <c r="U19">
        <v>21</v>
      </c>
      <c r="V19">
        <v>22</v>
      </c>
      <c r="W19">
        <v>23</v>
      </c>
      <c r="X19">
        <v>24</v>
      </c>
      <c r="Y19">
        <v>25</v>
      </c>
      <c r="Z19">
        <v>26</v>
      </c>
      <c r="AA19">
        <v>27</v>
      </c>
      <c r="AB19">
        <v>28</v>
      </c>
      <c r="AC19">
        <v>29</v>
      </c>
      <c r="AD19">
        <v>30</v>
      </c>
      <c r="AE19">
        <v>31</v>
      </c>
      <c r="AF19">
        <v>32</v>
      </c>
    </row>
    <row r="20" spans="1:32">
      <c r="A20">
        <f t="shared" si="0"/>
        <v>24</v>
      </c>
      <c r="B20">
        <v>2</v>
      </c>
      <c r="C20">
        <v>3</v>
      </c>
      <c r="D20">
        <v>4</v>
      </c>
      <c r="E20">
        <v>5</v>
      </c>
      <c r="F20">
        <v>6</v>
      </c>
      <c r="G20">
        <v>7</v>
      </c>
      <c r="H20">
        <v>8</v>
      </c>
      <c r="I20">
        <v>9</v>
      </c>
      <c r="J20">
        <v>10</v>
      </c>
      <c r="K20">
        <v>11</v>
      </c>
      <c r="L20">
        <v>12</v>
      </c>
      <c r="M20">
        <v>13</v>
      </c>
      <c r="N20">
        <v>14</v>
      </c>
      <c r="O20">
        <v>15</v>
      </c>
      <c r="P20">
        <v>16</v>
      </c>
      <c r="Q20">
        <v>17</v>
      </c>
      <c r="R20">
        <v>18</v>
      </c>
      <c r="S20">
        <v>19</v>
      </c>
      <c r="T20">
        <v>20</v>
      </c>
      <c r="U20">
        <v>21</v>
      </c>
      <c r="V20">
        <v>22</v>
      </c>
      <c r="W20">
        <v>23</v>
      </c>
      <c r="X20">
        <v>24</v>
      </c>
      <c r="Y20">
        <v>25</v>
      </c>
      <c r="Z20">
        <v>26</v>
      </c>
      <c r="AA20">
        <v>27</v>
      </c>
      <c r="AB20">
        <v>28</v>
      </c>
      <c r="AC20">
        <v>29</v>
      </c>
      <c r="AD20">
        <v>30</v>
      </c>
      <c r="AE20">
        <v>31</v>
      </c>
      <c r="AF20">
        <v>32</v>
      </c>
    </row>
    <row r="21" spans="1:32">
      <c r="A21">
        <f t="shared" si="0"/>
        <v>25</v>
      </c>
      <c r="B21">
        <v>2</v>
      </c>
      <c r="C21">
        <v>3</v>
      </c>
      <c r="D21">
        <v>4</v>
      </c>
      <c r="E21">
        <v>5</v>
      </c>
      <c r="F21">
        <v>6</v>
      </c>
      <c r="G21">
        <v>7</v>
      </c>
      <c r="H21">
        <v>8</v>
      </c>
      <c r="I21">
        <v>9</v>
      </c>
      <c r="J21">
        <v>10</v>
      </c>
      <c r="K21">
        <v>11</v>
      </c>
      <c r="L21">
        <v>12</v>
      </c>
      <c r="M21">
        <v>13</v>
      </c>
      <c r="N21">
        <v>14</v>
      </c>
      <c r="O21">
        <v>15</v>
      </c>
      <c r="P21">
        <v>16</v>
      </c>
      <c r="Q21">
        <v>17</v>
      </c>
      <c r="R21">
        <v>18</v>
      </c>
      <c r="S21">
        <v>19</v>
      </c>
      <c r="T21">
        <v>20</v>
      </c>
      <c r="U21">
        <v>21</v>
      </c>
      <c r="V21">
        <v>22</v>
      </c>
      <c r="W21">
        <v>23</v>
      </c>
      <c r="X21">
        <v>24</v>
      </c>
      <c r="Y21">
        <v>25</v>
      </c>
      <c r="Z21">
        <v>26</v>
      </c>
      <c r="AA21">
        <v>27</v>
      </c>
      <c r="AB21">
        <v>28</v>
      </c>
      <c r="AC21">
        <v>29</v>
      </c>
      <c r="AD21">
        <v>30</v>
      </c>
      <c r="AE21">
        <v>31</v>
      </c>
      <c r="AF21">
        <v>32</v>
      </c>
    </row>
    <row r="22" spans="1:32">
      <c r="A22">
        <f t="shared" si="0"/>
        <v>26</v>
      </c>
      <c r="B22">
        <v>2</v>
      </c>
      <c r="C22">
        <v>3</v>
      </c>
      <c r="D22">
        <v>4</v>
      </c>
      <c r="E22">
        <v>5</v>
      </c>
      <c r="F22">
        <v>6</v>
      </c>
      <c r="G22">
        <v>7</v>
      </c>
      <c r="H22">
        <v>8</v>
      </c>
      <c r="I22">
        <v>9</v>
      </c>
      <c r="J22">
        <v>10</v>
      </c>
      <c r="K22">
        <v>11</v>
      </c>
      <c r="L22">
        <v>12</v>
      </c>
      <c r="M22">
        <v>13</v>
      </c>
      <c r="N22">
        <v>14</v>
      </c>
      <c r="O22">
        <v>15</v>
      </c>
      <c r="P22">
        <v>16</v>
      </c>
      <c r="Q22">
        <v>17</v>
      </c>
      <c r="R22">
        <v>18</v>
      </c>
      <c r="S22">
        <v>19</v>
      </c>
      <c r="T22">
        <v>20</v>
      </c>
      <c r="U22">
        <v>21</v>
      </c>
      <c r="V22">
        <v>22</v>
      </c>
      <c r="W22">
        <v>23</v>
      </c>
      <c r="X22">
        <v>24</v>
      </c>
      <c r="Y22">
        <v>25</v>
      </c>
      <c r="Z22">
        <v>26</v>
      </c>
      <c r="AA22">
        <v>27</v>
      </c>
      <c r="AB22">
        <v>28</v>
      </c>
      <c r="AC22">
        <v>29</v>
      </c>
      <c r="AD22">
        <v>30</v>
      </c>
      <c r="AE22">
        <v>31</v>
      </c>
      <c r="AF22">
        <v>32</v>
      </c>
    </row>
    <row r="23" spans="1:32">
      <c r="A23">
        <f t="shared" si="0"/>
        <v>27</v>
      </c>
      <c r="B23">
        <v>2</v>
      </c>
      <c r="C23">
        <v>3</v>
      </c>
      <c r="D23">
        <v>4</v>
      </c>
      <c r="E23">
        <v>5</v>
      </c>
      <c r="F23">
        <v>6</v>
      </c>
      <c r="G23">
        <v>7</v>
      </c>
      <c r="H23">
        <v>8</v>
      </c>
      <c r="I23">
        <v>9</v>
      </c>
      <c r="J23">
        <v>10</v>
      </c>
      <c r="K23">
        <v>11</v>
      </c>
      <c r="L23">
        <v>12</v>
      </c>
      <c r="M23">
        <v>13</v>
      </c>
      <c r="N23">
        <v>14</v>
      </c>
      <c r="O23">
        <v>15</v>
      </c>
      <c r="P23">
        <v>16</v>
      </c>
      <c r="Q23">
        <v>17</v>
      </c>
      <c r="R23">
        <v>18</v>
      </c>
      <c r="S23">
        <v>19</v>
      </c>
      <c r="T23">
        <v>20</v>
      </c>
      <c r="U23">
        <v>21</v>
      </c>
      <c r="V23">
        <v>22</v>
      </c>
      <c r="W23">
        <v>23</v>
      </c>
      <c r="X23">
        <v>24</v>
      </c>
      <c r="Y23">
        <v>25</v>
      </c>
      <c r="Z23">
        <v>26</v>
      </c>
      <c r="AA23">
        <v>27</v>
      </c>
      <c r="AB23">
        <v>28</v>
      </c>
      <c r="AC23">
        <v>29</v>
      </c>
      <c r="AD23">
        <v>30</v>
      </c>
      <c r="AE23">
        <v>31</v>
      </c>
      <c r="AF23">
        <v>32</v>
      </c>
    </row>
    <row r="24" spans="1:32">
      <c r="A24">
        <f t="shared" si="0"/>
        <v>28</v>
      </c>
      <c r="B24">
        <v>2</v>
      </c>
      <c r="C24">
        <v>3</v>
      </c>
      <c r="D24">
        <v>4</v>
      </c>
      <c r="E24">
        <v>5</v>
      </c>
      <c r="F24">
        <v>6</v>
      </c>
      <c r="G24">
        <v>7</v>
      </c>
      <c r="H24">
        <v>8</v>
      </c>
      <c r="I24">
        <v>9</v>
      </c>
      <c r="J24">
        <v>10</v>
      </c>
      <c r="K24">
        <v>11</v>
      </c>
      <c r="L24">
        <v>12</v>
      </c>
      <c r="M24">
        <v>13</v>
      </c>
      <c r="N24">
        <v>14</v>
      </c>
      <c r="O24">
        <v>15</v>
      </c>
      <c r="P24">
        <v>16</v>
      </c>
      <c r="Q24">
        <v>17</v>
      </c>
      <c r="R24">
        <v>18</v>
      </c>
      <c r="S24">
        <v>19</v>
      </c>
      <c r="T24">
        <v>20</v>
      </c>
      <c r="U24">
        <v>21</v>
      </c>
      <c r="V24">
        <v>22</v>
      </c>
      <c r="W24">
        <v>23</v>
      </c>
      <c r="X24">
        <v>24</v>
      </c>
      <c r="Y24">
        <v>25</v>
      </c>
      <c r="Z24">
        <v>26</v>
      </c>
      <c r="AA24">
        <v>27</v>
      </c>
      <c r="AB24">
        <v>28</v>
      </c>
      <c r="AC24">
        <v>29</v>
      </c>
      <c r="AD24">
        <v>30</v>
      </c>
      <c r="AE24">
        <v>31</v>
      </c>
      <c r="AF24">
        <v>32</v>
      </c>
    </row>
    <row r="25" spans="1:32">
      <c r="A25">
        <f t="shared" si="0"/>
        <v>29</v>
      </c>
      <c r="B25">
        <v>2</v>
      </c>
      <c r="C25">
        <v>3</v>
      </c>
      <c r="D25">
        <v>4</v>
      </c>
      <c r="E25">
        <v>5</v>
      </c>
      <c r="F25">
        <v>6</v>
      </c>
      <c r="G25">
        <v>7</v>
      </c>
      <c r="H25">
        <v>8</v>
      </c>
      <c r="I25">
        <v>9</v>
      </c>
      <c r="J25">
        <v>10</v>
      </c>
      <c r="K25">
        <v>11</v>
      </c>
      <c r="L25">
        <v>12</v>
      </c>
      <c r="M25">
        <v>13</v>
      </c>
      <c r="N25">
        <v>14</v>
      </c>
      <c r="O25">
        <v>15</v>
      </c>
      <c r="P25">
        <v>16</v>
      </c>
      <c r="Q25">
        <v>17</v>
      </c>
      <c r="R25">
        <v>18</v>
      </c>
      <c r="S25">
        <v>19</v>
      </c>
      <c r="T25">
        <v>20</v>
      </c>
      <c r="U25">
        <v>21</v>
      </c>
      <c r="V25">
        <v>22</v>
      </c>
      <c r="W25">
        <v>23</v>
      </c>
      <c r="X25">
        <v>24</v>
      </c>
      <c r="Y25">
        <v>25</v>
      </c>
      <c r="Z25">
        <v>26</v>
      </c>
      <c r="AA25">
        <v>27</v>
      </c>
      <c r="AB25">
        <v>28</v>
      </c>
      <c r="AC25">
        <v>29</v>
      </c>
      <c r="AD25">
        <v>30</v>
      </c>
      <c r="AE25">
        <v>31</v>
      </c>
      <c r="AF25">
        <v>32</v>
      </c>
    </row>
    <row r="26" spans="1:32">
      <c r="A26">
        <f t="shared" si="0"/>
        <v>30</v>
      </c>
      <c r="B26">
        <v>2</v>
      </c>
      <c r="C26">
        <v>3</v>
      </c>
      <c r="D26">
        <v>4</v>
      </c>
      <c r="E26">
        <v>5</v>
      </c>
      <c r="F26">
        <v>6</v>
      </c>
      <c r="G26">
        <v>7</v>
      </c>
      <c r="H26">
        <v>8</v>
      </c>
      <c r="I26">
        <v>9</v>
      </c>
      <c r="J26">
        <v>10</v>
      </c>
      <c r="K26">
        <v>11</v>
      </c>
      <c r="L26">
        <v>12</v>
      </c>
      <c r="M26">
        <v>13</v>
      </c>
      <c r="N26">
        <v>14</v>
      </c>
      <c r="O26">
        <v>15</v>
      </c>
      <c r="P26">
        <v>16</v>
      </c>
      <c r="Q26">
        <v>17</v>
      </c>
      <c r="R26">
        <v>18</v>
      </c>
      <c r="S26">
        <v>19</v>
      </c>
      <c r="T26">
        <v>20</v>
      </c>
      <c r="U26">
        <v>21</v>
      </c>
      <c r="V26">
        <v>22</v>
      </c>
      <c r="W26">
        <v>23</v>
      </c>
      <c r="X26">
        <v>24</v>
      </c>
      <c r="Y26">
        <v>25</v>
      </c>
      <c r="Z26">
        <v>26</v>
      </c>
      <c r="AA26">
        <v>27</v>
      </c>
      <c r="AB26">
        <v>28</v>
      </c>
      <c r="AC26">
        <v>29</v>
      </c>
      <c r="AD26">
        <v>30</v>
      </c>
      <c r="AE26">
        <v>31</v>
      </c>
      <c r="AF26">
        <v>32</v>
      </c>
    </row>
    <row r="27" spans="1:32">
      <c r="A27">
        <f t="shared" si="0"/>
        <v>31</v>
      </c>
      <c r="B27">
        <v>2</v>
      </c>
      <c r="C27">
        <v>3</v>
      </c>
      <c r="D27">
        <v>4</v>
      </c>
      <c r="E27">
        <v>5</v>
      </c>
      <c r="F27">
        <v>6</v>
      </c>
      <c r="G27">
        <v>7</v>
      </c>
      <c r="H27">
        <v>8</v>
      </c>
      <c r="I27">
        <v>9</v>
      </c>
      <c r="J27">
        <v>10</v>
      </c>
      <c r="K27">
        <v>11</v>
      </c>
      <c r="L27">
        <v>12</v>
      </c>
      <c r="M27">
        <v>13</v>
      </c>
      <c r="N27">
        <v>14</v>
      </c>
      <c r="O27">
        <v>15</v>
      </c>
      <c r="P27">
        <v>16</v>
      </c>
      <c r="Q27">
        <v>17</v>
      </c>
      <c r="R27">
        <v>18</v>
      </c>
      <c r="S27">
        <v>19</v>
      </c>
      <c r="T27">
        <v>20</v>
      </c>
      <c r="U27">
        <v>21</v>
      </c>
      <c r="V27">
        <v>22</v>
      </c>
      <c r="W27">
        <v>23</v>
      </c>
      <c r="X27">
        <v>24</v>
      </c>
      <c r="Y27">
        <v>25</v>
      </c>
      <c r="Z27">
        <v>26</v>
      </c>
      <c r="AA27">
        <v>27</v>
      </c>
      <c r="AB27">
        <v>28</v>
      </c>
      <c r="AC27">
        <v>29</v>
      </c>
      <c r="AD27">
        <v>30</v>
      </c>
      <c r="AE27">
        <v>31</v>
      </c>
      <c r="AF27">
        <v>32</v>
      </c>
    </row>
    <row r="28" spans="1:32">
      <c r="A28">
        <f t="shared" si="0"/>
        <v>32</v>
      </c>
      <c r="B28">
        <v>2</v>
      </c>
      <c r="C28">
        <v>3</v>
      </c>
      <c r="D28">
        <v>4</v>
      </c>
      <c r="E28">
        <v>5</v>
      </c>
      <c r="F28">
        <v>6</v>
      </c>
      <c r="G28">
        <v>7</v>
      </c>
      <c r="H28">
        <v>8</v>
      </c>
      <c r="I28">
        <v>9</v>
      </c>
      <c r="J28">
        <v>10</v>
      </c>
      <c r="K28">
        <v>11</v>
      </c>
      <c r="L28">
        <v>12</v>
      </c>
      <c r="M28">
        <v>13</v>
      </c>
      <c r="N28">
        <v>14</v>
      </c>
      <c r="O28">
        <v>15</v>
      </c>
      <c r="P28">
        <v>16</v>
      </c>
      <c r="Q28">
        <v>17</v>
      </c>
      <c r="R28">
        <v>18</v>
      </c>
      <c r="S28">
        <v>19</v>
      </c>
      <c r="T28">
        <v>20</v>
      </c>
      <c r="U28">
        <v>21</v>
      </c>
      <c r="V28">
        <v>22</v>
      </c>
      <c r="W28">
        <v>23</v>
      </c>
      <c r="X28">
        <v>24</v>
      </c>
      <c r="Y28">
        <v>25</v>
      </c>
      <c r="Z28">
        <v>26</v>
      </c>
      <c r="AA28">
        <v>27</v>
      </c>
      <c r="AB28">
        <v>28</v>
      </c>
      <c r="AC28">
        <v>29</v>
      </c>
      <c r="AD28">
        <v>30</v>
      </c>
      <c r="AE28">
        <v>31</v>
      </c>
      <c r="AF28">
        <v>32</v>
      </c>
    </row>
    <row r="29" spans="1:32">
      <c r="A29">
        <f t="shared" si="0"/>
        <v>33</v>
      </c>
      <c r="B29">
        <v>2</v>
      </c>
      <c r="C29">
        <v>3</v>
      </c>
      <c r="D29">
        <v>4</v>
      </c>
      <c r="E29">
        <v>5</v>
      </c>
      <c r="F29">
        <v>6</v>
      </c>
      <c r="G29">
        <v>7</v>
      </c>
      <c r="H29">
        <v>8</v>
      </c>
      <c r="I29">
        <v>9</v>
      </c>
      <c r="J29">
        <v>10</v>
      </c>
      <c r="K29">
        <v>11</v>
      </c>
      <c r="L29">
        <v>12</v>
      </c>
      <c r="M29">
        <v>13</v>
      </c>
      <c r="N29">
        <v>14</v>
      </c>
      <c r="O29">
        <v>15</v>
      </c>
      <c r="P29">
        <v>16</v>
      </c>
      <c r="Q29">
        <v>17</v>
      </c>
      <c r="R29">
        <v>18</v>
      </c>
      <c r="S29">
        <v>19</v>
      </c>
      <c r="T29">
        <v>20</v>
      </c>
      <c r="U29">
        <v>21</v>
      </c>
      <c r="V29">
        <v>22</v>
      </c>
      <c r="W29">
        <v>23</v>
      </c>
      <c r="X29">
        <v>24</v>
      </c>
      <c r="Y29">
        <v>25</v>
      </c>
      <c r="Z29">
        <v>26</v>
      </c>
      <c r="AA29">
        <v>27</v>
      </c>
      <c r="AB29">
        <v>28</v>
      </c>
      <c r="AC29">
        <v>29</v>
      </c>
      <c r="AD29">
        <v>30</v>
      </c>
      <c r="AE29">
        <v>31</v>
      </c>
      <c r="AF29">
        <v>32</v>
      </c>
    </row>
  </sheetData>
  <mergeCells count="5">
    <mergeCell ref="C2:H2"/>
    <mergeCell ref="I2:N2"/>
    <mergeCell ref="O2:T2"/>
    <mergeCell ref="U2:Z2"/>
    <mergeCell ref="AA2:AF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9E129-6096-4ADE-82FB-179B258D9B2E}">
  <dimension ref="D2:R44"/>
  <sheetViews>
    <sheetView topLeftCell="A7" zoomScale="79" workbookViewId="0">
      <selection activeCell="T47" sqref="T47"/>
    </sheetView>
  </sheetViews>
  <sheetFormatPr defaultColWidth="9.28515625" defaultRowHeight="15"/>
  <sheetData>
    <row r="2" spans="4:18">
      <c r="D2" t="s">
        <v>89</v>
      </c>
      <c r="F2" t="s">
        <v>90</v>
      </c>
    </row>
    <row r="3" spans="4:18">
      <c r="E3" s="25">
        <v>44216</v>
      </c>
      <c r="F3" s="25">
        <v>44247</v>
      </c>
      <c r="G3" s="25">
        <v>44275</v>
      </c>
      <c r="H3" s="25">
        <v>44306</v>
      </c>
      <c r="I3" s="25">
        <v>44336</v>
      </c>
      <c r="J3" s="25">
        <v>44367</v>
      </c>
      <c r="K3" s="25">
        <v>44397</v>
      </c>
      <c r="L3" s="25">
        <v>44428</v>
      </c>
      <c r="M3" s="25">
        <v>44459</v>
      </c>
      <c r="N3" t="s">
        <v>91</v>
      </c>
      <c r="O3" s="25">
        <v>44520</v>
      </c>
      <c r="P3" s="25">
        <v>44550</v>
      </c>
      <c r="Q3" s="25">
        <v>44217</v>
      </c>
      <c r="R3" s="25">
        <v>44248</v>
      </c>
    </row>
    <row r="4" spans="4:18">
      <c r="D4" t="s">
        <v>42</v>
      </c>
      <c r="E4" s="2">
        <v>1.2999999999999999E-2</v>
      </c>
      <c r="F4" s="2">
        <v>2.0899999999999998E-2</v>
      </c>
      <c r="G4" s="2">
        <v>1.2500000000000001E-2</v>
      </c>
      <c r="H4" s="2">
        <v>8.0000000000000002E-3</v>
      </c>
      <c r="I4" s="2">
        <v>8.3000000000000001E-3</v>
      </c>
      <c r="J4" s="2">
        <v>0</v>
      </c>
      <c r="K4" s="2">
        <v>4.0000000000000001E-3</v>
      </c>
      <c r="L4" s="2">
        <v>4.0000000000000001E-3</v>
      </c>
      <c r="M4" s="2">
        <v>4.0000000000000001E-3</v>
      </c>
      <c r="N4" s="2">
        <v>1.2E-2</v>
      </c>
      <c r="O4" s="2">
        <v>3.15E-2</v>
      </c>
      <c r="P4" s="2">
        <v>2.1000000000000001E-2</v>
      </c>
      <c r="Q4" s="2">
        <v>2.3E-2</v>
      </c>
      <c r="R4" s="2">
        <v>2.9899999999999999E-2</v>
      </c>
    </row>
    <row r="5" spans="4:18">
      <c r="D5" t="s">
        <v>43</v>
      </c>
      <c r="E5" s="2">
        <v>1.7857142857142856E-2</v>
      </c>
      <c r="F5" s="2">
        <v>7.6169749727965181E-3</v>
      </c>
      <c r="G5" s="2">
        <v>0</v>
      </c>
      <c r="H5" s="2">
        <v>0</v>
      </c>
      <c r="I5" s="2">
        <v>0</v>
      </c>
      <c r="J5" s="2">
        <v>0</v>
      </c>
      <c r="K5" s="2">
        <v>0</v>
      </c>
      <c r="L5" s="2">
        <v>0</v>
      </c>
      <c r="M5" s="2">
        <v>0</v>
      </c>
      <c r="N5" s="2">
        <v>0</v>
      </c>
      <c r="O5" s="2">
        <v>0.02</v>
      </c>
      <c r="P5" s="2">
        <v>2.1999999999999999E-2</v>
      </c>
      <c r="Q5" s="2">
        <v>1.2999999999999999E-2</v>
      </c>
      <c r="R5" s="2">
        <v>2.1999999999999999E-2</v>
      </c>
    </row>
    <row r="6" spans="4:18">
      <c r="D6" t="s">
        <v>44</v>
      </c>
      <c r="E6" s="2">
        <v>0</v>
      </c>
      <c r="F6" s="2">
        <v>1.6E-2</v>
      </c>
      <c r="G6" s="2">
        <v>1.4E-2</v>
      </c>
      <c r="H6" s="2">
        <v>1.7000000000000001E-2</v>
      </c>
      <c r="I6" s="2">
        <v>0</v>
      </c>
      <c r="J6" s="2">
        <v>0</v>
      </c>
      <c r="K6" s="2">
        <v>0</v>
      </c>
      <c r="L6" s="2">
        <v>0</v>
      </c>
      <c r="M6" s="2">
        <v>0</v>
      </c>
      <c r="N6" s="2">
        <v>1.0999999999999999E-2</v>
      </c>
      <c r="O6" s="2">
        <v>1.0999999999999999E-2</v>
      </c>
      <c r="P6" s="2">
        <v>0</v>
      </c>
      <c r="Q6" s="2">
        <v>0</v>
      </c>
      <c r="R6" s="27">
        <v>0.02</v>
      </c>
    </row>
    <row r="7" spans="4:18">
      <c r="D7" t="s">
        <v>45</v>
      </c>
      <c r="E7" s="2">
        <v>6.7000000000000004E-2</v>
      </c>
      <c r="F7" s="2">
        <v>6.7000000000000004E-2</v>
      </c>
      <c r="G7" s="2">
        <v>8.7999999999999995E-2</v>
      </c>
      <c r="H7" s="2">
        <v>8.6999999999999994E-2</v>
      </c>
      <c r="I7" s="2">
        <v>7.6999999999999999E-2</v>
      </c>
      <c r="J7" s="2">
        <v>6.4000000000000001E-2</v>
      </c>
      <c r="K7" s="2">
        <v>5.8999999999999997E-2</v>
      </c>
      <c r="L7" s="2">
        <v>5.8999999999999997E-2</v>
      </c>
      <c r="M7" s="2">
        <v>0.05</v>
      </c>
      <c r="N7" s="2">
        <v>0.04</v>
      </c>
      <c r="O7" s="2">
        <v>3.5000000000000003E-2</v>
      </c>
      <c r="P7" s="2">
        <v>3.1E-2</v>
      </c>
      <c r="Q7" s="2">
        <v>0.03</v>
      </c>
      <c r="R7" s="2">
        <v>3.1E-2</v>
      </c>
    </row>
    <row r="8" spans="4:18">
      <c r="D8" t="s">
        <v>46</v>
      </c>
      <c r="E8" s="2">
        <v>0.02</v>
      </c>
      <c r="F8" s="2">
        <v>1.55E-2</v>
      </c>
      <c r="G8" s="2">
        <v>2.1999999999999999E-2</v>
      </c>
      <c r="H8" s="2">
        <v>2.9000000000000001E-2</v>
      </c>
      <c r="I8" s="2">
        <v>3.4599999999999999E-2</v>
      </c>
      <c r="J8" s="2">
        <v>2.7E-2</v>
      </c>
      <c r="K8" s="2">
        <v>2.1000000000000001E-2</v>
      </c>
      <c r="L8" s="2">
        <v>1.9800000000000002E-2</v>
      </c>
      <c r="M8" s="2">
        <v>3.1E-2</v>
      </c>
      <c r="N8" s="2">
        <v>2.3E-2</v>
      </c>
      <c r="O8" s="2">
        <v>1.2999999999999999E-2</v>
      </c>
      <c r="P8" s="2">
        <v>1.4999999999999999E-2</v>
      </c>
      <c r="Q8" s="2">
        <v>2.4E-2</v>
      </c>
      <c r="R8" s="2">
        <v>2.9000000000000001E-2</v>
      </c>
    </row>
    <row r="12" spans="4:18">
      <c r="D12" t="s">
        <v>92</v>
      </c>
    </row>
    <row r="13" spans="4:18" ht="15.75" thickBot="1">
      <c r="E13" s="25">
        <v>44216</v>
      </c>
      <c r="F13" s="25">
        <v>44247</v>
      </c>
      <c r="G13" s="25">
        <v>44275</v>
      </c>
      <c r="H13" s="25">
        <v>44306</v>
      </c>
      <c r="I13" s="25">
        <v>44336</v>
      </c>
      <c r="J13" s="25">
        <v>44367</v>
      </c>
      <c r="K13" s="25">
        <v>44397</v>
      </c>
      <c r="L13" s="25">
        <v>44428</v>
      </c>
      <c r="M13" s="25">
        <v>44459</v>
      </c>
      <c r="N13" t="s">
        <v>91</v>
      </c>
      <c r="O13" s="25">
        <v>44520</v>
      </c>
      <c r="P13" s="25">
        <v>44550</v>
      </c>
      <c r="Q13" s="25">
        <v>44217</v>
      </c>
      <c r="R13" s="25">
        <v>44248</v>
      </c>
    </row>
    <row r="14" spans="4:18" ht="15.75" thickBot="1">
      <c r="D14" t="s">
        <v>42</v>
      </c>
      <c r="E14" s="18">
        <v>2.5399999999999999E-2</v>
      </c>
      <c r="F14" s="2">
        <v>3.5900000000000001E-2</v>
      </c>
      <c r="G14" s="2">
        <v>2.5499999999999998E-2</v>
      </c>
      <c r="H14" s="2">
        <v>3.3000000000000002E-2</v>
      </c>
      <c r="I14" s="2">
        <v>2.6100000000000002E-2</v>
      </c>
      <c r="J14" s="2">
        <v>2.1000000000000001E-2</v>
      </c>
      <c r="K14" s="2">
        <v>2.3E-2</v>
      </c>
      <c r="L14" s="2">
        <v>2.4E-2</v>
      </c>
      <c r="M14" s="2">
        <v>2.8500000000000001E-2</v>
      </c>
      <c r="N14" s="2">
        <v>0.03</v>
      </c>
      <c r="O14" s="2">
        <v>3.9600000000000003E-2</v>
      </c>
      <c r="P14" s="5">
        <v>2.4500000000000001E-2</v>
      </c>
      <c r="Q14" s="18">
        <v>3.2000000000000001E-2</v>
      </c>
      <c r="R14" s="2">
        <v>4.2000000000000003E-2</v>
      </c>
    </row>
    <row r="15" spans="4:18" ht="15.75" thickBot="1">
      <c r="D15" t="s">
        <v>43</v>
      </c>
      <c r="E15" s="18">
        <v>1.1773831620356263E-2</v>
      </c>
      <c r="F15" s="2">
        <v>1.3442953988172508E-2</v>
      </c>
      <c r="G15" s="2">
        <v>1.6962462698288047E-2</v>
      </c>
      <c r="H15" s="2">
        <v>7.598830021409402E-3</v>
      </c>
      <c r="I15" s="2">
        <v>4.6020573903627505E-3</v>
      </c>
      <c r="J15" s="2">
        <v>1.8472368522467437E-2</v>
      </c>
      <c r="K15" s="2">
        <v>1.9262161279791055E-2</v>
      </c>
      <c r="L15" s="2">
        <v>2.0181019166884834E-2</v>
      </c>
      <c r="M15" s="2">
        <v>1.2357505508190439E-2</v>
      </c>
      <c r="N15" s="2">
        <v>0.02</v>
      </c>
      <c r="O15" s="2">
        <v>2.4E-2</v>
      </c>
      <c r="P15" s="5">
        <v>3.5000000000000003E-2</v>
      </c>
      <c r="Q15" s="18">
        <v>0.03</v>
      </c>
      <c r="R15" s="2">
        <v>4.2999999999999997E-2</v>
      </c>
    </row>
    <row r="16" spans="4:18" ht="15.75" thickBot="1">
      <c r="D16" t="s">
        <v>44</v>
      </c>
      <c r="E16" s="18">
        <v>5.2999999999999999E-2</v>
      </c>
      <c r="F16" s="2">
        <v>4.7E-2</v>
      </c>
      <c r="G16" s="2">
        <v>4.8000000000000001E-2</v>
      </c>
      <c r="H16" s="2">
        <v>3.6999999999999998E-2</v>
      </c>
      <c r="I16" s="2">
        <v>0.04</v>
      </c>
      <c r="J16" s="2">
        <v>2.9000000000000001E-2</v>
      </c>
      <c r="K16" s="2">
        <v>0</v>
      </c>
      <c r="L16" s="2">
        <v>1.9E-2</v>
      </c>
      <c r="M16" s="2">
        <v>2.9000000000000001E-2</v>
      </c>
      <c r="N16" s="2">
        <v>8.3000000000000004E-2</v>
      </c>
      <c r="O16" s="2">
        <v>8.3000000000000004E-2</v>
      </c>
      <c r="P16" s="5">
        <v>7.1999999999999995E-2</v>
      </c>
      <c r="Q16" s="18">
        <v>4.4999999999999998E-2</v>
      </c>
      <c r="R16" s="26">
        <v>7.1999999999999995E-2</v>
      </c>
    </row>
    <row r="17" spans="4:18" ht="15.75" thickBot="1">
      <c r="D17" t="s">
        <v>45</v>
      </c>
      <c r="E17" s="18">
        <v>9.0999999999999998E-2</v>
      </c>
      <c r="F17" s="2">
        <v>9.9000000000000005E-2</v>
      </c>
      <c r="G17" s="2">
        <v>9.9000000000000005E-2</v>
      </c>
      <c r="H17" s="2">
        <v>8.8999999999999996E-2</v>
      </c>
      <c r="I17" s="2">
        <v>8.5999999999999993E-2</v>
      </c>
      <c r="J17" s="2">
        <v>0.105</v>
      </c>
      <c r="K17" s="2">
        <v>9.4E-2</v>
      </c>
      <c r="L17" s="2">
        <v>9.6000000000000002E-2</v>
      </c>
      <c r="M17" s="2">
        <v>0.11</v>
      </c>
      <c r="N17" s="2">
        <v>0.107</v>
      </c>
      <c r="O17" s="2">
        <v>0.11600000000000001</v>
      </c>
      <c r="P17" s="5">
        <v>7.2999999999999995E-2</v>
      </c>
      <c r="Q17" s="18">
        <v>8.4000000000000005E-2</v>
      </c>
      <c r="R17" s="2">
        <v>0.1</v>
      </c>
    </row>
    <row r="19" spans="4:18">
      <c r="D19" t="s">
        <v>93</v>
      </c>
    </row>
    <row r="21" spans="4:18" ht="15.75" thickBot="1">
      <c r="E21" s="25">
        <v>44216</v>
      </c>
      <c r="F21" s="25">
        <v>44247</v>
      </c>
      <c r="G21" s="25">
        <v>44275</v>
      </c>
      <c r="H21" s="25">
        <v>44306</v>
      </c>
      <c r="I21" s="25">
        <v>44336</v>
      </c>
      <c r="J21" s="25">
        <v>44367</v>
      </c>
      <c r="K21" s="25">
        <v>44397</v>
      </c>
      <c r="L21" s="25">
        <v>44428</v>
      </c>
      <c r="M21" s="25">
        <v>44459</v>
      </c>
      <c r="N21" t="s">
        <v>91</v>
      </c>
      <c r="O21" s="25">
        <v>44520</v>
      </c>
      <c r="P21" s="25">
        <v>44550</v>
      </c>
      <c r="Q21" s="25">
        <v>44217</v>
      </c>
      <c r="R21" s="25">
        <v>44248</v>
      </c>
    </row>
    <row r="22" spans="4:18" ht="15.75" thickBot="1">
      <c r="D22" t="s">
        <v>42</v>
      </c>
      <c r="E22" s="17">
        <v>2.7E-2</v>
      </c>
      <c r="F22" s="3">
        <v>2.1000000000000001E-2</v>
      </c>
      <c r="G22" s="3">
        <v>3.3000000000000002E-2</v>
      </c>
      <c r="H22" s="3">
        <v>0</v>
      </c>
      <c r="I22" s="3">
        <v>0</v>
      </c>
      <c r="J22" s="3">
        <v>2.7E-2</v>
      </c>
      <c r="K22" s="3">
        <v>1.4E-2</v>
      </c>
      <c r="L22" s="3">
        <v>1.2999999999999999E-2</v>
      </c>
      <c r="M22" s="3">
        <v>8.9999999999999993E-3</v>
      </c>
      <c r="N22" s="3">
        <v>1.2E-2</v>
      </c>
      <c r="O22" s="3">
        <v>2.5000000000000001E-2</v>
      </c>
      <c r="P22" s="4">
        <v>2.1600000000000001E-2</v>
      </c>
      <c r="Q22" s="17">
        <v>1.2999999999999999E-2</v>
      </c>
      <c r="R22" s="3">
        <v>1.6E-2</v>
      </c>
    </row>
    <row r="23" spans="4:18" ht="15.75" thickBot="1">
      <c r="D23" t="s">
        <v>43</v>
      </c>
      <c r="E23" s="17">
        <v>2.1000000000000001E-2</v>
      </c>
      <c r="F23" s="3">
        <v>4.0000000000000001E-3</v>
      </c>
      <c r="G23" s="3">
        <v>2.8000000000000001E-2</v>
      </c>
      <c r="H23" s="3">
        <v>0</v>
      </c>
      <c r="I23" s="3">
        <v>1.6E-2</v>
      </c>
      <c r="J23" s="3">
        <v>4.0000000000000001E-3</v>
      </c>
      <c r="K23" s="3">
        <v>0.01</v>
      </c>
      <c r="L23" s="3">
        <v>6.0000000000000001E-3</v>
      </c>
      <c r="M23" s="3">
        <v>1.2999999999999999E-2</v>
      </c>
      <c r="N23" s="3">
        <v>1.2999999999999999E-2</v>
      </c>
      <c r="O23" s="3">
        <v>1.2E-2</v>
      </c>
      <c r="P23" s="4">
        <v>7.0000000000000001E-3</v>
      </c>
      <c r="Q23" s="17">
        <v>1.2999999999999999E-2</v>
      </c>
      <c r="R23" s="3">
        <v>0.01</v>
      </c>
    </row>
    <row r="24" spans="4:18" ht="15.75" thickBot="1">
      <c r="D24" t="s">
        <v>44</v>
      </c>
      <c r="E24" s="17">
        <v>2.1000000000000001E-2</v>
      </c>
      <c r="F24" s="3">
        <v>3.4000000000000002E-2</v>
      </c>
      <c r="G24" s="3">
        <v>0.01</v>
      </c>
      <c r="H24" s="3">
        <v>7.0000000000000001E-3</v>
      </c>
      <c r="I24" s="3">
        <v>2.1999999999999999E-2</v>
      </c>
      <c r="J24" s="3">
        <v>0</v>
      </c>
      <c r="K24" s="3">
        <v>0</v>
      </c>
      <c r="L24" s="3">
        <v>8.0000000000000002E-3</v>
      </c>
      <c r="M24" s="3">
        <v>1.0999999999999999E-2</v>
      </c>
      <c r="N24" s="3">
        <v>1.4999999999999999E-2</v>
      </c>
      <c r="O24" s="3">
        <v>1.4999999999999999E-2</v>
      </c>
      <c r="P24" s="4">
        <v>0.02</v>
      </c>
      <c r="Q24" s="17">
        <v>1.4999999999999999E-2</v>
      </c>
      <c r="R24" s="26">
        <v>6.0000000000000001E-3</v>
      </c>
    </row>
    <row r="25" spans="4:18" ht="15.75" thickBot="1">
      <c r="D25" t="s">
        <v>45</v>
      </c>
      <c r="E25" s="17">
        <v>1.7000000000000001E-2</v>
      </c>
      <c r="F25" s="3">
        <v>2.1000000000000001E-2</v>
      </c>
      <c r="G25" s="3">
        <v>0</v>
      </c>
      <c r="H25" s="3">
        <v>0</v>
      </c>
      <c r="I25" s="3">
        <v>5.0000000000000001E-3</v>
      </c>
      <c r="J25" s="3">
        <v>0</v>
      </c>
      <c r="K25" s="3">
        <v>1.2E-2</v>
      </c>
      <c r="L25" s="3">
        <v>0</v>
      </c>
      <c r="M25" s="3">
        <v>0</v>
      </c>
      <c r="N25" s="3">
        <v>7.0000000000000001E-3</v>
      </c>
      <c r="O25" s="3">
        <v>1.9E-2</v>
      </c>
      <c r="P25" s="4">
        <v>6.0000000000000001E-3</v>
      </c>
      <c r="Q25" s="17">
        <v>2E-3</v>
      </c>
      <c r="R25" s="3">
        <v>0</v>
      </c>
    </row>
    <row r="26" spans="4:18" ht="15.75" thickBot="1">
      <c r="D26" t="s">
        <v>46</v>
      </c>
      <c r="E26" s="17">
        <v>1.44E-2</v>
      </c>
      <c r="F26" s="3">
        <v>1.2200000000000001E-2</v>
      </c>
      <c r="G26" s="3">
        <v>5.0000000000000001E-3</v>
      </c>
      <c r="H26" s="3">
        <v>1.9E-2</v>
      </c>
      <c r="I26" s="3">
        <v>2.9999999999999997E-4</v>
      </c>
      <c r="J26" s="3">
        <v>3.0000000000000001E-3</v>
      </c>
      <c r="K26" s="3">
        <v>3.3999999999999998E-3</v>
      </c>
      <c r="L26" s="3">
        <v>3.8E-3</v>
      </c>
      <c r="M26" s="3">
        <v>0</v>
      </c>
      <c r="N26" s="3">
        <v>0</v>
      </c>
      <c r="O26" s="3">
        <v>6.0000000000000001E-3</v>
      </c>
      <c r="P26" s="4">
        <v>6.0000000000000001E-3</v>
      </c>
      <c r="Q26" s="17">
        <v>8.0000000000000002E-3</v>
      </c>
      <c r="R26" s="3">
        <v>7.0000000000000001E-3</v>
      </c>
    </row>
    <row r="29" spans="4:18">
      <c r="D29" t="s">
        <v>94</v>
      </c>
    </row>
    <row r="31" spans="4:18" ht="15.75" thickBot="1">
      <c r="E31" s="25">
        <v>44216</v>
      </c>
      <c r="F31" s="25">
        <v>44247</v>
      </c>
      <c r="G31" s="25">
        <v>44275</v>
      </c>
      <c r="H31" s="25">
        <v>44306</v>
      </c>
      <c r="I31" s="25">
        <v>44336</v>
      </c>
      <c r="J31" s="25">
        <v>44367</v>
      </c>
      <c r="K31" s="25">
        <v>44397</v>
      </c>
      <c r="L31" s="25">
        <v>44428</v>
      </c>
      <c r="M31" s="25">
        <v>44459</v>
      </c>
      <c r="N31" t="s">
        <v>91</v>
      </c>
      <c r="O31" s="25">
        <v>44520</v>
      </c>
      <c r="P31" s="25">
        <v>44550</v>
      </c>
      <c r="Q31" s="25">
        <v>44217</v>
      </c>
      <c r="R31" s="25">
        <v>44248</v>
      </c>
    </row>
    <row r="32" spans="4:18" ht="15.75" thickBot="1">
      <c r="D32" t="s">
        <v>42</v>
      </c>
      <c r="E32" s="18">
        <v>5.1200000000000002E-2</v>
      </c>
      <c r="F32" s="2">
        <v>5.3999999999999999E-2</v>
      </c>
      <c r="G32" s="2">
        <v>9.0999999999999998E-2</v>
      </c>
      <c r="H32" s="2">
        <v>3.2000000000000001E-2</v>
      </c>
      <c r="I32" s="2">
        <v>0.03</v>
      </c>
      <c r="J32" s="2">
        <v>5.2999999999999999E-2</v>
      </c>
      <c r="K32" s="2">
        <v>2.9000000000000001E-2</v>
      </c>
      <c r="L32" s="2">
        <v>2.9000000000000001E-2</v>
      </c>
      <c r="M32" s="2">
        <v>4.3499999999999997E-2</v>
      </c>
      <c r="N32" s="2">
        <v>6.7000000000000004E-2</v>
      </c>
      <c r="O32" s="2">
        <v>6.0999999999999999E-2</v>
      </c>
      <c r="P32" s="5">
        <v>6.7400000000000002E-2</v>
      </c>
      <c r="Q32" s="18">
        <v>6.9000000000000006E-2</v>
      </c>
      <c r="R32" s="2">
        <v>6.9599999999999995E-2</v>
      </c>
    </row>
    <row r="33" spans="4:18" ht="15.75" thickBot="1">
      <c r="D33" t="s">
        <v>43</v>
      </c>
      <c r="E33" s="18">
        <v>3.4689048765420123E-2</v>
      </c>
      <c r="F33" s="2">
        <v>5.2230751478436539E-2</v>
      </c>
      <c r="G33" s="2">
        <v>6.0783641865432503E-2</v>
      </c>
      <c r="H33" s="2">
        <v>1.0149620972264926E-2</v>
      </c>
      <c r="I33" s="2">
        <v>4.4812687049764585E-2</v>
      </c>
      <c r="J33" s="2">
        <v>5.8548786973355214E-2</v>
      </c>
      <c r="K33" s="2">
        <v>1.4741959949170493E-2</v>
      </c>
      <c r="L33" s="2">
        <v>5.1673728328915029E-2</v>
      </c>
      <c r="M33" s="2">
        <v>4.1546213496438868E-2</v>
      </c>
      <c r="N33" s="2">
        <v>4.7E-2</v>
      </c>
      <c r="O33" s="2">
        <v>0.08</v>
      </c>
      <c r="P33" s="5">
        <v>3.7999999999999999E-2</v>
      </c>
      <c r="Q33" s="18">
        <v>0.06</v>
      </c>
      <c r="R33" s="2">
        <v>4.8000000000000001E-2</v>
      </c>
    </row>
    <row r="34" spans="4:18" ht="15.75" thickBot="1">
      <c r="D34" t="s">
        <v>44</v>
      </c>
      <c r="E34" s="18">
        <v>4.2999999999999997E-2</v>
      </c>
      <c r="F34" s="2">
        <v>5.5E-2</v>
      </c>
      <c r="G34" s="2">
        <v>5.8999999999999997E-2</v>
      </c>
      <c r="H34" s="2">
        <v>1.7999999999999999E-2</v>
      </c>
      <c r="I34" s="2">
        <v>2.8000000000000001E-2</v>
      </c>
      <c r="J34" s="2">
        <v>8.9999999999999993E-3</v>
      </c>
      <c r="K34" s="2">
        <v>0</v>
      </c>
      <c r="L34" s="2">
        <v>3.4000000000000002E-2</v>
      </c>
      <c r="M34" s="2">
        <v>6.9000000000000006E-2</v>
      </c>
      <c r="N34" s="2">
        <v>0.104</v>
      </c>
      <c r="O34" s="2">
        <v>0.104</v>
      </c>
      <c r="P34" s="5">
        <v>1.9E-2</v>
      </c>
      <c r="Q34" s="18">
        <v>0.04</v>
      </c>
      <c r="R34" s="26">
        <v>3.7999999999999999E-2</v>
      </c>
    </row>
    <row r="35" spans="4:18" ht="15.75" thickBot="1">
      <c r="D35" t="s">
        <v>45</v>
      </c>
      <c r="E35" s="18">
        <v>3.4000000000000002E-2</v>
      </c>
      <c r="F35" s="2">
        <v>6.4000000000000001E-2</v>
      </c>
      <c r="G35" s="2">
        <v>6.7000000000000004E-2</v>
      </c>
      <c r="H35" s="2">
        <v>1.2E-2</v>
      </c>
      <c r="I35" s="2">
        <v>3.2000000000000001E-2</v>
      </c>
      <c r="J35" s="2">
        <v>4.1000000000000002E-2</v>
      </c>
      <c r="K35" s="2">
        <v>3.2000000000000001E-2</v>
      </c>
      <c r="L35" s="2">
        <v>2.7E-2</v>
      </c>
      <c r="M35" s="2">
        <v>4.2000000000000003E-2</v>
      </c>
      <c r="N35" s="2">
        <v>5.0999999999999997E-2</v>
      </c>
      <c r="O35" s="2">
        <v>3.3000000000000002E-2</v>
      </c>
      <c r="P35" s="5">
        <v>0.02</v>
      </c>
      <c r="Q35" s="18">
        <v>4.2000000000000003E-2</v>
      </c>
      <c r="R35" s="2">
        <v>3.3000000000000002E-2</v>
      </c>
    </row>
    <row r="39" spans="4:18">
      <c r="D39" t="s">
        <v>95</v>
      </c>
      <c r="E39" s="25">
        <v>80741</v>
      </c>
      <c r="F39" s="25">
        <v>80772</v>
      </c>
      <c r="G39" s="25">
        <v>80800</v>
      </c>
      <c r="H39" s="25">
        <v>80831</v>
      </c>
      <c r="I39" s="25">
        <v>80861</v>
      </c>
      <c r="J39" s="25">
        <v>80892</v>
      </c>
      <c r="K39" s="25">
        <v>80922</v>
      </c>
      <c r="L39" s="25">
        <v>80953</v>
      </c>
      <c r="M39" s="25">
        <v>80984</v>
      </c>
      <c r="N39" t="s">
        <v>96</v>
      </c>
      <c r="O39" s="25">
        <v>81045</v>
      </c>
      <c r="P39" s="25">
        <v>81075</v>
      </c>
    </row>
    <row r="40" spans="4:18">
      <c r="D40" t="s">
        <v>42</v>
      </c>
      <c r="E40">
        <v>382.9</v>
      </c>
      <c r="F40">
        <v>405.6</v>
      </c>
    </row>
    <row r="41" spans="4:18">
      <c r="D41" t="s">
        <v>43</v>
      </c>
      <c r="E41">
        <v>311</v>
      </c>
      <c r="F41">
        <v>306</v>
      </c>
    </row>
    <row r="42" spans="4:18">
      <c r="D42" t="s">
        <v>44</v>
      </c>
      <c r="E42">
        <v>110</v>
      </c>
      <c r="F42">
        <v>116</v>
      </c>
    </row>
    <row r="43" spans="4:18">
      <c r="D43" t="s">
        <v>45</v>
      </c>
      <c r="E43">
        <v>274</v>
      </c>
      <c r="F43">
        <v>267</v>
      </c>
    </row>
    <row r="44" spans="4:18">
      <c r="D44" t="s">
        <v>46</v>
      </c>
      <c r="E44">
        <v>94</v>
      </c>
      <c r="F44">
        <v>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C24BD-1DE5-4025-87D2-8D612A6D0DC2}">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6FF33"/>
  </sheetPr>
  <dimension ref="A1:AX88"/>
  <sheetViews>
    <sheetView tabSelected="1" topLeftCell="A59" zoomScale="90" zoomScaleNormal="90" workbookViewId="0">
      <selection activeCell="A70" sqref="A70"/>
    </sheetView>
  </sheetViews>
  <sheetFormatPr defaultColWidth="9.28515625" defaultRowHeight="15"/>
  <cols>
    <col min="1" max="1" width="9.28515625" customWidth="1"/>
    <col min="2" max="2" width="7.85546875" style="33" customWidth="1"/>
    <col min="3" max="3" width="7" bestFit="1" customWidth="1"/>
    <col min="4" max="4" width="6.5703125" bestFit="1" customWidth="1"/>
    <col min="5" max="5" width="9" bestFit="1" customWidth="1"/>
    <col min="6" max="6" width="9" customWidth="1"/>
    <col min="7" max="7" width="6.7109375" bestFit="1" customWidth="1"/>
    <col min="8" max="8" width="6.7109375" customWidth="1"/>
    <col min="9" max="9" width="7.7109375" customWidth="1"/>
    <col min="10" max="10" width="7" bestFit="1" customWidth="1"/>
    <col min="11" max="11" width="6.5703125" bestFit="1" customWidth="1"/>
    <col min="12" max="12" width="9" bestFit="1" customWidth="1"/>
    <col min="13" max="13" width="9" customWidth="1"/>
    <col min="14" max="14" width="7.42578125" bestFit="1" customWidth="1"/>
    <col min="15" max="15" width="6" bestFit="1" customWidth="1"/>
    <col min="16" max="16" width="7.42578125" bestFit="1" customWidth="1"/>
    <col min="17" max="18" width="7" bestFit="1" customWidth="1"/>
    <col min="19" max="19" width="8.5703125" bestFit="1" customWidth="1"/>
    <col min="20" max="20" width="9" customWidth="1"/>
    <col min="21" max="22" width="7" bestFit="1" customWidth="1"/>
    <col min="23" max="23" width="9" customWidth="1"/>
    <col min="24" max="24" width="7.5703125" bestFit="1" customWidth="1"/>
    <col min="25" max="25" width="8.5703125" bestFit="1" customWidth="1"/>
    <col min="26" max="26" width="9" bestFit="1" customWidth="1"/>
    <col min="27" max="27" width="9" customWidth="1"/>
    <col min="28" max="28" width="7.5703125" bestFit="1" customWidth="1"/>
    <col min="29" max="29" width="8.5703125" bestFit="1" customWidth="1"/>
    <col min="30" max="30" width="7.7109375" customWidth="1"/>
    <col min="31" max="31" width="6.28515625" bestFit="1" customWidth="1"/>
    <col min="32" max="32" width="9" bestFit="1" customWidth="1"/>
    <col min="33" max="33" width="9" customWidth="1"/>
    <col min="34" max="42" width="9.28515625" customWidth="1"/>
  </cols>
  <sheetData>
    <row r="1" spans="1:48">
      <c r="A1" s="180" t="s">
        <v>0</v>
      </c>
      <c r="B1" s="180"/>
      <c r="C1" s="180"/>
      <c r="D1" s="180"/>
      <c r="E1" s="180"/>
      <c r="F1" s="180"/>
      <c r="G1" s="180"/>
      <c r="H1" s="180"/>
      <c r="I1" s="180"/>
      <c r="J1" s="180"/>
    </row>
    <row r="2" spans="1:48">
      <c r="A2" s="181" t="s">
        <v>1</v>
      </c>
      <c r="B2" s="181"/>
      <c r="C2" s="181"/>
      <c r="D2" s="181"/>
      <c r="E2" s="181"/>
      <c r="F2" s="181"/>
      <c r="G2" s="181"/>
      <c r="H2" s="181"/>
      <c r="I2" s="181"/>
      <c r="J2" s="181"/>
    </row>
    <row r="3" spans="1:48" ht="15.75" hidden="1" thickBot="1">
      <c r="N3" t="s">
        <v>2</v>
      </c>
    </row>
    <row r="4" spans="1:48" s="82" customFormat="1" ht="15.75" thickBot="1">
      <c r="B4" s="182" t="s">
        <v>3</v>
      </c>
      <c r="C4" s="183"/>
      <c r="D4" s="183"/>
      <c r="E4" s="183"/>
      <c r="F4" s="183"/>
      <c r="G4" s="183"/>
      <c r="H4" s="183"/>
      <c r="I4" s="184" t="s">
        <v>4</v>
      </c>
      <c r="J4" s="183"/>
      <c r="K4" s="183"/>
      <c r="L4" s="183"/>
      <c r="M4" s="183"/>
      <c r="N4" s="183"/>
      <c r="O4" s="185"/>
      <c r="P4" s="186" t="s">
        <v>5</v>
      </c>
      <c r="Q4" s="187"/>
      <c r="R4" s="187"/>
      <c r="S4" s="187"/>
      <c r="T4" s="187"/>
      <c r="U4" s="187"/>
      <c r="V4" s="188"/>
      <c r="W4" s="168" t="s">
        <v>6</v>
      </c>
      <c r="X4" s="169"/>
      <c r="Y4" s="169"/>
      <c r="Z4" s="169"/>
      <c r="AA4" s="169"/>
      <c r="AB4" s="169"/>
      <c r="AC4" s="170"/>
      <c r="AD4" s="171" t="s">
        <v>7</v>
      </c>
      <c r="AE4" s="172"/>
      <c r="AF4" s="172"/>
      <c r="AG4" s="172"/>
      <c r="AH4" s="173"/>
      <c r="AI4" s="174" t="s">
        <v>8</v>
      </c>
      <c r="AJ4" s="175"/>
      <c r="AK4" s="175"/>
      <c r="AL4" s="175"/>
      <c r="AM4" s="175"/>
      <c r="AN4" s="175"/>
      <c r="AO4" s="176"/>
      <c r="AP4" s="177" t="s">
        <v>9</v>
      </c>
      <c r="AQ4" s="178"/>
      <c r="AR4" s="178"/>
      <c r="AS4" s="178"/>
      <c r="AT4" s="178"/>
      <c r="AU4" s="178"/>
      <c r="AV4" s="179"/>
    </row>
    <row r="5" spans="1:48" s="82" customFormat="1" ht="15.75" thickBot="1">
      <c r="A5" s="83" t="s">
        <v>10</v>
      </c>
      <c r="B5" s="84" t="s">
        <v>11</v>
      </c>
      <c r="C5" s="85" t="s">
        <v>12</v>
      </c>
      <c r="D5" s="86" t="s">
        <v>13</v>
      </c>
      <c r="E5" s="86" t="s">
        <v>14</v>
      </c>
      <c r="F5" s="86" t="s">
        <v>15</v>
      </c>
      <c r="G5" s="86" t="s">
        <v>16</v>
      </c>
      <c r="H5" s="86" t="s">
        <v>17</v>
      </c>
      <c r="I5" s="84" t="s">
        <v>11</v>
      </c>
      <c r="J5" s="87" t="s">
        <v>12</v>
      </c>
      <c r="K5" s="86" t="s">
        <v>13</v>
      </c>
      <c r="L5" s="86" t="s">
        <v>14</v>
      </c>
      <c r="M5" s="86" t="s">
        <v>15</v>
      </c>
      <c r="N5" s="86" t="s">
        <v>16</v>
      </c>
      <c r="O5" s="86" t="s">
        <v>17</v>
      </c>
      <c r="P5" s="84" t="s">
        <v>11</v>
      </c>
      <c r="Q5" s="87" t="s">
        <v>12</v>
      </c>
      <c r="R5" s="86" t="s">
        <v>13</v>
      </c>
      <c r="S5" s="86" t="s">
        <v>14</v>
      </c>
      <c r="T5" s="86" t="s">
        <v>15</v>
      </c>
      <c r="U5" s="86" t="s">
        <v>16</v>
      </c>
      <c r="V5" s="86" t="s">
        <v>17</v>
      </c>
      <c r="W5" s="84" t="s">
        <v>11</v>
      </c>
      <c r="X5" s="87" t="s">
        <v>12</v>
      </c>
      <c r="Y5" s="86" t="s">
        <v>13</v>
      </c>
      <c r="Z5" s="86" t="s">
        <v>14</v>
      </c>
      <c r="AA5" s="86" t="s">
        <v>15</v>
      </c>
      <c r="AB5" s="86" t="s">
        <v>16</v>
      </c>
      <c r="AC5" s="86" t="s">
        <v>17</v>
      </c>
      <c r="AD5" s="84" t="s">
        <v>11</v>
      </c>
      <c r="AE5" s="88" t="s">
        <v>12</v>
      </c>
      <c r="AF5" s="86" t="s">
        <v>14</v>
      </c>
      <c r="AG5" s="86" t="s">
        <v>15</v>
      </c>
      <c r="AH5" s="86" t="s">
        <v>16</v>
      </c>
      <c r="AI5" s="84" t="s">
        <v>11</v>
      </c>
      <c r="AJ5" s="88" t="s">
        <v>12</v>
      </c>
      <c r="AK5" s="86" t="s">
        <v>13</v>
      </c>
      <c r="AL5" s="86" t="s">
        <v>14</v>
      </c>
      <c r="AM5" s="86" t="s">
        <v>15</v>
      </c>
      <c r="AN5" s="86" t="s">
        <v>16</v>
      </c>
      <c r="AO5" s="86" t="s">
        <v>17</v>
      </c>
      <c r="AP5" s="84" t="s">
        <v>11</v>
      </c>
      <c r="AQ5" s="88" t="s">
        <v>12</v>
      </c>
      <c r="AR5" s="86" t="s">
        <v>13</v>
      </c>
      <c r="AS5" s="86" t="s">
        <v>14</v>
      </c>
      <c r="AT5" s="155" t="s">
        <v>15</v>
      </c>
      <c r="AU5" s="86" t="s">
        <v>16</v>
      </c>
      <c r="AV5" s="105" t="s">
        <v>17</v>
      </c>
    </row>
    <row r="6" spans="1:48" ht="15.75" hidden="1" thickBot="1">
      <c r="A6" s="20">
        <v>1</v>
      </c>
      <c r="B6" s="76">
        <v>43850</v>
      </c>
      <c r="C6" s="72">
        <v>2.7E-2</v>
      </c>
      <c r="D6" s="18">
        <v>5.1200000000000002E-2</v>
      </c>
      <c r="E6" s="18"/>
      <c r="F6" s="18"/>
      <c r="G6" s="18">
        <v>1.2999999999999999E-2</v>
      </c>
      <c r="H6" s="18">
        <v>2.5399999999999999E-2</v>
      </c>
      <c r="I6" s="76">
        <v>43850</v>
      </c>
      <c r="J6" s="17">
        <v>2.1000000000000001E-2</v>
      </c>
      <c r="K6" s="18">
        <v>3.4689048765420123E-2</v>
      </c>
      <c r="L6" s="18"/>
      <c r="M6" s="18"/>
      <c r="N6" s="18">
        <v>1.7857142857142856E-2</v>
      </c>
      <c r="O6" s="18">
        <v>1.1773831620356263E-2</v>
      </c>
      <c r="P6" s="76">
        <v>43850</v>
      </c>
      <c r="Q6" s="17">
        <v>2.1000000000000001E-2</v>
      </c>
      <c r="R6" s="18">
        <v>4.2999999999999997E-2</v>
      </c>
      <c r="S6" s="18"/>
      <c r="T6" s="18"/>
      <c r="U6" s="18">
        <v>0</v>
      </c>
      <c r="V6" s="18">
        <v>5.2999999999999999E-2</v>
      </c>
      <c r="W6" s="76">
        <v>43850</v>
      </c>
      <c r="X6" s="17">
        <v>1.7000000000000001E-2</v>
      </c>
      <c r="Y6" s="18">
        <v>3.4000000000000002E-2</v>
      </c>
      <c r="Z6" s="18"/>
      <c r="AA6" s="18"/>
      <c r="AB6" s="18">
        <v>6.7000000000000004E-2</v>
      </c>
      <c r="AC6" s="18">
        <v>9.0999999999999998E-2</v>
      </c>
      <c r="AD6" s="76">
        <v>43850</v>
      </c>
      <c r="AE6" s="17">
        <v>1.44E-2</v>
      </c>
      <c r="AF6" s="18"/>
      <c r="AG6" s="18"/>
      <c r="AH6" s="18">
        <v>0.02</v>
      </c>
      <c r="AI6" s="76">
        <v>43850</v>
      </c>
      <c r="AJ6" s="89"/>
      <c r="AK6" s="62"/>
      <c r="AL6" s="62"/>
      <c r="AM6" s="62"/>
      <c r="AN6" s="62"/>
      <c r="AO6" s="62"/>
      <c r="AP6" s="76">
        <v>43850</v>
      </c>
      <c r="AQ6" s="17">
        <v>2.5600000000000001E-2</v>
      </c>
      <c r="AR6" s="18"/>
      <c r="AS6" s="18"/>
      <c r="AT6" s="18"/>
      <c r="AU6" s="18">
        <v>3.1199999999999999E-2</v>
      </c>
      <c r="AV6" s="106"/>
    </row>
    <row r="7" spans="1:48" ht="15.75" hidden="1" thickBot="1">
      <c r="A7" s="20">
        <v>2</v>
      </c>
      <c r="B7" s="77">
        <v>43881</v>
      </c>
      <c r="C7" s="56">
        <v>2.1000000000000001E-2</v>
      </c>
      <c r="D7" s="2">
        <v>5.3999999999999999E-2</v>
      </c>
      <c r="E7" s="2"/>
      <c r="F7" s="2"/>
      <c r="G7" s="2">
        <v>2.0899999999999998E-2</v>
      </c>
      <c r="H7" s="2">
        <v>3.5900000000000001E-2</v>
      </c>
      <c r="I7" s="77">
        <v>43881</v>
      </c>
      <c r="J7" s="3">
        <v>4.0000000000000001E-3</v>
      </c>
      <c r="K7" s="2">
        <v>5.2230751478436539E-2</v>
      </c>
      <c r="L7" s="2"/>
      <c r="M7" s="2"/>
      <c r="N7" s="2">
        <v>7.6169749727965181E-3</v>
      </c>
      <c r="O7" s="2">
        <v>1.3442953988172508E-2</v>
      </c>
      <c r="P7" s="77">
        <v>43881</v>
      </c>
      <c r="Q7" s="3">
        <v>3.4000000000000002E-2</v>
      </c>
      <c r="R7" s="2">
        <v>5.5E-2</v>
      </c>
      <c r="S7" s="2"/>
      <c r="T7" s="2"/>
      <c r="U7" s="2">
        <v>1.6E-2</v>
      </c>
      <c r="V7" s="2">
        <v>4.7E-2</v>
      </c>
      <c r="W7" s="77">
        <v>43881</v>
      </c>
      <c r="X7" s="3">
        <v>2.1000000000000001E-2</v>
      </c>
      <c r="Y7" s="2">
        <v>6.4000000000000001E-2</v>
      </c>
      <c r="Z7" s="2"/>
      <c r="AA7" s="2"/>
      <c r="AB7" s="2">
        <v>6.7000000000000004E-2</v>
      </c>
      <c r="AC7" s="2">
        <v>9.9000000000000005E-2</v>
      </c>
      <c r="AD7" s="77">
        <v>43881</v>
      </c>
      <c r="AE7" s="3">
        <v>1.2200000000000001E-2</v>
      </c>
      <c r="AF7" s="2"/>
      <c r="AG7" s="2"/>
      <c r="AH7" s="2">
        <v>1.55E-2</v>
      </c>
      <c r="AI7" s="77">
        <v>43881</v>
      </c>
      <c r="AJ7" s="3"/>
      <c r="AK7" s="2"/>
      <c r="AL7" s="2"/>
      <c r="AM7" s="2"/>
      <c r="AN7" s="2"/>
      <c r="AO7" s="2"/>
      <c r="AP7" s="77">
        <v>43881</v>
      </c>
      <c r="AQ7" s="3">
        <v>1.8800000000000001E-2</v>
      </c>
      <c r="AR7" s="2"/>
      <c r="AS7" s="2"/>
      <c r="AT7" s="2"/>
      <c r="AU7" s="2">
        <v>2.2100000000000002E-2</v>
      </c>
      <c r="AV7" s="107"/>
    </row>
    <row r="8" spans="1:48" ht="15.75" hidden="1" thickBot="1">
      <c r="A8" s="20">
        <v>3</v>
      </c>
      <c r="B8" s="77">
        <v>43910</v>
      </c>
      <c r="C8" s="56">
        <v>3.3000000000000002E-2</v>
      </c>
      <c r="D8" s="2">
        <v>9.0999999999999998E-2</v>
      </c>
      <c r="E8" s="2"/>
      <c r="F8" s="2"/>
      <c r="G8" s="2">
        <v>1.2500000000000001E-2</v>
      </c>
      <c r="H8" s="2">
        <v>2.5499999999999998E-2</v>
      </c>
      <c r="I8" s="77">
        <v>43910</v>
      </c>
      <c r="J8" s="3">
        <v>2.8000000000000001E-2</v>
      </c>
      <c r="K8" s="2">
        <v>6.0783641865432503E-2</v>
      </c>
      <c r="L8" s="2"/>
      <c r="M8" s="2"/>
      <c r="N8" s="2">
        <v>0</v>
      </c>
      <c r="O8" s="2">
        <v>1.6962462698288047E-2</v>
      </c>
      <c r="P8" s="77">
        <v>43910</v>
      </c>
      <c r="Q8" s="3">
        <v>0.01</v>
      </c>
      <c r="R8" s="2">
        <v>5.8999999999999997E-2</v>
      </c>
      <c r="S8" s="2"/>
      <c r="T8" s="2"/>
      <c r="U8" s="2">
        <v>1.4E-2</v>
      </c>
      <c r="V8" s="2">
        <v>4.8000000000000001E-2</v>
      </c>
      <c r="W8" s="77">
        <v>43910</v>
      </c>
      <c r="X8" s="3">
        <v>0</v>
      </c>
      <c r="Y8" s="2">
        <v>6.7000000000000004E-2</v>
      </c>
      <c r="Z8" s="2"/>
      <c r="AA8" s="2"/>
      <c r="AB8" s="2">
        <v>8.7999999999999995E-2</v>
      </c>
      <c r="AC8" s="2">
        <v>9.9000000000000005E-2</v>
      </c>
      <c r="AD8" s="77">
        <v>43910</v>
      </c>
      <c r="AE8" s="3">
        <v>5.0000000000000001E-3</v>
      </c>
      <c r="AF8" s="2"/>
      <c r="AG8" s="2"/>
      <c r="AH8" s="2">
        <v>2.1999999999999999E-2</v>
      </c>
      <c r="AI8" s="77">
        <v>43910</v>
      </c>
      <c r="AJ8" s="3"/>
      <c r="AK8" s="2"/>
      <c r="AL8" s="2"/>
      <c r="AM8" s="2"/>
      <c r="AN8" s="2"/>
      <c r="AO8" s="2"/>
      <c r="AP8" s="77">
        <v>43910</v>
      </c>
      <c r="AQ8" s="3">
        <v>3.9E-2</v>
      </c>
      <c r="AR8" s="2"/>
      <c r="AS8" s="2"/>
      <c r="AT8" s="2"/>
      <c r="AU8" s="2">
        <v>5.6000000000000001E-2</v>
      </c>
      <c r="AV8" s="107"/>
    </row>
    <row r="9" spans="1:48" ht="15.75" hidden="1" thickBot="1">
      <c r="A9" s="20">
        <v>4</v>
      </c>
      <c r="B9" s="77">
        <v>43941</v>
      </c>
      <c r="C9" s="56">
        <v>0</v>
      </c>
      <c r="D9" s="2">
        <v>3.2000000000000001E-2</v>
      </c>
      <c r="E9" s="2"/>
      <c r="F9" s="2"/>
      <c r="G9" s="2">
        <v>8.0000000000000002E-3</v>
      </c>
      <c r="H9" s="2">
        <v>3.3000000000000002E-2</v>
      </c>
      <c r="I9" s="77">
        <v>43941</v>
      </c>
      <c r="J9" s="3">
        <v>0</v>
      </c>
      <c r="K9" s="2">
        <v>1.0149620972264926E-2</v>
      </c>
      <c r="L9" s="2"/>
      <c r="M9" s="2"/>
      <c r="N9" s="2">
        <v>0</v>
      </c>
      <c r="O9" s="2">
        <v>7.598830021409402E-3</v>
      </c>
      <c r="P9" s="77">
        <v>43941</v>
      </c>
      <c r="Q9" s="3">
        <v>7.0000000000000001E-3</v>
      </c>
      <c r="R9" s="2">
        <v>1.7999999999999999E-2</v>
      </c>
      <c r="S9" s="2"/>
      <c r="T9" s="2"/>
      <c r="U9" s="2">
        <v>1.7000000000000001E-2</v>
      </c>
      <c r="V9" s="2">
        <v>3.6999999999999998E-2</v>
      </c>
      <c r="W9" s="77">
        <v>43941</v>
      </c>
      <c r="X9" s="3">
        <v>0</v>
      </c>
      <c r="Y9" s="2">
        <v>1.2E-2</v>
      </c>
      <c r="Z9" s="2"/>
      <c r="AA9" s="2"/>
      <c r="AB9" s="2">
        <v>8.6999999999999994E-2</v>
      </c>
      <c r="AC9" s="2">
        <v>8.8999999999999996E-2</v>
      </c>
      <c r="AD9" s="77">
        <v>43941</v>
      </c>
      <c r="AE9" s="3">
        <v>1.9E-2</v>
      </c>
      <c r="AF9" s="2"/>
      <c r="AG9" s="2"/>
      <c r="AH9" s="2">
        <v>2.9000000000000001E-2</v>
      </c>
      <c r="AI9" s="77">
        <v>43941</v>
      </c>
      <c r="AJ9" s="3"/>
      <c r="AK9" s="2"/>
      <c r="AL9" s="2"/>
      <c r="AM9" s="2"/>
      <c r="AN9" s="2"/>
      <c r="AO9" s="2"/>
      <c r="AP9" s="77">
        <v>43941</v>
      </c>
      <c r="AQ9" s="3">
        <v>3.9E-2</v>
      </c>
      <c r="AR9" s="2"/>
      <c r="AS9" s="2"/>
      <c r="AT9" s="2"/>
      <c r="AU9" s="2">
        <v>4.9000000000000002E-2</v>
      </c>
      <c r="AV9" s="107"/>
    </row>
    <row r="10" spans="1:48" ht="15.75" hidden="1" thickBot="1">
      <c r="A10" s="20">
        <v>5</v>
      </c>
      <c r="B10" s="77">
        <v>43971</v>
      </c>
      <c r="C10" s="56">
        <v>0</v>
      </c>
      <c r="D10" s="2">
        <v>0.03</v>
      </c>
      <c r="E10" s="2"/>
      <c r="F10" s="2"/>
      <c r="G10" s="2">
        <v>8.3000000000000001E-3</v>
      </c>
      <c r="H10" s="2">
        <v>2.6100000000000002E-2</v>
      </c>
      <c r="I10" s="77">
        <v>43971</v>
      </c>
      <c r="J10" s="3">
        <v>1.6E-2</v>
      </c>
      <c r="K10" s="2">
        <v>4.4812687049764585E-2</v>
      </c>
      <c r="L10" s="2"/>
      <c r="M10" s="2"/>
      <c r="N10" s="2">
        <v>0</v>
      </c>
      <c r="O10" s="2">
        <v>4.6020573903627505E-3</v>
      </c>
      <c r="P10" s="77">
        <v>43971</v>
      </c>
      <c r="Q10" s="3">
        <v>2.1999999999999999E-2</v>
      </c>
      <c r="R10" s="2">
        <v>2.8000000000000001E-2</v>
      </c>
      <c r="S10" s="2"/>
      <c r="T10" s="2"/>
      <c r="U10" s="2">
        <v>0</v>
      </c>
      <c r="V10" s="2">
        <v>0.04</v>
      </c>
      <c r="W10" s="77">
        <v>43971</v>
      </c>
      <c r="X10" s="3">
        <v>5.0000000000000001E-3</v>
      </c>
      <c r="Y10" s="2">
        <v>3.2000000000000001E-2</v>
      </c>
      <c r="Z10" s="2"/>
      <c r="AA10" s="2"/>
      <c r="AB10" s="2">
        <v>7.6999999999999999E-2</v>
      </c>
      <c r="AC10" s="2">
        <v>8.5999999999999993E-2</v>
      </c>
      <c r="AD10" s="77">
        <v>43971</v>
      </c>
      <c r="AE10" s="3">
        <v>2.9999999999999997E-4</v>
      </c>
      <c r="AF10" s="2"/>
      <c r="AG10" s="2"/>
      <c r="AH10" s="2">
        <v>3.4599999999999999E-2</v>
      </c>
      <c r="AI10" s="77">
        <v>43971</v>
      </c>
      <c r="AJ10" s="3"/>
      <c r="AK10" s="2"/>
      <c r="AL10" s="2"/>
      <c r="AM10" s="2"/>
      <c r="AN10" s="2"/>
      <c r="AO10" s="2"/>
      <c r="AP10" s="77">
        <v>43971</v>
      </c>
      <c r="AQ10" s="3"/>
      <c r="AR10" s="2"/>
      <c r="AS10" s="2"/>
      <c r="AT10" s="2"/>
      <c r="AU10" s="2"/>
      <c r="AV10" s="107"/>
    </row>
    <row r="11" spans="1:48" ht="15.75" hidden="1" thickBot="1">
      <c r="A11" s="20">
        <v>6</v>
      </c>
      <c r="B11" s="77">
        <v>44002</v>
      </c>
      <c r="C11" s="56">
        <v>2.7E-2</v>
      </c>
      <c r="D11" s="2">
        <v>5.2999999999999999E-2</v>
      </c>
      <c r="E11" s="2"/>
      <c r="F11" s="2"/>
      <c r="G11" s="2">
        <v>0</v>
      </c>
      <c r="H11" s="2">
        <v>2.1000000000000001E-2</v>
      </c>
      <c r="I11" s="77">
        <v>44002</v>
      </c>
      <c r="J11" s="3">
        <v>4.0000000000000001E-3</v>
      </c>
      <c r="K11" s="2">
        <v>5.8548786973355214E-2</v>
      </c>
      <c r="L11" s="2"/>
      <c r="M11" s="2"/>
      <c r="N11" s="2">
        <v>0</v>
      </c>
      <c r="O11" s="2">
        <v>1.8472368522467437E-2</v>
      </c>
      <c r="P11" s="77">
        <v>44002</v>
      </c>
      <c r="Q11" s="3">
        <v>0</v>
      </c>
      <c r="R11" s="2">
        <v>8.9999999999999993E-3</v>
      </c>
      <c r="S11" s="2"/>
      <c r="T11" s="2"/>
      <c r="U11" s="2">
        <v>0</v>
      </c>
      <c r="V11" s="2">
        <v>2.9000000000000001E-2</v>
      </c>
      <c r="W11" s="77">
        <v>44002</v>
      </c>
      <c r="X11" s="3">
        <v>0</v>
      </c>
      <c r="Y11" s="2">
        <v>4.1000000000000002E-2</v>
      </c>
      <c r="Z11" s="2"/>
      <c r="AA11" s="2"/>
      <c r="AB11" s="2">
        <v>6.4000000000000001E-2</v>
      </c>
      <c r="AC11" s="2">
        <v>0.105</v>
      </c>
      <c r="AD11" s="77">
        <v>44002</v>
      </c>
      <c r="AE11" s="3">
        <v>3.0000000000000001E-3</v>
      </c>
      <c r="AF11" s="2"/>
      <c r="AG11" s="2"/>
      <c r="AH11" s="2">
        <v>2.7E-2</v>
      </c>
      <c r="AI11" s="77">
        <v>44002</v>
      </c>
      <c r="AJ11" s="3"/>
      <c r="AK11" s="2"/>
      <c r="AL11" s="2"/>
      <c r="AM11" s="2"/>
      <c r="AN11" s="2"/>
      <c r="AO11" s="2"/>
      <c r="AP11" s="77">
        <v>44002</v>
      </c>
      <c r="AQ11" s="3"/>
      <c r="AR11" s="2"/>
      <c r="AS11" s="2"/>
      <c r="AT11" s="2"/>
      <c r="AU11" s="2"/>
      <c r="AV11" s="107"/>
    </row>
    <row r="12" spans="1:48" ht="15.75" hidden="1" thickBot="1">
      <c r="A12" s="20">
        <v>7</v>
      </c>
      <c r="B12" s="77">
        <v>44032</v>
      </c>
      <c r="C12" s="56">
        <v>1.4E-2</v>
      </c>
      <c r="D12" s="2">
        <v>2.9000000000000001E-2</v>
      </c>
      <c r="E12" s="2"/>
      <c r="F12" s="2"/>
      <c r="G12" s="2">
        <v>4.0000000000000001E-3</v>
      </c>
      <c r="H12" s="2">
        <v>2.3E-2</v>
      </c>
      <c r="I12" s="77">
        <v>44032</v>
      </c>
      <c r="J12" s="3">
        <v>0.01</v>
      </c>
      <c r="K12" s="2">
        <v>1.4741959949170493E-2</v>
      </c>
      <c r="L12" s="2"/>
      <c r="M12" s="2"/>
      <c r="N12" s="2">
        <v>0</v>
      </c>
      <c r="O12" s="2">
        <v>1.9262161279791055E-2</v>
      </c>
      <c r="P12" s="77">
        <v>44032</v>
      </c>
      <c r="Q12" s="3">
        <v>0</v>
      </c>
      <c r="R12" s="2">
        <v>0</v>
      </c>
      <c r="S12" s="2"/>
      <c r="T12" s="2"/>
      <c r="U12" s="2">
        <v>0</v>
      </c>
      <c r="V12" s="2">
        <v>0</v>
      </c>
      <c r="W12" s="77">
        <v>44032</v>
      </c>
      <c r="X12" s="3">
        <v>1.2E-2</v>
      </c>
      <c r="Y12" s="2">
        <v>3.2000000000000001E-2</v>
      </c>
      <c r="Z12" s="2"/>
      <c r="AA12" s="2"/>
      <c r="AB12" s="2">
        <v>5.8999999999999997E-2</v>
      </c>
      <c r="AC12" s="2">
        <v>9.4E-2</v>
      </c>
      <c r="AD12" s="77">
        <v>44032</v>
      </c>
      <c r="AE12" s="3">
        <v>3.3999999999999998E-3</v>
      </c>
      <c r="AF12" s="2"/>
      <c r="AG12" s="2"/>
      <c r="AH12" s="2">
        <v>2.1000000000000001E-2</v>
      </c>
      <c r="AI12" s="77">
        <v>44032</v>
      </c>
      <c r="AJ12" s="3"/>
      <c r="AK12" s="2"/>
      <c r="AL12" s="2"/>
      <c r="AM12" s="2"/>
      <c r="AN12" s="2"/>
      <c r="AO12" s="2"/>
      <c r="AP12" s="77">
        <v>44032</v>
      </c>
      <c r="AQ12" s="3"/>
      <c r="AR12" s="2"/>
      <c r="AS12" s="2"/>
      <c r="AT12" s="2"/>
      <c r="AU12" s="2"/>
      <c r="AV12" s="107"/>
    </row>
    <row r="13" spans="1:48" ht="15.75" hidden="1" thickBot="1">
      <c r="A13" s="20">
        <v>8</v>
      </c>
      <c r="B13" s="77">
        <v>44063</v>
      </c>
      <c r="C13" s="56">
        <v>1.2999999999999999E-2</v>
      </c>
      <c r="D13" s="2">
        <v>2.9000000000000001E-2</v>
      </c>
      <c r="E13" s="2"/>
      <c r="F13" s="2"/>
      <c r="G13" s="2">
        <v>4.0000000000000001E-3</v>
      </c>
      <c r="H13" s="2">
        <v>2.4E-2</v>
      </c>
      <c r="I13" s="77">
        <v>44063</v>
      </c>
      <c r="J13" s="3">
        <v>6.0000000000000001E-3</v>
      </c>
      <c r="K13" s="2">
        <v>5.1673728328915029E-2</v>
      </c>
      <c r="L13" s="2"/>
      <c r="M13" s="2"/>
      <c r="N13" s="2">
        <v>0</v>
      </c>
      <c r="O13" s="2">
        <v>2.0181019166884834E-2</v>
      </c>
      <c r="P13" s="77">
        <v>44063</v>
      </c>
      <c r="Q13" s="3">
        <v>8.0000000000000002E-3</v>
      </c>
      <c r="R13" s="2">
        <v>3.4000000000000002E-2</v>
      </c>
      <c r="S13" s="2"/>
      <c r="T13" s="2"/>
      <c r="U13" s="2">
        <v>0</v>
      </c>
      <c r="V13" s="2">
        <v>1.9E-2</v>
      </c>
      <c r="W13" s="77">
        <v>44063</v>
      </c>
      <c r="X13" s="3">
        <v>0</v>
      </c>
      <c r="Y13" s="2">
        <v>2.7E-2</v>
      </c>
      <c r="Z13" s="2"/>
      <c r="AA13" s="2"/>
      <c r="AB13" s="2">
        <v>5.8999999999999997E-2</v>
      </c>
      <c r="AC13" s="2">
        <v>9.6000000000000002E-2</v>
      </c>
      <c r="AD13" s="77">
        <v>44063</v>
      </c>
      <c r="AE13" s="3">
        <v>3.8E-3</v>
      </c>
      <c r="AF13" s="2"/>
      <c r="AG13" s="2"/>
      <c r="AH13" s="2">
        <v>1.9800000000000002E-2</v>
      </c>
      <c r="AI13" s="77">
        <v>44063</v>
      </c>
      <c r="AJ13" s="3"/>
      <c r="AK13" s="2"/>
      <c r="AL13" s="2"/>
      <c r="AM13" s="2"/>
      <c r="AN13" s="2"/>
      <c r="AO13" s="2"/>
      <c r="AP13" s="77">
        <v>44063</v>
      </c>
      <c r="AQ13" s="3"/>
      <c r="AR13" s="2"/>
      <c r="AS13" s="2"/>
      <c r="AT13" s="2"/>
      <c r="AU13" s="2"/>
      <c r="AV13" s="107"/>
    </row>
    <row r="14" spans="1:48" ht="15.75" hidden="1" thickBot="1">
      <c r="A14" s="20">
        <v>9</v>
      </c>
      <c r="B14" s="77">
        <v>44094</v>
      </c>
      <c r="C14" s="56">
        <v>8.9999999999999993E-3</v>
      </c>
      <c r="D14" s="2">
        <v>4.3499999999999997E-2</v>
      </c>
      <c r="E14" s="2"/>
      <c r="F14" s="2"/>
      <c r="G14" s="2">
        <v>4.0000000000000001E-3</v>
      </c>
      <c r="H14" s="2">
        <v>2.8500000000000001E-2</v>
      </c>
      <c r="I14" s="77">
        <v>44094</v>
      </c>
      <c r="J14" s="3">
        <v>1.2999999999999999E-2</v>
      </c>
      <c r="K14" s="2">
        <v>4.1546213496438868E-2</v>
      </c>
      <c r="L14" s="2"/>
      <c r="M14" s="2"/>
      <c r="N14" s="2">
        <v>0</v>
      </c>
      <c r="O14" s="2">
        <v>1.2357505508190439E-2</v>
      </c>
      <c r="P14" s="77">
        <v>44094</v>
      </c>
      <c r="Q14" s="3">
        <v>1.0999999999999999E-2</v>
      </c>
      <c r="R14" s="2">
        <v>6.9000000000000006E-2</v>
      </c>
      <c r="S14" s="2"/>
      <c r="T14" s="2"/>
      <c r="U14" s="2">
        <v>0</v>
      </c>
      <c r="V14" s="2">
        <v>2.9000000000000001E-2</v>
      </c>
      <c r="W14" s="77">
        <v>44094</v>
      </c>
      <c r="X14" s="3">
        <v>0</v>
      </c>
      <c r="Y14" s="2">
        <v>4.2000000000000003E-2</v>
      </c>
      <c r="Z14" s="2"/>
      <c r="AA14" s="2"/>
      <c r="AB14" s="2">
        <v>0.05</v>
      </c>
      <c r="AC14" s="2">
        <v>0.11</v>
      </c>
      <c r="AD14" s="77">
        <v>44094</v>
      </c>
      <c r="AE14" s="3">
        <v>0</v>
      </c>
      <c r="AF14" s="2"/>
      <c r="AG14" s="2"/>
      <c r="AH14" s="2">
        <v>3.1E-2</v>
      </c>
      <c r="AI14" s="77">
        <v>44094</v>
      </c>
      <c r="AJ14" s="3"/>
      <c r="AK14" s="2"/>
      <c r="AL14" s="2"/>
      <c r="AM14" s="2"/>
      <c r="AN14" s="2"/>
      <c r="AO14" s="2"/>
      <c r="AP14" s="77">
        <v>44094</v>
      </c>
      <c r="AQ14" s="3"/>
      <c r="AR14" s="2"/>
      <c r="AS14" s="2"/>
      <c r="AT14" s="2"/>
      <c r="AU14" s="2"/>
      <c r="AV14" s="107"/>
    </row>
    <row r="15" spans="1:48" ht="15.75" hidden="1" thickBot="1">
      <c r="A15" s="20">
        <v>10</v>
      </c>
      <c r="B15" s="77">
        <v>44124</v>
      </c>
      <c r="C15" s="56">
        <v>1.2E-2</v>
      </c>
      <c r="D15" s="2">
        <v>6.7000000000000004E-2</v>
      </c>
      <c r="E15" s="2"/>
      <c r="F15" s="2"/>
      <c r="G15" s="2">
        <v>1.2E-2</v>
      </c>
      <c r="H15" s="2">
        <v>0.03</v>
      </c>
      <c r="I15" s="77">
        <v>44124</v>
      </c>
      <c r="J15" s="3">
        <v>1.2999999999999999E-2</v>
      </c>
      <c r="K15" s="2">
        <v>4.7E-2</v>
      </c>
      <c r="L15" s="2"/>
      <c r="M15" s="2"/>
      <c r="N15" s="2">
        <v>0</v>
      </c>
      <c r="O15" s="2">
        <v>0.02</v>
      </c>
      <c r="P15" s="77">
        <v>44124</v>
      </c>
      <c r="Q15" s="3">
        <v>1.4999999999999999E-2</v>
      </c>
      <c r="R15" s="2">
        <v>0.104</v>
      </c>
      <c r="S15" s="2"/>
      <c r="T15" s="2"/>
      <c r="U15" s="2">
        <v>1.0999999999999999E-2</v>
      </c>
      <c r="V15" s="2">
        <v>8.3000000000000004E-2</v>
      </c>
      <c r="W15" s="77">
        <v>44124</v>
      </c>
      <c r="X15" s="3">
        <v>7.0000000000000001E-3</v>
      </c>
      <c r="Y15" s="2">
        <v>5.0999999999999997E-2</v>
      </c>
      <c r="Z15" s="2"/>
      <c r="AA15" s="2"/>
      <c r="AB15" s="2">
        <v>0.04</v>
      </c>
      <c r="AC15" s="2">
        <v>0.107</v>
      </c>
      <c r="AD15" s="77">
        <v>44124</v>
      </c>
      <c r="AE15" s="3">
        <v>0</v>
      </c>
      <c r="AF15" s="2"/>
      <c r="AG15" s="2"/>
      <c r="AH15" s="2">
        <v>2.3E-2</v>
      </c>
      <c r="AI15" s="77">
        <v>44124</v>
      </c>
      <c r="AJ15" s="3"/>
      <c r="AK15" s="2"/>
      <c r="AL15" s="2"/>
      <c r="AM15" s="2"/>
      <c r="AN15" s="2"/>
      <c r="AO15" s="2"/>
      <c r="AP15" s="77">
        <v>44124</v>
      </c>
      <c r="AQ15" s="3"/>
      <c r="AR15" s="2"/>
      <c r="AS15" s="2"/>
      <c r="AT15" s="2"/>
      <c r="AU15" s="2"/>
      <c r="AV15" s="107"/>
    </row>
    <row r="16" spans="1:48" ht="15.75" hidden="1" thickBot="1">
      <c r="A16" s="20">
        <v>11</v>
      </c>
      <c r="B16" s="77">
        <v>44155</v>
      </c>
      <c r="C16" s="56">
        <v>2.5000000000000001E-2</v>
      </c>
      <c r="D16" s="2">
        <v>6.0999999999999999E-2</v>
      </c>
      <c r="E16" s="2"/>
      <c r="F16" s="2"/>
      <c r="G16" s="2">
        <v>3.15E-2</v>
      </c>
      <c r="H16" s="2">
        <v>3.9600000000000003E-2</v>
      </c>
      <c r="I16" s="77">
        <v>44155</v>
      </c>
      <c r="J16" s="3">
        <v>1.2E-2</v>
      </c>
      <c r="K16" s="2">
        <v>0.08</v>
      </c>
      <c r="L16" s="2"/>
      <c r="M16" s="2"/>
      <c r="N16" s="2">
        <v>0.02</v>
      </c>
      <c r="O16" s="2">
        <v>2.4E-2</v>
      </c>
      <c r="P16" s="77">
        <v>44155</v>
      </c>
      <c r="Q16" s="3">
        <v>1.4999999999999999E-2</v>
      </c>
      <c r="R16" s="2">
        <v>0.104</v>
      </c>
      <c r="S16" s="2"/>
      <c r="T16" s="2"/>
      <c r="U16" s="2">
        <v>1.0999999999999999E-2</v>
      </c>
      <c r="V16" s="2">
        <v>8.3000000000000004E-2</v>
      </c>
      <c r="W16" s="77">
        <v>44155</v>
      </c>
      <c r="X16" s="3">
        <v>1.9E-2</v>
      </c>
      <c r="Y16" s="2">
        <v>3.3000000000000002E-2</v>
      </c>
      <c r="Z16" s="2"/>
      <c r="AA16" s="2"/>
      <c r="AB16" s="2">
        <v>3.5000000000000003E-2</v>
      </c>
      <c r="AC16" s="2">
        <v>0.11600000000000001</v>
      </c>
      <c r="AD16" s="77">
        <v>44155</v>
      </c>
      <c r="AE16" s="3">
        <v>6.0000000000000001E-3</v>
      </c>
      <c r="AF16" s="2"/>
      <c r="AG16" s="2"/>
      <c r="AH16" s="2">
        <v>1.2999999999999999E-2</v>
      </c>
      <c r="AI16" s="77">
        <v>44155</v>
      </c>
      <c r="AJ16" s="3"/>
      <c r="AK16" s="2"/>
      <c r="AL16" s="2"/>
      <c r="AM16" s="2"/>
      <c r="AN16" s="2"/>
      <c r="AO16" s="2"/>
      <c r="AP16" s="77">
        <v>44155</v>
      </c>
      <c r="AQ16" s="3"/>
      <c r="AR16" s="2"/>
      <c r="AS16" s="2"/>
      <c r="AT16" s="2"/>
      <c r="AU16" s="2"/>
      <c r="AV16" s="107"/>
    </row>
    <row r="17" spans="1:48" ht="15.75" hidden="1" thickBot="1">
      <c r="A17" s="20">
        <v>12</v>
      </c>
      <c r="B17" s="78">
        <v>44185</v>
      </c>
      <c r="C17" s="73">
        <v>2.1600000000000001E-2</v>
      </c>
      <c r="D17" s="5">
        <v>6.7400000000000002E-2</v>
      </c>
      <c r="E17" s="5"/>
      <c r="F17" s="5"/>
      <c r="G17" s="5">
        <v>2.1000000000000001E-2</v>
      </c>
      <c r="H17" s="5">
        <v>2.4500000000000001E-2</v>
      </c>
      <c r="I17" s="78">
        <v>44185</v>
      </c>
      <c r="J17" s="4">
        <v>7.0000000000000001E-3</v>
      </c>
      <c r="K17" s="5">
        <v>3.7999999999999999E-2</v>
      </c>
      <c r="L17" s="5"/>
      <c r="M17" s="5"/>
      <c r="N17" s="5">
        <v>2.1999999999999999E-2</v>
      </c>
      <c r="O17" s="5">
        <v>3.5000000000000003E-2</v>
      </c>
      <c r="P17" s="78">
        <v>44185</v>
      </c>
      <c r="Q17" s="4">
        <v>0.02</v>
      </c>
      <c r="R17" s="5">
        <v>1.9E-2</v>
      </c>
      <c r="S17" s="5"/>
      <c r="T17" s="5"/>
      <c r="U17" s="5">
        <v>0</v>
      </c>
      <c r="V17" s="5">
        <v>7.1999999999999995E-2</v>
      </c>
      <c r="W17" s="78">
        <v>44185</v>
      </c>
      <c r="X17" s="4">
        <v>6.0000000000000001E-3</v>
      </c>
      <c r="Y17" s="5">
        <v>0.02</v>
      </c>
      <c r="Z17" s="5"/>
      <c r="AA17" s="5"/>
      <c r="AB17" s="5">
        <v>3.1E-2</v>
      </c>
      <c r="AC17" s="5">
        <v>7.2999999999999995E-2</v>
      </c>
      <c r="AD17" s="78">
        <v>44185</v>
      </c>
      <c r="AE17" s="4">
        <v>6.0000000000000001E-3</v>
      </c>
      <c r="AF17" s="5"/>
      <c r="AG17" s="5"/>
      <c r="AH17" s="5">
        <v>1.4999999999999999E-2</v>
      </c>
      <c r="AI17" s="78">
        <v>44185</v>
      </c>
      <c r="AJ17" s="4"/>
      <c r="AK17" s="5"/>
      <c r="AL17" s="5"/>
      <c r="AM17" s="5"/>
      <c r="AN17" s="5"/>
      <c r="AO17" s="5"/>
      <c r="AP17" s="78">
        <v>44185</v>
      </c>
      <c r="AQ17" s="4"/>
      <c r="AR17" s="5"/>
      <c r="AS17" s="5"/>
      <c r="AT17" s="5"/>
      <c r="AU17" s="5"/>
      <c r="AV17" s="108"/>
    </row>
    <row r="18" spans="1:48" ht="15.75" hidden="1" thickBot="1">
      <c r="A18" s="20">
        <v>13</v>
      </c>
      <c r="B18" s="76">
        <v>44216</v>
      </c>
      <c r="C18" s="72">
        <v>1.2999999999999999E-2</v>
      </c>
      <c r="D18" s="18">
        <v>6.9000000000000006E-2</v>
      </c>
      <c r="E18" s="18"/>
      <c r="F18" s="18"/>
      <c r="G18" s="18">
        <v>2.3E-2</v>
      </c>
      <c r="H18" s="18">
        <v>3.2000000000000001E-2</v>
      </c>
      <c r="I18" s="76">
        <v>44216</v>
      </c>
      <c r="J18" s="17">
        <v>1.2999999999999999E-2</v>
      </c>
      <c r="K18" s="18">
        <v>0.06</v>
      </c>
      <c r="L18" s="18"/>
      <c r="M18" s="18"/>
      <c r="N18" s="18">
        <v>1.2999999999999999E-2</v>
      </c>
      <c r="O18" s="18">
        <v>0.03</v>
      </c>
      <c r="P18" s="76">
        <v>44216</v>
      </c>
      <c r="Q18" s="17">
        <v>1.4999999999999999E-2</v>
      </c>
      <c r="R18" s="18">
        <v>0.04</v>
      </c>
      <c r="S18" s="18"/>
      <c r="T18" s="18"/>
      <c r="U18" s="18">
        <v>0</v>
      </c>
      <c r="V18" s="18">
        <v>4.4999999999999998E-2</v>
      </c>
      <c r="W18" s="76">
        <v>44216</v>
      </c>
      <c r="X18" s="17">
        <v>2E-3</v>
      </c>
      <c r="Y18" s="18">
        <v>4.2000000000000003E-2</v>
      </c>
      <c r="Z18" s="18"/>
      <c r="AA18" s="18"/>
      <c r="AB18" s="18">
        <v>0.03</v>
      </c>
      <c r="AC18" s="18">
        <v>8.4000000000000005E-2</v>
      </c>
      <c r="AD18" s="76">
        <v>44216</v>
      </c>
      <c r="AE18" s="17">
        <v>8.0000000000000002E-3</v>
      </c>
      <c r="AF18" s="18"/>
      <c r="AG18" s="18"/>
      <c r="AH18" s="18">
        <v>2.4E-2</v>
      </c>
      <c r="AI18" s="76">
        <v>44216</v>
      </c>
      <c r="AJ18" s="17"/>
      <c r="AK18" s="18"/>
      <c r="AL18" s="18"/>
      <c r="AM18" s="18"/>
      <c r="AN18" s="18"/>
      <c r="AO18" s="18"/>
      <c r="AP18" s="76">
        <v>44216</v>
      </c>
      <c r="AQ18" s="17"/>
      <c r="AR18" s="18"/>
      <c r="AS18" s="18"/>
      <c r="AT18" s="18"/>
      <c r="AU18" s="18"/>
      <c r="AV18" s="106"/>
    </row>
    <row r="19" spans="1:48" ht="15.75" hidden="1" thickBot="1">
      <c r="A19" s="20">
        <v>14</v>
      </c>
      <c r="B19" s="77">
        <v>44247</v>
      </c>
      <c r="C19" s="56">
        <v>1.6E-2</v>
      </c>
      <c r="D19" s="2">
        <v>6.9599999999999995E-2</v>
      </c>
      <c r="E19" s="2"/>
      <c r="F19" s="2"/>
      <c r="G19" s="2">
        <v>2.9899999999999999E-2</v>
      </c>
      <c r="H19" s="2">
        <v>4.2000000000000003E-2</v>
      </c>
      <c r="I19" s="77">
        <v>44247</v>
      </c>
      <c r="J19" s="3">
        <v>0.01</v>
      </c>
      <c r="K19" s="2">
        <v>4.8000000000000001E-2</v>
      </c>
      <c r="L19" s="2"/>
      <c r="M19" s="2"/>
      <c r="N19" s="2">
        <v>2.1999999999999999E-2</v>
      </c>
      <c r="O19" s="2">
        <v>4.2999999999999997E-2</v>
      </c>
      <c r="P19" s="77">
        <v>44247</v>
      </c>
      <c r="Q19" s="18">
        <v>6.0000000000000001E-3</v>
      </c>
      <c r="R19" s="18">
        <v>3.7999999999999999E-2</v>
      </c>
      <c r="S19" s="2"/>
      <c r="T19" s="62"/>
      <c r="U19" s="18">
        <v>0.02</v>
      </c>
      <c r="V19" s="18">
        <v>7.1999999999999995E-2</v>
      </c>
      <c r="W19" s="77">
        <v>44247</v>
      </c>
      <c r="X19" s="3">
        <v>0</v>
      </c>
      <c r="Y19" s="2">
        <v>3.3000000000000002E-2</v>
      </c>
      <c r="Z19" s="2"/>
      <c r="AA19" s="2"/>
      <c r="AB19" s="2">
        <v>3.1E-2</v>
      </c>
      <c r="AC19" s="2">
        <v>0.1</v>
      </c>
      <c r="AD19" s="77">
        <v>44247</v>
      </c>
      <c r="AE19" s="3">
        <v>7.0000000000000001E-3</v>
      </c>
      <c r="AF19" s="2"/>
      <c r="AG19" s="2"/>
      <c r="AH19" s="2">
        <v>2.9000000000000001E-2</v>
      </c>
      <c r="AI19" s="77">
        <v>44247</v>
      </c>
      <c r="AJ19" s="3"/>
      <c r="AK19" s="2"/>
      <c r="AL19" s="2"/>
      <c r="AM19" s="2"/>
      <c r="AN19" s="2"/>
      <c r="AO19" s="2"/>
      <c r="AP19" s="77">
        <v>44247</v>
      </c>
      <c r="AQ19" s="3"/>
      <c r="AR19" s="2"/>
      <c r="AS19" s="2"/>
      <c r="AT19" s="2"/>
      <c r="AU19" s="2"/>
      <c r="AV19" s="107"/>
    </row>
    <row r="20" spans="1:48" ht="15.75" hidden="1" thickBot="1">
      <c r="A20" s="20">
        <v>15</v>
      </c>
      <c r="B20" s="77">
        <v>44275</v>
      </c>
      <c r="C20" s="74">
        <v>2.7E-2</v>
      </c>
      <c r="D20" s="31">
        <v>7.9000000000000001E-2</v>
      </c>
      <c r="E20" s="31"/>
      <c r="F20" s="31"/>
      <c r="G20" s="31">
        <v>0.05</v>
      </c>
      <c r="H20" s="31">
        <v>4.2999999999999997E-2</v>
      </c>
      <c r="I20" s="77">
        <v>44275</v>
      </c>
      <c r="J20" s="30">
        <v>5.0000000000000001E-3</v>
      </c>
      <c r="K20" s="31">
        <v>2.9000000000000001E-2</v>
      </c>
      <c r="L20" s="31"/>
      <c r="M20" s="31"/>
      <c r="N20" s="31">
        <v>2.1000000000000001E-2</v>
      </c>
      <c r="O20" s="31">
        <v>3.2000000000000001E-2</v>
      </c>
      <c r="P20" s="77">
        <v>44275</v>
      </c>
      <c r="Q20" s="30">
        <v>3.5999999999999997E-2</v>
      </c>
      <c r="R20" s="31">
        <v>2.4E-2</v>
      </c>
      <c r="S20" s="31"/>
      <c r="T20" s="31"/>
      <c r="U20" s="31">
        <v>2.4E-2</v>
      </c>
      <c r="V20" s="31">
        <v>9.1999999999999998E-2</v>
      </c>
      <c r="W20" s="77">
        <v>44275</v>
      </c>
      <c r="X20" s="30">
        <v>1.6E-2</v>
      </c>
      <c r="Y20" s="31">
        <v>4.8000000000000001E-2</v>
      </c>
      <c r="Z20" s="31"/>
      <c r="AA20" s="31"/>
      <c r="AB20" s="31">
        <v>0.04</v>
      </c>
      <c r="AC20" s="31">
        <v>0.1</v>
      </c>
      <c r="AD20" s="77">
        <v>44275</v>
      </c>
      <c r="AE20" s="28">
        <v>1.3100000000000001E-2</v>
      </c>
      <c r="AF20" s="31"/>
      <c r="AG20" s="29"/>
      <c r="AH20" s="29">
        <v>0</v>
      </c>
      <c r="AI20" s="77">
        <v>44275</v>
      </c>
      <c r="AJ20" s="28"/>
      <c r="AL20" s="31"/>
      <c r="AM20" s="29"/>
      <c r="AN20" s="29"/>
      <c r="AO20" s="31"/>
      <c r="AP20" s="77">
        <v>44275</v>
      </c>
      <c r="AQ20" s="28"/>
      <c r="AS20" s="31"/>
      <c r="AT20" s="29"/>
      <c r="AU20" s="29"/>
      <c r="AV20" s="109"/>
    </row>
    <row r="21" spans="1:48" ht="15.75" hidden="1" thickBot="1">
      <c r="A21" s="20">
        <v>16</v>
      </c>
      <c r="B21" s="77">
        <v>44306</v>
      </c>
      <c r="C21" s="74">
        <v>1.6E-2</v>
      </c>
      <c r="D21" s="31">
        <v>8.8999999999999996E-2</v>
      </c>
      <c r="E21" s="31"/>
      <c r="F21" s="31"/>
      <c r="G21" s="31">
        <v>7.0000000000000007E-2</v>
      </c>
      <c r="H21" s="31">
        <v>4.2000000000000003E-2</v>
      </c>
      <c r="I21" s="77">
        <v>44306</v>
      </c>
      <c r="J21" s="30">
        <v>1.2999999999999999E-2</v>
      </c>
      <c r="K21" s="31">
        <v>5.0999999999999997E-2</v>
      </c>
      <c r="L21" s="31"/>
      <c r="M21" s="31"/>
      <c r="N21" s="31">
        <v>3.6999999999999998E-2</v>
      </c>
      <c r="O21" s="31">
        <v>2.5999999999999999E-2</v>
      </c>
      <c r="P21" s="77">
        <v>44306</v>
      </c>
      <c r="Q21" s="30">
        <v>0</v>
      </c>
      <c r="R21" s="31">
        <v>3.4000000000000002E-2</v>
      </c>
      <c r="S21" s="31"/>
      <c r="T21" s="31"/>
      <c r="U21" s="31">
        <v>6.6000000000000003E-2</v>
      </c>
      <c r="V21" s="31">
        <v>9.9000000000000005E-2</v>
      </c>
      <c r="W21" s="77">
        <v>44306</v>
      </c>
      <c r="X21" s="30">
        <v>1.4999999999999999E-2</v>
      </c>
      <c r="Y21" s="31">
        <v>4.9000000000000002E-2</v>
      </c>
      <c r="Z21" s="31"/>
      <c r="AA21" s="31"/>
      <c r="AB21" s="31">
        <v>4.1000000000000002E-2</v>
      </c>
      <c r="AC21" s="31">
        <v>0.114</v>
      </c>
      <c r="AD21" s="77">
        <v>44306</v>
      </c>
      <c r="AE21" s="30">
        <v>2.7E-2</v>
      </c>
      <c r="AF21" s="31"/>
      <c r="AG21" s="31"/>
      <c r="AH21" s="31">
        <v>0</v>
      </c>
      <c r="AI21" s="77">
        <v>44306</v>
      </c>
      <c r="AJ21" s="30"/>
      <c r="AK21" s="31"/>
      <c r="AL21" s="31"/>
      <c r="AM21" s="31"/>
      <c r="AN21" s="31"/>
      <c r="AO21" s="31"/>
      <c r="AP21" s="77">
        <v>44306</v>
      </c>
      <c r="AQ21" s="30"/>
      <c r="AR21" s="31"/>
      <c r="AS21" s="31"/>
      <c r="AT21" s="31"/>
      <c r="AU21" s="31"/>
      <c r="AV21" s="109"/>
    </row>
    <row r="22" spans="1:48" ht="15.75" hidden="1" thickBot="1">
      <c r="A22" s="20">
        <v>17</v>
      </c>
      <c r="B22" s="77">
        <v>44336</v>
      </c>
      <c r="C22" s="56">
        <v>0.02</v>
      </c>
      <c r="D22" s="2">
        <v>4.3999999999999997E-2</v>
      </c>
      <c r="E22" s="2"/>
      <c r="F22" s="2"/>
      <c r="G22" s="2">
        <v>6.6000000000000003E-2</v>
      </c>
      <c r="H22" s="2">
        <v>5.2999999999999999E-2</v>
      </c>
      <c r="I22" s="77">
        <v>44336</v>
      </c>
      <c r="J22" s="3">
        <v>1.7000000000000001E-2</v>
      </c>
      <c r="K22" s="2">
        <v>6.0999999999999999E-2</v>
      </c>
      <c r="L22" s="2"/>
      <c r="M22" s="2"/>
      <c r="N22" s="2">
        <v>2.1999999999999999E-2</v>
      </c>
      <c r="O22" s="2">
        <v>2.4E-2</v>
      </c>
      <c r="P22" s="77">
        <v>44336</v>
      </c>
      <c r="Q22" s="3">
        <v>8.0000000000000002E-3</v>
      </c>
      <c r="R22" s="2">
        <v>4.2999999999999997E-2</v>
      </c>
      <c r="S22" s="2"/>
      <c r="T22" s="2"/>
      <c r="U22" s="2">
        <v>7.9000000000000001E-2</v>
      </c>
      <c r="V22" s="2">
        <v>6.8000000000000005E-2</v>
      </c>
      <c r="W22" s="77">
        <v>44336</v>
      </c>
      <c r="X22" s="3">
        <v>7.0000000000000001E-3</v>
      </c>
      <c r="Y22" s="2">
        <v>4.7E-2</v>
      </c>
      <c r="Z22" s="2"/>
      <c r="AA22" s="2"/>
      <c r="AB22" s="2">
        <v>3.1E-2</v>
      </c>
      <c r="AC22" s="2">
        <v>0.13</v>
      </c>
      <c r="AD22" s="77">
        <v>44336</v>
      </c>
      <c r="AE22" s="3">
        <v>1.2E-2</v>
      </c>
      <c r="AF22" s="2"/>
      <c r="AG22" s="2"/>
      <c r="AH22" s="2">
        <v>3.2000000000000001E-2</v>
      </c>
      <c r="AI22" s="77">
        <v>44336</v>
      </c>
      <c r="AJ22" s="3"/>
      <c r="AK22" s="2"/>
      <c r="AL22" s="2"/>
      <c r="AM22" s="2"/>
      <c r="AN22" s="2"/>
      <c r="AO22" s="2"/>
      <c r="AP22" s="77">
        <v>44336</v>
      </c>
      <c r="AQ22" s="3"/>
      <c r="AR22" s="2"/>
      <c r="AS22" s="2"/>
      <c r="AT22" s="2"/>
      <c r="AU22" s="2"/>
      <c r="AV22" s="107"/>
    </row>
    <row r="23" spans="1:48" ht="16.5" hidden="1" customHeight="1" thickBot="1">
      <c r="A23" s="20">
        <v>18</v>
      </c>
      <c r="B23" s="77">
        <v>44367</v>
      </c>
      <c r="C23" s="56">
        <v>2.1999999999999999E-2</v>
      </c>
      <c r="D23" s="2">
        <v>5.7000000000000002E-2</v>
      </c>
      <c r="E23" s="2"/>
      <c r="F23" s="2"/>
      <c r="G23" s="2">
        <v>5.5E-2</v>
      </c>
      <c r="H23" s="2">
        <v>5.8999999999999997E-2</v>
      </c>
      <c r="I23" s="77">
        <v>44367</v>
      </c>
      <c r="J23" s="3">
        <v>8.9999999999999993E-3</v>
      </c>
      <c r="K23" s="2">
        <v>4.7E-2</v>
      </c>
      <c r="L23" s="2"/>
      <c r="M23" s="2"/>
      <c r="N23" s="2">
        <v>0</v>
      </c>
      <c r="O23" s="2">
        <v>4.2000000000000003E-2</v>
      </c>
      <c r="P23" s="77">
        <v>44367</v>
      </c>
      <c r="Q23" s="3">
        <v>1E-3</v>
      </c>
      <c r="R23" s="2">
        <v>3.1E-2</v>
      </c>
      <c r="S23" s="2"/>
      <c r="T23" s="2"/>
      <c r="U23" s="2">
        <v>7.5999999999999998E-2</v>
      </c>
      <c r="V23" s="2">
        <v>8.2000000000000003E-2</v>
      </c>
      <c r="W23" s="77">
        <v>44367</v>
      </c>
      <c r="X23" s="3">
        <v>3.0000000000000001E-3</v>
      </c>
      <c r="Y23" s="2">
        <v>4.1000000000000002E-2</v>
      </c>
      <c r="Z23" s="2"/>
      <c r="AA23" s="2"/>
      <c r="AB23" s="2">
        <v>2.3E-2</v>
      </c>
      <c r="AC23" s="2">
        <v>0.14099999999999999</v>
      </c>
      <c r="AD23" s="77">
        <v>44367</v>
      </c>
      <c r="AE23" s="3">
        <v>1.8599999999999998E-2</v>
      </c>
      <c r="AF23" s="2"/>
      <c r="AG23" s="2"/>
      <c r="AH23" s="2">
        <v>4.2000000000000003E-2</v>
      </c>
      <c r="AI23" s="77">
        <v>44367</v>
      </c>
      <c r="AJ23" s="3"/>
      <c r="AK23" s="2"/>
      <c r="AL23" s="2"/>
      <c r="AM23" s="2"/>
      <c r="AN23" s="2"/>
      <c r="AO23" s="2"/>
      <c r="AP23" s="77">
        <v>44367</v>
      </c>
      <c r="AQ23" s="3"/>
      <c r="AR23" s="2"/>
      <c r="AS23" s="2"/>
      <c r="AT23" s="2"/>
      <c r="AU23" s="2"/>
      <c r="AV23" s="107"/>
    </row>
    <row r="24" spans="1:48" ht="15.75" hidden="1" thickBot="1">
      <c r="A24" s="20">
        <v>19</v>
      </c>
      <c r="B24" s="77">
        <v>44397</v>
      </c>
      <c r="C24" s="56">
        <v>4.3E-3</v>
      </c>
      <c r="D24" s="2">
        <v>5.0999999999999997E-2</v>
      </c>
      <c r="E24" s="2"/>
      <c r="F24" s="2"/>
      <c r="G24" s="2">
        <v>4.5999999999999999E-2</v>
      </c>
      <c r="H24" s="2">
        <v>4.4999999999999998E-2</v>
      </c>
      <c r="I24" s="77">
        <v>44397</v>
      </c>
      <c r="J24" s="3">
        <v>8.9999999999999993E-3</v>
      </c>
      <c r="K24" s="2">
        <v>3.9E-2</v>
      </c>
      <c r="L24" s="2"/>
      <c r="M24" s="2"/>
      <c r="N24" s="2">
        <v>0</v>
      </c>
      <c r="O24" s="2">
        <v>3.5999999999999997E-2</v>
      </c>
      <c r="P24" s="77">
        <v>44397</v>
      </c>
      <c r="Q24" s="3">
        <v>0</v>
      </c>
      <c r="R24" s="2">
        <v>1.2E-2</v>
      </c>
      <c r="S24" s="2"/>
      <c r="T24" s="2"/>
      <c r="U24" s="2">
        <v>6.0999999999999999E-2</v>
      </c>
      <c r="V24" s="2">
        <v>4.3999999999999997E-2</v>
      </c>
      <c r="W24" s="77">
        <v>44397</v>
      </c>
      <c r="X24" s="3">
        <v>0</v>
      </c>
      <c r="Y24" s="2">
        <v>2.5999999999999999E-2</v>
      </c>
      <c r="Z24" s="2"/>
      <c r="AA24" s="2"/>
      <c r="AB24" s="2">
        <v>3.9E-2</v>
      </c>
      <c r="AC24" s="2">
        <v>0.122</v>
      </c>
      <c r="AD24" s="77">
        <v>44397</v>
      </c>
      <c r="AE24" s="3">
        <v>1E-4</v>
      </c>
      <c r="AF24" s="2"/>
      <c r="AG24" s="2"/>
      <c r="AH24" s="2">
        <v>5.8000000000000003E-2</v>
      </c>
      <c r="AI24" s="77">
        <v>44397</v>
      </c>
      <c r="AJ24" s="3"/>
      <c r="AK24" s="2"/>
      <c r="AL24" s="2"/>
      <c r="AM24" s="2"/>
      <c r="AN24" s="2"/>
      <c r="AO24" s="2"/>
      <c r="AP24" s="77">
        <v>44397</v>
      </c>
      <c r="AQ24" s="3"/>
      <c r="AR24" s="2"/>
      <c r="AS24" s="2"/>
      <c r="AT24" s="2"/>
      <c r="AU24" s="2"/>
      <c r="AV24" s="107"/>
    </row>
    <row r="25" spans="1:48" ht="15.75" hidden="1" thickBot="1">
      <c r="A25" s="20">
        <v>20</v>
      </c>
      <c r="B25" s="77">
        <v>44428</v>
      </c>
      <c r="C25" s="56">
        <v>2.7000000000000001E-3</v>
      </c>
      <c r="D25" s="2">
        <v>2.1299999999999999E-2</v>
      </c>
      <c r="E25" s="2"/>
      <c r="F25" s="2"/>
      <c r="G25" s="2">
        <v>3.5999999999999997E-2</v>
      </c>
      <c r="H25" s="2">
        <v>2.4E-2</v>
      </c>
      <c r="I25" s="77">
        <v>44428</v>
      </c>
      <c r="J25" s="3">
        <v>5.0000000000000001E-3</v>
      </c>
      <c r="K25" s="2">
        <v>2.7E-2</v>
      </c>
      <c r="L25" s="2"/>
      <c r="M25" s="2"/>
      <c r="N25" s="2">
        <v>2.5000000000000001E-2</v>
      </c>
      <c r="O25" s="2">
        <v>2.8000000000000001E-2</v>
      </c>
      <c r="P25" s="77">
        <v>44428</v>
      </c>
      <c r="Q25" s="3">
        <v>1E-3</v>
      </c>
      <c r="R25" s="2">
        <v>3.2000000000000001E-2</v>
      </c>
      <c r="S25" s="2"/>
      <c r="T25" s="2"/>
      <c r="U25" s="2">
        <v>5.1999999999999998E-2</v>
      </c>
      <c r="V25" s="2">
        <v>4.5999999999999999E-2</v>
      </c>
      <c r="W25" s="77">
        <v>44428</v>
      </c>
      <c r="X25" s="3">
        <v>1.2E-2</v>
      </c>
      <c r="Y25" s="2">
        <v>2.4E-2</v>
      </c>
      <c r="Z25" s="2"/>
      <c r="AA25" s="2"/>
      <c r="AB25" s="2">
        <v>2.1999999999999999E-2</v>
      </c>
      <c r="AC25" s="2">
        <v>0.105</v>
      </c>
      <c r="AD25" s="77">
        <v>44428</v>
      </c>
      <c r="AE25" s="3">
        <v>0</v>
      </c>
      <c r="AF25" s="2"/>
      <c r="AG25" s="2"/>
      <c r="AH25" s="2">
        <v>2.7E-2</v>
      </c>
      <c r="AI25" s="77">
        <v>44428</v>
      </c>
      <c r="AJ25" s="3"/>
      <c r="AK25" s="2"/>
      <c r="AL25" s="2"/>
      <c r="AM25" s="2"/>
      <c r="AN25" s="2"/>
      <c r="AO25" s="2"/>
      <c r="AP25" s="77">
        <v>44428</v>
      </c>
      <c r="AQ25" s="3"/>
      <c r="AR25" s="2"/>
      <c r="AS25" s="2"/>
      <c r="AT25" s="2"/>
      <c r="AU25" s="2"/>
      <c r="AV25" s="107"/>
    </row>
    <row r="26" spans="1:48" ht="15.75" hidden="1" thickBot="1">
      <c r="A26" s="20">
        <v>21</v>
      </c>
      <c r="B26" s="77">
        <v>44459</v>
      </c>
      <c r="C26" s="56">
        <v>0.01</v>
      </c>
      <c r="D26" s="2">
        <v>2.4E-2</v>
      </c>
      <c r="E26" s="2"/>
      <c r="F26" s="2"/>
      <c r="G26" s="2">
        <v>1.2999999999999999E-2</v>
      </c>
      <c r="H26" s="2">
        <v>2.3E-2</v>
      </c>
      <c r="I26" s="77">
        <v>44459</v>
      </c>
      <c r="J26" s="3">
        <v>8.9999999999999993E-3</v>
      </c>
      <c r="K26" s="2">
        <v>4.1000000000000002E-2</v>
      </c>
      <c r="L26" s="2"/>
      <c r="M26" s="2"/>
      <c r="N26" s="2">
        <v>0</v>
      </c>
      <c r="O26" s="2">
        <v>2.1000000000000001E-2</v>
      </c>
      <c r="P26" s="77">
        <v>44459</v>
      </c>
      <c r="Q26" s="3">
        <v>2.1999999999999999E-2</v>
      </c>
      <c r="R26" s="2">
        <v>0.05</v>
      </c>
      <c r="S26" s="2"/>
      <c r="T26" s="2"/>
      <c r="U26" s="2">
        <v>4.5999999999999999E-2</v>
      </c>
      <c r="V26" s="2">
        <v>7.0000000000000007E-2</v>
      </c>
      <c r="W26" s="77">
        <v>44459</v>
      </c>
      <c r="X26" s="3">
        <v>1.6E-2</v>
      </c>
      <c r="Y26" s="2">
        <v>3.1E-2</v>
      </c>
      <c r="Z26" s="2"/>
      <c r="AA26" s="2"/>
      <c r="AB26" s="2">
        <v>6.0000000000000001E-3</v>
      </c>
      <c r="AC26" s="2">
        <v>0.115</v>
      </c>
      <c r="AD26" s="77">
        <v>44459</v>
      </c>
      <c r="AE26" s="3">
        <v>8.9999999999999993E-3</v>
      </c>
      <c r="AF26" s="2"/>
      <c r="AG26" s="2"/>
      <c r="AH26" s="2">
        <v>2.4E-2</v>
      </c>
      <c r="AI26" s="77">
        <v>44459</v>
      </c>
      <c r="AJ26" s="3"/>
      <c r="AK26" s="2"/>
      <c r="AL26" s="2"/>
      <c r="AM26" s="2"/>
      <c r="AN26" s="2"/>
      <c r="AO26" s="2"/>
      <c r="AP26" s="77">
        <v>44459</v>
      </c>
      <c r="AQ26" s="3"/>
      <c r="AR26" s="2"/>
      <c r="AS26" s="2"/>
      <c r="AT26" s="2"/>
      <c r="AU26" s="2"/>
      <c r="AV26" s="107"/>
    </row>
    <row r="27" spans="1:48" ht="15.75" hidden="1" thickBot="1">
      <c r="A27" s="20">
        <v>22</v>
      </c>
      <c r="B27" s="77">
        <v>44489</v>
      </c>
      <c r="C27" s="56">
        <v>2E-3</v>
      </c>
      <c r="D27" s="2">
        <v>4.5999999999999999E-2</v>
      </c>
      <c r="E27" s="2"/>
      <c r="F27" s="2"/>
      <c r="G27" s="2">
        <v>7.0000000000000001E-3</v>
      </c>
      <c r="H27" s="2">
        <v>2.8000000000000001E-2</v>
      </c>
      <c r="I27" s="77">
        <v>44489</v>
      </c>
      <c r="J27" s="3">
        <v>8.0000000000000002E-3</v>
      </c>
      <c r="K27" s="2">
        <v>3.4000000000000002E-2</v>
      </c>
      <c r="L27" s="2"/>
      <c r="M27" s="2"/>
      <c r="N27" s="2">
        <v>0</v>
      </c>
      <c r="O27" s="2">
        <v>0.03</v>
      </c>
      <c r="P27" s="77">
        <v>44489</v>
      </c>
      <c r="Q27" s="3">
        <v>1.6E-2</v>
      </c>
      <c r="R27" s="2">
        <v>4.8000000000000001E-2</v>
      </c>
      <c r="S27" s="2"/>
      <c r="T27" s="2"/>
      <c r="U27" s="2">
        <v>0.03</v>
      </c>
      <c r="V27" s="2">
        <v>8.4000000000000005E-2</v>
      </c>
      <c r="W27" s="77">
        <v>44489</v>
      </c>
      <c r="X27" s="3">
        <v>2.3E-2</v>
      </c>
      <c r="Y27" s="2">
        <v>7.0000000000000007E-2</v>
      </c>
      <c r="Z27" s="2"/>
      <c r="AA27" s="2"/>
      <c r="AB27" s="2">
        <v>2.5999999999999999E-2</v>
      </c>
      <c r="AC27" s="2">
        <v>0.109</v>
      </c>
      <c r="AD27" s="77">
        <v>44489</v>
      </c>
      <c r="AE27" s="3">
        <v>6.0000000000000001E-3</v>
      </c>
      <c r="AF27" s="2"/>
      <c r="AG27" s="2"/>
      <c r="AH27" s="2">
        <v>1.6E-2</v>
      </c>
      <c r="AI27" s="77">
        <v>44489</v>
      </c>
      <c r="AJ27" s="3"/>
      <c r="AK27" s="2"/>
      <c r="AL27" s="2"/>
      <c r="AM27" s="2"/>
      <c r="AN27" s="2"/>
      <c r="AO27" s="2"/>
      <c r="AP27" s="77">
        <v>44489</v>
      </c>
      <c r="AQ27" s="3"/>
      <c r="AR27" s="2"/>
      <c r="AS27" s="2"/>
      <c r="AT27" s="2"/>
      <c r="AU27" s="2"/>
      <c r="AV27" s="107"/>
    </row>
    <row r="28" spans="1:48" ht="15.75" hidden="1" thickBot="1">
      <c r="A28" s="20">
        <v>23</v>
      </c>
      <c r="B28" s="77">
        <v>44520</v>
      </c>
      <c r="C28" s="56">
        <v>1.7000000000000001E-2</v>
      </c>
      <c r="D28" s="2">
        <v>0.05</v>
      </c>
      <c r="E28" s="2"/>
      <c r="F28" s="2"/>
      <c r="G28" s="2">
        <v>2.5000000000000001E-2</v>
      </c>
      <c r="H28" s="2">
        <v>3.7999999999999999E-2</v>
      </c>
      <c r="I28" s="77">
        <v>44520</v>
      </c>
      <c r="J28" s="3">
        <v>2.3E-2</v>
      </c>
      <c r="K28" s="2">
        <v>4.7E-2</v>
      </c>
      <c r="L28" s="2"/>
      <c r="M28" s="2"/>
      <c r="N28" s="2">
        <v>0</v>
      </c>
      <c r="O28" s="2">
        <v>2.7E-2</v>
      </c>
      <c r="P28" s="77">
        <v>44520</v>
      </c>
      <c r="Q28" s="3">
        <v>1.4999999999999999E-2</v>
      </c>
      <c r="R28" s="2">
        <v>4.3999999999999997E-2</v>
      </c>
      <c r="S28" s="2"/>
      <c r="T28" s="2"/>
      <c r="U28" s="2">
        <v>0.03</v>
      </c>
      <c r="V28" s="2">
        <v>8.3000000000000004E-2</v>
      </c>
      <c r="W28" s="77">
        <v>44520</v>
      </c>
      <c r="X28" s="3">
        <v>2.1000000000000001E-2</v>
      </c>
      <c r="Y28" s="2">
        <v>4.3999999999999997E-2</v>
      </c>
      <c r="Z28" s="2"/>
      <c r="AA28" s="2"/>
      <c r="AB28" s="2">
        <v>3.4000000000000002E-2</v>
      </c>
      <c r="AC28" s="2">
        <v>0.13400000000000001</v>
      </c>
      <c r="AD28" s="77">
        <v>44520</v>
      </c>
      <c r="AE28" s="3">
        <v>2.0000000000000001E-4</v>
      </c>
      <c r="AF28" s="2"/>
      <c r="AG28" s="2"/>
      <c r="AH28" s="2">
        <v>1.5E-3</v>
      </c>
      <c r="AI28" s="77">
        <v>44520</v>
      </c>
      <c r="AJ28" s="3"/>
      <c r="AK28" s="2"/>
      <c r="AL28" s="2"/>
      <c r="AM28" s="2"/>
      <c r="AN28" s="2"/>
      <c r="AO28" s="2"/>
      <c r="AP28" s="77">
        <v>44520</v>
      </c>
      <c r="AQ28" s="3"/>
      <c r="AR28" s="2"/>
      <c r="AS28" s="2"/>
      <c r="AT28" s="2"/>
      <c r="AU28" s="2"/>
      <c r="AV28" s="107"/>
    </row>
    <row r="29" spans="1:48" ht="15.75" hidden="1" thickBot="1">
      <c r="A29" s="20">
        <v>24</v>
      </c>
      <c r="B29" s="78">
        <v>44550</v>
      </c>
      <c r="C29" s="73">
        <v>1.7999999999999999E-2</v>
      </c>
      <c r="D29" s="5">
        <v>6.0999999999999999E-2</v>
      </c>
      <c r="E29" s="5"/>
      <c r="F29" s="5"/>
      <c r="G29" s="5">
        <v>2.5999999999999999E-2</v>
      </c>
      <c r="H29" s="5">
        <v>0.05</v>
      </c>
      <c r="I29" s="78">
        <v>44550</v>
      </c>
      <c r="J29" s="4">
        <v>1.6E-2</v>
      </c>
      <c r="K29" s="5">
        <v>4.5999999999999999E-2</v>
      </c>
      <c r="L29" s="5"/>
      <c r="M29" s="5"/>
      <c r="N29" s="5">
        <v>0</v>
      </c>
      <c r="O29" s="5">
        <v>2.1000000000000001E-2</v>
      </c>
      <c r="P29" s="78">
        <v>44550</v>
      </c>
      <c r="Q29" s="4">
        <v>2.8000000000000001E-2</v>
      </c>
      <c r="R29" s="5">
        <v>4.4999999999999998E-2</v>
      </c>
      <c r="S29" s="5"/>
      <c r="T29" s="5"/>
      <c r="U29" s="5">
        <v>0</v>
      </c>
      <c r="V29" s="5">
        <v>7.0000000000000007E-2</v>
      </c>
      <c r="W29" s="78">
        <v>44550</v>
      </c>
      <c r="X29" s="4">
        <v>6.0000000000000001E-3</v>
      </c>
      <c r="Y29" s="5">
        <v>3.3000000000000002E-2</v>
      </c>
      <c r="Z29" s="5"/>
      <c r="AA29" s="5"/>
      <c r="AB29" s="5">
        <v>2.3E-2</v>
      </c>
      <c r="AC29" s="5">
        <v>0.12</v>
      </c>
      <c r="AD29" s="78">
        <v>44550</v>
      </c>
      <c r="AE29" s="4">
        <v>3.0000000000000001E-3</v>
      </c>
      <c r="AF29" s="5"/>
      <c r="AG29" s="5"/>
      <c r="AH29" s="5">
        <v>7.0000000000000001E-3</v>
      </c>
      <c r="AI29" s="78">
        <v>44550</v>
      </c>
      <c r="AJ29" s="4"/>
      <c r="AK29" s="50"/>
      <c r="AL29" s="5"/>
      <c r="AM29" s="5"/>
      <c r="AN29" s="5"/>
      <c r="AO29" s="5"/>
      <c r="AP29" s="78">
        <v>44550</v>
      </c>
      <c r="AQ29" s="4"/>
      <c r="AR29" s="5"/>
      <c r="AS29" s="5"/>
      <c r="AT29" s="5"/>
      <c r="AU29" s="5"/>
      <c r="AV29" s="108"/>
    </row>
    <row r="30" spans="1:48" ht="15.75" hidden="1" thickBot="1">
      <c r="B30" s="78">
        <v>44581</v>
      </c>
      <c r="C30" s="72">
        <v>4.5999999999999999E-2</v>
      </c>
      <c r="D30" s="18">
        <v>0.13400000000000001</v>
      </c>
      <c r="E30" s="18"/>
      <c r="F30" s="18"/>
      <c r="G30" s="18">
        <v>1.0999999999999999E-2</v>
      </c>
      <c r="H30" s="18">
        <v>4.2999999999999997E-2</v>
      </c>
      <c r="I30" s="78">
        <v>44581</v>
      </c>
      <c r="J30" s="32">
        <v>2.7000000000000003E-2</v>
      </c>
      <c r="K30" s="17">
        <v>0.14499999999999999</v>
      </c>
      <c r="L30" s="18"/>
      <c r="M30" s="18"/>
      <c r="N30" s="18">
        <v>0</v>
      </c>
      <c r="O30" s="18">
        <v>1.9E-2</v>
      </c>
      <c r="P30" s="78">
        <v>44581</v>
      </c>
      <c r="Q30" s="60">
        <v>0.02</v>
      </c>
      <c r="R30" s="61">
        <v>4.9000000000000002E-2</v>
      </c>
      <c r="S30" s="18"/>
      <c r="T30" s="93"/>
      <c r="U30" s="61">
        <v>2.9000000000000001E-2</v>
      </c>
      <c r="V30" s="61">
        <v>7.9000000000000001E-2</v>
      </c>
      <c r="W30" s="78">
        <v>44581</v>
      </c>
      <c r="X30" s="17">
        <v>3.3000000000000002E-2</v>
      </c>
      <c r="Y30" s="18">
        <v>7.5999999999999998E-2</v>
      </c>
      <c r="Z30" s="18"/>
      <c r="AA30" s="18"/>
      <c r="AB30" s="18">
        <v>0.02</v>
      </c>
      <c r="AC30" s="18">
        <v>0.106</v>
      </c>
      <c r="AD30" s="78">
        <v>44581</v>
      </c>
      <c r="AE30" s="17">
        <v>5.0000000000000001E-3</v>
      </c>
      <c r="AF30" s="18"/>
      <c r="AG30" s="18"/>
      <c r="AH30" s="18">
        <v>3.0000000000000001E-3</v>
      </c>
      <c r="AI30" s="78">
        <v>44581</v>
      </c>
      <c r="AJ30" s="63">
        <v>3.5000000000000001E-3</v>
      </c>
      <c r="AK30" s="65">
        <v>4.9799999999999997E-2</v>
      </c>
      <c r="AL30" s="18"/>
      <c r="AM30" s="99"/>
      <c r="AN30" s="56">
        <v>3.3000000000000002E-2</v>
      </c>
      <c r="AO30" s="26">
        <v>4.9500000000000002E-2</v>
      </c>
      <c r="AP30" s="78">
        <v>44581</v>
      </c>
      <c r="AQ30" s="35">
        <v>2.3E-2</v>
      </c>
      <c r="AR30" s="42">
        <v>5.7000000000000002E-2</v>
      </c>
      <c r="AS30" s="18"/>
      <c r="AT30" s="72"/>
      <c r="AU30" s="42">
        <v>2.5999999999999999E-2</v>
      </c>
      <c r="AV30" s="110">
        <v>0.14499999999999999</v>
      </c>
    </row>
    <row r="31" spans="1:48" ht="15.75" hidden="1" thickBot="1">
      <c r="B31" s="78">
        <v>44612</v>
      </c>
      <c r="C31" s="56">
        <v>2.9000000000000001E-2</v>
      </c>
      <c r="D31" s="2">
        <v>8.3000000000000004E-2</v>
      </c>
      <c r="E31" s="2"/>
      <c r="F31" s="2"/>
      <c r="G31" s="2">
        <v>0</v>
      </c>
      <c r="H31" s="2">
        <v>3.3000000000000002E-2</v>
      </c>
      <c r="I31" s="78">
        <v>44612</v>
      </c>
      <c r="J31" s="3">
        <v>1.9E-2</v>
      </c>
      <c r="K31" s="2">
        <v>7.0000000000000007E-2</v>
      </c>
      <c r="L31" s="2"/>
      <c r="M31" s="2"/>
      <c r="N31" s="2">
        <v>0</v>
      </c>
      <c r="O31" s="2">
        <v>2.7E-2</v>
      </c>
      <c r="P31" s="78">
        <v>44612</v>
      </c>
      <c r="Q31" s="62">
        <v>2.4E-2</v>
      </c>
      <c r="R31" s="62">
        <v>6.8000000000000005E-2</v>
      </c>
      <c r="S31" s="2"/>
      <c r="T31" s="62"/>
      <c r="U31" s="62">
        <v>0.06</v>
      </c>
      <c r="V31" s="62">
        <v>5.2999999999999999E-2</v>
      </c>
      <c r="W31" s="78">
        <v>44612</v>
      </c>
      <c r="X31" s="3">
        <v>5.0000000000000001E-3</v>
      </c>
      <c r="Y31" s="2">
        <v>6.3E-2</v>
      </c>
      <c r="Z31" s="2"/>
      <c r="AA31" s="2"/>
      <c r="AB31" s="2">
        <v>2.1000000000000001E-2</v>
      </c>
      <c r="AC31" s="2">
        <v>9.8000000000000004E-2</v>
      </c>
      <c r="AD31" s="78">
        <v>44612</v>
      </c>
      <c r="AE31" s="3">
        <v>8.0000000000000007E-5</v>
      </c>
      <c r="AF31" s="2"/>
      <c r="AG31" s="2"/>
      <c r="AH31" s="2">
        <v>3.0000000000000001E-5</v>
      </c>
      <c r="AI31" s="78">
        <v>44612</v>
      </c>
      <c r="AJ31" s="63">
        <v>2.3999999999999998E-3</v>
      </c>
      <c r="AK31" s="64">
        <v>5.2400000000000002E-2</v>
      </c>
      <c r="AL31" s="2"/>
      <c r="AM31" s="56"/>
      <c r="AN31" s="56">
        <v>0.03</v>
      </c>
      <c r="AO31" s="2">
        <v>5.8999999999999997E-2</v>
      </c>
      <c r="AP31" s="78">
        <v>44612</v>
      </c>
      <c r="AQ31" s="37">
        <v>2.9000000000000001E-2</v>
      </c>
      <c r="AR31" s="36">
        <v>7.6999999999999999E-2</v>
      </c>
      <c r="AS31" s="2"/>
      <c r="AT31" s="99"/>
      <c r="AU31" s="36">
        <v>2.5000000000000001E-2</v>
      </c>
      <c r="AV31" s="111">
        <v>0.105</v>
      </c>
    </row>
    <row r="32" spans="1:48" ht="15.75" hidden="1" thickBot="1">
      <c r="B32" s="78">
        <v>44640</v>
      </c>
      <c r="C32" s="74">
        <v>2.8000000000000001E-2</v>
      </c>
      <c r="D32" s="31">
        <v>7.5999999999999998E-2</v>
      </c>
      <c r="E32" s="31"/>
      <c r="F32" s="31"/>
      <c r="G32" s="31">
        <v>4.0000000000000001E-3</v>
      </c>
      <c r="H32" s="31">
        <v>3.9E-2</v>
      </c>
      <c r="I32" s="78">
        <v>44640</v>
      </c>
      <c r="J32" s="30">
        <v>7.0000000000000001E-3</v>
      </c>
      <c r="K32" s="31">
        <v>3.2000000000000001E-2</v>
      </c>
      <c r="L32" s="31"/>
      <c r="M32" s="31"/>
      <c r="N32" s="31">
        <v>1.7000000000000001E-2</v>
      </c>
      <c r="O32" s="31">
        <v>2.8000000000000001E-2</v>
      </c>
      <c r="P32" s="78">
        <v>44640</v>
      </c>
      <c r="Q32" s="30">
        <v>2.5999999999999999E-2</v>
      </c>
      <c r="R32" s="31">
        <v>3.9E-2</v>
      </c>
      <c r="S32" s="31"/>
      <c r="T32" s="31"/>
      <c r="U32" s="31">
        <v>5.1999999999999998E-2</v>
      </c>
      <c r="V32" s="31">
        <v>5.8999999999999997E-2</v>
      </c>
      <c r="W32" s="78">
        <v>44640</v>
      </c>
      <c r="X32" s="30">
        <v>1.7999999999999999E-2</v>
      </c>
      <c r="Y32" s="31">
        <v>7.4999999999999997E-2</v>
      </c>
      <c r="Z32" s="31"/>
      <c r="AA32" s="31"/>
      <c r="AB32" s="31">
        <v>1.9E-2</v>
      </c>
      <c r="AC32" s="31">
        <v>0.106</v>
      </c>
      <c r="AD32" s="78">
        <v>44640</v>
      </c>
      <c r="AE32" s="28">
        <v>1E-3</v>
      </c>
      <c r="AF32" s="31"/>
      <c r="AG32" s="29"/>
      <c r="AH32" s="29">
        <v>1.1000000000000001E-3</v>
      </c>
      <c r="AI32" s="78">
        <v>44640</v>
      </c>
      <c r="AJ32" s="63">
        <v>7.0000000000000001E-3</v>
      </c>
      <c r="AK32" s="64">
        <v>4.6199999999999998E-2</v>
      </c>
      <c r="AL32" s="31"/>
      <c r="AM32" s="74"/>
      <c r="AN32" s="56">
        <v>3.3000000000000002E-2</v>
      </c>
      <c r="AO32" s="2">
        <v>6.7000000000000004E-2</v>
      </c>
      <c r="AP32" s="78">
        <v>44640</v>
      </c>
      <c r="AQ32" s="41">
        <v>0</v>
      </c>
      <c r="AR32" s="36">
        <v>3.9E-2</v>
      </c>
      <c r="AS32" s="31"/>
      <c r="AT32" s="101"/>
      <c r="AU32" s="40">
        <v>2.5000000000000001E-2</v>
      </c>
      <c r="AV32" s="111">
        <v>0.122</v>
      </c>
    </row>
    <row r="33" spans="1:48" ht="15.75" hidden="1" thickBot="1">
      <c r="A33" t="s">
        <v>2</v>
      </c>
      <c r="B33" s="78">
        <v>44671</v>
      </c>
      <c r="C33" s="74">
        <v>2.2100000000000002E-2</v>
      </c>
      <c r="D33" s="31">
        <v>4.1300000000000003E-2</v>
      </c>
      <c r="E33" s="31"/>
      <c r="F33" s="31"/>
      <c r="G33" s="31">
        <v>0</v>
      </c>
      <c r="H33" s="31">
        <v>3.7600000000000001E-2</v>
      </c>
      <c r="I33" s="78">
        <v>44671</v>
      </c>
      <c r="J33" s="30">
        <v>1.2999999999999999E-2</v>
      </c>
      <c r="K33" s="31">
        <v>4.8000000000000001E-2</v>
      </c>
      <c r="L33" s="31"/>
      <c r="M33" s="31"/>
      <c r="N33" s="31">
        <v>1.2999999999999999E-2</v>
      </c>
      <c r="O33" s="31">
        <v>3.4000000000000002E-2</v>
      </c>
      <c r="P33" s="78">
        <v>44671</v>
      </c>
      <c r="Q33" s="30">
        <v>3.6999999999999998E-2</v>
      </c>
      <c r="R33" s="31">
        <v>0.05</v>
      </c>
      <c r="S33" s="31"/>
      <c r="T33" s="31"/>
      <c r="U33" s="31">
        <v>2.4E-2</v>
      </c>
      <c r="V33" s="31">
        <v>5.8000000000000003E-2</v>
      </c>
      <c r="W33" s="78">
        <v>44671</v>
      </c>
      <c r="X33" s="30">
        <v>4.3999999999999997E-2</v>
      </c>
      <c r="Y33" s="31">
        <v>5.5E-2</v>
      </c>
      <c r="Z33" s="31"/>
      <c r="AA33" s="31"/>
      <c r="AB33" s="31">
        <v>1.9E-2</v>
      </c>
      <c r="AC33" s="31">
        <v>0.11700000000000001</v>
      </c>
      <c r="AD33" s="78">
        <v>44671</v>
      </c>
      <c r="AE33" s="30">
        <v>0</v>
      </c>
      <c r="AF33" s="31"/>
      <c r="AG33" s="31"/>
      <c r="AH33" s="31">
        <v>0</v>
      </c>
      <c r="AI33" s="78">
        <v>44671</v>
      </c>
      <c r="AJ33" s="63">
        <v>4.3E-3</v>
      </c>
      <c r="AK33" s="64">
        <v>6.1899999999999997E-2</v>
      </c>
      <c r="AL33" s="31"/>
      <c r="AM33" s="74"/>
      <c r="AN33" s="56">
        <v>3.5000000000000003E-2</v>
      </c>
      <c r="AO33" s="2">
        <v>8.1000000000000003E-2</v>
      </c>
      <c r="AP33" s="78">
        <v>44671</v>
      </c>
      <c r="AQ33" s="39">
        <v>0</v>
      </c>
      <c r="AR33" s="36">
        <v>2.5999999999999999E-2</v>
      </c>
      <c r="AS33" s="31"/>
      <c r="AT33" s="74"/>
      <c r="AU33" s="38">
        <v>2.5999999999999999E-2</v>
      </c>
      <c r="AV33" s="111">
        <v>0.14199999999999999</v>
      </c>
    </row>
    <row r="34" spans="1:48" ht="15.75" hidden="1" thickBot="1">
      <c r="B34" s="78">
        <v>44701</v>
      </c>
      <c r="C34" s="56">
        <v>1.7899999999999999E-2</v>
      </c>
      <c r="D34" s="2">
        <v>4.7399999999999998E-2</v>
      </c>
      <c r="E34" s="2"/>
      <c r="F34" s="2"/>
      <c r="G34" s="2">
        <v>2.81E-2</v>
      </c>
      <c r="H34" s="2">
        <v>3.4000000000000002E-2</v>
      </c>
      <c r="I34" s="78">
        <v>44701</v>
      </c>
      <c r="J34" s="3">
        <v>8.9999999999999993E-3</v>
      </c>
      <c r="K34" s="2">
        <v>3.4000000000000002E-2</v>
      </c>
      <c r="L34" s="2"/>
      <c r="M34" s="2"/>
      <c r="N34" s="2">
        <v>1.7999999999999999E-2</v>
      </c>
      <c r="O34" s="2">
        <v>3.5999999999999997E-2</v>
      </c>
      <c r="P34" s="78">
        <v>44701</v>
      </c>
      <c r="Q34" s="3">
        <v>5.0000000000000001E-3</v>
      </c>
      <c r="R34" s="2">
        <v>3.2000000000000001E-2</v>
      </c>
      <c r="S34" s="2"/>
      <c r="T34" s="2"/>
      <c r="U34" s="2">
        <v>8.0000000000000002E-3</v>
      </c>
      <c r="V34" s="2">
        <v>5.1999999999999998E-2</v>
      </c>
      <c r="W34" s="78">
        <v>44701</v>
      </c>
      <c r="X34" s="3">
        <v>2E-3</v>
      </c>
      <c r="Y34" s="2">
        <v>0.03</v>
      </c>
      <c r="Z34" s="2"/>
      <c r="AA34" s="2"/>
      <c r="AB34" s="2">
        <v>2.1000000000000001E-2</v>
      </c>
      <c r="AC34" s="2">
        <v>0.11</v>
      </c>
      <c r="AD34" s="78">
        <v>44701</v>
      </c>
      <c r="AE34" s="3">
        <v>2E-3</v>
      </c>
      <c r="AF34" s="2"/>
      <c r="AG34" s="2"/>
      <c r="AH34" s="2">
        <v>0</v>
      </c>
      <c r="AI34" s="78">
        <v>44701</v>
      </c>
      <c r="AJ34" s="3">
        <v>2.63E-2</v>
      </c>
      <c r="AK34" s="2">
        <v>3.7400000000000003E-2</v>
      </c>
      <c r="AL34" s="2"/>
      <c r="AM34" s="2"/>
      <c r="AN34" s="2">
        <v>4.3999999999999997E-2</v>
      </c>
      <c r="AO34" s="2">
        <v>7.1999999999999995E-2</v>
      </c>
      <c r="AP34" s="78">
        <v>44701</v>
      </c>
      <c r="AQ34" s="37">
        <v>0</v>
      </c>
      <c r="AR34" s="36">
        <v>0.02</v>
      </c>
      <c r="AS34" s="2"/>
      <c r="AT34" s="99"/>
      <c r="AU34" s="36">
        <v>2.5000000000000001E-2</v>
      </c>
      <c r="AV34" s="111">
        <v>0.11700000000000001</v>
      </c>
    </row>
    <row r="35" spans="1:48" ht="15.75" hidden="1" thickBot="1">
      <c r="B35" s="78">
        <v>44732</v>
      </c>
      <c r="C35" s="56">
        <v>1.2999999999999999E-2</v>
      </c>
      <c r="D35" s="2">
        <v>4.8000000000000001E-2</v>
      </c>
      <c r="E35" s="2"/>
      <c r="F35" s="2"/>
      <c r="G35" s="2">
        <v>3.5000000000000003E-2</v>
      </c>
      <c r="H35" s="2">
        <v>3.6999999999999998E-2</v>
      </c>
      <c r="I35" s="78">
        <v>44732</v>
      </c>
      <c r="J35" s="3">
        <v>0.02</v>
      </c>
      <c r="K35" s="2">
        <v>3.5000000000000003E-2</v>
      </c>
      <c r="L35" s="2"/>
      <c r="M35" s="2"/>
      <c r="N35" s="2">
        <v>0</v>
      </c>
      <c r="O35" s="2">
        <v>0.04</v>
      </c>
      <c r="P35" s="78">
        <v>44732</v>
      </c>
      <c r="Q35" s="3">
        <v>3.1E-2</v>
      </c>
      <c r="R35" s="2">
        <v>2.1999999999999999E-2</v>
      </c>
      <c r="S35" s="2"/>
      <c r="T35" s="2"/>
      <c r="U35" s="2">
        <v>3.0000000000000001E-3</v>
      </c>
      <c r="V35" s="2">
        <v>4.4999999999999998E-2</v>
      </c>
      <c r="W35" s="78">
        <v>44732</v>
      </c>
      <c r="X35" s="3">
        <v>2.1000000000000001E-2</v>
      </c>
      <c r="Y35" s="2">
        <v>3.2000000000000001E-2</v>
      </c>
      <c r="Z35" s="2"/>
      <c r="AA35" s="2"/>
      <c r="AB35" s="2">
        <v>1.7999999999999999E-2</v>
      </c>
      <c r="AC35" s="2">
        <v>0.105</v>
      </c>
      <c r="AD35" s="78">
        <v>44732</v>
      </c>
      <c r="AE35" s="3">
        <v>2E-3</v>
      </c>
      <c r="AF35" s="2"/>
      <c r="AG35" s="2"/>
      <c r="AH35" s="2">
        <v>0</v>
      </c>
      <c r="AI35" s="78">
        <v>44732</v>
      </c>
      <c r="AJ35" s="34">
        <v>4.0599999999999997E-2</v>
      </c>
      <c r="AK35" s="27">
        <v>2.4799999999999999E-2</v>
      </c>
      <c r="AL35" s="2"/>
      <c r="AM35" s="2"/>
      <c r="AN35" s="2">
        <v>0</v>
      </c>
      <c r="AO35" s="27">
        <v>9.4399999999999998E-2</v>
      </c>
      <c r="AP35" s="78">
        <v>44732</v>
      </c>
      <c r="AQ35" s="37">
        <v>2.1000000000000001E-2</v>
      </c>
      <c r="AR35" s="36">
        <v>1.6E-2</v>
      </c>
      <c r="AS35" s="2"/>
      <c r="AT35" s="99"/>
      <c r="AU35" s="36">
        <v>2.1999999999999999E-2</v>
      </c>
      <c r="AV35" s="111">
        <v>0.124</v>
      </c>
    </row>
    <row r="36" spans="1:48" ht="15.75" hidden="1" thickBot="1">
      <c r="B36" s="78">
        <v>44762</v>
      </c>
      <c r="C36" s="56">
        <v>6.0000000000000001E-3</v>
      </c>
      <c r="D36" s="2">
        <v>2.5000000000000001E-2</v>
      </c>
      <c r="E36" s="2"/>
      <c r="F36" s="2"/>
      <c r="G36" s="2">
        <v>2.1999999999999999E-2</v>
      </c>
      <c r="H36" s="2">
        <v>2.7E-2</v>
      </c>
      <c r="I36" s="78">
        <v>44762</v>
      </c>
      <c r="J36" s="3">
        <v>3.0000000000000001E-3</v>
      </c>
      <c r="K36" s="2">
        <v>1.6E-2</v>
      </c>
      <c r="L36" s="2"/>
      <c r="M36" s="2"/>
      <c r="N36" s="2">
        <v>0</v>
      </c>
      <c r="O36" s="2">
        <v>2.4E-2</v>
      </c>
      <c r="P36" s="78">
        <v>44762</v>
      </c>
      <c r="Q36" s="3">
        <v>2.8000000000000001E-2</v>
      </c>
      <c r="R36" s="2">
        <v>2.1999999999999999E-2</v>
      </c>
      <c r="S36" s="2"/>
      <c r="T36" s="2"/>
      <c r="U36" s="2">
        <v>0</v>
      </c>
      <c r="V36" s="2">
        <v>1.4999999999999999E-2</v>
      </c>
      <c r="W36" s="78">
        <v>44762</v>
      </c>
      <c r="X36" s="3">
        <v>1.6E-2</v>
      </c>
      <c r="Y36" s="2">
        <v>4.9000000000000002E-2</v>
      </c>
      <c r="Z36" s="2"/>
      <c r="AA36" s="2"/>
      <c r="AB36" s="2">
        <v>1.7999999999999999E-2</v>
      </c>
      <c r="AC36" s="2">
        <v>0.08</v>
      </c>
      <c r="AD36" s="78">
        <v>44762</v>
      </c>
      <c r="AE36" s="3">
        <v>8.0000000000000002E-3</v>
      </c>
      <c r="AF36" s="2"/>
      <c r="AG36" s="2"/>
      <c r="AH36" s="2">
        <v>8.0000000000000002E-3</v>
      </c>
      <c r="AI36" s="78">
        <v>44762</v>
      </c>
      <c r="AJ36" s="3">
        <v>3.4200000000000001E-2</v>
      </c>
      <c r="AK36" s="2">
        <v>2.3099999999999999E-2</v>
      </c>
      <c r="AL36" s="2"/>
      <c r="AM36" s="2"/>
      <c r="AN36" s="2">
        <v>1.6400000000000001E-2</v>
      </c>
      <c r="AO36" s="2">
        <v>0.08</v>
      </c>
      <c r="AP36" s="78">
        <v>44762</v>
      </c>
      <c r="AQ36" s="37">
        <v>2.5999999999999999E-2</v>
      </c>
      <c r="AR36" s="36">
        <v>1.2999999999999999E-2</v>
      </c>
      <c r="AS36" s="2"/>
      <c r="AT36" s="99"/>
      <c r="AU36" s="36">
        <v>2.5000000000000001E-2</v>
      </c>
      <c r="AV36" s="111">
        <v>0.112</v>
      </c>
    </row>
    <row r="37" spans="1:48" ht="15.75" hidden="1" thickBot="1">
      <c r="B37" s="78">
        <v>44793</v>
      </c>
      <c r="C37" s="56">
        <v>1.9E-2</v>
      </c>
      <c r="D37" s="2">
        <v>2.9000000000000001E-2</v>
      </c>
      <c r="E37" s="2"/>
      <c r="F37" s="2"/>
      <c r="G37" s="2">
        <v>1.7999999999999999E-2</v>
      </c>
      <c r="H37" s="2">
        <v>1.9E-2</v>
      </c>
      <c r="I37" s="78">
        <v>44793</v>
      </c>
      <c r="J37" s="3">
        <v>1.7999999999999999E-2</v>
      </c>
      <c r="K37" s="2">
        <v>2.1999999999999999E-2</v>
      </c>
      <c r="L37" s="2"/>
      <c r="M37" s="2"/>
      <c r="N37" s="2">
        <v>0.01</v>
      </c>
      <c r="O37" s="2">
        <v>3.4000000000000002E-2</v>
      </c>
      <c r="P37" s="78">
        <v>44793</v>
      </c>
      <c r="Q37" s="3">
        <v>3.0000000000000001E-3</v>
      </c>
      <c r="R37" s="2">
        <v>3.6999999999999998E-2</v>
      </c>
      <c r="S37" s="2"/>
      <c r="T37" s="2"/>
      <c r="U37" s="2">
        <v>7.0000000000000001E-3</v>
      </c>
      <c r="V37" s="2">
        <v>2.5999999999999999E-2</v>
      </c>
      <c r="W37" s="78">
        <v>44793</v>
      </c>
      <c r="X37" s="3">
        <v>0</v>
      </c>
      <c r="Y37" s="2">
        <v>4.1000000000000002E-2</v>
      </c>
      <c r="Z37" s="2"/>
      <c r="AA37" s="2"/>
      <c r="AB37" s="2">
        <v>1.9E-2</v>
      </c>
      <c r="AC37" s="2">
        <v>7.8E-2</v>
      </c>
      <c r="AD37" s="78">
        <v>44793</v>
      </c>
      <c r="AE37" s="3">
        <v>1.0999999999999999E-2</v>
      </c>
      <c r="AF37" s="2"/>
      <c r="AG37" s="2"/>
      <c r="AH37" s="2">
        <v>0</v>
      </c>
      <c r="AI37" s="78">
        <v>44793</v>
      </c>
      <c r="AJ37" s="3">
        <v>1.77E-2</v>
      </c>
      <c r="AK37" s="2">
        <v>3.0099999999999998E-2</v>
      </c>
      <c r="AL37" s="2"/>
      <c r="AM37" s="2"/>
      <c r="AN37" s="2">
        <v>0</v>
      </c>
      <c r="AO37" s="2">
        <v>8.3199999999999996E-2</v>
      </c>
      <c r="AP37" s="78">
        <v>44793</v>
      </c>
      <c r="AQ37" s="37">
        <v>5.0000000000000001E-3</v>
      </c>
      <c r="AR37" s="36">
        <v>1.9E-2</v>
      </c>
      <c r="AS37" s="2"/>
      <c r="AT37" s="99"/>
      <c r="AU37" s="36">
        <v>2.4E-2</v>
      </c>
      <c r="AV37" s="111">
        <v>9.4E-2</v>
      </c>
    </row>
    <row r="38" spans="1:48" ht="15.75" hidden="1" thickBot="1">
      <c r="B38" s="78">
        <v>44824</v>
      </c>
      <c r="C38" s="56">
        <v>3.0000000000000001E-3</v>
      </c>
      <c r="D38" s="2">
        <v>4.2000000000000003E-2</v>
      </c>
      <c r="E38" s="2"/>
      <c r="F38" s="2"/>
      <c r="G38" s="2">
        <v>1.7000000000000001E-2</v>
      </c>
      <c r="H38" s="2">
        <v>2.8000000000000001E-2</v>
      </c>
      <c r="I38" s="78">
        <v>44824</v>
      </c>
      <c r="J38" s="3">
        <v>1.0999999999999999E-2</v>
      </c>
      <c r="K38" s="2">
        <v>3.4000000000000002E-2</v>
      </c>
      <c r="L38" s="2"/>
      <c r="M38" s="2"/>
      <c r="N38" s="2">
        <v>0.02</v>
      </c>
      <c r="O38" s="2">
        <v>3.3000000000000002E-2</v>
      </c>
      <c r="P38" s="78">
        <v>44824</v>
      </c>
      <c r="Q38" s="3">
        <v>7.0000000000000001E-3</v>
      </c>
      <c r="R38" s="2">
        <v>0.03</v>
      </c>
      <c r="S38" s="2"/>
      <c r="T38" s="2"/>
      <c r="U38" s="2">
        <v>2.7E-2</v>
      </c>
      <c r="V38" s="2">
        <v>7.4999999999999997E-2</v>
      </c>
      <c r="W38" s="78">
        <v>44824</v>
      </c>
      <c r="X38" s="3">
        <v>4.0000000000000001E-3</v>
      </c>
      <c r="Y38" s="2">
        <v>6.5000000000000002E-2</v>
      </c>
      <c r="Z38" s="2"/>
      <c r="AA38" s="2"/>
      <c r="AB38" s="2">
        <v>1.9E-2</v>
      </c>
      <c r="AC38" s="2">
        <v>9.7000000000000003E-2</v>
      </c>
      <c r="AD38" s="78">
        <v>44824</v>
      </c>
      <c r="AE38" s="3">
        <v>2.5000000000000001E-2</v>
      </c>
      <c r="AF38" s="2"/>
      <c r="AG38" s="2"/>
      <c r="AH38" s="2">
        <v>0</v>
      </c>
      <c r="AI38" s="78">
        <v>44824</v>
      </c>
      <c r="AJ38" s="3">
        <v>3.5700000000000003E-2</v>
      </c>
      <c r="AK38" s="2">
        <v>4.3999999999999997E-2</v>
      </c>
      <c r="AL38" s="2"/>
      <c r="AM38" s="2"/>
      <c r="AN38" s="2">
        <v>0</v>
      </c>
      <c r="AO38" s="2">
        <v>0.1079</v>
      </c>
      <c r="AP38" s="78">
        <v>44824</v>
      </c>
      <c r="AQ38" s="37">
        <v>1E-3</v>
      </c>
      <c r="AR38" s="36">
        <v>0.02</v>
      </c>
      <c r="AS38" s="2"/>
      <c r="AT38" s="99"/>
      <c r="AU38" s="36">
        <v>0</v>
      </c>
      <c r="AV38" s="111">
        <v>0.106</v>
      </c>
    </row>
    <row r="39" spans="1:48" ht="15.75" hidden="1" thickBot="1">
      <c r="B39" s="78">
        <v>44854</v>
      </c>
      <c r="C39" s="56">
        <v>1.6E-2</v>
      </c>
      <c r="D39" s="2">
        <v>4.8000000000000001E-2</v>
      </c>
      <c r="E39" s="2"/>
      <c r="F39" s="2"/>
      <c r="G39" s="2">
        <v>1.6E-2</v>
      </c>
      <c r="H39" s="2">
        <v>2.7E-2</v>
      </c>
      <c r="I39" s="78">
        <v>44854</v>
      </c>
      <c r="J39" s="3">
        <v>1.6E-2</v>
      </c>
      <c r="K39" s="2">
        <v>3.6999999999999998E-2</v>
      </c>
      <c r="L39" s="2"/>
      <c r="M39" s="2"/>
      <c r="N39" s="2">
        <v>4.2000000000000003E-2</v>
      </c>
      <c r="O39" s="2">
        <v>3.1E-2</v>
      </c>
      <c r="P39" s="78">
        <v>44854</v>
      </c>
      <c r="Q39" s="3">
        <v>5.0000000000000001E-3</v>
      </c>
      <c r="R39" s="2">
        <v>2.4E-2</v>
      </c>
      <c r="S39" s="2"/>
      <c r="T39" s="2"/>
      <c r="U39" s="2">
        <v>2E-3</v>
      </c>
      <c r="V39" s="2">
        <v>4.1000000000000002E-2</v>
      </c>
      <c r="W39" s="78">
        <v>44854</v>
      </c>
      <c r="X39" s="3">
        <v>3.1E-2</v>
      </c>
      <c r="Y39" s="2">
        <v>5.8999999999999997E-2</v>
      </c>
      <c r="Z39" s="2"/>
      <c r="AA39" s="2"/>
      <c r="AB39" s="2">
        <v>1.9E-2</v>
      </c>
      <c r="AC39" s="2">
        <v>0.113</v>
      </c>
      <c r="AD39" s="78">
        <v>44854</v>
      </c>
      <c r="AE39" s="3">
        <v>2.7000000000000001E-3</v>
      </c>
      <c r="AF39" s="2"/>
      <c r="AG39" s="2"/>
      <c r="AH39" s="2">
        <v>0</v>
      </c>
      <c r="AI39" s="78">
        <v>44854</v>
      </c>
      <c r="AJ39" s="3">
        <v>2.3099999999999999E-2</v>
      </c>
      <c r="AK39" s="2">
        <v>5.8799999999999998E-2</v>
      </c>
      <c r="AL39" s="2"/>
      <c r="AM39" s="2"/>
      <c r="AN39" s="2">
        <v>0</v>
      </c>
      <c r="AO39" s="2">
        <v>8.43E-2</v>
      </c>
      <c r="AP39" s="78">
        <v>44854</v>
      </c>
      <c r="AQ39" s="39">
        <v>1.0999999999999999E-2</v>
      </c>
      <c r="AR39" s="38">
        <v>5.7000000000000002E-2</v>
      </c>
      <c r="AS39" s="2"/>
      <c r="AT39" s="56"/>
      <c r="AU39" s="38">
        <v>3.5000000000000003E-2</v>
      </c>
      <c r="AV39" s="112">
        <v>0.151</v>
      </c>
    </row>
    <row r="40" spans="1:48" ht="15.75" hidden="1" thickBot="1">
      <c r="B40" s="78">
        <v>44885</v>
      </c>
      <c r="C40" s="56">
        <v>1.0999999999999999E-2</v>
      </c>
      <c r="D40" s="2">
        <v>4.9000000000000002E-2</v>
      </c>
      <c r="E40" s="2"/>
      <c r="F40" s="2"/>
      <c r="G40" s="2">
        <v>8.0000000000000002E-3</v>
      </c>
      <c r="H40" s="2">
        <v>2.8000000000000001E-2</v>
      </c>
      <c r="I40" s="78">
        <v>44885</v>
      </c>
      <c r="J40" s="3">
        <v>3.5000000000000003E-2</v>
      </c>
      <c r="K40" s="2">
        <v>4.2999999999999997E-2</v>
      </c>
      <c r="L40" s="2"/>
      <c r="M40" s="2"/>
      <c r="N40" s="2">
        <v>3.5000000000000003E-2</v>
      </c>
      <c r="O40" s="2">
        <v>3.5000000000000003E-2</v>
      </c>
      <c r="P40" s="78">
        <v>44885</v>
      </c>
      <c r="Q40" s="3">
        <v>2E-3</v>
      </c>
      <c r="R40" s="2">
        <v>2.3E-2</v>
      </c>
      <c r="S40" s="2"/>
      <c r="T40" s="2"/>
      <c r="U40" s="2">
        <v>0</v>
      </c>
      <c r="V40" s="2">
        <v>5.0999999999999997E-2</v>
      </c>
      <c r="W40" s="78">
        <v>44885</v>
      </c>
      <c r="X40" s="3">
        <v>1.2E-2</v>
      </c>
      <c r="Y40" s="2">
        <v>3.5000000000000003E-2</v>
      </c>
      <c r="Z40" s="2"/>
      <c r="AA40" s="2"/>
      <c r="AB40" s="2">
        <v>1.9E-2</v>
      </c>
      <c r="AC40" s="2">
        <v>0.11</v>
      </c>
      <c r="AD40" s="78">
        <v>44885</v>
      </c>
      <c r="AE40" s="3">
        <v>1.2999999999999999E-2</v>
      </c>
      <c r="AF40" s="2"/>
      <c r="AG40" s="2"/>
      <c r="AH40" s="2">
        <v>0</v>
      </c>
      <c r="AI40" s="78">
        <v>44885</v>
      </c>
      <c r="AJ40" s="3">
        <v>2.9600000000000001E-2</v>
      </c>
      <c r="AK40" s="2">
        <v>5.1700000000000003E-2</v>
      </c>
      <c r="AL40" s="2"/>
      <c r="AM40" s="2"/>
      <c r="AN40" s="2">
        <v>0</v>
      </c>
      <c r="AO40" s="2">
        <v>7.0000000000000007E-2</v>
      </c>
      <c r="AP40" s="78">
        <v>44885</v>
      </c>
      <c r="AQ40" s="37">
        <f>28*7.5/(157.5*49)/100%</f>
        <v>2.7210884353741496E-2</v>
      </c>
      <c r="AR40" s="36">
        <f>190*7.5/(261*157.5)/100%</f>
        <v>3.4665207079000185E-2</v>
      </c>
      <c r="AS40" s="2"/>
      <c r="AT40" s="99"/>
      <c r="AU40" s="36">
        <f>22*7.5/(49*157.5)/100%</f>
        <v>2.1379980563654033E-2</v>
      </c>
      <c r="AV40" s="111">
        <f>611*7.5/(261*157.5)/100%</f>
        <v>0.11147600802773217</v>
      </c>
    </row>
    <row r="41" spans="1:48" ht="15.75" hidden="1" thickBot="1">
      <c r="B41" s="78">
        <v>44915</v>
      </c>
      <c r="C41" s="73">
        <v>0.04</v>
      </c>
      <c r="D41" s="5">
        <v>7.6999999999999999E-2</v>
      </c>
      <c r="E41" s="5"/>
      <c r="F41" s="5"/>
      <c r="G41" s="5">
        <v>1E-3</v>
      </c>
      <c r="H41" s="5">
        <v>3.6999999999999998E-2</v>
      </c>
      <c r="I41" s="78">
        <v>44915</v>
      </c>
      <c r="J41" s="4">
        <v>3.7999999999999999E-2</v>
      </c>
      <c r="K41" s="5">
        <v>6.2E-2</v>
      </c>
      <c r="L41" s="5"/>
      <c r="M41" s="5"/>
      <c r="N41" s="5">
        <v>3.3000000000000002E-2</v>
      </c>
      <c r="O41" s="5">
        <v>3.3000000000000002E-2</v>
      </c>
      <c r="P41" s="78">
        <v>44915</v>
      </c>
      <c r="Q41" s="4">
        <v>1.2999999999999999E-2</v>
      </c>
      <c r="R41" s="5">
        <v>3.9E-2</v>
      </c>
      <c r="S41" s="5"/>
      <c r="T41" s="5"/>
      <c r="U41" s="5">
        <v>8.9999999999999993E-3</v>
      </c>
      <c r="V41" s="5">
        <v>6.8000000000000005E-2</v>
      </c>
      <c r="W41" s="78">
        <v>44915</v>
      </c>
      <c r="X41" s="4">
        <v>3.1E-2</v>
      </c>
      <c r="Y41" s="5">
        <v>4.4999999999999998E-2</v>
      </c>
      <c r="Z41" s="5"/>
      <c r="AA41" s="5"/>
      <c r="AB41" s="5">
        <v>1.9E-2</v>
      </c>
      <c r="AC41" s="5">
        <v>0.105</v>
      </c>
      <c r="AD41" s="78">
        <v>44915</v>
      </c>
      <c r="AE41" s="4">
        <v>1.7999999999999999E-2</v>
      </c>
      <c r="AF41" s="5"/>
      <c r="AG41" s="5"/>
      <c r="AH41" s="5">
        <v>2E-3</v>
      </c>
      <c r="AI41" s="78">
        <v>44915</v>
      </c>
      <c r="AJ41" s="4">
        <v>7.4999999999999997E-3</v>
      </c>
      <c r="AK41" s="5">
        <v>5.33E-2</v>
      </c>
      <c r="AL41" s="5"/>
      <c r="AM41" s="5"/>
      <c r="AN41" s="5">
        <v>0</v>
      </c>
      <c r="AO41" s="5">
        <v>5.0599999999999999E-2</v>
      </c>
      <c r="AP41" s="78">
        <v>44915</v>
      </c>
      <c r="AQ41" s="44">
        <f>4*7.5/(165*54)/100%</f>
        <v>3.3670033670033669E-3</v>
      </c>
      <c r="AR41" s="43">
        <f>242*7.5/(267*165)/100%</f>
        <v>4.1198501872659173E-2</v>
      </c>
      <c r="AS41" s="5"/>
      <c r="AT41" s="5"/>
      <c r="AU41" s="43">
        <f>48*7.5/(54*165)/100%</f>
        <v>4.0404040404040407E-2</v>
      </c>
      <c r="AV41" s="113">
        <f>795*7.5/(267*165)/100%</f>
        <v>0.13534218590398367</v>
      </c>
    </row>
    <row r="42" spans="1:48" ht="15.75" hidden="1" thickBot="1">
      <c r="B42" s="78">
        <v>44946</v>
      </c>
      <c r="C42" s="72">
        <v>1.4E-2</v>
      </c>
      <c r="D42" s="18">
        <v>5.1999999999999998E-2</v>
      </c>
      <c r="E42" s="18"/>
      <c r="F42" s="18"/>
      <c r="G42" s="18">
        <v>1.6E-2</v>
      </c>
      <c r="H42" s="18">
        <v>3.9E-2</v>
      </c>
      <c r="I42" s="78">
        <v>44946</v>
      </c>
      <c r="J42" s="17">
        <v>2.1000000000000001E-2</v>
      </c>
      <c r="K42" s="18">
        <v>3.7999999999999999E-2</v>
      </c>
      <c r="L42" s="18"/>
      <c r="M42" s="18"/>
      <c r="N42" s="18">
        <v>1.0999999999999999E-2</v>
      </c>
      <c r="O42" s="18">
        <v>0.03</v>
      </c>
      <c r="P42" s="78">
        <v>44946</v>
      </c>
      <c r="Q42" s="17">
        <v>3.2000000000000001E-2</v>
      </c>
      <c r="R42" s="18">
        <v>4.5999999999999999E-2</v>
      </c>
      <c r="S42" s="18"/>
      <c r="T42" s="18"/>
      <c r="U42" s="18">
        <v>1.7000000000000001E-2</v>
      </c>
      <c r="V42" s="18">
        <v>0.06</v>
      </c>
      <c r="W42" s="78">
        <v>44946</v>
      </c>
      <c r="X42" s="17">
        <v>0.02</v>
      </c>
      <c r="Y42" s="18">
        <v>4.4999999999999998E-2</v>
      </c>
      <c r="Z42" s="18"/>
      <c r="AA42" s="18"/>
      <c r="AB42" s="18">
        <v>1.7999999999999999E-2</v>
      </c>
      <c r="AC42" s="18">
        <v>8.1000000000000003E-2</v>
      </c>
      <c r="AD42" s="78">
        <v>44946</v>
      </c>
      <c r="AE42" s="17">
        <v>3.8E-3</v>
      </c>
      <c r="AF42" s="18"/>
      <c r="AG42" s="18"/>
      <c r="AH42" s="18">
        <v>0</v>
      </c>
      <c r="AI42" s="78">
        <v>44946</v>
      </c>
      <c r="AJ42" s="17">
        <v>3.0300000000000001E-2</v>
      </c>
      <c r="AK42" s="18">
        <v>2.12E-2</v>
      </c>
      <c r="AL42" s="18"/>
      <c r="AM42" s="18"/>
      <c r="AN42" s="18">
        <v>1.83E-2</v>
      </c>
      <c r="AO42" s="18">
        <v>5.0700000000000002E-2</v>
      </c>
      <c r="AP42" s="78">
        <v>44946</v>
      </c>
      <c r="AQ42" s="45">
        <f>9*7.5/(165*54)/100%</f>
        <v>7.575757575757576E-3</v>
      </c>
      <c r="AR42" s="114">
        <f>290*7.5/(267*165)/100%</f>
        <v>4.9370105549880833E-2</v>
      </c>
      <c r="AS42" s="18"/>
      <c r="AT42" s="96"/>
      <c r="AU42" s="48">
        <f>22*7.5/(54*165)/100%</f>
        <v>1.8518518518518517E-2</v>
      </c>
      <c r="AV42" s="115">
        <f>1024*7.5/(267*165)/100%</f>
        <v>0.17432754511406195</v>
      </c>
    </row>
    <row r="43" spans="1:48" ht="15.75" hidden="1" thickBot="1">
      <c r="B43" s="78">
        <v>44977</v>
      </c>
      <c r="C43" s="56">
        <v>0.01</v>
      </c>
      <c r="D43" s="2">
        <v>5.3999999999999999E-2</v>
      </c>
      <c r="E43" s="2"/>
      <c r="F43" s="2"/>
      <c r="G43" s="2">
        <v>1.2999999999999999E-2</v>
      </c>
      <c r="H43" s="2">
        <v>4.2999999999999997E-2</v>
      </c>
      <c r="I43" s="78">
        <v>44977</v>
      </c>
      <c r="J43" s="3">
        <v>0.01</v>
      </c>
      <c r="K43" s="2">
        <v>3.7999999999999999E-2</v>
      </c>
      <c r="L43" s="2"/>
      <c r="M43" s="2"/>
      <c r="N43" s="2">
        <v>8.9999999999999993E-3</v>
      </c>
      <c r="O43" s="2">
        <v>3.1E-2</v>
      </c>
      <c r="P43" s="78">
        <v>44977</v>
      </c>
      <c r="Q43" s="3">
        <v>1.2999999999999999E-2</v>
      </c>
      <c r="R43" s="2">
        <v>3.1E-2</v>
      </c>
      <c r="S43" s="2"/>
      <c r="T43" s="2"/>
      <c r="U43" s="2">
        <v>2.7E-2</v>
      </c>
      <c r="V43" s="2">
        <v>8.5999999999999993E-2</v>
      </c>
      <c r="W43" s="78">
        <v>44977</v>
      </c>
      <c r="X43" s="3">
        <v>7.3999999999999996E-2</v>
      </c>
      <c r="Y43" s="2">
        <v>0.08</v>
      </c>
      <c r="Z43" s="2"/>
      <c r="AA43" s="2"/>
      <c r="AB43" s="2">
        <v>2.4E-2</v>
      </c>
      <c r="AC43" s="2">
        <v>9.5000000000000001E-2</v>
      </c>
      <c r="AD43" s="78">
        <v>44977</v>
      </c>
      <c r="AE43" s="3">
        <v>5.1000000000000004E-3</v>
      </c>
      <c r="AF43" s="2"/>
      <c r="AG43" s="2"/>
      <c r="AH43" s="2">
        <v>0</v>
      </c>
      <c r="AI43" s="78">
        <v>44977</v>
      </c>
      <c r="AJ43" s="3">
        <v>5.4999999999999997E-3</v>
      </c>
      <c r="AK43" s="2">
        <v>3.4000000000000002E-2</v>
      </c>
      <c r="AL43" s="2"/>
      <c r="AM43" s="2"/>
      <c r="AN43" s="2">
        <v>1.84E-2</v>
      </c>
      <c r="AO43" s="2">
        <v>7.1999999999999995E-2</v>
      </c>
      <c r="AP43" s="78">
        <v>44977</v>
      </c>
      <c r="AQ43" s="47">
        <f>9*7.5/(165*54)/100%</f>
        <v>7.575757575757576E-3</v>
      </c>
      <c r="AR43" s="46">
        <f>152*7.5/(267*165)/100%</f>
        <v>2.5876744977868574E-2</v>
      </c>
      <c r="AS43" s="2"/>
      <c r="AT43" s="96"/>
      <c r="AU43" s="46">
        <f>20*7.5/(54*165)/100%</f>
        <v>1.6835016835016835E-2</v>
      </c>
      <c r="AV43" s="116">
        <f>679*7.5/(267*165)/100%</f>
        <v>0.11559414368403133</v>
      </c>
    </row>
    <row r="44" spans="1:48" ht="15.75" hidden="1" thickBot="1">
      <c r="B44" s="78">
        <v>45005</v>
      </c>
      <c r="C44" s="56">
        <v>1.0999999999999999E-2</v>
      </c>
      <c r="D44" s="2">
        <v>0.04</v>
      </c>
      <c r="E44" s="2"/>
      <c r="F44" s="2"/>
      <c r="G44" s="2">
        <v>0</v>
      </c>
      <c r="H44" s="2">
        <v>3.9E-2</v>
      </c>
      <c r="I44" s="78">
        <v>45005</v>
      </c>
      <c r="J44" s="3">
        <v>1.2E-2</v>
      </c>
      <c r="K44" s="2">
        <v>4.9000000000000002E-2</v>
      </c>
      <c r="L44" s="2"/>
      <c r="M44" s="2"/>
      <c r="N44" s="2">
        <v>5.0000000000000001E-3</v>
      </c>
      <c r="O44" s="2">
        <v>2.8000000000000001E-2</v>
      </c>
      <c r="P44" s="78">
        <v>45005</v>
      </c>
      <c r="Q44" s="3">
        <v>1.7000000000000001E-2</v>
      </c>
      <c r="R44" s="2">
        <v>2.5999999999999999E-2</v>
      </c>
      <c r="S44" s="2"/>
      <c r="T44" s="2"/>
      <c r="U44" s="2">
        <v>2.4E-2</v>
      </c>
      <c r="V44" s="2">
        <v>8.2000000000000003E-2</v>
      </c>
      <c r="W44" s="78">
        <v>45005</v>
      </c>
      <c r="X44" s="3">
        <v>3.2000000000000001E-2</v>
      </c>
      <c r="Y44" s="2">
        <v>3.9E-2</v>
      </c>
      <c r="Z44" s="2"/>
      <c r="AA44" s="2"/>
      <c r="AB44" s="2">
        <v>3.5000000000000003E-2</v>
      </c>
      <c r="AC44" s="2">
        <v>8.7999999999999995E-2</v>
      </c>
      <c r="AD44" s="78">
        <v>45005</v>
      </c>
      <c r="AE44" s="3">
        <v>1.41E-2</v>
      </c>
      <c r="AF44" s="2"/>
      <c r="AG44" s="2"/>
      <c r="AH44" s="2">
        <v>1.1999999999999999E-3</v>
      </c>
      <c r="AI44" s="78">
        <v>45005</v>
      </c>
      <c r="AJ44" s="3">
        <v>8.5000000000000006E-3</v>
      </c>
      <c r="AK44" s="2">
        <v>2.1299999999999999E-2</v>
      </c>
      <c r="AL44" s="2"/>
      <c r="AM44" s="2"/>
      <c r="AN44" s="2">
        <v>0</v>
      </c>
      <c r="AO44" s="2">
        <v>8.1799999999999998E-2</v>
      </c>
      <c r="AP44" s="78">
        <v>45005</v>
      </c>
      <c r="AQ44" s="47">
        <f>2*7.5/(172.5*55)/100%</f>
        <v>1.5810276679841897E-3</v>
      </c>
      <c r="AR44" s="46">
        <f>297*7.5/(288*172.5)/100%</f>
        <v>4.4836956521739128E-2</v>
      </c>
      <c r="AS44" s="2"/>
      <c r="AT44" s="96"/>
      <c r="AU44" s="46">
        <f>29*7.5/(55*172.5)/100%</f>
        <v>2.292490118577075E-2</v>
      </c>
      <c r="AV44" s="116">
        <f>908*7.5/(288*172.5)/100%</f>
        <v>0.13707729468599034</v>
      </c>
    </row>
    <row r="45" spans="1:48" ht="15.75" hidden="1" thickBot="1">
      <c r="B45" s="78">
        <v>45036</v>
      </c>
      <c r="C45" s="56">
        <v>2.8000000000000001E-2</v>
      </c>
      <c r="D45" s="2">
        <v>3.6999999999999998E-2</v>
      </c>
      <c r="E45" s="2"/>
      <c r="F45" s="2"/>
      <c r="G45" s="2">
        <v>1.2999999999999999E-2</v>
      </c>
      <c r="H45" s="2">
        <v>3.2000000000000001E-2</v>
      </c>
      <c r="I45" s="78">
        <v>45036</v>
      </c>
      <c r="J45" s="3">
        <v>1.7000000000000001E-2</v>
      </c>
      <c r="K45" s="2">
        <v>3.5000000000000003E-2</v>
      </c>
      <c r="L45" s="2"/>
      <c r="M45" s="2"/>
      <c r="N45" s="2">
        <v>2E-3</v>
      </c>
      <c r="O45" s="2">
        <v>2.7E-2</v>
      </c>
      <c r="P45" s="78">
        <v>45036</v>
      </c>
      <c r="Q45" s="3">
        <v>2.1000000000000001E-2</v>
      </c>
      <c r="R45" s="2">
        <v>3.3000000000000002E-2</v>
      </c>
      <c r="S45" s="2"/>
      <c r="T45" s="2"/>
      <c r="U45" s="2">
        <v>3.4000000000000002E-2</v>
      </c>
      <c r="V45" s="2">
        <v>9.6000000000000002E-2</v>
      </c>
      <c r="W45" s="78">
        <v>45036</v>
      </c>
      <c r="X45" s="3">
        <v>4.1000000000000002E-2</v>
      </c>
      <c r="Y45" s="2">
        <v>6.7000000000000004E-2</v>
      </c>
      <c r="Z45" s="2"/>
      <c r="AA45" s="2"/>
      <c r="AB45" s="2">
        <v>1.7999999999999999E-2</v>
      </c>
      <c r="AC45" s="2">
        <v>8.5999999999999993E-2</v>
      </c>
      <c r="AD45" s="78">
        <v>45036</v>
      </c>
      <c r="AE45" s="3">
        <v>3.3999999999999998E-3</v>
      </c>
      <c r="AF45" s="2"/>
      <c r="AG45" s="2"/>
      <c r="AH45" s="2">
        <v>3.3999999999999998E-3</v>
      </c>
      <c r="AI45" s="78">
        <v>45036</v>
      </c>
      <c r="AJ45" s="3">
        <v>1.06E-2</v>
      </c>
      <c r="AK45" s="2">
        <v>2.81E-2</v>
      </c>
      <c r="AL45" s="2"/>
      <c r="AM45" s="2"/>
      <c r="AN45" s="2">
        <v>0</v>
      </c>
      <c r="AO45" s="2">
        <v>9.1600000000000001E-2</v>
      </c>
      <c r="AP45" s="78">
        <v>45036</v>
      </c>
      <c r="AQ45" s="47">
        <f>13*7.5/(150*55)/100%</f>
        <v>1.1818181818181818E-2</v>
      </c>
      <c r="AR45" s="46">
        <f>139*7.5/(290*150)/100%</f>
        <v>2.3965517241379311E-2</v>
      </c>
      <c r="AS45" s="2"/>
      <c r="AT45" s="96"/>
      <c r="AU45" s="46">
        <f>41*7.5/(55*150)/100%</f>
        <v>3.727272727272727E-2</v>
      </c>
      <c r="AV45" s="116">
        <f>628*7.5/(290*150)/100%</f>
        <v>0.10827586206896551</v>
      </c>
    </row>
    <row r="46" spans="1:48" ht="15.75" hidden="1" thickBot="1">
      <c r="B46" s="78">
        <v>45066</v>
      </c>
      <c r="C46" s="56">
        <v>4.0000000000000001E-3</v>
      </c>
      <c r="D46" s="2">
        <v>4.7E-2</v>
      </c>
      <c r="E46" s="2"/>
      <c r="F46" s="2"/>
      <c r="G46" s="2">
        <v>1.7000000000000001E-2</v>
      </c>
      <c r="H46" s="2">
        <v>3.4000000000000002E-2</v>
      </c>
      <c r="I46" s="78">
        <v>45066</v>
      </c>
      <c r="J46" s="3">
        <v>1.2E-2</v>
      </c>
      <c r="K46" s="2">
        <v>3.2000000000000001E-2</v>
      </c>
      <c r="L46" s="2"/>
      <c r="M46" s="2"/>
      <c r="N46" s="2">
        <v>1.4E-2</v>
      </c>
      <c r="O46" s="2">
        <v>2.5000000000000001E-2</v>
      </c>
      <c r="P46" s="78">
        <v>45066</v>
      </c>
      <c r="Q46" s="3">
        <v>1.7000000000000001E-2</v>
      </c>
      <c r="R46" s="2">
        <v>1.9E-2</v>
      </c>
      <c r="S46" s="2"/>
      <c r="T46" s="2"/>
      <c r="U46" s="2">
        <v>7.5999999999999998E-2</v>
      </c>
      <c r="V46" s="2">
        <v>9.5000000000000001E-2</v>
      </c>
      <c r="W46" s="78">
        <v>45066</v>
      </c>
      <c r="X46" s="3">
        <v>0.01</v>
      </c>
      <c r="Y46" s="2">
        <v>3.3000000000000002E-2</v>
      </c>
      <c r="Z46" s="2"/>
      <c r="AA46" s="2"/>
      <c r="AB46" s="2">
        <v>0.02</v>
      </c>
      <c r="AC46" s="2">
        <v>9.7000000000000003E-2</v>
      </c>
      <c r="AD46" s="78">
        <v>45066</v>
      </c>
      <c r="AE46" s="3">
        <v>9.2999999999999992E-3</v>
      </c>
      <c r="AF46" s="2"/>
      <c r="AG46" s="2"/>
      <c r="AH46" s="2">
        <v>1.5E-3</v>
      </c>
      <c r="AI46" s="78">
        <v>45066</v>
      </c>
      <c r="AJ46" s="3">
        <v>2.2100000000000002E-2</v>
      </c>
      <c r="AK46" s="2">
        <v>1.7899999999999999E-2</v>
      </c>
      <c r="AL46" s="2"/>
      <c r="AM46" s="2"/>
      <c r="AN46" s="2">
        <v>1.77E-2</v>
      </c>
      <c r="AO46" s="2">
        <v>9.4200000000000006E-2</v>
      </c>
      <c r="AP46" s="78">
        <v>45066</v>
      </c>
      <c r="AQ46" s="47">
        <f>6*7.5/(172.5*57)/100%</f>
        <v>4.5766590389016018E-3</v>
      </c>
      <c r="AR46" s="46">
        <f>118*7.5/(284*172.5)/100%</f>
        <v>1.8064911206368647E-2</v>
      </c>
      <c r="AS46" s="2"/>
      <c r="AT46" s="96"/>
      <c r="AU46" s="46">
        <f>27*7.5/(57*172.5)/100%</f>
        <v>2.0594965675057208E-2</v>
      </c>
      <c r="AV46" s="116">
        <f>579*7.5/(284*172.5)/100%</f>
        <v>8.8640538885486828E-2</v>
      </c>
    </row>
    <row r="47" spans="1:48" ht="15.75" hidden="1" thickBot="1">
      <c r="B47" s="78">
        <v>45097</v>
      </c>
      <c r="C47" s="56">
        <v>5.0000000000000001E-3</v>
      </c>
      <c r="D47" s="2">
        <v>3.6999999999999998E-2</v>
      </c>
      <c r="E47" s="2"/>
      <c r="F47" s="2"/>
      <c r="G47" s="2">
        <v>8.0000000000000002E-3</v>
      </c>
      <c r="H47" s="2">
        <v>3.5000000000000003E-2</v>
      </c>
      <c r="I47" s="78">
        <v>45097</v>
      </c>
      <c r="J47" s="55">
        <v>2E-3</v>
      </c>
      <c r="K47" s="56">
        <v>2.8000000000000001E-2</v>
      </c>
      <c r="L47" s="2"/>
      <c r="M47" s="2"/>
      <c r="N47" s="2">
        <v>2.3E-2</v>
      </c>
      <c r="O47" s="2">
        <v>2.4E-2</v>
      </c>
      <c r="P47" s="78">
        <v>45097</v>
      </c>
      <c r="Q47" s="3">
        <v>1E-3</v>
      </c>
      <c r="R47" s="2">
        <v>1.4999999999999999E-2</v>
      </c>
      <c r="S47" s="2"/>
      <c r="T47" s="2"/>
      <c r="U47" s="2">
        <v>5.8999999999999997E-2</v>
      </c>
      <c r="V47" s="2">
        <v>4.4999999999999998E-2</v>
      </c>
      <c r="W47" s="78">
        <v>45097</v>
      </c>
      <c r="X47" s="3">
        <v>2.5999999999999999E-2</v>
      </c>
      <c r="Y47" s="2">
        <v>5.8000000000000003E-2</v>
      </c>
      <c r="Z47" s="2"/>
      <c r="AA47" s="2"/>
      <c r="AB47" s="2">
        <v>1.7999999999999999E-2</v>
      </c>
      <c r="AC47" s="2">
        <v>9.5000000000000001E-2</v>
      </c>
      <c r="AD47" s="78">
        <v>45097</v>
      </c>
      <c r="AE47" s="3">
        <v>4.5999999999999999E-3</v>
      </c>
      <c r="AF47" s="2"/>
      <c r="AG47" s="2"/>
      <c r="AH47" s="2">
        <v>1.5299999999999999E-2</v>
      </c>
      <c r="AI47" s="78">
        <v>45097</v>
      </c>
      <c r="AJ47" s="3">
        <v>2.3400000000000001E-2</v>
      </c>
      <c r="AK47" s="2">
        <v>3.1600000000000003E-2</v>
      </c>
      <c r="AL47" s="2"/>
      <c r="AM47" s="2"/>
      <c r="AN47" s="2">
        <v>1.9300000000000001E-2</v>
      </c>
      <c r="AO47" s="2">
        <v>8.5500000000000007E-2</v>
      </c>
      <c r="AP47" s="78">
        <v>45097</v>
      </c>
      <c r="AQ47" s="47">
        <f>0*7.5/(165*57)/100%</f>
        <v>0</v>
      </c>
      <c r="AR47" s="46">
        <f>78*7.5/(284*165)/100%</f>
        <v>1.2483994878361075E-2</v>
      </c>
      <c r="AS47" s="2"/>
      <c r="AT47" s="96"/>
      <c r="AU47" s="46">
        <f>22*7.5/(56*165)/100%</f>
        <v>1.7857142857142856E-2</v>
      </c>
      <c r="AV47" s="116">
        <f>380*7.5/(284*165)/100%</f>
        <v>6.0819462227912929E-2</v>
      </c>
    </row>
    <row r="48" spans="1:48" ht="15.75" hidden="1" thickBot="1">
      <c r="B48" s="78">
        <v>45127</v>
      </c>
      <c r="C48" s="56">
        <v>2E-3</v>
      </c>
      <c r="D48" s="2">
        <v>1.7000000000000001E-2</v>
      </c>
      <c r="E48" s="2"/>
      <c r="F48" s="2"/>
      <c r="G48" s="2">
        <v>0</v>
      </c>
      <c r="H48" s="2">
        <v>4.5999999999999999E-2</v>
      </c>
      <c r="I48" s="78">
        <v>45127</v>
      </c>
      <c r="J48" s="55">
        <v>1E-3</v>
      </c>
      <c r="K48" s="56">
        <v>8.0000000000000002E-3</v>
      </c>
      <c r="L48" s="2"/>
      <c r="M48" s="2"/>
      <c r="N48" s="2">
        <v>2.5000000000000001E-2</v>
      </c>
      <c r="O48" s="2">
        <v>2.4E-2</v>
      </c>
      <c r="P48" s="78">
        <v>45127</v>
      </c>
      <c r="Q48" s="3">
        <v>0</v>
      </c>
      <c r="R48" s="2">
        <v>0.02</v>
      </c>
      <c r="S48" s="2"/>
      <c r="T48" s="2"/>
      <c r="U48" s="2">
        <v>4.4999999999999998E-2</v>
      </c>
      <c r="V48" s="2">
        <v>1.7000000000000001E-2</v>
      </c>
      <c r="W48" s="78">
        <v>45127</v>
      </c>
      <c r="X48" s="3">
        <v>8.0000000000000002E-3</v>
      </c>
      <c r="Y48" s="2">
        <v>3.4000000000000002E-2</v>
      </c>
      <c r="Z48" s="2"/>
      <c r="AA48" s="2"/>
      <c r="AB48" s="2">
        <v>2.5000000000000001E-2</v>
      </c>
      <c r="AC48" s="2">
        <v>4.3999999999999997E-2</v>
      </c>
      <c r="AD48" s="78">
        <v>45127</v>
      </c>
      <c r="AE48" s="3">
        <v>0</v>
      </c>
      <c r="AF48" s="2"/>
      <c r="AG48" s="2"/>
      <c r="AH48" s="2" t="s">
        <v>18</v>
      </c>
      <c r="AI48" s="78">
        <v>45127</v>
      </c>
      <c r="AJ48" s="3">
        <v>1.17E-2</v>
      </c>
      <c r="AK48" s="2">
        <v>3.27E-2</v>
      </c>
      <c r="AL48" s="2"/>
      <c r="AM48" s="2"/>
      <c r="AN48" s="2">
        <v>1.9300000000000001E-2</v>
      </c>
      <c r="AO48" s="2">
        <v>7.5600000000000001E-2</v>
      </c>
      <c r="AP48" s="78">
        <v>45127</v>
      </c>
      <c r="AQ48" s="47">
        <f>0*7.5/(157.5*56)/100%</f>
        <v>0</v>
      </c>
      <c r="AR48" s="46">
        <f>21*7.5/(284*157.5)/100%</f>
        <v>3.5211267605633804E-3</v>
      </c>
      <c r="AS48" s="2"/>
      <c r="AT48" s="96"/>
      <c r="AU48" s="46">
        <f>21*7.5/(56*157.5)/100%</f>
        <v>1.7857142857142856E-2</v>
      </c>
      <c r="AV48" s="116">
        <f>422*7.5/(284*157.5)/100%</f>
        <v>7.0757880617035543E-2</v>
      </c>
    </row>
    <row r="49" spans="2:48" ht="15.75" hidden="1" thickBot="1">
      <c r="B49" s="78">
        <v>45158</v>
      </c>
      <c r="C49" s="56">
        <v>1.7000000000000001E-2</v>
      </c>
      <c r="D49" s="2">
        <v>3.5999999999999997E-2</v>
      </c>
      <c r="E49" s="2"/>
      <c r="F49" s="2"/>
      <c r="G49" s="2">
        <v>0</v>
      </c>
      <c r="H49" s="2">
        <v>3.9E-2</v>
      </c>
      <c r="I49" s="78">
        <v>45158</v>
      </c>
      <c r="J49" s="3">
        <v>0</v>
      </c>
      <c r="K49" s="2">
        <v>2.5000000000000001E-2</v>
      </c>
      <c r="L49" s="2"/>
      <c r="M49" s="2"/>
      <c r="N49" s="2">
        <v>1.0999999999999999E-2</v>
      </c>
      <c r="O49" s="2">
        <v>2.9000000000000001E-2</v>
      </c>
      <c r="P49" s="78">
        <v>45158</v>
      </c>
      <c r="Q49" s="3">
        <v>1.4999999999999999E-2</v>
      </c>
      <c r="R49" s="2">
        <v>3.7999999999999999E-2</v>
      </c>
      <c r="S49" s="2"/>
      <c r="T49" s="2"/>
      <c r="U49" s="2">
        <v>0.03</v>
      </c>
      <c r="V49" s="2">
        <v>2.5000000000000001E-2</v>
      </c>
      <c r="W49" s="78">
        <v>45158</v>
      </c>
      <c r="X49" s="3">
        <v>3.0000000000000001E-3</v>
      </c>
      <c r="Y49" s="2">
        <v>3.9E-2</v>
      </c>
      <c r="Z49" s="2"/>
      <c r="AA49" s="2"/>
      <c r="AB49" s="2">
        <v>3.0000000000000001E-3</v>
      </c>
      <c r="AC49" s="2">
        <v>4.9000000000000002E-2</v>
      </c>
      <c r="AD49" s="78">
        <v>45158</v>
      </c>
      <c r="AE49" s="3">
        <v>0</v>
      </c>
      <c r="AF49" s="2"/>
      <c r="AG49" s="2"/>
      <c r="AH49" s="2">
        <v>1.6E-2</v>
      </c>
      <c r="AI49" s="78">
        <v>45158</v>
      </c>
      <c r="AJ49" s="3">
        <v>1.2E-2</v>
      </c>
      <c r="AK49" s="2">
        <v>3.2000000000000001E-2</v>
      </c>
      <c r="AL49" s="2"/>
      <c r="AM49" s="2"/>
      <c r="AN49" s="2">
        <v>3.3700000000000001E-2</v>
      </c>
      <c r="AO49" s="2">
        <v>7.3999999999999996E-2</v>
      </c>
      <c r="AP49" s="78">
        <v>45158</v>
      </c>
      <c r="AQ49" s="47">
        <f>0*7.5/(172.5*56)/100%</f>
        <v>0</v>
      </c>
      <c r="AR49" s="46">
        <f>141*7.5/(288*172.5)/100%</f>
        <v>2.1286231884057972E-2</v>
      </c>
      <c r="AS49" s="2"/>
      <c r="AT49" s="96"/>
      <c r="AU49" s="46">
        <f>23*7.5/(56*172.5)/100%</f>
        <v>1.7857142857142856E-2</v>
      </c>
      <c r="AV49" s="116">
        <f>439*7.5/(288*172.5)/100%</f>
        <v>6.6274154589371984E-2</v>
      </c>
    </row>
    <row r="50" spans="2:48" ht="15.75" hidden="1" thickBot="1">
      <c r="B50" s="78">
        <v>45189</v>
      </c>
      <c r="C50" s="56">
        <v>4.0000000000000001E-3</v>
      </c>
      <c r="D50" s="2">
        <v>4.4999999999999998E-2</v>
      </c>
      <c r="E50" s="2"/>
      <c r="F50" s="2"/>
      <c r="G50" s="2">
        <v>2.3E-2</v>
      </c>
      <c r="H50" s="2">
        <v>3.9E-2</v>
      </c>
      <c r="I50" s="78">
        <v>45189</v>
      </c>
      <c r="J50" s="3">
        <v>6.0000000000000001E-3</v>
      </c>
      <c r="K50" s="2">
        <v>4.1000000000000002E-2</v>
      </c>
      <c r="L50" s="2"/>
      <c r="M50" s="2"/>
      <c r="N50" s="2">
        <v>1.2E-2</v>
      </c>
      <c r="O50" s="2">
        <v>3.3000000000000002E-2</v>
      </c>
      <c r="P50" s="78">
        <v>45189</v>
      </c>
      <c r="Q50" s="3">
        <v>1.7000000000000001E-2</v>
      </c>
      <c r="R50" s="2">
        <v>0.04</v>
      </c>
      <c r="S50" s="2"/>
      <c r="T50" s="2"/>
      <c r="U50" s="2">
        <v>6.6000000000000003E-2</v>
      </c>
      <c r="V50" s="2">
        <v>6.0999999999999999E-2</v>
      </c>
      <c r="W50" s="78">
        <v>45189</v>
      </c>
      <c r="X50" s="3">
        <v>0.02</v>
      </c>
      <c r="Y50" s="2">
        <v>7.5999999999999998E-2</v>
      </c>
      <c r="Z50" s="2"/>
      <c r="AA50" s="2"/>
      <c r="AB50" s="2">
        <v>0</v>
      </c>
      <c r="AC50" s="2">
        <v>4.7E-2</v>
      </c>
      <c r="AD50" s="78">
        <v>45189</v>
      </c>
      <c r="AE50" s="3">
        <v>1.12E-2</v>
      </c>
      <c r="AF50" s="2"/>
      <c r="AG50" s="2"/>
      <c r="AH50" s="2">
        <v>1.5699999999999999E-2</v>
      </c>
      <c r="AI50" s="78">
        <v>45189</v>
      </c>
      <c r="AJ50" s="3">
        <v>8.3000000000000001E-3</v>
      </c>
      <c r="AK50" s="2">
        <v>1.3100000000000001E-2</v>
      </c>
      <c r="AL50" s="2"/>
      <c r="AM50" s="2"/>
      <c r="AN50" s="2">
        <v>1.8800000000000001E-2</v>
      </c>
      <c r="AO50" s="2">
        <v>8.2799999999999999E-2</v>
      </c>
      <c r="AP50" s="78">
        <v>45189</v>
      </c>
      <c r="AQ50" s="47">
        <f>0*7.5/(157.5*56)/100%</f>
        <v>0</v>
      </c>
      <c r="AR50" s="46">
        <f>51*7.5/(292*157.5)/100%</f>
        <v>8.3170254403131111E-3</v>
      </c>
      <c r="AS50" s="2"/>
      <c r="AT50" s="96"/>
      <c r="AU50" s="46">
        <f>39*7.5/(56*157.5)/100%</f>
        <v>3.3163265306122451E-2</v>
      </c>
      <c r="AV50" s="116">
        <f>448*7.5/(292*157.5)/100%</f>
        <v>7.3059360730593603E-2</v>
      </c>
    </row>
    <row r="51" spans="2:48" ht="15.75" hidden="1" thickBot="1">
      <c r="B51" s="78">
        <v>45219</v>
      </c>
      <c r="C51" s="56">
        <v>1.2999999999999999E-2</v>
      </c>
      <c r="D51" s="2">
        <v>4.2000000000000003E-2</v>
      </c>
      <c r="E51" s="2"/>
      <c r="F51" s="2"/>
      <c r="G51" s="2">
        <v>1.4999999999999999E-2</v>
      </c>
      <c r="H51" s="2">
        <v>0.04</v>
      </c>
      <c r="I51" s="78">
        <v>45219</v>
      </c>
      <c r="J51" s="3">
        <v>6.0000000000000001E-3</v>
      </c>
      <c r="K51" s="2">
        <v>2.7E-2</v>
      </c>
      <c r="L51" s="2"/>
      <c r="M51" s="2"/>
      <c r="N51" s="2">
        <v>8.0000000000000002E-3</v>
      </c>
      <c r="O51" s="2">
        <v>3.2000000000000001E-2</v>
      </c>
      <c r="P51" s="78">
        <v>45219</v>
      </c>
      <c r="Q51" s="3">
        <v>5.0000000000000001E-3</v>
      </c>
      <c r="R51" s="2">
        <v>2.1999999999999999E-2</v>
      </c>
      <c r="S51" s="2"/>
      <c r="T51" s="2"/>
      <c r="U51" s="2">
        <v>7.2999999999999995E-2</v>
      </c>
      <c r="V51" s="2">
        <v>4.2000000000000003E-2</v>
      </c>
      <c r="W51" s="78">
        <v>45219</v>
      </c>
      <c r="X51" s="3">
        <v>1.4999999999999999E-2</v>
      </c>
      <c r="Y51" s="2">
        <v>7.0000000000000007E-2</v>
      </c>
      <c r="Z51" s="2"/>
      <c r="AA51" s="2"/>
      <c r="AB51" s="2">
        <v>3.0000000000000001E-3</v>
      </c>
      <c r="AC51" s="2">
        <v>5.8999999999999997E-2</v>
      </c>
      <c r="AD51" s="78">
        <v>45219</v>
      </c>
      <c r="AE51" s="3">
        <v>1.8200000000000001E-2</v>
      </c>
      <c r="AF51" s="2"/>
      <c r="AG51" s="2"/>
      <c r="AH51" s="2">
        <v>1.6E-2</v>
      </c>
      <c r="AI51" s="78">
        <v>45219</v>
      </c>
      <c r="AJ51" s="3">
        <v>1.0200000000000001E-2</v>
      </c>
      <c r="AK51" s="2">
        <v>1.6299999999999999E-2</v>
      </c>
      <c r="AL51" s="2"/>
      <c r="AM51" s="2"/>
      <c r="AN51" s="2">
        <v>1.83E-2</v>
      </c>
      <c r="AO51" s="2">
        <v>6.0999999999999999E-2</v>
      </c>
      <c r="AP51" s="78">
        <v>45219</v>
      </c>
      <c r="AQ51" s="47">
        <f>0*7.5/(165*58)/100%</f>
        <v>0</v>
      </c>
      <c r="AR51" s="46">
        <f>216*7.5/(297*165)/100%</f>
        <v>3.3057851239669422E-2</v>
      </c>
      <c r="AS51" s="2"/>
      <c r="AT51" s="96"/>
      <c r="AU51" s="46">
        <f>37*7.5/(58*165)/100%</f>
        <v>2.8996865203761754E-2</v>
      </c>
      <c r="AV51" s="116">
        <f>430*7.5/(297*165)/100%</f>
        <v>6.5809611264156714E-2</v>
      </c>
    </row>
    <row r="52" spans="2:48" ht="15.75" hidden="1" thickBot="1">
      <c r="B52" s="78">
        <v>45250</v>
      </c>
      <c r="C52" s="75">
        <v>1.4E-2</v>
      </c>
      <c r="D52" s="50">
        <v>4.7E-2</v>
      </c>
      <c r="E52" s="50"/>
      <c r="F52" s="50"/>
      <c r="G52" s="50">
        <v>2.1000000000000001E-2</v>
      </c>
      <c r="H52" s="50">
        <v>3.6999999999999998E-2</v>
      </c>
      <c r="I52" s="78">
        <v>45250</v>
      </c>
      <c r="J52" s="3">
        <v>2.7E-2</v>
      </c>
      <c r="K52" s="2">
        <v>5.0999999999999997E-2</v>
      </c>
      <c r="L52" s="50"/>
      <c r="M52" s="50"/>
      <c r="N52" s="2">
        <v>8.0000000000000002E-3</v>
      </c>
      <c r="O52" s="2">
        <v>3.5999999999999997E-2</v>
      </c>
      <c r="P52" s="78">
        <v>45250</v>
      </c>
      <c r="Q52" s="3" t="s">
        <v>19</v>
      </c>
      <c r="R52" s="2" t="s">
        <v>20</v>
      </c>
      <c r="S52" s="50"/>
      <c r="T52" s="50"/>
      <c r="U52" s="2" t="s">
        <v>21</v>
      </c>
      <c r="V52" s="2" t="s">
        <v>22</v>
      </c>
      <c r="W52" s="78">
        <v>45250</v>
      </c>
      <c r="X52" s="3">
        <v>1.7000000000000001E-2</v>
      </c>
      <c r="Y52" s="2">
        <v>6.5000000000000002E-2</v>
      </c>
      <c r="Z52" s="50"/>
      <c r="AA52" s="50"/>
      <c r="AB52" s="2">
        <v>0</v>
      </c>
      <c r="AC52" s="2">
        <v>6.8000000000000005E-2</v>
      </c>
      <c r="AD52" s="78">
        <v>45250</v>
      </c>
      <c r="AE52" s="3" t="s">
        <v>23</v>
      </c>
      <c r="AF52" s="50"/>
      <c r="AG52" s="50"/>
      <c r="AH52" s="2" t="s">
        <v>24</v>
      </c>
      <c r="AI52" s="78">
        <v>45250</v>
      </c>
      <c r="AJ52" s="49">
        <v>6.6E-3</v>
      </c>
      <c r="AK52" s="50">
        <v>3.2599999999999997E-2</v>
      </c>
      <c r="AL52" s="50"/>
      <c r="AM52" s="50"/>
      <c r="AN52" s="50">
        <v>1.61E-2</v>
      </c>
      <c r="AO52" s="50">
        <v>5.7000000000000002E-2</v>
      </c>
      <c r="AP52" s="78">
        <v>45250</v>
      </c>
      <c r="AQ52" s="51">
        <f>21*7.5/(165*58)/100%</f>
        <v>1.6457680250783698E-2</v>
      </c>
      <c r="AR52" s="52">
        <f>232*7.5/(301*165)/100%</f>
        <v>3.5034732709151313E-2</v>
      </c>
      <c r="AS52" s="50"/>
      <c r="AT52" s="96"/>
      <c r="AU52" s="52">
        <f>22*7.5/(58*165)/100%</f>
        <v>1.7241379310344827E-2</v>
      </c>
      <c r="AV52" s="117">
        <f>434*7.5/(301*165)/100%</f>
        <v>6.5539112050739964E-2</v>
      </c>
    </row>
    <row r="53" spans="2:48" ht="15.75" hidden="1" thickBot="1">
      <c r="B53" s="79">
        <v>45280</v>
      </c>
      <c r="C53" s="71">
        <v>3.3000000000000002E-2</v>
      </c>
      <c r="D53" s="59">
        <v>6.0999999999999999E-2</v>
      </c>
      <c r="E53" s="59"/>
      <c r="F53" s="59"/>
      <c r="G53" s="59">
        <v>2.8000000000000001E-2</v>
      </c>
      <c r="H53" s="59">
        <v>0.04</v>
      </c>
      <c r="I53" s="79">
        <v>45280</v>
      </c>
      <c r="J53" s="4">
        <v>1.9E-2</v>
      </c>
      <c r="K53" s="5">
        <v>3.5999999999999997E-2</v>
      </c>
      <c r="L53" s="54"/>
      <c r="M53" s="94"/>
      <c r="N53" s="5">
        <v>1.9E-2</v>
      </c>
      <c r="O53" s="5">
        <v>3.3000000000000002E-2</v>
      </c>
      <c r="P53" s="79">
        <v>45280</v>
      </c>
      <c r="Q53" s="4">
        <v>2.1999999999999999E-2</v>
      </c>
      <c r="R53" s="5">
        <v>4.3999999999999997E-2</v>
      </c>
      <c r="S53" s="54"/>
      <c r="T53" s="94"/>
      <c r="U53" s="5">
        <v>8.2000000000000003E-2</v>
      </c>
      <c r="V53" s="5">
        <v>0.04</v>
      </c>
      <c r="W53" s="79">
        <v>45280</v>
      </c>
      <c r="X53" s="49">
        <v>1.4E-2</v>
      </c>
      <c r="Y53" s="50">
        <v>6.6000000000000003E-2</v>
      </c>
      <c r="Z53" s="59"/>
      <c r="AA53" s="94"/>
      <c r="AB53" s="50">
        <v>0</v>
      </c>
      <c r="AC53" s="50">
        <v>8.7999999999999995E-2</v>
      </c>
      <c r="AD53" s="79">
        <v>45280</v>
      </c>
      <c r="AE53" s="49" t="s">
        <v>25</v>
      </c>
      <c r="AF53" s="59"/>
      <c r="AG53" s="94"/>
      <c r="AH53" s="50" t="s">
        <v>26</v>
      </c>
      <c r="AI53" s="79">
        <v>45280</v>
      </c>
      <c r="AJ53" s="67">
        <v>2.8999999999999998E-3</v>
      </c>
      <c r="AK53" s="68">
        <v>4.2700000000000002E-2</v>
      </c>
      <c r="AL53" s="59"/>
      <c r="AM53" s="100"/>
      <c r="AN53" s="68">
        <v>0</v>
      </c>
      <c r="AO53" s="69">
        <v>6.2E-2</v>
      </c>
      <c r="AP53" s="79">
        <v>45280</v>
      </c>
      <c r="AQ53" s="51">
        <f>0*7.5/(157.5*58)/100%</f>
        <v>0</v>
      </c>
      <c r="AR53" s="52">
        <f>275*7.5/(300*157.5)/100%</f>
        <v>4.3650793650793648E-2</v>
      </c>
      <c r="AS53" s="59"/>
      <c r="AT53" s="100"/>
      <c r="AU53" s="52">
        <f>22*7.5/(58*157.5)/100%</f>
        <v>1.8062397372742199E-2</v>
      </c>
      <c r="AV53" s="117">
        <f>352*7.5/(300*157.5)/100%</f>
        <v>5.5873015873015873E-2</v>
      </c>
    </row>
    <row r="54" spans="2:48" ht="15.75" thickBot="1">
      <c r="B54" s="76">
        <v>45342</v>
      </c>
      <c r="C54" s="153">
        <v>5.0000000000000001E-3</v>
      </c>
      <c r="D54" s="61">
        <v>5.5E-2</v>
      </c>
      <c r="E54" s="61">
        <v>0.04</v>
      </c>
      <c r="F54" s="61">
        <v>0.04</v>
      </c>
      <c r="G54" s="61">
        <v>3.5999999999999997E-2</v>
      </c>
      <c r="H54" s="61">
        <v>4.4999999999999998E-2</v>
      </c>
      <c r="I54" s="76">
        <v>45342</v>
      </c>
      <c r="J54" s="102">
        <v>6.0000000000000001E-3</v>
      </c>
      <c r="K54" s="57">
        <v>0.03</v>
      </c>
      <c r="L54" s="58">
        <v>0.04</v>
      </c>
      <c r="M54" s="95">
        <v>0.04</v>
      </c>
      <c r="N54" s="57">
        <v>8.0000000000000002E-3</v>
      </c>
      <c r="O54" s="121">
        <v>0.03</v>
      </c>
      <c r="P54" s="76">
        <v>45342</v>
      </c>
      <c r="Q54" s="102">
        <v>0.01</v>
      </c>
      <c r="R54" s="57">
        <v>0.04</v>
      </c>
      <c r="S54" s="58">
        <v>0.04</v>
      </c>
      <c r="T54" s="95">
        <v>0.04</v>
      </c>
      <c r="U54" s="57">
        <v>6.6000000000000003E-2</v>
      </c>
      <c r="V54" s="121">
        <v>4.9000000000000002E-2</v>
      </c>
      <c r="W54" s="76">
        <v>45342</v>
      </c>
      <c r="X54" s="72">
        <v>1.9E-2</v>
      </c>
      <c r="Y54" s="18">
        <v>5.8999999999999997E-2</v>
      </c>
      <c r="Z54" s="18">
        <v>0.04</v>
      </c>
      <c r="AA54" s="18">
        <v>0.04</v>
      </c>
      <c r="AB54" s="18">
        <v>0</v>
      </c>
      <c r="AC54" s="106">
        <v>6.2E-2</v>
      </c>
      <c r="AD54" s="124">
        <v>45342</v>
      </c>
      <c r="AE54" s="56">
        <v>0.01</v>
      </c>
      <c r="AF54" s="18">
        <v>0.04</v>
      </c>
      <c r="AG54" s="18">
        <v>0.04</v>
      </c>
      <c r="AH54" s="129">
        <v>1.6E-2</v>
      </c>
      <c r="AI54" s="76">
        <v>45342</v>
      </c>
      <c r="AJ54" s="72">
        <v>1.2800000000000001E-2</v>
      </c>
      <c r="AK54" s="26">
        <v>3.9199999999999999E-2</v>
      </c>
      <c r="AL54" s="18">
        <v>0.04</v>
      </c>
      <c r="AM54" s="18">
        <v>0.04</v>
      </c>
      <c r="AN54" s="2">
        <v>0</v>
      </c>
      <c r="AO54" s="133">
        <v>7.7100000000000002E-2</v>
      </c>
      <c r="AP54" s="76">
        <v>45342</v>
      </c>
      <c r="AQ54" s="143">
        <f>5*7.5/(157.5*58)/100%</f>
        <v>4.1050903119868639E-3</v>
      </c>
      <c r="AR54" s="139">
        <f>233*7.5/(157.5*296)/100%</f>
        <v>3.7483912483912481E-2</v>
      </c>
      <c r="AS54" s="158">
        <v>0.04</v>
      </c>
      <c r="AT54" s="160">
        <v>0.04</v>
      </c>
      <c r="AU54" s="159">
        <f>0*7.5/(157.5*58)/100%</f>
        <v>0</v>
      </c>
      <c r="AV54" s="140">
        <f>345*7.5/(157.5*296)/100%</f>
        <v>5.5501930501930502E-2</v>
      </c>
    </row>
    <row r="55" spans="2:48" ht="15.75" thickBot="1">
      <c r="B55" s="77">
        <v>45371</v>
      </c>
      <c r="C55" s="70">
        <v>3.0000000000000001E-3</v>
      </c>
      <c r="D55" s="58">
        <v>3.2000000000000001E-2</v>
      </c>
      <c r="E55" s="58">
        <v>0.04</v>
      </c>
      <c r="F55" s="61">
        <v>0.04</v>
      </c>
      <c r="G55" s="58">
        <v>3.4000000000000002E-2</v>
      </c>
      <c r="H55" s="58">
        <v>4.2999999999999997E-2</v>
      </c>
      <c r="I55" s="77">
        <v>45371</v>
      </c>
      <c r="J55" s="102">
        <v>1.7999999999999999E-2</v>
      </c>
      <c r="K55" s="57">
        <v>2.5000000000000001E-2</v>
      </c>
      <c r="L55" s="58">
        <v>0.04</v>
      </c>
      <c r="M55" s="95">
        <v>0.04</v>
      </c>
      <c r="N55" s="57">
        <v>0.02</v>
      </c>
      <c r="O55" s="121">
        <v>2.5999999999999999E-2</v>
      </c>
      <c r="P55" s="77">
        <v>45740</v>
      </c>
      <c r="Q55" s="102">
        <v>2E-3</v>
      </c>
      <c r="R55" s="57">
        <v>3.4000000000000002E-2</v>
      </c>
      <c r="S55" s="58">
        <v>0.04</v>
      </c>
      <c r="T55" s="95">
        <v>0.04</v>
      </c>
      <c r="U55" s="57">
        <v>4.8000000000000001E-2</v>
      </c>
      <c r="V55" s="121">
        <v>4.5999999999999999E-2</v>
      </c>
      <c r="W55" s="77">
        <v>45371</v>
      </c>
      <c r="X55" s="56">
        <v>1.0999999999999999E-2</v>
      </c>
      <c r="Y55" s="2">
        <v>5.7000000000000002E-2</v>
      </c>
      <c r="Z55" s="2">
        <v>0.04</v>
      </c>
      <c r="AA55" s="18">
        <v>0.04</v>
      </c>
      <c r="AB55" s="2">
        <v>8.0000000000000002E-3</v>
      </c>
      <c r="AC55" s="107">
        <v>6.2E-2</v>
      </c>
      <c r="AD55" s="125">
        <v>45371</v>
      </c>
      <c r="AE55" s="56">
        <v>1.2E-2</v>
      </c>
      <c r="AF55" s="2">
        <v>0.04</v>
      </c>
      <c r="AG55" s="18">
        <v>0.04</v>
      </c>
      <c r="AH55" s="129">
        <v>1.6E-2</v>
      </c>
      <c r="AI55" s="77">
        <v>45371</v>
      </c>
      <c r="AJ55" s="56">
        <v>4.5199999999999997E-2</v>
      </c>
      <c r="AK55" s="27">
        <v>2.76E-2</v>
      </c>
      <c r="AL55" s="2">
        <v>0.04</v>
      </c>
      <c r="AM55" s="18">
        <v>0.04</v>
      </c>
      <c r="AN55" s="2">
        <v>0</v>
      </c>
      <c r="AO55" s="134">
        <v>8.3000000000000004E-2</v>
      </c>
      <c r="AP55" s="77">
        <v>45371</v>
      </c>
      <c r="AQ55" s="144">
        <f>0*7.5/(157.5*60)/100%</f>
        <v>0</v>
      </c>
      <c r="AR55" s="136">
        <f>97*7.5/(157.5*292)/100%</f>
        <v>1.5818656229615133E-2</v>
      </c>
      <c r="AS55" s="137">
        <v>0.04</v>
      </c>
      <c r="AT55" s="161">
        <v>0.04</v>
      </c>
      <c r="AU55" s="138">
        <f>0*7.5/(157.5*60)/100%</f>
        <v>0</v>
      </c>
      <c r="AV55" s="141">
        <f>333*7.5/(157.5*292)/100%</f>
        <v>5.4305283757338549E-2</v>
      </c>
    </row>
    <row r="56" spans="2:48" ht="15.75" thickBot="1">
      <c r="B56" s="77">
        <v>45402</v>
      </c>
      <c r="C56" s="70">
        <v>1.7999999999999999E-2</v>
      </c>
      <c r="D56" s="58">
        <v>4.2999999999999997E-2</v>
      </c>
      <c r="E56" s="58">
        <v>0.04</v>
      </c>
      <c r="F56" s="61">
        <v>0.04</v>
      </c>
      <c r="G56" s="58">
        <v>2.3E-2</v>
      </c>
      <c r="H56" s="58">
        <v>3.3000000000000002E-2</v>
      </c>
      <c r="I56" s="77">
        <v>45402</v>
      </c>
      <c r="J56" s="102">
        <v>7.0000000000000001E-3</v>
      </c>
      <c r="K56" s="57">
        <v>3.2000000000000001E-2</v>
      </c>
      <c r="L56" s="58">
        <v>0.04</v>
      </c>
      <c r="M56" s="95">
        <v>0.04</v>
      </c>
      <c r="N56" s="57">
        <v>0.02</v>
      </c>
      <c r="O56" s="121">
        <v>2.7E-2</v>
      </c>
      <c r="P56" s="77">
        <v>45402</v>
      </c>
      <c r="Q56" s="102">
        <v>0.02</v>
      </c>
      <c r="R56" s="57">
        <v>3.5000000000000003E-2</v>
      </c>
      <c r="S56" s="58">
        <v>0.04</v>
      </c>
      <c r="T56" s="95">
        <v>0.04</v>
      </c>
      <c r="U56" s="57">
        <v>5.0999999999999997E-2</v>
      </c>
      <c r="V56" s="121">
        <v>5.3999999999999999E-2</v>
      </c>
      <c r="W56" s="77">
        <v>45402</v>
      </c>
      <c r="X56" s="56">
        <v>0.03</v>
      </c>
      <c r="Y56" s="2">
        <v>3.9E-2</v>
      </c>
      <c r="Z56" s="2">
        <v>0.04</v>
      </c>
      <c r="AA56" s="18">
        <v>0.04</v>
      </c>
      <c r="AB56" s="2">
        <v>1.4999999999999999E-2</v>
      </c>
      <c r="AC56" s="107">
        <v>0.05</v>
      </c>
      <c r="AD56" s="125">
        <v>45402</v>
      </c>
      <c r="AE56" s="56">
        <v>7.3000000000000001E-3</v>
      </c>
      <c r="AF56" s="2">
        <v>0.04</v>
      </c>
      <c r="AG56" s="18">
        <v>0.04</v>
      </c>
      <c r="AH56" s="129">
        <v>1.7100000000000001E-2</v>
      </c>
      <c r="AI56" s="77">
        <v>45402</v>
      </c>
      <c r="AJ56" s="53">
        <v>5.5999999999999999E-3</v>
      </c>
      <c r="AK56" s="27">
        <v>1.32E-2</v>
      </c>
      <c r="AL56" s="2">
        <v>0.04</v>
      </c>
      <c r="AM56" s="18">
        <v>0.04</v>
      </c>
      <c r="AN56" s="2">
        <v>0</v>
      </c>
      <c r="AO56" s="134">
        <v>6.5000000000000002E-2</v>
      </c>
      <c r="AP56" s="77">
        <v>45402</v>
      </c>
      <c r="AQ56" s="144">
        <f>0*7.5/(165*62)/100%</f>
        <v>0</v>
      </c>
      <c r="AR56" s="136">
        <f>96*7.5/(165*284)/100%</f>
        <v>1.5364916773367477E-2</v>
      </c>
      <c r="AS56" s="137">
        <v>0.04</v>
      </c>
      <c r="AT56" s="95">
        <v>0.04</v>
      </c>
      <c r="AU56" s="138">
        <f>0*7.5/(165*62)/100%</f>
        <v>0</v>
      </c>
      <c r="AV56" s="141">
        <f>406*7.5/(165*284)/100%</f>
        <v>6.4980793854033297E-2</v>
      </c>
    </row>
    <row r="57" spans="2:48" ht="15.75" thickBot="1">
      <c r="B57" s="77">
        <v>45432</v>
      </c>
      <c r="C57" s="70">
        <v>1.4E-2</v>
      </c>
      <c r="D57" s="58">
        <v>0.03</v>
      </c>
      <c r="E57" s="58">
        <v>0.04</v>
      </c>
      <c r="F57" s="61">
        <v>0.04</v>
      </c>
      <c r="G57" s="58">
        <v>2.8000000000000001E-2</v>
      </c>
      <c r="H57" s="58">
        <v>2.9000000000000001E-2</v>
      </c>
      <c r="I57" s="77">
        <v>45432</v>
      </c>
      <c r="J57" s="102">
        <v>0.01</v>
      </c>
      <c r="K57" s="57">
        <v>2.4E-2</v>
      </c>
      <c r="L57" s="58">
        <v>0.04</v>
      </c>
      <c r="M57" s="95">
        <v>0.04</v>
      </c>
      <c r="N57" s="57">
        <v>3.7999999999999999E-2</v>
      </c>
      <c r="O57" s="121">
        <v>2.3E-2</v>
      </c>
      <c r="P57" s="77">
        <v>45432</v>
      </c>
      <c r="Q57" s="102">
        <v>5.0000000000000001E-3</v>
      </c>
      <c r="R57" s="57">
        <v>1.7999999999999999E-2</v>
      </c>
      <c r="S57" s="58">
        <v>0.04</v>
      </c>
      <c r="T57" s="95">
        <v>0.04</v>
      </c>
      <c r="U57" s="57">
        <v>3.5999999999999997E-2</v>
      </c>
      <c r="V57" s="121">
        <v>5.7000000000000002E-2</v>
      </c>
      <c r="W57" s="77">
        <v>45432</v>
      </c>
      <c r="X57" s="56">
        <v>5.0000000000000001E-3</v>
      </c>
      <c r="Y57" s="2">
        <v>4.2999999999999997E-2</v>
      </c>
      <c r="Z57" s="2">
        <v>0.04</v>
      </c>
      <c r="AA57" s="18">
        <v>0.04</v>
      </c>
      <c r="AB57" s="2">
        <v>8.0000000000000002E-3</v>
      </c>
      <c r="AC57" s="107">
        <v>5.0999999999999997E-2</v>
      </c>
      <c r="AD57" s="125">
        <v>45432</v>
      </c>
      <c r="AE57" s="56">
        <v>2.01E-2</v>
      </c>
      <c r="AF57" s="2">
        <v>0.04</v>
      </c>
      <c r="AG57" s="18">
        <v>0.04</v>
      </c>
      <c r="AH57" s="129">
        <v>0.02</v>
      </c>
      <c r="AI57" s="77">
        <v>45432</v>
      </c>
      <c r="AJ57" s="53">
        <v>1.6E-2</v>
      </c>
      <c r="AK57" s="27">
        <v>3.6600000000000001E-2</v>
      </c>
      <c r="AL57" s="2">
        <v>0.04</v>
      </c>
      <c r="AM57" s="18">
        <v>0.04</v>
      </c>
      <c r="AN57" s="2">
        <v>0</v>
      </c>
      <c r="AO57" s="129">
        <v>0.11</v>
      </c>
      <c r="AP57" s="77">
        <v>45432</v>
      </c>
      <c r="AQ57" s="144">
        <f>7*7.5/(172.5*62)/100%</f>
        <v>4.9088359046283309E-3</v>
      </c>
      <c r="AR57" s="136">
        <f>134*7.5/(172.5*280)/100%</f>
        <v>2.0807453416149067E-2</v>
      </c>
      <c r="AS57" s="137">
        <v>0.04</v>
      </c>
      <c r="AT57" s="95">
        <v>0.04</v>
      </c>
      <c r="AU57" s="138">
        <f>0*7.5/(172.5*62)/100%</f>
        <v>0</v>
      </c>
      <c r="AV57" s="141">
        <f>459*7.5/(172.5*280)/100%</f>
        <v>7.1273291925465845E-2</v>
      </c>
    </row>
    <row r="58" spans="2:48" ht="15.75" thickBot="1">
      <c r="B58" s="77">
        <v>45463</v>
      </c>
      <c r="C58" s="70">
        <v>3.0000000000000001E-3</v>
      </c>
      <c r="D58" s="58">
        <v>3.5000000000000003E-2</v>
      </c>
      <c r="E58" s="58">
        <v>0.04</v>
      </c>
      <c r="F58" s="61">
        <v>0.04</v>
      </c>
      <c r="G58" s="58">
        <v>2.5000000000000001E-2</v>
      </c>
      <c r="H58" s="58">
        <v>3.4000000000000002E-2</v>
      </c>
      <c r="I58" s="77">
        <v>45463</v>
      </c>
      <c r="J58" s="102">
        <v>2E-3</v>
      </c>
      <c r="K58" s="57">
        <v>3.6999999999999998E-2</v>
      </c>
      <c r="L58" s="58">
        <v>0.04</v>
      </c>
      <c r="M58" s="95">
        <v>0.04</v>
      </c>
      <c r="N58" s="57">
        <v>1.7999999999999999E-2</v>
      </c>
      <c r="O58" s="121">
        <v>1.7000000000000001E-2</v>
      </c>
      <c r="P58" s="77">
        <v>45463</v>
      </c>
      <c r="Q58" s="102">
        <v>1.4999999999999999E-2</v>
      </c>
      <c r="R58" s="57">
        <v>3.4000000000000002E-2</v>
      </c>
      <c r="S58" s="58">
        <v>0.04</v>
      </c>
      <c r="T58" s="95">
        <v>0.04</v>
      </c>
      <c r="U58" s="57">
        <v>1.6E-2</v>
      </c>
      <c r="V58" s="121">
        <v>5.3999999999999999E-2</v>
      </c>
      <c r="W58" s="77">
        <v>45463</v>
      </c>
      <c r="X58" s="56">
        <v>2.8000000000000001E-2</v>
      </c>
      <c r="Y58" s="2">
        <v>0.08</v>
      </c>
      <c r="Z58" s="2">
        <v>0.04</v>
      </c>
      <c r="AA58" s="18">
        <v>0.04</v>
      </c>
      <c r="AB58" s="2">
        <v>0</v>
      </c>
      <c r="AC58" s="107">
        <v>4.9000000000000002E-2</v>
      </c>
      <c r="AD58" s="125">
        <v>45463</v>
      </c>
      <c r="AE58" s="56">
        <v>3.2000000000000002E-3</v>
      </c>
      <c r="AF58" s="2">
        <v>0.04</v>
      </c>
      <c r="AG58" s="18">
        <v>0.04</v>
      </c>
      <c r="AH58" s="129">
        <v>2.2200000000000001E-2</v>
      </c>
      <c r="AI58" s="77">
        <v>45463</v>
      </c>
      <c r="AJ58" s="53">
        <v>2.75E-2</v>
      </c>
      <c r="AK58" s="27">
        <v>3.5200000000000002E-2</v>
      </c>
      <c r="AL58" s="2">
        <v>0.04</v>
      </c>
      <c r="AM58" s="18">
        <v>0.04</v>
      </c>
      <c r="AN58" s="2">
        <v>0</v>
      </c>
      <c r="AO58" s="129">
        <v>0.107</v>
      </c>
      <c r="AP58" s="77">
        <v>45463</v>
      </c>
      <c r="AQ58" s="144">
        <f>0*7.5/(150*68)/100%</f>
        <v>0</v>
      </c>
      <c r="AR58" s="136">
        <f>110*7.5/(150*283)/100%</f>
        <v>1.9434628975265017E-2</v>
      </c>
      <c r="AS58" s="137">
        <v>0.04</v>
      </c>
      <c r="AT58" s="95">
        <v>0.04</v>
      </c>
      <c r="AU58" s="138">
        <f>0*7.5/(150*68)/100%</f>
        <v>0</v>
      </c>
      <c r="AV58" s="141">
        <f>504*7.5/(150*283)/100%</f>
        <v>8.9045936395759723E-2</v>
      </c>
    </row>
    <row r="59" spans="2:48" ht="15.75" thickBot="1">
      <c r="B59" s="77">
        <v>45493</v>
      </c>
      <c r="C59" s="70">
        <v>0.01</v>
      </c>
      <c r="D59" s="58">
        <v>0.01</v>
      </c>
      <c r="E59" s="58">
        <v>0.04</v>
      </c>
      <c r="F59" s="61">
        <v>0.04</v>
      </c>
      <c r="G59" s="58">
        <v>8.0000000000000002E-3</v>
      </c>
      <c r="H59" s="58">
        <v>3.4000000000000002E-2</v>
      </c>
      <c r="I59" s="77">
        <v>45493</v>
      </c>
      <c r="J59" s="102">
        <v>2E-3</v>
      </c>
      <c r="K59" s="57">
        <v>1.4999999999999999E-2</v>
      </c>
      <c r="L59" s="58">
        <v>0.04</v>
      </c>
      <c r="M59" s="95">
        <v>0.04</v>
      </c>
      <c r="N59" s="57">
        <v>8.9999999999999993E-3</v>
      </c>
      <c r="O59" s="121">
        <v>2.1000000000000001E-2</v>
      </c>
      <c r="P59" s="77">
        <v>45493</v>
      </c>
      <c r="Q59" s="102">
        <v>8.9999999999999993E-3</v>
      </c>
      <c r="R59" s="57">
        <v>0.02</v>
      </c>
      <c r="S59" s="58">
        <v>0.04</v>
      </c>
      <c r="T59" s="95">
        <v>0.04</v>
      </c>
      <c r="U59" s="57">
        <v>2E-3</v>
      </c>
      <c r="V59" s="121">
        <v>3.7999999999999999E-2</v>
      </c>
      <c r="W59" s="77">
        <v>45493</v>
      </c>
      <c r="X59" s="56">
        <v>2.7E-2</v>
      </c>
      <c r="Y59" s="2">
        <v>4.2999999999999997E-2</v>
      </c>
      <c r="Z59" s="2">
        <v>0.04</v>
      </c>
      <c r="AA59" s="18">
        <v>0.04</v>
      </c>
      <c r="AB59" s="2">
        <v>1.4E-2</v>
      </c>
      <c r="AC59" s="107">
        <v>5.5E-2</v>
      </c>
      <c r="AD59" s="125">
        <v>45493</v>
      </c>
      <c r="AE59" s="56">
        <v>2.5000000000000001E-3</v>
      </c>
      <c r="AF59" s="2">
        <v>0.04</v>
      </c>
      <c r="AG59" s="18">
        <v>0.04</v>
      </c>
      <c r="AH59" s="129">
        <v>1.9699999999999999E-2</v>
      </c>
      <c r="AI59" s="77">
        <v>45493</v>
      </c>
      <c r="AJ59" s="53">
        <v>2.6100000000000002E-2</v>
      </c>
      <c r="AK59" s="27">
        <v>3.0200000000000001E-2</v>
      </c>
      <c r="AL59" s="2">
        <v>0.04</v>
      </c>
      <c r="AM59" s="18">
        <v>0.04</v>
      </c>
      <c r="AN59" s="2">
        <v>0</v>
      </c>
      <c r="AO59" s="129">
        <v>0.111</v>
      </c>
      <c r="AP59" s="77">
        <v>45493</v>
      </c>
      <c r="AQ59" s="144">
        <v>0</v>
      </c>
      <c r="AR59" s="136">
        <v>1.9800000000000002E-2</v>
      </c>
      <c r="AS59" s="137">
        <v>0.04</v>
      </c>
      <c r="AT59" s="95">
        <v>0.04</v>
      </c>
      <c r="AU59" s="138">
        <v>0</v>
      </c>
      <c r="AV59" s="141">
        <v>8.1199999999999994E-2</v>
      </c>
    </row>
    <row r="60" spans="2:48">
      <c r="B60" s="77">
        <v>45524</v>
      </c>
      <c r="C60" s="70">
        <v>1.7999999999999999E-2</v>
      </c>
      <c r="D60" s="58">
        <v>3.5999999999999997E-2</v>
      </c>
      <c r="E60" s="58">
        <v>0.04</v>
      </c>
      <c r="F60" s="61">
        <v>0.04</v>
      </c>
      <c r="G60" s="58">
        <v>1.0999999999999999E-2</v>
      </c>
      <c r="H60" s="58">
        <v>3.4000000000000002E-2</v>
      </c>
      <c r="I60" s="77">
        <v>45524</v>
      </c>
      <c r="J60" s="102">
        <v>2.6501766784452299E-3</v>
      </c>
      <c r="K60" s="57">
        <v>2.3247649060990964E-2</v>
      </c>
      <c r="L60" s="58">
        <v>0.04</v>
      </c>
      <c r="M60" s="95">
        <v>0.04</v>
      </c>
      <c r="N60" s="2">
        <v>7.2954946996466432E-3</v>
      </c>
      <c r="O60" s="129">
        <v>1.9826788406028705E-2</v>
      </c>
      <c r="P60" s="77">
        <v>45524</v>
      </c>
      <c r="Q60" s="102">
        <v>2.5999999999999999E-2</v>
      </c>
      <c r="R60" s="57">
        <v>2.5000000000000001E-2</v>
      </c>
      <c r="S60" s="58">
        <v>0.04</v>
      </c>
      <c r="T60" s="95">
        <v>0.04</v>
      </c>
      <c r="U60" s="57">
        <v>0</v>
      </c>
      <c r="V60" s="121">
        <v>4.9000000000000002E-2</v>
      </c>
      <c r="W60" s="77">
        <v>45524</v>
      </c>
      <c r="X60" s="56">
        <v>8.0000000000000002E-3</v>
      </c>
      <c r="Y60" s="2">
        <v>0.04</v>
      </c>
      <c r="Z60" s="2">
        <v>0.04</v>
      </c>
      <c r="AA60" s="18">
        <v>0.04</v>
      </c>
      <c r="AB60" s="2">
        <v>2.8000000000000001E-2</v>
      </c>
      <c r="AC60" s="107">
        <v>4.2000000000000003E-2</v>
      </c>
      <c r="AD60" s="125">
        <v>45524</v>
      </c>
      <c r="AE60" s="56">
        <v>0</v>
      </c>
      <c r="AF60" s="2">
        <v>0.04</v>
      </c>
      <c r="AG60" s="18">
        <v>0.04</v>
      </c>
      <c r="AH60" s="129">
        <v>1.9199999999999998E-2</v>
      </c>
      <c r="AI60" s="77">
        <v>45524</v>
      </c>
      <c r="AJ60" s="53">
        <v>2.8000000000000001E-2</v>
      </c>
      <c r="AK60" s="27">
        <v>9.7199999999999995E-2</v>
      </c>
      <c r="AL60" s="2">
        <v>0.04</v>
      </c>
      <c r="AM60" s="18">
        <v>0.04</v>
      </c>
      <c r="AN60" s="2">
        <v>0</v>
      </c>
      <c r="AO60" s="129">
        <v>8.5000000000000006E-2</v>
      </c>
      <c r="AP60" s="77">
        <v>45524</v>
      </c>
      <c r="AQ60" s="144">
        <v>0</v>
      </c>
      <c r="AR60" s="136">
        <v>2.5100000000000001E-2</v>
      </c>
      <c r="AS60" s="137">
        <v>0.04</v>
      </c>
      <c r="AT60" s="95">
        <v>0.04</v>
      </c>
      <c r="AU60" s="138">
        <v>0</v>
      </c>
      <c r="AV60" s="141">
        <v>0.1021</v>
      </c>
    </row>
    <row r="61" spans="2:48" ht="15.75" thickBot="1">
      <c r="B61" s="77">
        <v>45555</v>
      </c>
      <c r="C61" s="70">
        <v>1.4999999999999999E-2</v>
      </c>
      <c r="D61" s="58">
        <v>4.2999999999999997E-2</v>
      </c>
      <c r="E61" s="58">
        <v>0.04</v>
      </c>
      <c r="F61" s="61">
        <v>0.04</v>
      </c>
      <c r="G61" s="58">
        <v>1.2999999999999999E-2</v>
      </c>
      <c r="H61" s="58">
        <v>4.2999999999999997E-2</v>
      </c>
      <c r="I61" s="77">
        <v>45555</v>
      </c>
      <c r="J61" s="148">
        <v>1.9024341486359363E-2</v>
      </c>
      <c r="K61" s="66">
        <v>3.9976905520529703E-2</v>
      </c>
      <c r="L61" s="58">
        <v>0.04</v>
      </c>
      <c r="M61" s="95">
        <v>0.04</v>
      </c>
      <c r="N61" s="2">
        <v>2.6930385700846663E-2</v>
      </c>
      <c r="O61" s="129">
        <v>2.4264660023049302E-2</v>
      </c>
      <c r="P61" s="77">
        <v>45555</v>
      </c>
      <c r="Q61" s="102">
        <v>2.1999999999999999E-2</v>
      </c>
      <c r="R61" s="57">
        <v>0.03</v>
      </c>
      <c r="S61" s="58">
        <v>0.04</v>
      </c>
      <c r="T61" s="95">
        <v>0.04</v>
      </c>
      <c r="U61" s="57">
        <v>1.7000000000000001E-2</v>
      </c>
      <c r="V61" s="121">
        <v>5.3999999999999999E-2</v>
      </c>
      <c r="W61" s="77">
        <v>45555</v>
      </c>
      <c r="X61" s="56">
        <v>3.5999999999999997E-2</v>
      </c>
      <c r="Y61" s="2">
        <v>7.1999999999999995E-2</v>
      </c>
      <c r="Z61" s="2">
        <v>0.04</v>
      </c>
      <c r="AA61" s="18">
        <v>0.04</v>
      </c>
      <c r="AB61" s="2">
        <v>1.9E-2</v>
      </c>
      <c r="AC61" s="107">
        <v>4.1000000000000002E-2</v>
      </c>
      <c r="AD61" s="125">
        <v>45555</v>
      </c>
      <c r="AE61" s="56">
        <v>0</v>
      </c>
      <c r="AF61" s="2">
        <v>0.04</v>
      </c>
      <c r="AG61" s="18">
        <v>0.04</v>
      </c>
      <c r="AH61" s="129">
        <v>1.9E-2</v>
      </c>
      <c r="AI61" s="77">
        <v>45555</v>
      </c>
      <c r="AJ61" s="53">
        <v>1.21E-2</v>
      </c>
      <c r="AK61" s="27">
        <v>1.7500000000000002E-2</v>
      </c>
      <c r="AL61" s="2">
        <v>0.04</v>
      </c>
      <c r="AM61" s="18">
        <v>0.04</v>
      </c>
      <c r="AN61" s="2">
        <v>0</v>
      </c>
      <c r="AO61" s="129">
        <v>0.123</v>
      </c>
      <c r="AP61" s="77">
        <v>45555</v>
      </c>
      <c r="AQ61" s="144">
        <v>0</v>
      </c>
      <c r="AR61" s="136">
        <v>2.5100000000000001E-2</v>
      </c>
      <c r="AS61" s="137">
        <v>0.04</v>
      </c>
      <c r="AT61" s="95">
        <v>0.04</v>
      </c>
      <c r="AU61" s="138">
        <v>0</v>
      </c>
      <c r="AV61" s="141">
        <v>9.7900000000000001E-2</v>
      </c>
    </row>
    <row r="62" spans="2:48" ht="15.75" thickBot="1">
      <c r="B62" s="77">
        <v>45585</v>
      </c>
      <c r="C62" s="70">
        <v>8.9999999999999993E-3</v>
      </c>
      <c r="D62" s="58">
        <v>4.8000000000000001E-2</v>
      </c>
      <c r="E62" s="58">
        <v>0.04</v>
      </c>
      <c r="F62" s="61">
        <v>0.04</v>
      </c>
      <c r="G62" s="58">
        <v>0</v>
      </c>
      <c r="H62" s="58">
        <v>3.6999999999999998E-2</v>
      </c>
      <c r="I62" s="77">
        <v>45585</v>
      </c>
      <c r="J62" s="148">
        <v>1.3625213310580205E-2</v>
      </c>
      <c r="K62" s="66">
        <v>3.3244235082033974E-2</v>
      </c>
      <c r="L62" s="58">
        <v>0.04</v>
      </c>
      <c r="M62" s="95">
        <v>0.04</v>
      </c>
      <c r="N62" s="2">
        <v>3.7423528156996594E-2</v>
      </c>
      <c r="O62" s="129">
        <v>3.4630712607169989E-2</v>
      </c>
      <c r="P62" s="77">
        <v>45585</v>
      </c>
      <c r="Q62" s="102">
        <v>2.7E-2</v>
      </c>
      <c r="R62" s="57">
        <v>3.3000000000000002E-2</v>
      </c>
      <c r="S62" s="58">
        <v>0.04</v>
      </c>
      <c r="T62" s="95">
        <v>0.04</v>
      </c>
      <c r="U62" s="57">
        <v>4.3999999999999997E-2</v>
      </c>
      <c r="V62" s="121">
        <v>5.0999999999999997E-2</v>
      </c>
      <c r="W62" s="77">
        <v>45585</v>
      </c>
      <c r="X62" s="56">
        <v>1.2E-2</v>
      </c>
      <c r="Y62" s="2">
        <v>7.0000000000000007E-2</v>
      </c>
      <c r="Z62" s="2">
        <v>0.04</v>
      </c>
      <c r="AA62" s="18">
        <v>0.04</v>
      </c>
      <c r="AB62" s="2">
        <v>1.7999999999999999E-2</v>
      </c>
      <c r="AC62" s="107">
        <v>0.05</v>
      </c>
      <c r="AD62" s="125">
        <v>45585</v>
      </c>
      <c r="AE62" s="56">
        <v>1.6E-2</v>
      </c>
      <c r="AF62" s="2">
        <v>0.04</v>
      </c>
      <c r="AG62" s="18">
        <v>0.04</v>
      </c>
      <c r="AH62" s="129">
        <v>2.7E-2</v>
      </c>
      <c r="AI62" s="77">
        <v>45585</v>
      </c>
      <c r="AJ62" s="53">
        <v>3.5999999999999999E-3</v>
      </c>
      <c r="AK62" s="27">
        <v>1.35E-2</v>
      </c>
      <c r="AL62" s="2">
        <v>0.04</v>
      </c>
      <c r="AM62" s="18">
        <v>0.04</v>
      </c>
      <c r="AN62" s="2">
        <v>0</v>
      </c>
      <c r="AO62" s="129">
        <v>0.104</v>
      </c>
      <c r="AP62" s="77">
        <v>45585</v>
      </c>
      <c r="AQ62" s="144">
        <f>0*7.5/(172.5*217)/100%</f>
        <v>0</v>
      </c>
      <c r="AR62" s="136">
        <f>200*7.5/(172.5*298)/100%</f>
        <v>2.9180040852057193E-2</v>
      </c>
      <c r="AS62" s="137">
        <v>0.04</v>
      </c>
      <c r="AT62" s="95">
        <v>0.04</v>
      </c>
      <c r="AU62" s="138">
        <f>14*7.5/(172.5*72)/100%</f>
        <v>8.4541062801932361E-3</v>
      </c>
      <c r="AV62" s="141">
        <f>567*7.5/(157.5*298)/100%</f>
        <v>9.0604026845637578E-2</v>
      </c>
    </row>
    <row r="63" spans="2:48" ht="15.75" thickBot="1">
      <c r="B63" s="77">
        <v>45616</v>
      </c>
      <c r="C63" s="71">
        <v>1.0999999999999999E-2</v>
      </c>
      <c r="D63" s="59">
        <v>3.7999999999999999E-2</v>
      </c>
      <c r="E63" s="58">
        <v>0.04</v>
      </c>
      <c r="F63" s="61">
        <v>0.04</v>
      </c>
      <c r="G63" s="59">
        <v>0</v>
      </c>
      <c r="H63" s="59">
        <v>3.2000000000000001E-2</v>
      </c>
      <c r="I63" s="77">
        <v>45616</v>
      </c>
      <c r="J63" s="102">
        <v>1.2999999999999999E-2</v>
      </c>
      <c r="K63" s="57">
        <v>2.3E-2</v>
      </c>
      <c r="L63" s="58">
        <v>0.04</v>
      </c>
      <c r="M63" s="95">
        <v>0.04</v>
      </c>
      <c r="N63" s="57">
        <v>4.9000000000000002E-2</v>
      </c>
      <c r="O63" s="121">
        <v>3.9E-2</v>
      </c>
      <c r="P63" s="77">
        <v>45616</v>
      </c>
      <c r="Q63" s="75">
        <v>1.4999999999999999E-2</v>
      </c>
      <c r="R63" s="50">
        <v>4.2999999999999997E-2</v>
      </c>
      <c r="S63" s="58">
        <v>0.04</v>
      </c>
      <c r="T63" s="95">
        <v>0.04</v>
      </c>
      <c r="U63" s="57">
        <v>6.0000000000000001E-3</v>
      </c>
      <c r="V63" s="122">
        <v>4.5999999999999999E-2</v>
      </c>
      <c r="W63" s="77">
        <v>45616</v>
      </c>
      <c r="X63" s="56">
        <v>2.9000000000000001E-2</v>
      </c>
      <c r="Y63" s="2">
        <v>4.1000000000000002E-2</v>
      </c>
      <c r="Z63" s="2">
        <v>0.04</v>
      </c>
      <c r="AA63" s="18">
        <v>0.04</v>
      </c>
      <c r="AB63" s="2">
        <v>1.7000000000000001E-2</v>
      </c>
      <c r="AC63" s="107">
        <v>4.3999999999999997E-2</v>
      </c>
      <c r="AD63" s="125">
        <v>45616</v>
      </c>
      <c r="AE63" s="56">
        <v>1.2E-2</v>
      </c>
      <c r="AF63" s="2">
        <v>0.04</v>
      </c>
      <c r="AG63" s="18">
        <v>0.04</v>
      </c>
      <c r="AH63" s="129">
        <v>5.1999999999999998E-2</v>
      </c>
      <c r="AI63" s="77">
        <v>45616</v>
      </c>
      <c r="AJ63" s="53">
        <v>2.2800000000000001E-2</v>
      </c>
      <c r="AK63" s="27">
        <v>1.12E-2</v>
      </c>
      <c r="AL63" s="2">
        <v>0.04</v>
      </c>
      <c r="AM63" s="18">
        <v>0.04</v>
      </c>
      <c r="AN63" s="2">
        <v>0</v>
      </c>
      <c r="AO63" s="129">
        <v>7.9000000000000001E-2</v>
      </c>
      <c r="AP63" s="77">
        <v>45616</v>
      </c>
      <c r="AQ63" s="144">
        <f>0*7.5/(172.5*217)/100%</f>
        <v>0</v>
      </c>
      <c r="AR63" s="136">
        <f>103*7.5/(157.5*298)/100%</f>
        <v>1.6458932566315115E-2</v>
      </c>
      <c r="AS63" s="137">
        <v>0.04</v>
      </c>
      <c r="AT63" s="95">
        <v>0.04</v>
      </c>
      <c r="AU63" s="138">
        <f>0*7.5/(172.5*72)/100%</f>
        <v>0</v>
      </c>
      <c r="AV63" s="141">
        <f>486*7.5/(172.5*288)/100%</f>
        <v>7.3369565217391311E-2</v>
      </c>
    </row>
    <row r="64" spans="2:48" ht="15.75" thickBot="1">
      <c r="B64" s="77">
        <v>45646</v>
      </c>
      <c r="C64" s="71">
        <v>8.0000000000000002E-3</v>
      </c>
      <c r="D64" s="59">
        <v>4.9000000000000002E-2</v>
      </c>
      <c r="E64" s="58">
        <v>0.04</v>
      </c>
      <c r="F64" s="61">
        <v>0.04</v>
      </c>
      <c r="G64" s="59">
        <v>0</v>
      </c>
      <c r="H64" s="59">
        <v>4.1000000000000002E-2</v>
      </c>
      <c r="I64" s="77">
        <v>45646</v>
      </c>
      <c r="J64" s="75">
        <v>1.2E-2</v>
      </c>
      <c r="K64" s="50">
        <v>3.2000000000000001E-2</v>
      </c>
      <c r="L64" s="58">
        <v>0.04</v>
      </c>
      <c r="M64" s="95">
        <v>0.04</v>
      </c>
      <c r="N64" s="50">
        <v>4.2000000000000003E-2</v>
      </c>
      <c r="O64" s="122">
        <v>4.5999999999999999E-2</v>
      </c>
      <c r="P64" s="77">
        <v>45646</v>
      </c>
      <c r="Q64" s="71">
        <v>8.9999999999999993E-3</v>
      </c>
      <c r="R64" s="59">
        <v>2.1000000000000001E-2</v>
      </c>
      <c r="S64" s="58">
        <v>0.04</v>
      </c>
      <c r="T64" s="95">
        <v>0.04</v>
      </c>
      <c r="U64" s="50">
        <v>6.0000000000000001E-3</v>
      </c>
      <c r="V64" s="123">
        <v>5.5E-2</v>
      </c>
      <c r="W64" s="77">
        <v>45646</v>
      </c>
      <c r="X64" s="56">
        <v>0.01</v>
      </c>
      <c r="Y64" s="2">
        <v>1.6E-2</v>
      </c>
      <c r="Z64" s="2">
        <v>0.04</v>
      </c>
      <c r="AA64" s="18">
        <v>0.04</v>
      </c>
      <c r="AB64" s="2">
        <v>1.9E-2</v>
      </c>
      <c r="AC64" s="107">
        <v>5.0999999999999997E-2</v>
      </c>
      <c r="AD64" s="125">
        <v>45646</v>
      </c>
      <c r="AE64" s="56">
        <v>3.3999999999999998E-3</v>
      </c>
      <c r="AF64" s="2">
        <v>0.04</v>
      </c>
      <c r="AG64" s="18">
        <v>0.04</v>
      </c>
      <c r="AH64" s="129">
        <v>4.5199999999999997E-2</v>
      </c>
      <c r="AI64" s="77">
        <v>45646</v>
      </c>
      <c r="AJ64" s="53">
        <v>8.6E-3</v>
      </c>
      <c r="AK64" s="27">
        <v>6.8400000000000002E-2</v>
      </c>
      <c r="AL64" s="2">
        <v>0.04</v>
      </c>
      <c r="AM64" s="18">
        <v>0.04</v>
      </c>
      <c r="AN64" s="2">
        <v>0</v>
      </c>
      <c r="AO64" s="129">
        <v>0.122</v>
      </c>
      <c r="AP64" s="77">
        <v>45646</v>
      </c>
      <c r="AQ64" s="144">
        <f>10*7.5/(165*55)/100%</f>
        <v>8.2644628099173556E-3</v>
      </c>
      <c r="AR64" s="136">
        <f>93*7.5/(165*255)/100%</f>
        <v>1.6577540106951873E-2</v>
      </c>
      <c r="AS64" s="137">
        <v>0.04</v>
      </c>
      <c r="AT64" s="95">
        <v>0.04</v>
      </c>
      <c r="AU64" s="138">
        <f>0*7.5/(172.5*72)/100%</f>
        <v>0</v>
      </c>
      <c r="AV64" s="141">
        <f>520*7.5/(165*255)/100%</f>
        <v>9.2691622103386814E-2</v>
      </c>
    </row>
    <row r="65" spans="1:50" ht="15.75" thickBot="1">
      <c r="B65" s="80" t="s">
        <v>27</v>
      </c>
      <c r="C65" s="71">
        <v>1.4E-2</v>
      </c>
      <c r="D65" s="59">
        <v>5.5E-2</v>
      </c>
      <c r="E65" s="58">
        <v>0.04</v>
      </c>
      <c r="F65" s="61">
        <v>0.04</v>
      </c>
      <c r="G65" s="59">
        <v>0</v>
      </c>
      <c r="H65" s="59">
        <v>4.1000000000000002E-2</v>
      </c>
      <c r="I65" s="80" t="s">
        <v>27</v>
      </c>
      <c r="J65" s="103">
        <v>0.03</v>
      </c>
      <c r="K65" s="50">
        <v>6.4000000000000001E-2</v>
      </c>
      <c r="L65" s="59">
        <v>0.04</v>
      </c>
      <c r="M65" s="95">
        <v>0.04</v>
      </c>
      <c r="N65" s="90">
        <v>3.5999999999999997E-2</v>
      </c>
      <c r="O65" s="122">
        <v>3.9E-2</v>
      </c>
      <c r="P65" s="80" t="s">
        <v>27</v>
      </c>
      <c r="Q65" s="148">
        <v>8.0000000000000002E-3</v>
      </c>
      <c r="R65" s="66">
        <v>4.5999999999999999E-2</v>
      </c>
      <c r="S65" s="58">
        <v>0.04</v>
      </c>
      <c r="T65" s="95">
        <v>0.04</v>
      </c>
      <c r="U65" s="66">
        <v>1.4999999999999999E-2</v>
      </c>
      <c r="V65" s="154">
        <v>7.2999999999999995E-2</v>
      </c>
      <c r="W65" s="80" t="s">
        <v>27</v>
      </c>
      <c r="X65" s="56">
        <v>2.8799999999999999E-2</v>
      </c>
      <c r="Y65" s="2">
        <v>6.0999999999999999E-2</v>
      </c>
      <c r="Z65" s="2">
        <v>0.04</v>
      </c>
      <c r="AA65" s="18">
        <v>0.04</v>
      </c>
      <c r="AB65" s="2">
        <v>1.7000000000000001E-2</v>
      </c>
      <c r="AC65" s="107">
        <v>3.3099999999999997E-2</v>
      </c>
      <c r="AD65" s="126" t="s">
        <v>27</v>
      </c>
      <c r="AE65" s="56">
        <v>8.5000000000000006E-3</v>
      </c>
      <c r="AF65" s="2">
        <v>0.04</v>
      </c>
      <c r="AG65" s="18">
        <v>0.04</v>
      </c>
      <c r="AH65" s="129">
        <v>1.8200000000000001E-2</v>
      </c>
      <c r="AI65" s="80" t="s">
        <v>27</v>
      </c>
      <c r="AJ65" s="53">
        <v>4.0399999999999998E-2</v>
      </c>
      <c r="AK65" s="27">
        <v>4.02E-2</v>
      </c>
      <c r="AL65" s="2">
        <v>0.04</v>
      </c>
      <c r="AM65" s="18">
        <v>0.04</v>
      </c>
      <c r="AN65" s="2">
        <v>0</v>
      </c>
      <c r="AO65" s="129">
        <v>6.8000000000000005E-2</v>
      </c>
      <c r="AP65" s="80" t="s">
        <v>27</v>
      </c>
      <c r="AQ65" s="144">
        <f>10*7.5/(165*56)/100%</f>
        <v>8.1168831168831161E-3</v>
      </c>
      <c r="AR65" s="136">
        <f>186*7.5/(165*294)/100%</f>
        <v>2.8756957328385901E-2</v>
      </c>
      <c r="AS65" s="137">
        <v>0.04</v>
      </c>
      <c r="AT65" s="95">
        <v>0.04</v>
      </c>
      <c r="AU65" s="138">
        <f>0*7.5/(172.5*72)/100%</f>
        <v>0</v>
      </c>
      <c r="AV65" s="141">
        <f>407*7.5/(165*294)/100%</f>
        <v>6.2925170068027211E-2</v>
      </c>
    </row>
    <row r="66" spans="1:50" ht="15.75" thickBot="1">
      <c r="B66" s="80" t="s">
        <v>28</v>
      </c>
      <c r="C66" s="71">
        <v>1.0999999999999999E-2</v>
      </c>
      <c r="D66" s="59">
        <v>5.6000000000000001E-2</v>
      </c>
      <c r="E66" s="58">
        <v>0.04</v>
      </c>
      <c r="F66" s="61">
        <v>0.04</v>
      </c>
      <c r="G66" s="59">
        <v>0</v>
      </c>
      <c r="H66" s="59">
        <v>3.5000000000000003E-2</v>
      </c>
      <c r="I66" s="80" t="s">
        <v>28</v>
      </c>
      <c r="J66" s="103">
        <v>1.4999999999999999E-2</v>
      </c>
      <c r="K66" s="50">
        <v>4.4999999999999998E-2</v>
      </c>
      <c r="L66" s="50">
        <v>0.04</v>
      </c>
      <c r="M66" s="95">
        <v>0.04</v>
      </c>
      <c r="N66" s="90">
        <v>2.7E-2</v>
      </c>
      <c r="O66" s="122">
        <v>3.7999999999999999E-2</v>
      </c>
      <c r="P66" s="80" t="s">
        <v>28</v>
      </c>
      <c r="Q66" s="148">
        <v>2.5000000000000001E-2</v>
      </c>
      <c r="R66" s="66">
        <v>4.9000000000000002E-2</v>
      </c>
      <c r="S66" s="58">
        <v>0.04</v>
      </c>
      <c r="T66" s="95">
        <v>0.04</v>
      </c>
      <c r="U66" s="66">
        <v>1.7000000000000001E-2</v>
      </c>
      <c r="V66" s="154">
        <v>4.4999999999999998E-2</v>
      </c>
      <c r="W66" s="80" t="s">
        <v>28</v>
      </c>
      <c r="X66" s="56">
        <v>4.3999999999999997E-2</v>
      </c>
      <c r="Y66" s="2">
        <v>0.06</v>
      </c>
      <c r="Z66" s="2">
        <v>0.04</v>
      </c>
      <c r="AA66" s="18">
        <v>0.04</v>
      </c>
      <c r="AB66" s="2">
        <v>6.0000000000000001E-3</v>
      </c>
      <c r="AC66" s="107">
        <v>3.7499999999999999E-2</v>
      </c>
      <c r="AD66" s="126" t="s">
        <v>28</v>
      </c>
      <c r="AE66" s="56">
        <v>1.9400000000000001E-2</v>
      </c>
      <c r="AF66" s="2">
        <v>0.04</v>
      </c>
      <c r="AG66" s="18">
        <v>0.04</v>
      </c>
      <c r="AH66" s="129">
        <v>2.4500000000000001E-2</v>
      </c>
      <c r="AI66" s="80" t="s">
        <v>28</v>
      </c>
      <c r="AJ66" s="53">
        <v>3.2099999999999997E-2</v>
      </c>
      <c r="AK66" s="27">
        <v>2.7799999999999998E-2</v>
      </c>
      <c r="AL66" s="2">
        <v>0.04</v>
      </c>
      <c r="AM66" s="18">
        <v>0.04</v>
      </c>
      <c r="AN66" s="2">
        <v>0</v>
      </c>
      <c r="AO66" s="134">
        <v>4.8500000000000001E-2</v>
      </c>
      <c r="AP66" s="80" t="s">
        <v>28</v>
      </c>
      <c r="AQ66" s="144">
        <f>0*7.5/(150*54)/100%</f>
        <v>0</v>
      </c>
      <c r="AR66" s="136">
        <f>184*7.5/(150*289)/100%</f>
        <v>3.1833910034602078E-2</v>
      </c>
      <c r="AS66" s="137">
        <v>0.04</v>
      </c>
      <c r="AT66" s="95">
        <v>0.04</v>
      </c>
      <c r="AU66" s="138">
        <f>0*7.5/(150*56)/100%</f>
        <v>0</v>
      </c>
      <c r="AV66" s="141">
        <f>505*7.5/(150*289)/100%</f>
        <v>8.7370242214532878E-2</v>
      </c>
    </row>
    <row r="67" spans="1:50" ht="15.75" thickBot="1">
      <c r="B67" s="80" t="s">
        <v>29</v>
      </c>
      <c r="C67" s="71">
        <v>3.1E-2</v>
      </c>
      <c r="D67" s="59">
        <v>5.5E-2</v>
      </c>
      <c r="E67" s="58">
        <v>0.04</v>
      </c>
      <c r="F67" s="61">
        <v>0.04</v>
      </c>
      <c r="G67" s="59">
        <v>0</v>
      </c>
      <c r="H67" s="59">
        <v>3.3000000000000002E-2</v>
      </c>
      <c r="I67" s="80" t="s">
        <v>29</v>
      </c>
      <c r="J67" s="104">
        <v>2E-3</v>
      </c>
      <c r="K67" s="2">
        <v>4.3999999999999997E-2</v>
      </c>
      <c r="L67" s="2">
        <v>0.04</v>
      </c>
      <c r="M67" s="95">
        <v>0.04</v>
      </c>
      <c r="N67" s="92">
        <v>3.6999999999999998E-2</v>
      </c>
      <c r="O67" s="129">
        <v>2.9000000000000001E-2</v>
      </c>
      <c r="P67" s="80" t="s">
        <v>29</v>
      </c>
      <c r="Q67" s="148">
        <v>4.0000000000000001E-3</v>
      </c>
      <c r="R67" s="66">
        <v>2.9000000000000001E-2</v>
      </c>
      <c r="S67" s="58">
        <v>0.04</v>
      </c>
      <c r="T67" s="95">
        <v>0.04</v>
      </c>
      <c r="U67" s="66">
        <v>1.7999999999999999E-2</v>
      </c>
      <c r="V67" s="154">
        <v>6.2E-2</v>
      </c>
      <c r="W67" s="80" t="s">
        <v>29</v>
      </c>
      <c r="X67" s="56">
        <v>0.01</v>
      </c>
      <c r="Y67" s="2">
        <v>8.3000000000000004E-2</v>
      </c>
      <c r="Z67" s="2">
        <v>0.04</v>
      </c>
      <c r="AA67" s="18">
        <v>0.04</v>
      </c>
      <c r="AB67" s="2">
        <v>1.6E-2</v>
      </c>
      <c r="AC67" s="107">
        <v>6.8000000000000005E-2</v>
      </c>
      <c r="AD67" s="126" t="s">
        <v>29</v>
      </c>
      <c r="AE67" s="157">
        <v>1.2999999999999999E-2</v>
      </c>
      <c r="AF67" s="2">
        <v>0.04</v>
      </c>
      <c r="AG67" s="18">
        <v>0.04</v>
      </c>
      <c r="AH67" s="156">
        <v>2.1999999999999999E-2</v>
      </c>
      <c r="AI67" s="80" t="s">
        <v>29</v>
      </c>
      <c r="AJ67" s="53">
        <v>8.3999999999999995E-3</v>
      </c>
      <c r="AK67" s="27">
        <v>2.5100000000000001E-2</v>
      </c>
      <c r="AL67" s="2">
        <v>0.04</v>
      </c>
      <c r="AM67" s="18">
        <v>0.04</v>
      </c>
      <c r="AN67" s="2">
        <v>0</v>
      </c>
      <c r="AO67" s="129">
        <v>5.1999999999999998E-2</v>
      </c>
      <c r="AP67" s="80" t="s">
        <v>29</v>
      </c>
      <c r="AQ67" s="144">
        <f>11*7.5/(157.5*54)/100%</f>
        <v>9.700176366843033E-3</v>
      </c>
      <c r="AR67" s="136">
        <f>107*7.5/(157.5*286)/100%</f>
        <v>1.7815517815517816E-2</v>
      </c>
      <c r="AS67" s="137">
        <v>0.04</v>
      </c>
      <c r="AT67" s="95">
        <v>0.04</v>
      </c>
      <c r="AU67" s="138">
        <f>0*7.5/(150*56)/100%</f>
        <v>0</v>
      </c>
      <c r="AV67" s="141">
        <f>431*7.5/(157.5*286)/100%</f>
        <v>7.176157176157176E-2</v>
      </c>
    </row>
    <row r="68" spans="1:50" ht="15.75" thickBot="1">
      <c r="B68" s="80" t="s">
        <v>30</v>
      </c>
      <c r="C68" s="56">
        <v>1.2999999999999999E-2</v>
      </c>
      <c r="D68" s="2">
        <v>5.2999999999999999E-2</v>
      </c>
      <c r="E68" s="58">
        <v>0.04</v>
      </c>
      <c r="F68" s="61">
        <v>0.04</v>
      </c>
      <c r="G68" s="59">
        <v>0</v>
      </c>
      <c r="H68" s="59">
        <v>4.3999999999999997E-2</v>
      </c>
      <c r="I68" s="80" t="s">
        <v>30</v>
      </c>
      <c r="J68" s="104">
        <v>3.0000000000000001E-3</v>
      </c>
      <c r="K68" s="2">
        <v>2.5999999999999999E-2</v>
      </c>
      <c r="L68" s="2">
        <v>0.04</v>
      </c>
      <c r="M68" s="95">
        <v>0.04</v>
      </c>
      <c r="N68" s="92">
        <v>2.8000000000000001E-2</v>
      </c>
      <c r="O68" s="129">
        <v>2.5000000000000001E-2</v>
      </c>
      <c r="P68" s="80" t="s">
        <v>30</v>
      </c>
      <c r="Q68" s="151">
        <v>2.4E-2</v>
      </c>
      <c r="R68" s="91">
        <v>2.4E-2</v>
      </c>
      <c r="S68" s="58">
        <v>0.04</v>
      </c>
      <c r="T68" s="95">
        <v>0.04</v>
      </c>
      <c r="U68" s="91">
        <v>1.9E-2</v>
      </c>
      <c r="V68" s="146">
        <v>4.2000000000000003E-2</v>
      </c>
      <c r="W68" s="80" t="s">
        <v>30</v>
      </c>
      <c r="X68" s="56">
        <v>1.6E-2</v>
      </c>
      <c r="Y68" s="2">
        <v>7.5999999999999998E-2</v>
      </c>
      <c r="Z68" s="2">
        <v>0.04</v>
      </c>
      <c r="AA68" s="18">
        <v>0.04</v>
      </c>
      <c r="AB68" s="2">
        <v>2.4E-2</v>
      </c>
      <c r="AC68" s="107">
        <v>5.8999999999999997E-2</v>
      </c>
      <c r="AD68" s="126" t="s">
        <v>30</v>
      </c>
      <c r="AE68" s="157">
        <v>1.0699999999999999E-2</v>
      </c>
      <c r="AF68" s="2">
        <v>0.04</v>
      </c>
      <c r="AG68" s="18">
        <v>0.04</v>
      </c>
      <c r="AH68" s="156">
        <v>2.2700000000000001E-2</v>
      </c>
      <c r="AI68" s="80" t="s">
        <v>30</v>
      </c>
      <c r="AJ68" s="53">
        <v>1.6299999999999999E-2</v>
      </c>
      <c r="AK68" s="27">
        <v>3.7699999999999997E-2</v>
      </c>
      <c r="AL68" s="2">
        <v>0.04</v>
      </c>
      <c r="AM68" s="18">
        <v>0.04</v>
      </c>
      <c r="AN68" s="27">
        <v>0</v>
      </c>
      <c r="AO68" s="134">
        <v>6.9800000000000001E-2</v>
      </c>
      <c r="AP68" s="80" t="s">
        <v>30</v>
      </c>
      <c r="AQ68" s="144">
        <v>6.0000000000000001E-3</v>
      </c>
      <c r="AR68" s="136">
        <v>1.9800000000000002E-2</v>
      </c>
      <c r="AS68" s="137">
        <v>0.04</v>
      </c>
      <c r="AT68" s="95">
        <v>0.04</v>
      </c>
      <c r="AU68" s="136">
        <v>0.02</v>
      </c>
      <c r="AV68" s="141">
        <v>8.0500000000000002E-2</v>
      </c>
      <c r="AW68" s="97"/>
      <c r="AX68" s="98"/>
    </row>
    <row r="69" spans="1:50" ht="15.75" thickBot="1">
      <c r="B69" s="80" t="s">
        <v>31</v>
      </c>
      <c r="C69" s="56">
        <v>2.1999999999999999E-2</v>
      </c>
      <c r="D69" s="2">
        <v>4.1000000000000002E-2</v>
      </c>
      <c r="E69" s="58">
        <v>0.04</v>
      </c>
      <c r="F69" s="61">
        <v>0.04</v>
      </c>
      <c r="G69" s="59">
        <v>0</v>
      </c>
      <c r="H69" s="59">
        <v>3.6999999999999998E-2</v>
      </c>
      <c r="I69" s="80" t="s">
        <v>31</v>
      </c>
      <c r="J69" s="104">
        <v>8.0000000000000002E-3</v>
      </c>
      <c r="K69" s="2">
        <v>2.8000000000000001E-2</v>
      </c>
      <c r="L69" s="2">
        <v>0.04</v>
      </c>
      <c r="M69" s="95">
        <v>0.04</v>
      </c>
      <c r="N69" s="92">
        <v>8.0000000000000002E-3</v>
      </c>
      <c r="O69" s="129">
        <v>2.1999999999999999E-2</v>
      </c>
      <c r="P69" s="80" t="s">
        <v>31</v>
      </c>
      <c r="Q69" s="151">
        <v>2.3E-2</v>
      </c>
      <c r="R69" s="91">
        <v>0.02</v>
      </c>
      <c r="S69" s="58">
        <v>0.04</v>
      </c>
      <c r="T69" s="95">
        <v>0.04</v>
      </c>
      <c r="U69" s="91">
        <v>7.0000000000000001E-3</v>
      </c>
      <c r="V69" s="146">
        <v>5.8999999999999997E-2</v>
      </c>
      <c r="W69" s="80" t="s">
        <v>31</v>
      </c>
      <c r="X69" s="56">
        <v>1.4E-2</v>
      </c>
      <c r="Y69" s="2">
        <v>4.4999999999999998E-2</v>
      </c>
      <c r="Z69" s="2">
        <v>0.04</v>
      </c>
      <c r="AA69" s="18">
        <v>0.04</v>
      </c>
      <c r="AB69" s="2">
        <v>2.1999999999999999E-2</v>
      </c>
      <c r="AC69" s="107">
        <v>7.8E-2</v>
      </c>
      <c r="AD69" s="126" t="s">
        <v>31</v>
      </c>
      <c r="AE69" s="157">
        <v>5.1999999999999998E-3</v>
      </c>
      <c r="AF69" s="2">
        <v>0.04</v>
      </c>
      <c r="AG69" s="18">
        <v>0.04</v>
      </c>
      <c r="AH69" s="156">
        <v>2.2200000000000001E-2</v>
      </c>
      <c r="AI69" s="80" t="s">
        <v>31</v>
      </c>
      <c r="AJ69" s="53">
        <v>2.5999999999999999E-2</v>
      </c>
      <c r="AK69" s="27">
        <v>3.2099999999999997E-2</v>
      </c>
      <c r="AL69" s="2">
        <v>0.04</v>
      </c>
      <c r="AM69" s="18">
        <v>0.04</v>
      </c>
      <c r="AN69" s="27">
        <v>0</v>
      </c>
      <c r="AO69" s="134">
        <v>6.83E-2</v>
      </c>
      <c r="AP69" s="80" t="s">
        <v>31</v>
      </c>
      <c r="AQ69" s="144">
        <f>1*7.5/(165*53)/100%</f>
        <v>8.576329331046312E-4</v>
      </c>
      <c r="AR69" s="136">
        <f>80*7.5/(165*270)/100%</f>
        <v>1.3468013468013467E-2</v>
      </c>
      <c r="AS69" s="137">
        <v>0.04</v>
      </c>
      <c r="AT69" s="94">
        <v>0.04</v>
      </c>
      <c r="AU69" s="163">
        <f>22*7.5/(165*53)/100%</f>
        <v>1.8867924528301886E-2</v>
      </c>
      <c r="AV69" s="164">
        <f>367*7.5/(165*273)/100%</f>
        <v>6.1105561105561104E-2</v>
      </c>
    </row>
    <row r="70" spans="1:50" ht="15.75" thickBot="1">
      <c r="A70" t="s">
        <v>32</v>
      </c>
      <c r="B70" s="81" t="s">
        <v>33</v>
      </c>
      <c r="C70" s="73"/>
      <c r="D70" s="5"/>
      <c r="E70" s="118">
        <v>0.04</v>
      </c>
      <c r="F70" s="61">
        <v>0.04</v>
      </c>
      <c r="G70" s="118"/>
      <c r="H70" s="118"/>
      <c r="I70" s="81" t="s">
        <v>33</v>
      </c>
      <c r="J70" s="149"/>
      <c r="K70" s="5"/>
      <c r="L70" s="5">
        <v>0.04</v>
      </c>
      <c r="M70" s="95">
        <v>0.04</v>
      </c>
      <c r="N70" s="119"/>
      <c r="O70" s="150"/>
      <c r="P70" s="81" t="s">
        <v>33</v>
      </c>
      <c r="Q70" s="152"/>
      <c r="R70" s="120"/>
      <c r="S70" s="118">
        <v>0.04</v>
      </c>
      <c r="T70" s="95">
        <v>0.04</v>
      </c>
      <c r="U70" s="120"/>
      <c r="V70" s="147"/>
      <c r="W70" s="81" t="s">
        <v>33</v>
      </c>
      <c r="X70" s="73"/>
      <c r="Y70" s="5"/>
      <c r="Z70" s="5">
        <v>0.04</v>
      </c>
      <c r="AA70" s="18">
        <v>0.04</v>
      </c>
      <c r="AB70" s="5"/>
      <c r="AC70" s="108"/>
      <c r="AD70" s="127" t="s">
        <v>33</v>
      </c>
      <c r="AE70" s="128"/>
      <c r="AF70" s="5">
        <v>0.04</v>
      </c>
      <c r="AG70" s="18">
        <v>0.04</v>
      </c>
      <c r="AH70" s="130"/>
      <c r="AI70" s="81" t="s">
        <v>33</v>
      </c>
      <c r="AJ70" s="132"/>
      <c r="AK70" s="131"/>
      <c r="AL70" s="5">
        <v>0.04</v>
      </c>
      <c r="AM70" s="18">
        <v>0.04</v>
      </c>
      <c r="AN70" s="131"/>
      <c r="AO70" s="135"/>
      <c r="AP70" s="81" t="s">
        <v>33</v>
      </c>
      <c r="AQ70" s="145"/>
      <c r="AR70" s="142"/>
      <c r="AS70" s="162">
        <v>0.04</v>
      </c>
      <c r="AT70" s="165">
        <v>0.04</v>
      </c>
      <c r="AU70" s="166"/>
      <c r="AV70" s="167"/>
    </row>
    <row r="71" spans="1:50">
      <c r="B71" s="96"/>
      <c r="C71" s="33"/>
      <c r="D71" s="33"/>
      <c r="E71" s="33"/>
      <c r="F71" s="33"/>
      <c r="G71" s="33"/>
      <c r="H71" s="33"/>
      <c r="I71" s="33"/>
    </row>
    <row r="72" spans="1:50">
      <c r="C72" s="33"/>
      <c r="D72" s="33"/>
      <c r="E72" s="33"/>
      <c r="F72" s="33"/>
      <c r="G72" s="33"/>
      <c r="H72" s="33"/>
      <c r="I72" s="33"/>
    </row>
    <row r="73" spans="1:50">
      <c r="C73" s="33"/>
    </row>
    <row r="87" spans="21:24">
      <c r="X87" t="s">
        <v>2</v>
      </c>
    </row>
    <row r="88" spans="21:24">
      <c r="U88" t="s">
        <v>2</v>
      </c>
    </row>
  </sheetData>
  <mergeCells count="9">
    <mergeCell ref="W4:AC4"/>
    <mergeCell ref="AD4:AH4"/>
    <mergeCell ref="AI4:AO4"/>
    <mergeCell ref="AP4:AV4"/>
    <mergeCell ref="A1:J1"/>
    <mergeCell ref="A2:J2"/>
    <mergeCell ref="B4:H4"/>
    <mergeCell ref="I4:O4"/>
    <mergeCell ref="P4:V4"/>
  </mergeCells>
  <phoneticPr fontId="1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FA585-5A70-41E7-88A0-88E3A9A1E579}">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2466E-4A38-4C48-8AB8-6D16B3C6268F}">
  <dimension ref="A2:O12"/>
  <sheetViews>
    <sheetView workbookViewId="0">
      <selection activeCell="E22" sqref="E22"/>
    </sheetView>
  </sheetViews>
  <sheetFormatPr defaultColWidth="9.28515625" defaultRowHeight="15"/>
  <sheetData>
    <row r="2" spans="1:15">
      <c r="A2" s="189" t="s">
        <v>34</v>
      </c>
      <c r="B2" s="189"/>
      <c r="C2" s="189"/>
      <c r="D2" s="189"/>
      <c r="E2" s="189"/>
      <c r="F2" s="189"/>
      <c r="G2" s="189"/>
      <c r="H2" s="189"/>
      <c r="I2" s="189"/>
      <c r="J2" s="189"/>
      <c r="K2" s="189"/>
      <c r="L2" s="189"/>
      <c r="M2" s="189"/>
      <c r="N2" s="189"/>
      <c r="O2" s="189"/>
    </row>
    <row r="3" spans="1:15">
      <c r="A3" s="189"/>
      <c r="B3" s="189"/>
      <c r="C3" s="189"/>
      <c r="D3" s="189"/>
      <c r="E3" s="189"/>
      <c r="F3" s="189"/>
      <c r="G3" s="189"/>
      <c r="H3" s="189"/>
      <c r="I3" s="189"/>
      <c r="J3" s="189"/>
      <c r="K3" s="189"/>
      <c r="L3" s="189"/>
      <c r="M3" s="189"/>
      <c r="N3" s="189"/>
      <c r="O3" s="189"/>
    </row>
    <row r="4" spans="1:15">
      <c r="A4" s="189"/>
      <c r="B4" s="189"/>
      <c r="C4" s="189"/>
      <c r="D4" s="189"/>
      <c r="E4" s="189"/>
      <c r="F4" s="189"/>
      <c r="G4" s="189"/>
      <c r="H4" s="189"/>
      <c r="I4" s="189"/>
      <c r="J4" s="189"/>
      <c r="K4" s="189"/>
      <c r="L4" s="189"/>
      <c r="M4" s="189"/>
      <c r="N4" s="189"/>
      <c r="O4" s="189"/>
    </row>
    <row r="5" spans="1:15">
      <c r="A5" s="189"/>
      <c r="B5" s="189"/>
      <c r="C5" s="189"/>
      <c r="D5" s="189"/>
      <c r="E5" s="189"/>
      <c r="F5" s="189"/>
      <c r="G5" s="189"/>
      <c r="H5" s="189"/>
      <c r="I5" s="189"/>
      <c r="J5" s="189"/>
      <c r="K5" s="189"/>
      <c r="L5" s="189"/>
      <c r="M5" s="189"/>
      <c r="N5" s="189"/>
      <c r="O5" s="189"/>
    </row>
    <row r="6" spans="1:15">
      <c r="A6" s="189"/>
      <c r="B6" s="189"/>
      <c r="C6" s="189"/>
      <c r="D6" s="189"/>
      <c r="E6" s="189"/>
      <c r="F6" s="189"/>
      <c r="G6" s="189"/>
      <c r="H6" s="189"/>
      <c r="I6" s="189"/>
      <c r="J6" s="189"/>
      <c r="K6" s="189"/>
      <c r="L6" s="189"/>
      <c r="M6" s="189"/>
      <c r="N6" s="189"/>
      <c r="O6" s="189"/>
    </row>
    <row r="7" spans="1:15">
      <c r="A7" s="189"/>
      <c r="B7" s="189"/>
      <c r="C7" s="189"/>
      <c r="D7" s="189"/>
      <c r="E7" s="189"/>
      <c r="F7" s="189"/>
      <c r="G7" s="189"/>
      <c r="H7" s="189"/>
      <c r="I7" s="189"/>
      <c r="J7" s="189"/>
      <c r="K7" s="189"/>
      <c r="L7" s="189"/>
      <c r="M7" s="189"/>
      <c r="N7" s="189"/>
      <c r="O7" s="189"/>
    </row>
    <row r="8" spans="1:15">
      <c r="A8" s="189"/>
      <c r="B8" s="189"/>
      <c r="C8" s="189"/>
      <c r="D8" s="189"/>
      <c r="E8" s="189"/>
      <c r="F8" s="189"/>
      <c r="G8" s="189"/>
      <c r="H8" s="189"/>
      <c r="I8" s="189"/>
      <c r="J8" s="189"/>
      <c r="K8" s="189"/>
      <c r="L8" s="189"/>
      <c r="M8" s="189"/>
      <c r="N8" s="189"/>
      <c r="O8" s="189"/>
    </row>
    <row r="10" spans="1:15">
      <c r="A10" s="190" t="s">
        <v>35</v>
      </c>
      <c r="B10" s="190"/>
      <c r="C10" s="190"/>
      <c r="D10" s="190"/>
      <c r="E10" s="190"/>
      <c r="F10" s="190"/>
      <c r="G10" s="190"/>
      <c r="H10" s="190"/>
      <c r="I10" s="190"/>
      <c r="J10" s="190"/>
      <c r="K10" s="190"/>
      <c r="L10" s="190"/>
      <c r="M10" s="190"/>
      <c r="N10" s="190"/>
      <c r="O10" s="190"/>
    </row>
    <row r="12" spans="1:15">
      <c r="A12" t="s">
        <v>36</v>
      </c>
    </row>
  </sheetData>
  <mergeCells count="2">
    <mergeCell ref="A2:O8"/>
    <mergeCell ref="A10:O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1AFA1-05FC-491F-B9AA-D4900948A3B1}">
  <dimension ref="A2:O10"/>
  <sheetViews>
    <sheetView workbookViewId="0">
      <selection activeCell="F16" sqref="F16"/>
    </sheetView>
  </sheetViews>
  <sheetFormatPr defaultRowHeight="15"/>
  <sheetData>
    <row r="2" spans="1:15">
      <c r="A2" s="191" t="s">
        <v>37</v>
      </c>
      <c r="B2" s="191"/>
      <c r="C2" s="191"/>
      <c r="D2" s="191"/>
      <c r="E2" s="191"/>
      <c r="F2" s="191"/>
      <c r="G2" s="191"/>
      <c r="H2" s="191"/>
      <c r="I2" s="191"/>
      <c r="J2" s="191"/>
      <c r="K2" s="191"/>
      <c r="L2" s="191"/>
      <c r="M2" s="191"/>
      <c r="N2" s="191"/>
      <c r="O2" s="191"/>
    </row>
    <row r="3" spans="1:15">
      <c r="A3" s="191"/>
      <c r="B3" s="191"/>
      <c r="C3" s="191"/>
      <c r="D3" s="191"/>
      <c r="E3" s="191"/>
      <c r="F3" s="191"/>
      <c r="G3" s="191"/>
      <c r="H3" s="191"/>
      <c r="I3" s="191"/>
      <c r="J3" s="191"/>
      <c r="K3" s="191"/>
      <c r="L3" s="191"/>
      <c r="M3" s="191"/>
      <c r="N3" s="191"/>
      <c r="O3" s="191"/>
    </row>
    <row r="4" spans="1:15">
      <c r="A4" s="191"/>
      <c r="B4" s="191"/>
      <c r="C4" s="191"/>
      <c r="D4" s="191"/>
      <c r="E4" s="191"/>
      <c r="F4" s="191"/>
      <c r="G4" s="191"/>
      <c r="H4" s="191"/>
      <c r="I4" s="191"/>
      <c r="J4" s="191"/>
      <c r="K4" s="191"/>
      <c r="L4" s="191"/>
      <c r="M4" s="191"/>
      <c r="N4" s="191"/>
      <c r="O4" s="191"/>
    </row>
    <row r="5" spans="1:15">
      <c r="A5" s="191"/>
      <c r="B5" s="191"/>
      <c r="C5" s="191"/>
      <c r="D5" s="191"/>
      <c r="E5" s="191"/>
      <c r="F5" s="191"/>
      <c r="G5" s="191"/>
      <c r="H5" s="191"/>
      <c r="I5" s="191"/>
      <c r="J5" s="191"/>
      <c r="K5" s="191"/>
      <c r="L5" s="191"/>
      <c r="M5" s="191"/>
      <c r="N5" s="191"/>
      <c r="O5" s="191"/>
    </row>
    <row r="6" spans="1:15">
      <c r="A6" s="191"/>
      <c r="B6" s="191"/>
      <c r="C6" s="191"/>
      <c r="D6" s="191"/>
      <c r="E6" s="191"/>
      <c r="F6" s="191"/>
      <c r="G6" s="191"/>
      <c r="H6" s="191"/>
      <c r="I6" s="191"/>
      <c r="J6" s="191"/>
      <c r="K6" s="191"/>
      <c r="L6" s="191"/>
      <c r="M6" s="191"/>
      <c r="N6" s="191"/>
      <c r="O6" s="191"/>
    </row>
    <row r="7" spans="1:15">
      <c r="A7" s="191"/>
      <c r="B7" s="191"/>
      <c r="C7" s="191"/>
      <c r="D7" s="191"/>
      <c r="E7" s="191"/>
      <c r="F7" s="191"/>
      <c r="G7" s="191"/>
      <c r="H7" s="191"/>
      <c r="I7" s="191"/>
      <c r="J7" s="191"/>
      <c r="K7" s="191"/>
      <c r="L7" s="191"/>
      <c r="M7" s="191"/>
      <c r="N7" s="191"/>
      <c r="O7" s="191"/>
    </row>
    <row r="8" spans="1:15">
      <c r="A8" s="191"/>
      <c r="B8" s="191"/>
      <c r="C8" s="191"/>
      <c r="D8" s="191"/>
      <c r="E8" s="191"/>
      <c r="F8" s="191"/>
      <c r="G8" s="191"/>
      <c r="H8" s="191"/>
      <c r="I8" s="191"/>
      <c r="J8" s="191"/>
      <c r="K8" s="191"/>
      <c r="L8" s="191"/>
      <c r="M8" s="191"/>
      <c r="N8" s="191"/>
      <c r="O8" s="191"/>
    </row>
    <row r="10" spans="1:15">
      <c r="A10" s="190" t="s">
        <v>38</v>
      </c>
      <c r="B10" s="190"/>
      <c r="C10" s="190"/>
      <c r="D10" s="190"/>
      <c r="E10" s="190"/>
      <c r="F10" s="190"/>
      <c r="G10" s="190"/>
      <c r="H10" s="190"/>
      <c r="I10" s="190"/>
      <c r="J10" s="190"/>
      <c r="K10" s="190"/>
      <c r="L10" s="190"/>
      <c r="M10" s="190"/>
      <c r="N10" s="190"/>
      <c r="O10" s="190"/>
    </row>
  </sheetData>
  <mergeCells count="2">
    <mergeCell ref="A2:O8"/>
    <mergeCell ref="A10:O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4A36F-A653-466C-9B82-50BB966A8FF8}">
  <dimension ref="A2:O10"/>
  <sheetViews>
    <sheetView workbookViewId="0">
      <selection activeCell="G16" sqref="G16"/>
    </sheetView>
  </sheetViews>
  <sheetFormatPr defaultRowHeight="15"/>
  <sheetData>
    <row r="2" spans="1:15">
      <c r="A2" s="189" t="s">
        <v>39</v>
      </c>
      <c r="B2" s="189"/>
      <c r="C2" s="189"/>
      <c r="D2" s="189"/>
      <c r="E2" s="189"/>
      <c r="F2" s="189"/>
      <c r="G2" s="189"/>
      <c r="H2" s="189"/>
      <c r="I2" s="189"/>
      <c r="J2" s="189"/>
      <c r="K2" s="189"/>
      <c r="L2" s="189"/>
      <c r="M2" s="189"/>
      <c r="N2" s="189"/>
      <c r="O2" s="189"/>
    </row>
    <row r="3" spans="1:15">
      <c r="A3" s="189"/>
      <c r="B3" s="189"/>
      <c r="C3" s="189"/>
      <c r="D3" s="189"/>
      <c r="E3" s="189"/>
      <c r="F3" s="189"/>
      <c r="G3" s="189"/>
      <c r="H3" s="189"/>
      <c r="I3" s="189"/>
      <c r="J3" s="189"/>
      <c r="K3" s="189"/>
      <c r="L3" s="189"/>
      <c r="M3" s="189"/>
      <c r="N3" s="189"/>
      <c r="O3" s="189"/>
    </row>
    <row r="4" spans="1:15">
      <c r="A4" s="189"/>
      <c r="B4" s="189"/>
      <c r="C4" s="189"/>
      <c r="D4" s="189"/>
      <c r="E4" s="189"/>
      <c r="F4" s="189"/>
      <c r="G4" s="189"/>
      <c r="H4" s="189"/>
      <c r="I4" s="189"/>
      <c r="J4" s="189"/>
      <c r="K4" s="189"/>
      <c r="L4" s="189"/>
      <c r="M4" s="189"/>
      <c r="N4" s="189"/>
      <c r="O4" s="189"/>
    </row>
    <row r="5" spans="1:15">
      <c r="A5" s="189"/>
      <c r="B5" s="189"/>
      <c r="C5" s="189"/>
      <c r="D5" s="189"/>
      <c r="E5" s="189"/>
      <c r="F5" s="189"/>
      <c r="G5" s="189"/>
      <c r="H5" s="189"/>
      <c r="I5" s="189"/>
      <c r="J5" s="189"/>
      <c r="K5" s="189"/>
      <c r="L5" s="189"/>
      <c r="M5" s="189"/>
      <c r="N5" s="189"/>
      <c r="O5" s="189"/>
    </row>
    <row r="6" spans="1:15">
      <c r="A6" s="189"/>
      <c r="B6" s="189"/>
      <c r="C6" s="189"/>
      <c r="D6" s="189"/>
      <c r="E6" s="189"/>
      <c r="F6" s="189"/>
      <c r="G6" s="189"/>
      <c r="H6" s="189"/>
      <c r="I6" s="189"/>
      <c r="J6" s="189"/>
      <c r="K6" s="189"/>
      <c r="L6" s="189"/>
      <c r="M6" s="189"/>
      <c r="N6" s="189"/>
      <c r="O6" s="189"/>
    </row>
    <row r="7" spans="1:15">
      <c r="A7" s="189"/>
      <c r="B7" s="189"/>
      <c r="C7" s="189"/>
      <c r="D7" s="189"/>
      <c r="E7" s="189"/>
      <c r="F7" s="189"/>
      <c r="G7" s="189"/>
      <c r="H7" s="189"/>
      <c r="I7" s="189"/>
      <c r="J7" s="189"/>
      <c r="K7" s="189"/>
      <c r="L7" s="189"/>
      <c r="M7" s="189"/>
      <c r="N7" s="189"/>
      <c r="O7" s="189"/>
    </row>
    <row r="8" spans="1:15">
      <c r="A8" s="189"/>
      <c r="B8" s="189"/>
      <c r="C8" s="189"/>
      <c r="D8" s="189"/>
      <c r="E8" s="189"/>
      <c r="F8" s="189"/>
      <c r="G8" s="189"/>
      <c r="H8" s="189"/>
      <c r="I8" s="189"/>
      <c r="J8" s="189"/>
      <c r="K8" s="189"/>
      <c r="L8" s="189"/>
      <c r="M8" s="189"/>
      <c r="N8" s="189"/>
      <c r="O8" s="189"/>
    </row>
    <row r="10" spans="1:15">
      <c r="A10" s="190" t="s">
        <v>38</v>
      </c>
      <c r="B10" s="190"/>
      <c r="C10" s="190"/>
      <c r="D10" s="190"/>
      <c r="E10" s="190"/>
      <c r="F10" s="190"/>
      <c r="G10" s="190"/>
      <c r="H10" s="190"/>
      <c r="I10" s="190"/>
      <c r="J10" s="190"/>
      <c r="K10" s="190"/>
      <c r="L10" s="190"/>
      <c r="M10" s="190"/>
      <c r="N10" s="190"/>
      <c r="O10" s="190"/>
    </row>
  </sheetData>
  <mergeCells count="2">
    <mergeCell ref="A2:O8"/>
    <mergeCell ref="A10:O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A2841-8666-4308-953D-A92190DFB709}">
  <dimension ref="A2:O10"/>
  <sheetViews>
    <sheetView workbookViewId="0">
      <selection activeCell="A9" sqref="A9"/>
    </sheetView>
  </sheetViews>
  <sheetFormatPr defaultRowHeight="15"/>
  <sheetData>
    <row r="2" spans="1:15">
      <c r="A2" s="189" t="s">
        <v>34</v>
      </c>
      <c r="B2" s="189"/>
      <c r="C2" s="189"/>
      <c r="D2" s="189"/>
      <c r="E2" s="189"/>
      <c r="F2" s="189"/>
      <c r="G2" s="189"/>
      <c r="H2" s="189"/>
      <c r="I2" s="189"/>
      <c r="J2" s="189"/>
      <c r="K2" s="189"/>
      <c r="L2" s="189"/>
      <c r="M2" s="189"/>
      <c r="N2" s="189"/>
      <c r="O2" s="189"/>
    </row>
    <row r="3" spans="1:15">
      <c r="A3" s="189"/>
      <c r="B3" s="189"/>
      <c r="C3" s="189"/>
      <c r="D3" s="189"/>
      <c r="E3" s="189"/>
      <c r="F3" s="189"/>
      <c r="G3" s="189"/>
      <c r="H3" s="189"/>
      <c r="I3" s="189"/>
      <c r="J3" s="189"/>
      <c r="K3" s="189"/>
      <c r="L3" s="189"/>
      <c r="M3" s="189"/>
      <c r="N3" s="189"/>
      <c r="O3" s="189"/>
    </row>
    <row r="4" spans="1:15">
      <c r="A4" s="189"/>
      <c r="B4" s="189"/>
      <c r="C4" s="189"/>
      <c r="D4" s="189"/>
      <c r="E4" s="189"/>
      <c r="F4" s="189"/>
      <c r="G4" s="189"/>
      <c r="H4" s="189"/>
      <c r="I4" s="189"/>
      <c r="J4" s="189"/>
      <c r="K4" s="189"/>
      <c r="L4" s="189"/>
      <c r="M4" s="189"/>
      <c r="N4" s="189"/>
      <c r="O4" s="189"/>
    </row>
    <row r="5" spans="1:15">
      <c r="A5" s="189"/>
      <c r="B5" s="189"/>
      <c r="C5" s="189"/>
      <c r="D5" s="189"/>
      <c r="E5" s="189"/>
      <c r="F5" s="189"/>
      <c r="G5" s="189"/>
      <c r="H5" s="189"/>
      <c r="I5" s="189"/>
      <c r="J5" s="189"/>
      <c r="K5" s="189"/>
      <c r="L5" s="189"/>
      <c r="M5" s="189"/>
      <c r="N5" s="189"/>
      <c r="O5" s="189"/>
    </row>
    <row r="6" spans="1:15">
      <c r="A6" s="189"/>
      <c r="B6" s="189"/>
      <c r="C6" s="189"/>
      <c r="D6" s="189"/>
      <c r="E6" s="189"/>
      <c r="F6" s="189"/>
      <c r="G6" s="189"/>
      <c r="H6" s="189"/>
      <c r="I6" s="189"/>
      <c r="J6" s="189"/>
      <c r="K6" s="189"/>
      <c r="L6" s="189"/>
      <c r="M6" s="189"/>
      <c r="N6" s="189"/>
      <c r="O6" s="189"/>
    </row>
    <row r="7" spans="1:15">
      <c r="A7" s="189"/>
      <c r="B7" s="189"/>
      <c r="C7" s="189"/>
      <c r="D7" s="189"/>
      <c r="E7" s="189"/>
      <c r="F7" s="189"/>
      <c r="G7" s="189"/>
      <c r="H7" s="189"/>
      <c r="I7" s="189"/>
      <c r="J7" s="189"/>
      <c r="K7" s="189"/>
      <c r="L7" s="189"/>
      <c r="M7" s="189"/>
      <c r="N7" s="189"/>
      <c r="O7" s="189"/>
    </row>
    <row r="8" spans="1:15">
      <c r="A8" s="189"/>
      <c r="B8" s="189"/>
      <c r="C8" s="189"/>
      <c r="D8" s="189"/>
      <c r="E8" s="189"/>
      <c r="F8" s="189"/>
      <c r="G8" s="189"/>
      <c r="H8" s="189"/>
      <c r="I8" s="189"/>
      <c r="J8" s="189"/>
      <c r="K8" s="189"/>
      <c r="L8" s="189"/>
      <c r="M8" s="189"/>
      <c r="N8" s="189"/>
      <c r="O8" s="189"/>
    </row>
    <row r="10" spans="1:15">
      <c r="A10" s="190" t="s">
        <v>40</v>
      </c>
      <c r="B10" s="190"/>
      <c r="C10" s="190"/>
      <c r="D10" s="190"/>
      <c r="E10" s="190"/>
      <c r="F10" s="190"/>
      <c r="G10" s="190"/>
      <c r="H10" s="190"/>
      <c r="I10" s="190"/>
      <c r="J10" s="190"/>
      <c r="K10" s="190"/>
      <c r="L10" s="190"/>
      <c r="M10" s="190"/>
      <c r="N10" s="190"/>
      <c r="O10" s="190"/>
    </row>
  </sheetData>
  <mergeCells count="2">
    <mergeCell ref="A2:O8"/>
    <mergeCell ref="A10:O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0EB2B-2D4D-43AF-B3C5-A57F8B991584}">
  <dimension ref="A2:R10"/>
  <sheetViews>
    <sheetView workbookViewId="0">
      <selection activeCell="E19" sqref="E19"/>
    </sheetView>
  </sheetViews>
  <sheetFormatPr defaultRowHeight="15"/>
  <sheetData>
    <row r="2" spans="1:18" ht="15" customHeight="1">
      <c r="A2" s="189" t="s">
        <v>41</v>
      </c>
      <c r="B2" s="189"/>
      <c r="C2" s="189"/>
      <c r="D2" s="189"/>
      <c r="E2" s="189"/>
      <c r="F2" s="189"/>
      <c r="G2" s="189"/>
      <c r="H2" s="189"/>
      <c r="I2" s="189"/>
      <c r="J2" s="189"/>
      <c r="K2" s="189"/>
      <c r="L2" s="189"/>
      <c r="M2" s="189"/>
      <c r="N2" s="189"/>
      <c r="O2" s="189"/>
      <c r="P2" s="189"/>
      <c r="Q2" s="189"/>
      <c r="R2" s="189"/>
    </row>
    <row r="3" spans="1:18">
      <c r="A3" s="189"/>
      <c r="B3" s="189"/>
      <c r="C3" s="189"/>
      <c r="D3" s="189"/>
      <c r="E3" s="189"/>
      <c r="F3" s="189"/>
      <c r="G3" s="189"/>
      <c r="H3" s="189"/>
      <c r="I3" s="189"/>
      <c r="J3" s="189"/>
      <c r="K3" s="189"/>
      <c r="L3" s="189"/>
      <c r="M3" s="189"/>
      <c r="N3" s="189"/>
      <c r="O3" s="189"/>
      <c r="P3" s="189"/>
      <c r="Q3" s="189"/>
      <c r="R3" s="189"/>
    </row>
    <row r="4" spans="1:18">
      <c r="A4" s="189"/>
      <c r="B4" s="189"/>
      <c r="C4" s="189"/>
      <c r="D4" s="189"/>
      <c r="E4" s="189"/>
      <c r="F4" s="189"/>
      <c r="G4" s="189"/>
      <c r="H4" s="189"/>
      <c r="I4" s="189"/>
      <c r="J4" s="189"/>
      <c r="K4" s="189"/>
      <c r="L4" s="189"/>
      <c r="M4" s="189"/>
      <c r="N4" s="189"/>
      <c r="O4" s="189"/>
      <c r="P4" s="189"/>
      <c r="Q4" s="189"/>
      <c r="R4" s="189"/>
    </row>
    <row r="5" spans="1:18">
      <c r="A5" s="189"/>
      <c r="B5" s="189"/>
      <c r="C5" s="189"/>
      <c r="D5" s="189"/>
      <c r="E5" s="189"/>
      <c r="F5" s="189"/>
      <c r="G5" s="189"/>
      <c r="H5" s="189"/>
      <c r="I5" s="189"/>
      <c r="J5" s="189"/>
      <c r="K5" s="189"/>
      <c r="L5" s="189"/>
      <c r="M5" s="189"/>
      <c r="N5" s="189"/>
      <c r="O5" s="189"/>
      <c r="P5" s="189"/>
      <c r="Q5" s="189"/>
      <c r="R5" s="189"/>
    </row>
    <row r="6" spans="1:18">
      <c r="A6" s="189"/>
      <c r="B6" s="189"/>
      <c r="C6" s="189"/>
      <c r="D6" s="189"/>
      <c r="E6" s="189"/>
      <c r="F6" s="189"/>
      <c r="G6" s="189"/>
      <c r="H6" s="189"/>
      <c r="I6" s="189"/>
      <c r="J6" s="189"/>
      <c r="K6" s="189"/>
      <c r="L6" s="189"/>
      <c r="M6" s="189"/>
      <c r="N6" s="189"/>
      <c r="O6" s="189"/>
      <c r="P6" s="189"/>
      <c r="Q6" s="189"/>
      <c r="R6" s="189"/>
    </row>
    <row r="7" spans="1:18">
      <c r="A7" s="189"/>
      <c r="B7" s="189"/>
      <c r="C7" s="189"/>
      <c r="D7" s="189"/>
      <c r="E7" s="189"/>
      <c r="F7" s="189"/>
      <c r="G7" s="189"/>
      <c r="H7" s="189"/>
      <c r="I7" s="189"/>
      <c r="J7" s="189"/>
      <c r="K7" s="189"/>
      <c r="L7" s="189"/>
      <c r="M7" s="189"/>
      <c r="N7" s="189"/>
      <c r="O7" s="189"/>
      <c r="P7" s="189"/>
      <c r="Q7" s="189"/>
      <c r="R7" s="189"/>
    </row>
    <row r="10" spans="1:18" ht="14.45" customHeight="1">
      <c r="A10" t="s">
        <v>38</v>
      </c>
    </row>
  </sheetData>
  <mergeCells count="1">
    <mergeCell ref="A2:R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0DE9DD554B771449BCA7AF200F7DA75" ma:contentTypeVersion="6" ma:contentTypeDescription="Create a new document." ma:contentTypeScope="" ma:versionID="c3daf86be8f0dc4dcdc958a8f37afc64">
  <xsd:schema xmlns:xsd="http://www.w3.org/2001/XMLSchema" xmlns:xs="http://www.w3.org/2001/XMLSchema" xmlns:p="http://schemas.microsoft.com/office/2006/metadata/properties" xmlns:ns2="0bdeb650-2d56-4286-b1ac-3645b92a5e13" xmlns:ns3="452a1946-e733-41a6-ba85-548affa926c6" targetNamespace="http://schemas.microsoft.com/office/2006/metadata/properties" ma:root="true" ma:fieldsID="ef7dd5be2b67ce8ff3c526c7f21e20ff" ns2:_="" ns3:_="">
    <xsd:import namespace="0bdeb650-2d56-4286-b1ac-3645b92a5e13"/>
    <xsd:import namespace="452a1946-e733-41a6-ba85-548affa926c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deb650-2d56-4286-b1ac-3645b92a5e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52a1946-e733-41a6-ba85-548affa926c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Q D A A B Q S w M E F A A C A A g A 1 3 O J W h 6 Z G N O k A A A A 9 g A A A B I A H A B D b 2 5 m a W c v U G F j a 2 F n Z S 5 4 b W w g o h g A K K A U A A A A A A A A A A A A A A A A A A A A A A A A A A A A h Y + 9 D o I w G E V f h X S n P 7 A Q 8 l E G 4 y a J C Y l x b U q F R i i G F s q 7 O f h I v o I Y R d 0 c 7 7 l n u P d + v U E + d 2 0 w q c H q 3 m S I Y Y o C Z W R f a V N n a H S n M E E 5 h 7 2 Q Z 1 G r Y J G N T W d b Z a h x 7 p I S 4 r 3 H P s b 9 U J O I U k a O x a 6 U j e o E + s j 6 v x x q Y 5 0 w U i E O h 9 c Y H m E W J 5 g l F F M g K 4 R C m 6 8 Q L X u f 7 Q + E z d i 6 c V D c T m G 5 B b J G I O 8 P / A F Q S w M E F A A C A A g A 1 3 O J 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d z i V o o i k e 4 D g A A A B E A A A A T A B w A R m 9 y b X V s Y X M v U 2 V j d G l v b j E u b S C i G A A o o B Q A A A A A A A A A A A A A A A A A A A A A A A A A A A A r T k 0 u y c z P U w i G 0 I b W A F B L A Q I t A B Q A A g A I A N d z i V o e m R j T p A A A A P Y A A A A S A A A A A A A A A A A A A A A A A A A A A A B D b 2 5 m a W c v U G F j a 2 F n Z S 5 4 b W x Q S w E C L Q A U A A I A C A D X c 4 l a D 8 r p q 6 Q A A A D p A A A A E w A A A A A A A A A A A A A A A A D w A A A A W 0 N v b n R l b n R f V H l w Z X N d L n h t b F B L A Q I t A B Q A A g A I A N d z i V o 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1 / r U d B Y G 6 Q L K I 7 T r F / d i C A A A A A A I A A A A A A A N m A A D A A A A A E A A A A O 4 U z O / T 6 E F a P t b P x + I K I l Y A A A A A B I A A A K A A A A A Q A A A A r t U Y v x / j o + s z u u d 0 a q e j V F A A A A D 2 P Q R 4 Y b 2 x P V M B y j G f 5 m 0 b J P X a m 4 t 5 R T I d z F 3 8 s a 8 9 P A 4 0 3 K z N h l e k X n m w 7 z w d X r b U c D x u Z S y X T 4 8 t r e 3 T C Y i F J R B o / u 1 z e r k 1 j D 0 T z A o U v x Q A A A C o L s G 3 u c S Z 8 e b m J j k e c 0 c j Z k U e Q g = = < / 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6A549F-B39E-4EC8-994F-0FCFCB8ABF79}"/>
</file>

<file path=customXml/itemProps2.xml><?xml version="1.0" encoding="utf-8"?>
<ds:datastoreItem xmlns:ds="http://schemas.openxmlformats.org/officeDocument/2006/customXml" ds:itemID="{B2A23F22-5EE0-47E6-AEDF-FB5FBB232174}"/>
</file>

<file path=customXml/itemProps3.xml><?xml version="1.0" encoding="utf-8"?>
<ds:datastoreItem xmlns:ds="http://schemas.openxmlformats.org/officeDocument/2006/customXml" ds:itemID="{AB8A842F-8DDD-48C4-A5BE-1771B2C380C9}"/>
</file>

<file path=customXml/itemProps4.xml><?xml version="1.0" encoding="utf-8"?>
<ds:datastoreItem xmlns:ds="http://schemas.openxmlformats.org/officeDocument/2006/customXml" ds:itemID="{EE3AD093-04B9-4C6B-A581-77F3727E8F4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Per Josefsson</dc:creator>
  <cp:keywords/>
  <dc:description/>
  <cp:lastModifiedBy/>
  <cp:revision/>
  <dcterms:created xsi:type="dcterms:W3CDTF">2020-10-08T16:03:16Z</dcterms:created>
  <dcterms:modified xsi:type="dcterms:W3CDTF">2025-06-25T12:04:39Z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0x01010090DE9DD554B771449BCA7AF200F7DA75</vt:lpwstr>
  </property>
  <property fmtid="{D5CDD505-2E9C-101B-9397-08002B2CF9AE}" pid="3" name="MediaServiceImageTags">
    <vt:lpwstr/>
  </property>
</Properties>
</file>