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firstSheet="1" activeTab="6"/>
  </bookViews>
  <sheets>
    <sheet name="cartón caja" sheetId="39" r:id="rId1"/>
    <sheet name="cartón cartera" sheetId="40" r:id="rId2"/>
    <sheet name="espuma suajada" sheetId="44" r:id="rId3"/>
    <sheet name="forro caja INT" sheetId="34" r:id="rId4"/>
    <sheet name="forro caja EXT" sheetId="42" r:id="rId5"/>
    <sheet name="forro cartera guarda " sheetId="43" r:id="rId6"/>
    <sheet name="forro cartera" sheetId="38" r:id="rId7"/>
  </sheets>
  <calcPr calcId="145621"/>
</workbook>
</file>

<file path=xl/calcChain.xml><?xml version="1.0" encoding="utf-8"?>
<calcChain xmlns="http://schemas.openxmlformats.org/spreadsheetml/2006/main">
  <c r="C102" i="38" l="1"/>
  <c r="F122" i="38"/>
  <c r="B121" i="38"/>
  <c r="E120" i="38"/>
  <c r="D120" i="38"/>
  <c r="D119" i="38"/>
  <c r="D118" i="38"/>
  <c r="E118" i="38"/>
  <c r="E116" i="38"/>
  <c r="E117" i="38"/>
  <c r="D117" i="38"/>
  <c r="D115" i="38"/>
  <c r="D116" i="38" s="1"/>
  <c r="E115" i="38"/>
  <c r="C118" i="38"/>
  <c r="C119" i="38" s="1"/>
  <c r="C120" i="38" s="1"/>
  <c r="C121" i="38" s="1"/>
  <c r="C115" i="38"/>
  <c r="C116" i="38" s="1"/>
  <c r="F117" i="38" l="1"/>
  <c r="F120" i="38"/>
  <c r="F116" i="38"/>
  <c r="F118" i="38"/>
  <c r="F115" i="38"/>
  <c r="B54" i="34" l="1"/>
  <c r="B54" i="42"/>
  <c r="E27" i="38"/>
  <c r="E29" i="38" s="1"/>
  <c r="D121" i="38" s="1"/>
  <c r="E26" i="38"/>
  <c r="H20" i="38"/>
  <c r="F20" i="38"/>
  <c r="H26" i="43"/>
  <c r="E26" i="43"/>
  <c r="F26" i="43"/>
  <c r="C26" i="43"/>
  <c r="C27" i="43"/>
  <c r="H25" i="43"/>
  <c r="H27" i="43"/>
  <c r="F25" i="43"/>
  <c r="F27" i="43"/>
  <c r="E26" i="42"/>
  <c r="E27" i="42"/>
  <c r="C26" i="42"/>
  <c r="C27" i="42"/>
  <c r="J50" i="34"/>
  <c r="E27" i="43"/>
  <c r="E35" i="40"/>
  <c r="E35" i="39"/>
  <c r="D73" i="38"/>
  <c r="B117" i="38" s="1"/>
  <c r="B54" i="44"/>
  <c r="B68" i="44"/>
  <c r="B70" i="44"/>
  <c r="A70" i="44"/>
  <c r="B69" i="44"/>
  <c r="A69" i="44"/>
  <c r="A68" i="44"/>
  <c r="H59" i="44"/>
  <c r="H58" i="44"/>
  <c r="H57" i="44"/>
  <c r="H56" i="44"/>
  <c r="H55" i="44"/>
  <c r="H54" i="44"/>
  <c r="H53" i="44"/>
  <c r="H52" i="44"/>
  <c r="H51" i="44"/>
  <c r="H50" i="44"/>
  <c r="H49" i="44"/>
  <c r="B48" i="44"/>
  <c r="C40" i="44"/>
  <c r="G43" i="44"/>
  <c r="E31" i="44"/>
  <c r="E32" i="44"/>
  <c r="E34" i="44"/>
  <c r="E26" i="44"/>
  <c r="E27" i="44"/>
  <c r="C26" i="44"/>
  <c r="H26" i="44"/>
  <c r="H25" i="44"/>
  <c r="H27" i="44"/>
  <c r="F25" i="44"/>
  <c r="C11" i="44"/>
  <c r="C9" i="44"/>
  <c r="A63" i="38"/>
  <c r="B47" i="38"/>
  <c r="D123" i="38" s="1"/>
  <c r="F123" i="38" s="1"/>
  <c r="H61" i="44"/>
  <c r="B67" i="44"/>
  <c r="F26" i="44"/>
  <c r="F27" i="44"/>
  <c r="E35" i="44"/>
  <c r="C27" i="44"/>
  <c r="C41" i="44"/>
  <c r="E31" i="43"/>
  <c r="E31" i="42"/>
  <c r="E32" i="42"/>
  <c r="E34" i="42"/>
  <c r="E35" i="42"/>
  <c r="H25" i="42"/>
  <c r="F25" i="42"/>
  <c r="E31" i="34"/>
  <c r="E32" i="34"/>
  <c r="E34" i="34"/>
  <c r="E35" i="34"/>
  <c r="H49" i="34"/>
  <c r="H50" i="34"/>
  <c r="H49" i="42"/>
  <c r="H50" i="42"/>
  <c r="B69" i="42"/>
  <c r="E32" i="43"/>
  <c r="E34" i="43"/>
  <c r="E35" i="43"/>
  <c r="H49" i="43"/>
  <c r="H50" i="43"/>
  <c r="H44" i="38"/>
  <c r="H45" i="38"/>
  <c r="H50" i="38"/>
  <c r="H51" i="38"/>
  <c r="G53" i="38"/>
  <c r="H53" i="38" s="1"/>
  <c r="B43" i="38"/>
  <c r="B102" i="38" s="1"/>
  <c r="B105" i="38" s="1"/>
  <c r="B109" i="38" s="1"/>
  <c r="H55" i="42"/>
  <c r="H54" i="42"/>
  <c r="F11" i="38"/>
  <c r="A87" i="38" s="1"/>
  <c r="A90" i="38" s="1"/>
  <c r="H11" i="38"/>
  <c r="B87" i="38" s="1"/>
  <c r="B90" i="38" s="1"/>
  <c r="C6" i="38"/>
  <c r="G58" i="34"/>
  <c r="H58" i="34" s="1"/>
  <c r="G58" i="42"/>
  <c r="H58" i="42" s="1"/>
  <c r="G58" i="43"/>
  <c r="H58" i="43" s="1"/>
  <c r="F16" i="43"/>
  <c r="H16" i="43"/>
  <c r="C11" i="43"/>
  <c r="C11" i="42"/>
  <c r="H16" i="34"/>
  <c r="F16" i="34"/>
  <c r="C26" i="34"/>
  <c r="C11" i="34"/>
  <c r="C11" i="40"/>
  <c r="E26" i="39"/>
  <c r="F26" i="39"/>
  <c r="F27" i="39"/>
  <c r="C26" i="39"/>
  <c r="E26" i="34"/>
  <c r="E27" i="34"/>
  <c r="H16" i="42"/>
  <c r="F16" i="42"/>
  <c r="B48" i="43"/>
  <c r="B48" i="42"/>
  <c r="B48" i="34"/>
  <c r="C4" i="38"/>
  <c r="C9" i="43"/>
  <c r="C9" i="42"/>
  <c r="C9" i="34"/>
  <c r="C9" i="40"/>
  <c r="D75" i="38"/>
  <c r="B115" i="38" s="1"/>
  <c r="D74" i="38"/>
  <c r="B116" i="38" s="1"/>
  <c r="D72" i="38"/>
  <c r="B118" i="38" s="1"/>
  <c r="D71" i="38"/>
  <c r="B119" i="38" s="1"/>
  <c r="D70" i="38"/>
  <c r="B120" i="38" s="1"/>
  <c r="A71" i="43"/>
  <c r="B70" i="43"/>
  <c r="A70" i="43"/>
  <c r="B69" i="43"/>
  <c r="A69" i="43"/>
  <c r="B68" i="43"/>
  <c r="A68" i="43"/>
  <c r="H59" i="43"/>
  <c r="H57" i="43"/>
  <c r="H56" i="43"/>
  <c r="B71" i="43"/>
  <c r="H55" i="43"/>
  <c r="H54" i="43"/>
  <c r="K53" i="43"/>
  <c r="H52" i="43"/>
  <c r="H51" i="43"/>
  <c r="K49" i="43"/>
  <c r="K52" i="43"/>
  <c r="J49" i="43"/>
  <c r="J52" i="43"/>
  <c r="C40" i="43"/>
  <c r="C41" i="43"/>
  <c r="J53" i="43"/>
  <c r="B56" i="42"/>
  <c r="B71" i="42"/>
  <c r="H59" i="42"/>
  <c r="H57" i="42"/>
  <c r="H56" i="42"/>
  <c r="K53" i="42"/>
  <c r="H52" i="42"/>
  <c r="H51" i="42"/>
  <c r="K49" i="42"/>
  <c r="K52" i="42"/>
  <c r="J49" i="42"/>
  <c r="J52" i="42"/>
  <c r="K53" i="34"/>
  <c r="H52" i="40"/>
  <c r="B68" i="38"/>
  <c r="B66" i="38"/>
  <c r="C40" i="34"/>
  <c r="C41" i="34"/>
  <c r="J53" i="34"/>
  <c r="C40" i="42"/>
  <c r="C41" i="42"/>
  <c r="A71" i="42"/>
  <c r="B70" i="42"/>
  <c r="A70" i="42"/>
  <c r="A69" i="42"/>
  <c r="B68" i="42"/>
  <c r="A68" i="42"/>
  <c r="G43" i="42"/>
  <c r="B71" i="34"/>
  <c r="K49" i="34"/>
  <c r="K52" i="34"/>
  <c r="J49" i="34"/>
  <c r="J52" i="34"/>
  <c r="G43" i="34"/>
  <c r="B48" i="40"/>
  <c r="B68" i="34"/>
  <c r="H52" i="34"/>
  <c r="C40" i="39"/>
  <c r="C41" i="39"/>
  <c r="G44" i="39"/>
  <c r="H46" i="38"/>
  <c r="H47" i="38"/>
  <c r="H48" i="38"/>
  <c r="H49" i="38"/>
  <c r="H52" i="38"/>
  <c r="H54" i="38"/>
  <c r="B67" i="38"/>
  <c r="A67" i="38"/>
  <c r="A66" i="38"/>
  <c r="A65" i="38"/>
  <c r="A68" i="38"/>
  <c r="A64" i="38"/>
  <c r="A68" i="34"/>
  <c r="E31" i="40"/>
  <c r="E32" i="40"/>
  <c r="E34" i="40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H27" i="40"/>
  <c r="F25" i="40"/>
  <c r="E26" i="40"/>
  <c r="E27" i="40"/>
  <c r="E31" i="39"/>
  <c r="E32" i="39"/>
  <c r="E34" i="39"/>
  <c r="H49" i="39"/>
  <c r="H50" i="39"/>
  <c r="H51" i="39"/>
  <c r="H52" i="39"/>
  <c r="H53" i="39"/>
  <c r="H54" i="39"/>
  <c r="H55" i="39"/>
  <c r="H56" i="39"/>
  <c r="H57" i="39"/>
  <c r="H58" i="39"/>
  <c r="H59" i="39"/>
  <c r="H61" i="39"/>
  <c r="B68" i="39"/>
  <c r="B69" i="39"/>
  <c r="B70" i="39"/>
  <c r="A70" i="39"/>
  <c r="A69" i="39"/>
  <c r="A68" i="39"/>
  <c r="H25" i="39"/>
  <c r="H26" i="39"/>
  <c r="H27" i="39"/>
  <c r="F25" i="39"/>
  <c r="H51" i="34"/>
  <c r="H54" i="34"/>
  <c r="H55" i="34"/>
  <c r="H56" i="34"/>
  <c r="H57" i="34"/>
  <c r="H59" i="34"/>
  <c r="B69" i="34"/>
  <c r="B70" i="34"/>
  <c r="A71" i="34"/>
  <c r="A70" i="34"/>
  <c r="A69" i="34"/>
  <c r="H25" i="34"/>
  <c r="F25" i="34"/>
  <c r="C40" i="40"/>
  <c r="C41" i="40"/>
  <c r="H61" i="40"/>
  <c r="B67" i="40"/>
  <c r="C27" i="39"/>
  <c r="B51" i="39"/>
  <c r="B67" i="39"/>
  <c r="G43" i="39"/>
  <c r="F26" i="40"/>
  <c r="F27" i="40"/>
  <c r="C27" i="40"/>
  <c r="F26" i="34"/>
  <c r="C42" i="39"/>
  <c r="B50" i="39"/>
  <c r="B58" i="39"/>
  <c r="B60" i="39"/>
  <c r="B51" i="40"/>
  <c r="B66" i="39"/>
  <c r="B72" i="39"/>
  <c r="F27" i="34"/>
  <c r="C35" i="38"/>
  <c r="G38" i="38" s="1"/>
  <c r="B49" i="38"/>
  <c r="B65" i="38" s="1"/>
  <c r="B48" i="38"/>
  <c r="B64" i="38" s="1"/>
  <c r="B51" i="44"/>
  <c r="G44" i="44"/>
  <c r="C42" i="44"/>
  <c r="F26" i="42"/>
  <c r="F27" i="42"/>
  <c r="H26" i="42"/>
  <c r="H27" i="42"/>
  <c r="C27" i="34"/>
  <c r="H26" i="34"/>
  <c r="H27" i="34"/>
  <c r="C42" i="40"/>
  <c r="G44" i="40"/>
  <c r="C42" i="34"/>
  <c r="L53" i="34"/>
  <c r="N53" i="34"/>
  <c r="G53" i="34" s="1"/>
  <c r="H53" i="34" s="1"/>
  <c r="H61" i="34" s="1"/>
  <c r="L50" i="34"/>
  <c r="N50" i="34" s="1"/>
  <c r="G44" i="34"/>
  <c r="J50" i="42"/>
  <c r="L50" i="42" s="1"/>
  <c r="N50" i="42" s="1"/>
  <c r="G44" i="42"/>
  <c r="C42" i="42"/>
  <c r="E119" i="38" s="1"/>
  <c r="F119" i="38" s="1"/>
  <c r="J53" i="42"/>
  <c r="L53" i="42"/>
  <c r="N53" i="42" s="1"/>
  <c r="G53" i="42" s="1"/>
  <c r="H53" i="42" s="1"/>
  <c r="H61" i="42" s="1"/>
  <c r="J50" i="43"/>
  <c r="L50" i="43"/>
  <c r="N50" i="43"/>
  <c r="G44" i="43"/>
  <c r="C42" i="43"/>
  <c r="L53" i="43"/>
  <c r="N53" i="43"/>
  <c r="G53" i="43" s="1"/>
  <c r="H53" i="43" s="1"/>
  <c r="H61" i="43" s="1"/>
  <c r="B67" i="43" s="1"/>
  <c r="B73" i="43" s="1"/>
  <c r="C36" i="38"/>
  <c r="C37" i="38" s="1"/>
  <c r="C46" i="39"/>
  <c r="G43" i="40"/>
  <c r="G43" i="43"/>
  <c r="E63" i="39"/>
  <c r="I52" i="39"/>
  <c r="C72" i="39"/>
  <c r="D65" i="39"/>
  <c r="F75" i="38"/>
  <c r="H68" i="39"/>
  <c r="I68" i="39"/>
  <c r="E27" i="39"/>
  <c r="C46" i="44"/>
  <c r="B50" i="44"/>
  <c r="B58" i="44"/>
  <c r="B60" i="44"/>
  <c r="B66" i="44"/>
  <c r="B72" i="44"/>
  <c r="B66" i="43"/>
  <c r="C43" i="43"/>
  <c r="C46" i="43"/>
  <c r="B50" i="43"/>
  <c r="B66" i="42"/>
  <c r="C43" i="42"/>
  <c r="B50" i="42"/>
  <c r="C46" i="42"/>
  <c r="C43" i="34"/>
  <c r="C46" i="34"/>
  <c r="B66" i="34"/>
  <c r="B50" i="34"/>
  <c r="B66" i="40"/>
  <c r="B72" i="40"/>
  <c r="C46" i="40"/>
  <c r="B50" i="40"/>
  <c r="B58" i="40"/>
  <c r="B60" i="40"/>
  <c r="C75" i="38"/>
  <c r="H69" i="39"/>
  <c r="H68" i="44"/>
  <c r="I68" i="44"/>
  <c r="F73" i="38"/>
  <c r="C72" i="44"/>
  <c r="D65" i="44"/>
  <c r="I52" i="44"/>
  <c r="E63" i="44"/>
  <c r="C50" i="34"/>
  <c r="H68" i="40"/>
  <c r="I68" i="40"/>
  <c r="F74" i="38"/>
  <c r="I52" i="40"/>
  <c r="C72" i="40"/>
  <c r="D65" i="40"/>
  <c r="E63" i="40"/>
  <c r="I69" i="39"/>
  <c r="H70" i="39"/>
  <c r="I70" i="39"/>
  <c r="H69" i="44"/>
  <c r="H70" i="44"/>
  <c r="I70" i="44"/>
  <c r="C73" i="38"/>
  <c r="I69" i="44"/>
  <c r="C74" i="38"/>
  <c r="H69" i="40"/>
  <c r="I69" i="40"/>
  <c r="H70" i="40"/>
  <c r="I70" i="40"/>
  <c r="G39" i="38" l="1"/>
  <c r="E30" i="38"/>
  <c r="B63" i="38"/>
  <c r="C21" i="38"/>
  <c r="E21" i="38"/>
  <c r="H55" i="38"/>
  <c r="E121" i="38"/>
  <c r="F121" i="38" s="1"/>
  <c r="F125" i="38" s="1"/>
  <c r="B45" i="38"/>
  <c r="C38" i="38"/>
  <c r="B61" i="38"/>
  <c r="C41" i="38"/>
  <c r="C109" i="38"/>
  <c r="B110" i="38"/>
  <c r="C110" i="38" s="1"/>
  <c r="A88" i="38"/>
  <c r="C88" i="38" s="1"/>
  <c r="E88" i="38" s="1"/>
  <c r="A91" i="38"/>
  <c r="C91" i="38" s="1"/>
  <c r="E91" i="38" s="1"/>
  <c r="B51" i="42"/>
  <c r="B58" i="42" s="1"/>
  <c r="B60" i="42" s="1"/>
  <c r="B67" i="42"/>
  <c r="B73" i="42" s="1"/>
  <c r="B67" i="34"/>
  <c r="B73" i="34" s="1"/>
  <c r="B51" i="34"/>
  <c r="B58" i="34" s="1"/>
  <c r="B60" i="34" s="1"/>
  <c r="F72" i="38"/>
  <c r="H69" i="34"/>
  <c r="I69" i="34" s="1"/>
  <c r="I52" i="34"/>
  <c r="D65" i="34"/>
  <c r="C73" i="34"/>
  <c r="E63" i="34"/>
  <c r="B51" i="43"/>
  <c r="B58" i="43" s="1"/>
  <c r="B60" i="43" s="1"/>
  <c r="H69" i="43" s="1"/>
  <c r="I69" i="43" s="1"/>
  <c r="E63" i="43"/>
  <c r="C73" i="43"/>
  <c r="D65" i="43"/>
  <c r="I52" i="43"/>
  <c r="F21" i="38" l="1"/>
  <c r="F22" i="38" s="1"/>
  <c r="E22" i="38"/>
  <c r="H21" i="38"/>
  <c r="H22" i="38" s="1"/>
  <c r="C22" i="38"/>
  <c r="I52" i="42"/>
  <c r="C73" i="42"/>
  <c r="E63" i="42"/>
  <c r="D65" i="42"/>
  <c r="F71" i="38"/>
  <c r="H69" i="42"/>
  <c r="I69" i="42" s="1"/>
  <c r="C72" i="38"/>
  <c r="H70" i="34"/>
  <c r="F70" i="38"/>
  <c r="H70" i="43"/>
  <c r="C70" i="38"/>
  <c r="H70" i="42" l="1"/>
  <c r="C71" i="38"/>
  <c r="H71" i="34"/>
  <c r="I71" i="34" s="1"/>
  <c r="I70" i="34"/>
  <c r="I70" i="43"/>
  <c r="H71" i="43"/>
  <c r="I71" i="43" s="1"/>
  <c r="I70" i="42" l="1"/>
  <c r="H71" i="42"/>
  <c r="I71" i="42" s="1"/>
  <c r="B46" i="38"/>
  <c r="B53" i="38" s="1"/>
  <c r="B55" i="38" s="1"/>
  <c r="B62" i="38"/>
  <c r="B69" i="38" s="1"/>
  <c r="H65" i="38" l="1"/>
  <c r="I65" i="38" s="1"/>
  <c r="F69" i="38"/>
  <c r="F76" i="38" s="1"/>
  <c r="G76" i="38" s="1"/>
  <c r="I47" i="38"/>
  <c r="C69" i="38"/>
  <c r="C76" i="38" l="1"/>
  <c r="A76" i="38" s="1"/>
  <c r="H66" i="38"/>
  <c r="I66" i="38" l="1"/>
  <c r="H67" i="38"/>
  <c r="I67" i="38" s="1"/>
  <c r="H76" i="38"/>
  <c r="I68" i="38"/>
</calcChain>
</file>

<file path=xl/sharedStrings.xml><?xml version="1.0" encoding="utf-8"?>
<sst xmlns="http://schemas.openxmlformats.org/spreadsheetml/2006/main" count="797" uniqueCount="174">
  <si>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</si>
  <si>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</si>
  <si>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</si>
  <si>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</si>
  <si>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</si>
  <si>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</si>
  <si>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</si>
  <si>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</si>
  <si>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</si>
  <si>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</si>
  <si>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</si>
  <si>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</si>
  <si>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</si>
  <si>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</si>
  <si>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</si>
  <si>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</si>
  <si>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</si>
  <si>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</si>
  <si>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</si>
  <si>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</si>
  <si>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</si>
  <si>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</si>
  <si>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</si>
  <si>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</si>
  <si>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</si>
  <si>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</si>
  <si>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</si>
  <si>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</si>
  <si>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</si>
  <si>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</si>
  <si>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</si>
  <si>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</si>
  <si>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</si>
  <si>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</si>
  <si>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</si>
  <si>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</si>
  <si>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</si>
  <si>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</si>
  <si>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</si>
  <si>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</si>
  <si>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</si>
  <si>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</si>
  <si>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</si>
  <si>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</si>
  <si>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</si>
  <si>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</si>
  <si>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</si>
  <si>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</si>
  <si>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</si>
  <si>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</si>
  <si>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</si>
  <si>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</si>
  <si>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</si>
  <si>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</si>
  <si>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</si>
  <si>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</si>
  <si>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</si>
  <si>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</si>
  <si>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</si>
  <si>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</si>
  <si>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</si>
  <si>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</si>
  <si>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</si>
  <si>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</si>
  <si>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</si>
  <si>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</si>
  <si>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</si>
  <si>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</si>
  <si>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</si>
  <si>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</si>
  <si>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</si>
  <si>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</si>
  <si>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</si>
  <si>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</si>
  <si>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</si>
  <si>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</si>
  <si>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</si>
  <si>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</si>
  <si>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</si>
  <si>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</si>
  <si>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</si>
  <si>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</si>
  <si>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</si>
  <si>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</si>
  <si>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</si>
  <si>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</si>
  <si>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</si>
  <si>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</si>
  <si>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</si>
  <si>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</si>
  <si>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</si>
  <si>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</si>
  <si>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</si>
  <si>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</si>
  <si>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</si>
  <si>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</si>
  <si>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#5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</si>
  <si>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</si>
  <si>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</si>
  <si>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</si>
  <si>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</si>
  <si>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</si>
  <si>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</si>
  <si>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</si>
  <si>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</si>
  <si>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</si>
  <si>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 xml:space="preserve">laminado mate </t>
  </si>
  <si>
    <t>minimo 1500.00</t>
  </si>
  <si>
    <t>uv brillante a registro</t>
  </si>
  <si>
    <t>Cartón Gris</t>
  </si>
  <si>
    <t>empalme</t>
  </si>
  <si>
    <t>Arreglo</t>
  </si>
  <si>
    <t>Empaque</t>
  </si>
  <si>
    <t>Comisiones</t>
  </si>
  <si>
    <t>Suajado</t>
  </si>
  <si>
    <t>mt</t>
  </si>
  <si>
    <t>Precio por Paquete</t>
  </si>
  <si>
    <t>Colocado</t>
  </si>
  <si>
    <t>Maquila Armado</t>
  </si>
  <si>
    <t>TT Costo</t>
  </si>
  <si>
    <t>TT Utilidad</t>
  </si>
  <si>
    <t>Unitario</t>
  </si>
  <si>
    <t>Venta</t>
  </si>
  <si>
    <t>Envio</t>
  </si>
  <si>
    <t>Pruebas de color</t>
  </si>
  <si>
    <t xml:space="preserve">minimo </t>
  </si>
  <si>
    <t>cartón caja</t>
  </si>
  <si>
    <t>cartón cartera</t>
  </si>
  <si>
    <t>forro caja INT</t>
  </si>
  <si>
    <t>forro caja EXT</t>
  </si>
  <si>
    <t>forro cartera</t>
  </si>
  <si>
    <t>Tabla de suaje + Placa</t>
  </si>
  <si>
    <t xml:space="preserve">Televisa </t>
  </si>
  <si>
    <t>Blim</t>
  </si>
  <si>
    <t>tamaño extendido 33 X 40.5 cm.</t>
  </si>
  <si>
    <t>21.5 X 29 X 5.75</t>
  </si>
  <si>
    <t>Tapa</t>
  </si>
  <si>
    <t>tamaño extendido 34 X 41. 5 cm.</t>
  </si>
  <si>
    <t>Caja Blim Blue Demond Suajada</t>
  </si>
  <si>
    <t>tamaño 22 X 29.5 X 6 cm.</t>
  </si>
  <si>
    <t>espuma suajada para sujetar accesorios</t>
  </si>
  <si>
    <t>Placa HS</t>
  </si>
  <si>
    <t>HS</t>
  </si>
  <si>
    <t>Espuma</t>
  </si>
  <si>
    <t>tamaño extendido 21.5 X 29 cm.</t>
  </si>
  <si>
    <t>Gris</t>
  </si>
  <si>
    <t>3 cm.</t>
  </si>
  <si>
    <t>Pegado</t>
  </si>
  <si>
    <t>espuma suajada</t>
  </si>
  <si>
    <t>sin impresión + laminado mate 1 cara</t>
  </si>
  <si>
    <t>impresa a 4 tintas + laminado mate + hot stamping 1 cara</t>
  </si>
  <si>
    <t xml:space="preserve">Couche </t>
  </si>
  <si>
    <t>Blanco</t>
  </si>
  <si>
    <t>150 gr.</t>
  </si>
  <si>
    <r>
      <rPr>
        <i/>
        <u/>
        <sz val="9"/>
        <rFont val="Century Gothic"/>
        <family val="2"/>
      </rPr>
      <t>caja:</t>
    </r>
    <r>
      <rPr>
        <sz val="9"/>
        <rFont val="Century Gothic"/>
        <family val="2"/>
      </rPr>
      <t xml:space="preserve"> forrada en papel couche blanco </t>
    </r>
  </si>
  <si>
    <r>
      <rPr>
        <i/>
        <u/>
        <sz val="9"/>
        <rFont val="Century Gothic"/>
        <family val="2"/>
      </rPr>
      <t xml:space="preserve">tapa: </t>
    </r>
    <r>
      <rPr>
        <sz val="9"/>
        <rFont val="Century Gothic"/>
        <family val="2"/>
      </rPr>
      <t xml:space="preserve">forrada en papel couche blanco </t>
    </r>
  </si>
  <si>
    <t>Pruebas de Color</t>
  </si>
  <si>
    <t xml:space="preserve">impresa a 4 tintas offset + laminado mate </t>
  </si>
  <si>
    <t>forro cartera guarda</t>
  </si>
  <si>
    <t>Material</t>
  </si>
  <si>
    <t>$ compra dcto</t>
  </si>
  <si>
    <t>Pliegos</t>
  </si>
  <si>
    <t>TT</t>
  </si>
  <si>
    <t>Partes Adicionales</t>
  </si>
  <si>
    <t>LAMINADOS Y BARNICES UV</t>
  </si>
  <si>
    <t>Espuma Gris 3 cm</t>
  </si>
  <si>
    <t>Cartón Gris #5</t>
  </si>
  <si>
    <t>imanes</t>
  </si>
  <si>
    <t>Imanes</t>
  </si>
  <si>
    <t>* Par</t>
  </si>
  <si>
    <t>Tabla de Suaje</t>
  </si>
  <si>
    <t>04 de noviembre de 2016.</t>
  </si>
  <si>
    <t>Costo proceso TT</t>
  </si>
  <si>
    <t>Porcentaje a Ganar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</si>
</sst>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i/>
      <u/>
      <sz val="9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9" applyNumberFormat="0" applyAlignment="0" applyProtection="0"/>
    <xf numFmtId="0" fontId="15" fillId="6" borderId="20" applyNumberFormat="0" applyAlignment="0" applyProtection="0"/>
    <xf numFmtId="0" fontId="16" fillId="7" borderId="0" applyNumberFormat="0" applyBorder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4" applyNumberFormat="0" applyFont="0" applyAlignment="0" applyProtection="0"/>
  </cellStyleXfs>
  <cellXfs count="1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9" borderId="0" xfId="1" applyFont="1" applyFill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44" fontId="2" fillId="0" borderId="17" xfId="1" applyFont="1" applyBorder="1" applyAlignment="1">
      <alignment horizontal="left"/>
    </xf>
    <xf numFmtId="0" fontId="6" fillId="0" borderId="18" xfId="0" applyFont="1" applyBorder="1"/>
    <xf numFmtId="44" fontId="2" fillId="0" borderId="17" xfId="0" applyNumberFormat="1" applyFont="1" applyBorder="1"/>
    <xf numFmtId="44" fontId="2" fillId="0" borderId="18" xfId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4" fontId="6" fillId="0" borderId="0" xfId="1" applyFont="1" applyAlignment="1">
      <alignment horizontal="center"/>
    </xf>
    <xf numFmtId="2" fontId="24" fillId="9" borderId="0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44" fontId="6" fillId="0" borderId="5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right"/>
    </xf>
    <xf numFmtId="0" fontId="27" fillId="0" borderId="29" xfId="0" applyFont="1" applyBorder="1" applyAlignment="1">
      <alignment horizontal="left"/>
    </xf>
    <xf numFmtId="44" fontId="27" fillId="0" borderId="29" xfId="0" applyNumberFormat="1" applyFont="1" applyBorder="1" applyAlignment="1">
      <alignment horizontal="center"/>
    </xf>
    <xf numFmtId="1" fontId="27" fillId="0" borderId="29" xfId="0" applyNumberFormat="1" applyFont="1" applyBorder="1" applyAlignment="1">
      <alignment horizontal="center"/>
    </xf>
    <xf numFmtId="44" fontId="27" fillId="0" borderId="30" xfId="0" applyNumberFormat="1" applyFont="1" applyBorder="1" applyAlignment="1">
      <alignment horizontal="center"/>
    </xf>
    <xf numFmtId="0" fontId="27" fillId="0" borderId="11" xfId="0" applyFont="1" applyBorder="1" applyAlignment="1">
      <alignment horizontal="right"/>
    </xf>
    <xf numFmtId="0" fontId="27" fillId="0" borderId="12" xfId="0" applyFont="1" applyBorder="1" applyAlignment="1">
      <alignment horizontal="left"/>
    </xf>
    <xf numFmtId="44" fontId="27" fillId="0" borderId="12" xfId="0" applyNumberFormat="1" applyFont="1" applyBorder="1" applyAlignment="1">
      <alignment horizontal="center"/>
    </xf>
    <xf numFmtId="1" fontId="27" fillId="0" borderId="12" xfId="0" applyNumberFormat="1" applyFont="1" applyBorder="1" applyAlignment="1">
      <alignment horizontal="center"/>
    </xf>
    <xf numFmtId="44" fontId="27" fillId="0" borderId="13" xfId="0" applyNumberFormat="1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26" fillId="0" borderId="31" xfId="0" applyFont="1" applyBorder="1"/>
    <xf numFmtId="44" fontId="26" fillId="0" borderId="32" xfId="0" applyNumberFormat="1" applyFont="1" applyBorder="1"/>
    <xf numFmtId="0" fontId="28" fillId="0" borderId="0" xfId="0" applyFont="1"/>
    <xf numFmtId="2" fontId="27" fillId="0" borderId="11" xfId="0" applyNumberFormat="1" applyFont="1" applyBorder="1" applyAlignment="1">
      <alignment horizontal="right"/>
    </xf>
    <xf numFmtId="44" fontId="0" fillId="0" borderId="0" xfId="1" applyFont="1" applyAlignment="1">
      <alignment horizontal="center"/>
    </xf>
    <xf numFmtId="0" fontId="2" fillId="0" borderId="33" xfId="0" applyFont="1" applyBorder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711115</xdr:colOff>
      <xdr:row>0</xdr:row>
      <xdr:rowOff>41130</xdr:rowOff>
    </xdr:from>
    <xdr:to>
      <xdr:col>11</xdr:col>
      <xdr:colOff>443765</xdr:colOff>
      <xdr:row>4</xdr:row>
      <xdr:rowOff>18398</xdr:rowOff>
    </xdr:to>
    <xdr:pic>
      <xdr:nvPicPr>
        <xdr:cNvPr id="3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52396" y="1053161"/>
          <a:ext cx="2554432" cy="822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zoomScale="80" zoomScaleNormal="80" workbookViewId="0">
      <selection activeCell="C10" sqref="C1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">
        <v>171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">
        <v>132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">
        <v>133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93</v>
      </c>
      <c r="D15" s="18"/>
      <c r="E15" s="18"/>
      <c r="F15" s="73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134</v>
      </c>
      <c r="D16" s="18"/>
      <c r="E16" s="18"/>
      <c r="F16" s="46">
        <v>33</v>
      </c>
      <c r="G16" s="74" t="s">
        <v>82</v>
      </c>
      <c r="H16" s="75">
        <v>40.5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135</v>
      </c>
      <c r="D17" s="18"/>
      <c r="E17" s="18"/>
      <c r="F17" s="73">
        <v>1</v>
      </c>
      <c r="G17" s="76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3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4"/>
      <c r="H19" s="75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3"/>
      <c r="G20" s="76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166</v>
      </c>
      <c r="D23" s="5" t="s">
        <v>14</v>
      </c>
      <c r="E23" s="22" t="s">
        <v>95</v>
      </c>
      <c r="F23" s="1" t="s">
        <v>96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33</v>
      </c>
      <c r="D26" s="28" t="s">
        <v>16</v>
      </c>
      <c r="E26" s="27">
        <f>+H16</f>
        <v>40.5</v>
      </c>
      <c r="F26" s="29">
        <f>+E26</f>
        <v>40.5</v>
      </c>
      <c r="G26" s="29" t="s">
        <v>16</v>
      </c>
      <c r="H26" s="29">
        <f>+C26</f>
        <v>33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2.7272727272727271</v>
      </c>
      <c r="D27" s="33"/>
      <c r="E27" s="32">
        <f>+E25/E26</f>
        <v>3.2098765432098766</v>
      </c>
      <c r="F27" s="32">
        <f>+F25/F26</f>
        <v>2.2222222222222223</v>
      </c>
      <c r="G27" s="33"/>
      <c r="H27" s="32">
        <f>+H25/H26</f>
        <v>3.9393939393939394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6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89</v>
      </c>
      <c r="D30" s="41" t="s">
        <v>22</v>
      </c>
      <c r="E30" s="42">
        <v>44.332000000000001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44.332000000000001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44.332000000000001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48.765200000000007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6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100</v>
      </c>
      <c r="D40" s="24">
        <v>40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140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23.333333333333332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140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140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v>100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1034.4133333333332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400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400</v>
      </c>
      <c r="H52" s="30">
        <f t="shared" ref="H52:H59" si="0">+G52*E52</f>
        <v>400</v>
      </c>
      <c r="I52" s="30">
        <f>+(B72/100)*2</f>
        <v>33.95709333333334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120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120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1434.4133333333332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14.344133333333332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400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7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+B72/C40</f>
        <v>16.97854666666667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1137.8546666666668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560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G68" s="64" t="s">
        <v>72</v>
      </c>
      <c r="H68" s="32">
        <f>+B60</f>
        <v>14.344133333333332</v>
      </c>
      <c r="I68" s="65">
        <f>+H68*B48</f>
        <v>1434.4133333333332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G69" s="64" t="s">
        <v>74</v>
      </c>
      <c r="H69" s="32">
        <f>+C72</f>
        <v>16.97854666666667</v>
      </c>
      <c r="I69" s="65">
        <f>+H69*B48</f>
        <v>1697.8546666666671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3" t="str">
        <f>+A56</f>
        <v>Listón</v>
      </c>
      <c r="B70" s="54">
        <f>+B56*H63</f>
        <v>0</v>
      </c>
      <c r="C70" s="66"/>
      <c r="G70" s="67" t="s">
        <v>75</v>
      </c>
      <c r="H70" s="68">
        <f>+H69-H68</f>
        <v>2.6344133333333382</v>
      </c>
      <c r="I70" s="65">
        <f>+H70*B48</f>
        <v>263.44133333333383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3"/>
      <c r="B71" s="54"/>
      <c r="C71" s="66"/>
      <c r="G71" s="69" t="s">
        <v>76</v>
      </c>
      <c r="H71" s="43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57</v>
      </c>
      <c r="B72" s="57">
        <f>SUM(B65:B71)</f>
        <v>1697.8546666666668</v>
      </c>
      <c r="C72" s="68">
        <f>+B72/B48</f>
        <v>16.97854666666667</v>
      </c>
      <c r="D72" s="5" t="s">
        <v>126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x14ac:dyDescent="0.3">
      <c r="B76" s="70"/>
      <c r="C76" s="71"/>
    </row>
    <row r="80" spans="1:22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19" zoomScale="80" zoomScaleNormal="80" workbookViewId="0">
      <selection activeCell="D72" sqref="D7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04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 xml:space="preserve">Televisa 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136</v>
      </c>
      <c r="D15" s="18"/>
      <c r="E15" s="18"/>
      <c r="F15" s="73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137</v>
      </c>
      <c r="D16" s="18"/>
      <c r="E16" s="18"/>
      <c r="F16" s="46">
        <v>34</v>
      </c>
      <c r="G16" s="74" t="s">
        <v>82</v>
      </c>
      <c r="H16" s="75">
        <v>41.5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94</v>
      </c>
      <c r="D17" s="18"/>
      <c r="E17" s="18"/>
      <c r="F17" s="73">
        <v>1</v>
      </c>
      <c r="G17" s="76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3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4"/>
      <c r="H19" s="75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3"/>
      <c r="G20" s="76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109</v>
      </c>
      <c r="D23" s="5" t="s">
        <v>14</v>
      </c>
      <c r="E23" s="22" t="s">
        <v>95</v>
      </c>
      <c r="F23" s="1" t="s">
        <v>96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34</v>
      </c>
      <c r="D26" s="28" t="s">
        <v>16</v>
      </c>
      <c r="E26" s="27">
        <f>+H16</f>
        <v>41.5</v>
      </c>
      <c r="F26" s="29">
        <f>+E26</f>
        <v>41.5</v>
      </c>
      <c r="G26" s="29" t="s">
        <v>16</v>
      </c>
      <c r="H26" s="29">
        <f>+C26</f>
        <v>34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2.6470588235294117</v>
      </c>
      <c r="D27" s="33"/>
      <c r="E27" s="32">
        <f>+E25/E26</f>
        <v>3.1325301204819276</v>
      </c>
      <c r="F27" s="32">
        <f>+F25/F26</f>
        <v>2.1686746987951806</v>
      </c>
      <c r="G27" s="33"/>
      <c r="H27" s="32">
        <f>+H25/H26</f>
        <v>3.8235294117647061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6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89</v>
      </c>
      <c r="D30" s="41" t="s">
        <v>22</v>
      </c>
      <c r="E30" s="42">
        <v>44.332000000000001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44.332000000000001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44.332000000000001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48.765200000000007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6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100</v>
      </c>
      <c r="D40" s="24">
        <v>40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140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23.333333333333332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140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140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100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1034.4133333333332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400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400</v>
      </c>
      <c r="H52" s="30">
        <f t="shared" ref="H52" si="0">+G52*E52</f>
        <v>400</v>
      </c>
      <c r="I52" s="30">
        <f>+(B72/100)*2</f>
        <v>33.95709333333334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130</v>
      </c>
      <c r="H53" s="30">
        <f t="shared" ref="H53:H59" si="1">+G53*E53</f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130</v>
      </c>
      <c r="H54" s="30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1434.4133333333332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14.344133333333332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400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7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+B72/C40</f>
        <v>16.97854666666667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1137.8546666666668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560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G68" s="64" t="s">
        <v>72</v>
      </c>
      <c r="H68" s="32">
        <f>+B60</f>
        <v>14.344133333333332</v>
      </c>
      <c r="I68" s="65">
        <f>+H68*C46</f>
        <v>2008.1786666666665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G69" s="64" t="s">
        <v>74</v>
      </c>
      <c r="H69" s="32">
        <f>+C72</f>
        <v>16.97854666666667</v>
      </c>
      <c r="I69" s="65">
        <f>+H69*C46</f>
        <v>2376.9965333333339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3" t="str">
        <f>+A56</f>
        <v>Listón</v>
      </c>
      <c r="B70" s="54">
        <f>+B56*H63</f>
        <v>0</v>
      </c>
      <c r="C70" s="66"/>
      <c r="G70" s="67" t="s">
        <v>75</v>
      </c>
      <c r="H70" s="68">
        <f>+H69-H68</f>
        <v>2.6344133333333382</v>
      </c>
      <c r="I70" s="65">
        <f>+H70*C46</f>
        <v>368.81786666666733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3"/>
      <c r="B71" s="54"/>
      <c r="C71" s="66"/>
      <c r="G71" s="69" t="s">
        <v>76</v>
      </c>
      <c r="H71" s="43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57</v>
      </c>
      <c r="B72" s="57">
        <f>SUM(B65:B71)</f>
        <v>1697.8546666666668</v>
      </c>
      <c r="C72" s="68">
        <f>+B72/B48</f>
        <v>16.97854666666667</v>
      </c>
      <c r="D72" s="5" t="s">
        <v>127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5" spans="1:22" x14ac:dyDescent="0.3">
      <c r="A75" s="5"/>
    </row>
    <row r="76" spans="1:22" x14ac:dyDescent="0.3">
      <c r="B76" s="70"/>
      <c r="C76" s="71"/>
    </row>
    <row r="80" spans="1:22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29" zoomScale="80" zoomScaleNormal="80" workbookViewId="0">
      <selection activeCell="B14" sqref="B1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04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 xml:space="preserve">Televisa 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143</v>
      </c>
      <c r="D15" s="18"/>
      <c r="E15" s="18"/>
      <c r="F15" s="73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144</v>
      </c>
      <c r="D16" s="18"/>
      <c r="E16" s="18"/>
      <c r="F16" s="46">
        <v>21.5</v>
      </c>
      <c r="G16" s="74" t="s">
        <v>82</v>
      </c>
      <c r="H16" s="75">
        <v>29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94</v>
      </c>
      <c r="D17" s="18"/>
      <c r="E17" s="18"/>
      <c r="F17" s="73">
        <v>0.5</v>
      </c>
      <c r="G17" s="76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3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4"/>
      <c r="H19" s="75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3"/>
      <c r="G20" s="76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143</v>
      </c>
      <c r="D23" s="5" t="s">
        <v>14</v>
      </c>
      <c r="E23" s="22" t="s">
        <v>145</v>
      </c>
      <c r="F23" s="1" t="s">
        <v>146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100</v>
      </c>
      <c r="D25" s="22" t="s">
        <v>16</v>
      </c>
      <c r="E25" s="24">
        <v>200</v>
      </c>
      <c r="F25" s="25">
        <f>+C25</f>
        <v>100</v>
      </c>
      <c r="G25" s="26" t="s">
        <v>16</v>
      </c>
      <c r="H25" s="26">
        <f>+E25</f>
        <v>200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21.5</v>
      </c>
      <c r="D26" s="28" t="s">
        <v>16</v>
      </c>
      <c r="E26" s="27">
        <f>+H16</f>
        <v>29</v>
      </c>
      <c r="F26" s="29">
        <f>+E26</f>
        <v>29</v>
      </c>
      <c r="G26" s="29" t="s">
        <v>16</v>
      </c>
      <c r="H26" s="29">
        <f>+C26</f>
        <v>21.5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4.6511627906976747</v>
      </c>
      <c r="D27" s="33"/>
      <c r="E27" s="32">
        <f>+E25/E26</f>
        <v>6.8965517241379306</v>
      </c>
      <c r="F27" s="32">
        <f>+F25/F26</f>
        <v>3.4482758620689653</v>
      </c>
      <c r="G27" s="33"/>
      <c r="H27" s="32">
        <f>+H25/H26</f>
        <v>9.3023255813953494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24</v>
      </c>
      <c r="E28" s="37"/>
      <c r="F28" s="38"/>
      <c r="G28" s="39">
        <v>27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89</v>
      </c>
      <c r="D30" s="41" t="s">
        <v>22</v>
      </c>
      <c r="E30" s="42">
        <v>300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300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300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+E34*1.15</f>
        <v>345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24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200</v>
      </c>
      <c r="D40" s="24"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300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12.5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0.2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300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300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100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3750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770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500</v>
      </c>
      <c r="H52" s="30">
        <f t="shared" ref="H52:H59" si="0">+G52*E52</f>
        <v>500</v>
      </c>
      <c r="I52" s="30">
        <f>+(B72/100)*2</f>
        <v>128.6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400</v>
      </c>
      <c r="C53" s="3"/>
      <c r="D53" s="21">
        <v>1</v>
      </c>
      <c r="E53" s="21">
        <v>1</v>
      </c>
      <c r="F53" s="21" t="s">
        <v>79</v>
      </c>
      <c r="G53" s="30">
        <v>135</v>
      </c>
      <c r="H53" s="30">
        <f t="shared" si="0"/>
        <v>135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147</v>
      </c>
      <c r="B54" s="54">
        <f>+(5*B48)*1.1</f>
        <v>550</v>
      </c>
      <c r="C54" s="3"/>
      <c r="D54" s="21">
        <v>1</v>
      </c>
      <c r="E54" s="21">
        <v>1</v>
      </c>
      <c r="F54" s="21" t="s">
        <v>80</v>
      </c>
      <c r="G54" s="30">
        <v>135</v>
      </c>
      <c r="H54" s="30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5470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54.7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770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7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+B72/C40</f>
        <v>32.15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4312.5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1155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Pegado</v>
      </c>
      <c r="B68" s="54">
        <f>+B54*H63</f>
        <v>962.5</v>
      </c>
      <c r="C68" s="63"/>
      <c r="G68" s="64" t="s">
        <v>72</v>
      </c>
      <c r="H68" s="32">
        <f>+B60</f>
        <v>54.7</v>
      </c>
      <c r="I68" s="65">
        <f>+H68*C46</f>
        <v>16410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G69" s="64" t="s">
        <v>74</v>
      </c>
      <c r="H69" s="32">
        <f>+C72</f>
        <v>64.3</v>
      </c>
      <c r="I69" s="65">
        <f>+H69*C46</f>
        <v>19290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3" t="str">
        <f>+A56</f>
        <v>Listón</v>
      </c>
      <c r="B70" s="54">
        <f>+B56*H63</f>
        <v>0</v>
      </c>
      <c r="C70" s="66"/>
      <c r="G70" s="67" t="s">
        <v>75</v>
      </c>
      <c r="H70" s="68">
        <f>+H69-H68</f>
        <v>9.5999999999999943</v>
      </c>
      <c r="I70" s="65">
        <f>+H70*C46</f>
        <v>2879.9999999999982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3"/>
      <c r="B71" s="54"/>
      <c r="C71" s="66"/>
      <c r="G71" s="69" t="s">
        <v>76</v>
      </c>
      <c r="H71" s="43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57</v>
      </c>
      <c r="B72" s="57">
        <f>SUM(B65:B71)</f>
        <v>6430</v>
      </c>
      <c r="C72" s="68">
        <f>+B72/B48</f>
        <v>64.3</v>
      </c>
      <c r="D72" s="5" t="s">
        <v>148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70"/>
      <c r="C76" s="71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80" spans="1:22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35" zoomScale="80" zoomScaleNormal="80" workbookViewId="0">
      <selection activeCell="D41" sqref="D4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6</v>
      </c>
      <c r="C9" s="5" t="str">
        <f>+'cartón caja'!C9</f>
        <v>04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8</v>
      </c>
      <c r="C11" s="1" t="str">
        <f>+'cartón caja'!C11</f>
        <v xml:space="preserve">Televisa 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11</v>
      </c>
      <c r="C15" s="19" t="s">
        <v>138</v>
      </c>
      <c r="D15" s="18"/>
      <c r="E15" s="18"/>
      <c r="F15" s="73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7" t="s">
        <v>139</v>
      </c>
      <c r="D16" s="18"/>
      <c r="E16" s="18"/>
      <c r="F16" s="46">
        <f>+F20</f>
        <v>33</v>
      </c>
      <c r="G16" s="74" t="s">
        <v>82</v>
      </c>
      <c r="H16" s="75">
        <f>+H20</f>
        <v>40.5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7" t="s">
        <v>94</v>
      </c>
      <c r="D17" s="18"/>
      <c r="E17" s="18"/>
      <c r="F17" s="73">
        <v>1</v>
      </c>
      <c r="G17" s="76" t="s">
        <v>83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7" t="s">
        <v>154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7" t="s">
        <v>149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7" t="s">
        <v>155</v>
      </c>
      <c r="D20" s="18"/>
      <c r="E20" s="18"/>
      <c r="F20" s="46">
        <v>33</v>
      </c>
      <c r="G20" s="74" t="s">
        <v>82</v>
      </c>
      <c r="H20" s="75">
        <v>40.5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8" t="s">
        <v>150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8" t="s">
        <v>140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13</v>
      </c>
      <c r="C23" s="81" t="s">
        <v>151</v>
      </c>
      <c r="D23" s="5" t="s">
        <v>14</v>
      </c>
      <c r="E23" s="22" t="s">
        <v>152</v>
      </c>
      <c r="F23" s="1" t="s">
        <v>153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15</v>
      </c>
      <c r="C25" s="23">
        <v>57</v>
      </c>
      <c r="D25" s="22" t="s">
        <v>16</v>
      </c>
      <c r="E25" s="24">
        <v>87</v>
      </c>
      <c r="F25" s="25">
        <f>+C25</f>
        <v>57</v>
      </c>
      <c r="G25" s="26" t="s">
        <v>16</v>
      </c>
      <c r="H25" s="26">
        <f>+E25</f>
        <v>87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17</v>
      </c>
      <c r="B26" s="3"/>
      <c r="C26" s="27">
        <f>+F16</f>
        <v>33</v>
      </c>
      <c r="D26" s="28" t="s">
        <v>16</v>
      </c>
      <c r="E26" s="27">
        <f>+H16</f>
        <v>40.5</v>
      </c>
      <c r="F26" s="29">
        <f>+E26</f>
        <v>40.5</v>
      </c>
      <c r="G26" s="29" t="s">
        <v>16</v>
      </c>
      <c r="H26" s="29">
        <f>+C26</f>
        <v>33</v>
      </c>
      <c r="I26" s="30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18</v>
      </c>
      <c r="B27" s="31"/>
      <c r="C27" s="32">
        <f>+C25/C26</f>
        <v>1.7272727272727273</v>
      </c>
      <c r="D27" s="33"/>
      <c r="E27" s="32">
        <f>+E25/E26</f>
        <v>2.1481481481481484</v>
      </c>
      <c r="F27" s="32">
        <f>+F25/F26</f>
        <v>1.4074074074074074</v>
      </c>
      <c r="G27" s="33"/>
      <c r="H27" s="32">
        <f>+H25/H26</f>
        <v>2.6363636363636362</v>
      </c>
      <c r="I27" s="30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2</v>
      </c>
      <c r="H28" s="40" t="s">
        <v>20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5" t="s">
        <v>21</v>
      </c>
      <c r="B30" s="25" t="s">
        <v>89</v>
      </c>
      <c r="D30" s="41" t="s">
        <v>22</v>
      </c>
      <c r="E30" s="42">
        <v>2.8490000000000002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4" t="s">
        <v>24</v>
      </c>
      <c r="E31" s="42">
        <f>+H30*E30</f>
        <v>1.4245000000000001</v>
      </c>
      <c r="H31" s="43"/>
      <c r="I31" s="30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4" t="s">
        <v>25</v>
      </c>
      <c r="E32" s="45">
        <f>+E30-E31</f>
        <v>1.4245000000000001</v>
      </c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1" t="s">
        <v>29</v>
      </c>
      <c r="E34" s="47">
        <f>+E32</f>
        <v>1.4245000000000001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30</v>
      </c>
      <c r="E35" s="47">
        <f>+E34*1.15</f>
        <v>1.6381749999999999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38</v>
      </c>
      <c r="B40" s="5"/>
      <c r="C40" s="50">
        <f>+B48/F17</f>
        <v>100</v>
      </c>
      <c r="D40" s="24"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40</v>
      </c>
      <c r="C41" s="34">
        <f>+C40+D40</f>
        <v>200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42</v>
      </c>
      <c r="C42" s="34">
        <f>+C41/C38</f>
        <v>100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92</v>
      </c>
      <c r="C43" s="21">
        <f>+(C42*C38)*F17</f>
        <v>200</v>
      </c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1"/>
      <c r="F44" s="44" t="s">
        <v>45</v>
      </c>
      <c r="G44" s="48">
        <f>+C41</f>
        <v>200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46</v>
      </c>
      <c r="C46" s="25">
        <f>+C42*C38</f>
        <v>200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</row>
    <row r="47" spans="1:19" ht="15" thickBot="1" x14ac:dyDescent="0.35">
      <c r="A47" s="3"/>
      <c r="B47" s="3"/>
      <c r="C47" s="3"/>
      <c r="D47" s="3"/>
      <c r="E47" s="3"/>
      <c r="H47" s="3"/>
      <c r="J47" s="5" t="s">
        <v>9</v>
      </c>
    </row>
    <row r="48" spans="1:19" ht="15.75" x14ac:dyDescent="0.3">
      <c r="A48" s="4" t="s">
        <v>77</v>
      </c>
      <c r="B48" s="21">
        <f>+'cartón caja'!B48</f>
        <v>100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 s="99" t="s">
        <v>103</v>
      </c>
      <c r="K48" s="100"/>
      <c r="L48" s="100"/>
      <c r="M48" s="100"/>
      <c r="N48" s="100"/>
      <c r="O48" s="100"/>
      <c r="P48" s="101"/>
      <c r="Q48"/>
      <c r="R48"/>
    </row>
    <row r="49" spans="1:22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53</v>
      </c>
      <c r="G49" s="30">
        <v>295</v>
      </c>
      <c r="H49" s="30">
        <f>+(D49*E49)*G49</f>
        <v>0</v>
      </c>
      <c r="J49" s="46">
        <f>+F16</f>
        <v>33</v>
      </c>
      <c r="K49" s="74">
        <f>+H16</f>
        <v>40.5</v>
      </c>
      <c r="L49" s="7" t="s">
        <v>102</v>
      </c>
      <c r="M49" s="74" t="s">
        <v>104</v>
      </c>
      <c r="N49" s="7" t="s">
        <v>105</v>
      </c>
      <c r="O49" s="93" t="s">
        <v>125</v>
      </c>
      <c r="P49" s="98">
        <v>500</v>
      </c>
      <c r="Q49"/>
      <c r="R49"/>
    </row>
    <row r="50" spans="1:22" ht="15.75" x14ac:dyDescent="0.3">
      <c r="A50" s="53" t="s">
        <v>54</v>
      </c>
      <c r="B50" s="54">
        <f>+E34*C42</f>
        <v>142.45000000000002</v>
      </c>
      <c r="C50" s="3">
        <f>+B50/2</f>
        <v>71.225000000000009</v>
      </c>
      <c r="D50" s="21">
        <v>0</v>
      </c>
      <c r="E50" s="21">
        <v>0</v>
      </c>
      <c r="F50" s="21" t="s">
        <v>78</v>
      </c>
      <c r="G50" s="30">
        <v>140</v>
      </c>
      <c r="H50" s="30">
        <f>+(D50*E50)*G50</f>
        <v>0</v>
      </c>
      <c r="J50" s="46">
        <f>0.33*0.405*C41</f>
        <v>26.730000000000004</v>
      </c>
      <c r="K50" s="79">
        <v>3.9</v>
      </c>
      <c r="L50" s="79">
        <f>+J50*K50</f>
        <v>104.24700000000001</v>
      </c>
      <c r="M50" s="79">
        <v>0</v>
      </c>
      <c r="N50" s="79">
        <f>+L50+M50</f>
        <v>104.24700000000001</v>
      </c>
      <c r="O50" s="76" t="s">
        <v>106</v>
      </c>
      <c r="P50" s="8"/>
      <c r="Q50"/>
      <c r="R50"/>
    </row>
    <row r="51" spans="1:22" ht="15.75" x14ac:dyDescent="0.3">
      <c r="A51" s="53" t="s">
        <v>12</v>
      </c>
      <c r="B51" s="54">
        <f>+H61</f>
        <v>1572.741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 s="6"/>
      <c r="K51" s="79"/>
      <c r="L51" s="79"/>
      <c r="M51" s="79"/>
      <c r="N51" s="79"/>
      <c r="O51" s="7"/>
      <c r="P51" s="8"/>
      <c r="Q51"/>
      <c r="R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400</v>
      </c>
      <c r="H52" s="30">
        <f t="shared" ref="H52:H59" si="0">+G52*E52</f>
        <v>400</v>
      </c>
      <c r="I52" s="30">
        <f>+(B73/100)*2</f>
        <v>55.670929999999998</v>
      </c>
      <c r="J52" s="46">
        <f>+J49</f>
        <v>33</v>
      </c>
      <c r="K52" s="74">
        <f>+K49</f>
        <v>40.5</v>
      </c>
      <c r="L52" s="7" t="s">
        <v>102</v>
      </c>
      <c r="M52" s="74" t="s">
        <v>104</v>
      </c>
      <c r="N52" s="7" t="s">
        <v>105</v>
      </c>
      <c r="O52" s="7" t="s">
        <v>107</v>
      </c>
      <c r="P52" s="8"/>
      <c r="Q52"/>
      <c r="R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1</v>
      </c>
      <c r="F53" s="21" t="s">
        <v>110</v>
      </c>
      <c r="G53" s="30">
        <f>+N53</f>
        <v>672.74099999999999</v>
      </c>
      <c r="H53" s="30">
        <f t="shared" si="0"/>
        <v>672.74099999999999</v>
      </c>
      <c r="I53" s="55"/>
      <c r="J53" s="46">
        <f>0.33*0.405*C41</f>
        <v>26.730000000000004</v>
      </c>
      <c r="K53" s="79">
        <f>3.9*3</f>
        <v>11.7</v>
      </c>
      <c r="L53" s="79">
        <f>+J53*K53</f>
        <v>312.74100000000004</v>
      </c>
      <c r="M53" s="79">
        <v>360</v>
      </c>
      <c r="N53" s="79">
        <f>+L53+M53</f>
        <v>672.74099999999999</v>
      </c>
      <c r="O53" s="76" t="s">
        <v>108</v>
      </c>
      <c r="P53" s="8"/>
      <c r="Q53"/>
      <c r="R53"/>
    </row>
    <row r="54" spans="1:22" ht="15.75" x14ac:dyDescent="0.3">
      <c r="A54" s="56" t="s">
        <v>124</v>
      </c>
      <c r="B54" s="54">
        <f>+(F16*H16)*0.13</f>
        <v>173.745</v>
      </c>
      <c r="C54" s="3"/>
      <c r="D54" s="21">
        <v>0</v>
      </c>
      <c r="E54" s="21">
        <v>0</v>
      </c>
      <c r="F54" s="21" t="s">
        <v>80</v>
      </c>
      <c r="G54" s="30">
        <v>130</v>
      </c>
      <c r="H54" s="30">
        <f t="shared" si="0"/>
        <v>0</v>
      </c>
      <c r="J54" s="6"/>
      <c r="K54" s="7"/>
      <c r="L54" s="79"/>
      <c r="M54" s="79"/>
      <c r="N54" s="79"/>
      <c r="O54" s="79"/>
      <c r="P54" s="8"/>
      <c r="Q54"/>
      <c r="R54"/>
    </row>
    <row r="55" spans="1:22" ht="16.5" thickBot="1" x14ac:dyDescent="0.35">
      <c r="A55" s="56" t="s">
        <v>99</v>
      </c>
      <c r="B55" s="54">
        <v>0</v>
      </c>
      <c r="D55" s="21">
        <v>0</v>
      </c>
      <c r="E55" s="21">
        <v>0</v>
      </c>
      <c r="F55" s="21" t="s">
        <v>97</v>
      </c>
      <c r="G55" s="30">
        <v>120</v>
      </c>
      <c r="H55" s="30">
        <f>+G55*E55</f>
        <v>0</v>
      </c>
      <c r="J55" s="14"/>
      <c r="K55" s="15"/>
      <c r="L55" s="15"/>
      <c r="M55" s="15"/>
      <c r="N55" s="15"/>
      <c r="O55" s="15"/>
      <c r="P55" s="16"/>
      <c r="Q55"/>
      <c r="R55"/>
    </row>
    <row r="56" spans="1:22" ht="15.75" x14ac:dyDescent="0.3">
      <c r="A56" s="56" t="s">
        <v>98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Q56"/>
      <c r="R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1888.9360000000001</v>
      </c>
      <c r="C58" s="3"/>
      <c r="D58" s="21">
        <v>1</v>
      </c>
      <c r="E58" s="21">
        <v>1</v>
      </c>
      <c r="F58" s="3" t="s">
        <v>58</v>
      </c>
      <c r="G58" s="30">
        <f>+P49</f>
        <v>500</v>
      </c>
      <c r="H58" s="30">
        <f t="shared" si="0"/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18.88936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1572.741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7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+B73/C40</f>
        <v>27.835464999999999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163.8175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2359.1115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260.61750000000001</v>
      </c>
      <c r="C69" s="63"/>
      <c r="G69" s="64" t="s">
        <v>72</v>
      </c>
      <c r="H69" s="32">
        <f>+B60</f>
        <v>18.88936</v>
      </c>
      <c r="I69" s="65">
        <f>+H69*B48</f>
        <v>1888.9359999999999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G70" s="64" t="s">
        <v>74</v>
      </c>
      <c r="H70" s="32">
        <f>+C73</f>
        <v>27.835464999999999</v>
      </c>
      <c r="I70" s="65">
        <f>+H70*B48</f>
        <v>2783.5464999999999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3" t="str">
        <f>+A56</f>
        <v>Encuadernación</v>
      </c>
      <c r="B71" s="54">
        <f>+B56*1.2</f>
        <v>0</v>
      </c>
      <c r="C71" s="66"/>
      <c r="G71" s="67" t="s">
        <v>75</v>
      </c>
      <c r="H71" s="68">
        <f>+H70-H69</f>
        <v>8.9461049999999993</v>
      </c>
      <c r="I71" s="83">
        <f>+H71*B48</f>
        <v>894.61049999999989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6.5" thickBot="1" x14ac:dyDescent="0.35">
      <c r="A72" s="53"/>
      <c r="B72" s="54"/>
      <c r="C72" s="66"/>
      <c r="G72" s="69" t="s">
        <v>76</v>
      </c>
      <c r="H72" s="43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57</v>
      </c>
      <c r="B73" s="57">
        <f>SUM(B65:B72)</f>
        <v>2783.5464999999999</v>
      </c>
      <c r="C73" s="68">
        <f>+B73/B48</f>
        <v>27.835464999999999</v>
      </c>
      <c r="D73" s="5" t="s">
        <v>128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C74" s="78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x14ac:dyDescent="0.3">
      <c r="C75" s="78"/>
      <c r="D75" s="5"/>
    </row>
    <row r="76" spans="1:22" x14ac:dyDescent="0.3">
      <c r="A76" s="5"/>
      <c r="C76" s="65"/>
      <c r="D76" s="5"/>
    </row>
    <row r="77" spans="1:22" x14ac:dyDescent="0.3">
      <c r="B77" s="70"/>
      <c r="C77" s="71"/>
    </row>
    <row r="81" spans="10:18" x14ac:dyDescent="0.3">
      <c r="J81" s="72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0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mergeCells count="1">
    <mergeCell ref="J48:P48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27" zoomScale="80" zoomScaleNormal="80" workbookViewId="0">
      <selection activeCell="H63" sqref="H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6</v>
      </c>
      <c r="C9" s="5" t="str">
        <f>+'cartón caja'!C9</f>
        <v>04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8</v>
      </c>
      <c r="C11" s="1" t="str">
        <f>+'cartón caja'!C11</f>
        <v xml:space="preserve">Televisa 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11</v>
      </c>
      <c r="C15" s="19" t="s">
        <v>138</v>
      </c>
      <c r="D15" s="18"/>
      <c r="E15" s="18"/>
      <c r="F15" s="73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7" t="s">
        <v>139</v>
      </c>
      <c r="D16" s="18"/>
      <c r="E16" s="18"/>
      <c r="F16" s="46">
        <f>2+F20+2</f>
        <v>42</v>
      </c>
      <c r="G16" s="74" t="s">
        <v>82</v>
      </c>
      <c r="H16" s="75">
        <f>2+H20+2</f>
        <v>49.5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7" t="s">
        <v>94</v>
      </c>
      <c r="D17" s="18"/>
      <c r="E17" s="18"/>
      <c r="F17" s="73">
        <v>1</v>
      </c>
      <c r="G17" s="76" t="s">
        <v>83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7" t="s">
        <v>154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7" t="s">
        <v>149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7" t="s">
        <v>155</v>
      </c>
      <c r="D20" s="18"/>
      <c r="E20" s="18"/>
      <c r="F20" s="46">
        <v>38</v>
      </c>
      <c r="G20" s="74" t="s">
        <v>82</v>
      </c>
      <c r="H20" s="75">
        <v>45.5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8" t="s">
        <v>150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8" t="s">
        <v>140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13</v>
      </c>
      <c r="C23" s="81" t="s">
        <v>151</v>
      </c>
      <c r="D23" s="5" t="s">
        <v>14</v>
      </c>
      <c r="E23" s="22" t="s">
        <v>152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15</v>
      </c>
      <c r="C25" s="23">
        <v>57</v>
      </c>
      <c r="D25" s="22" t="s">
        <v>16</v>
      </c>
      <c r="E25" s="24">
        <v>87</v>
      </c>
      <c r="F25" s="25">
        <f>+C25</f>
        <v>57</v>
      </c>
      <c r="G25" s="26" t="s">
        <v>16</v>
      </c>
      <c r="H25" s="26">
        <f>+E25</f>
        <v>87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17</v>
      </c>
      <c r="B26" s="3"/>
      <c r="C26" s="27">
        <f>+F16</f>
        <v>42</v>
      </c>
      <c r="D26" s="28" t="s">
        <v>16</v>
      </c>
      <c r="E26" s="27">
        <f>+H16</f>
        <v>49.5</v>
      </c>
      <c r="F26" s="29">
        <f>+E26</f>
        <v>49.5</v>
      </c>
      <c r="G26" s="29" t="s">
        <v>16</v>
      </c>
      <c r="H26" s="29">
        <f>+C26</f>
        <v>42</v>
      </c>
      <c r="I26" s="30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18</v>
      </c>
      <c r="B27" s="31"/>
      <c r="C27" s="32">
        <f>+C25/C26</f>
        <v>1.3571428571428572</v>
      </c>
      <c r="D27" s="33"/>
      <c r="E27" s="32">
        <f>+E25/E26</f>
        <v>1.7575757575757576</v>
      </c>
      <c r="F27" s="32">
        <f>+F25/F26</f>
        <v>1.1515151515151516</v>
      </c>
      <c r="G27" s="33"/>
      <c r="H27" s="32">
        <f>+H25/H26</f>
        <v>2.0714285714285716</v>
      </c>
      <c r="I27" s="30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19</v>
      </c>
      <c r="B28" s="34"/>
      <c r="C28" s="35"/>
      <c r="D28" s="36">
        <v>1</v>
      </c>
      <c r="E28" s="37"/>
      <c r="F28" s="38"/>
      <c r="G28" s="39">
        <v>2</v>
      </c>
      <c r="H28" s="40" t="s">
        <v>20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5" t="s">
        <v>21</v>
      </c>
      <c r="B30" s="25" t="s">
        <v>89</v>
      </c>
      <c r="D30" s="41" t="s">
        <v>22</v>
      </c>
      <c r="E30" s="42">
        <v>2.8490000000000002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4" t="s">
        <v>24</v>
      </c>
      <c r="E31" s="42">
        <f>+H30*E30</f>
        <v>1.4245000000000001</v>
      </c>
      <c r="H31" s="43"/>
      <c r="I31" s="30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4" t="s">
        <v>25</v>
      </c>
      <c r="E32" s="45">
        <f>+E30-E31</f>
        <v>1.4245000000000001</v>
      </c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1" t="s">
        <v>29</v>
      </c>
      <c r="E34" s="47">
        <f>+E32</f>
        <v>1.4245000000000001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30</v>
      </c>
      <c r="E35" s="47">
        <f>+E34*1.15</f>
        <v>1.6381749999999999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38</v>
      </c>
      <c r="B40" s="5"/>
      <c r="C40" s="50">
        <f>+B48/F17</f>
        <v>100</v>
      </c>
      <c r="D40" s="24">
        <v>400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40</v>
      </c>
      <c r="C41" s="34">
        <f>+C40+D40</f>
        <v>500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42</v>
      </c>
      <c r="C42" s="34">
        <f>+C41/C38</f>
        <v>250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92</v>
      </c>
      <c r="C43" s="21">
        <f>+(C42*C38)*F17</f>
        <v>500</v>
      </c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1"/>
      <c r="F44" s="44" t="s">
        <v>45</v>
      </c>
      <c r="G44" s="48">
        <f>+C41</f>
        <v>500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46</v>
      </c>
      <c r="C46" s="25">
        <f>+C42*C38</f>
        <v>500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</row>
    <row r="47" spans="1:19" ht="15" thickBot="1" x14ac:dyDescent="0.35">
      <c r="A47" s="3"/>
      <c r="B47" s="3"/>
      <c r="C47" s="3"/>
      <c r="D47" s="3"/>
      <c r="E47" s="3"/>
      <c r="H47" s="3"/>
      <c r="J47" s="5" t="s">
        <v>164</v>
      </c>
    </row>
    <row r="48" spans="1:19" ht="15.75" x14ac:dyDescent="0.3">
      <c r="A48" s="4" t="s">
        <v>77</v>
      </c>
      <c r="B48" s="21">
        <f>+'cartón caja'!B48</f>
        <v>100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 s="11" t="s">
        <v>103</v>
      </c>
      <c r="K48" s="12"/>
      <c r="L48" s="12"/>
      <c r="M48" s="12"/>
      <c r="N48" s="12"/>
      <c r="O48" s="12"/>
      <c r="P48" s="13"/>
      <c r="Q48"/>
      <c r="R48"/>
    </row>
    <row r="49" spans="1:18" ht="15.75" x14ac:dyDescent="0.3">
      <c r="A49" s="52" t="s">
        <v>52</v>
      </c>
      <c r="B49" s="53"/>
      <c r="C49" s="3"/>
      <c r="D49" s="21">
        <v>4</v>
      </c>
      <c r="E49" s="21">
        <v>1</v>
      </c>
      <c r="F49" s="21" t="s">
        <v>53</v>
      </c>
      <c r="G49" s="30">
        <v>295</v>
      </c>
      <c r="H49" s="30">
        <f>+(D49*E49)*G49</f>
        <v>1180</v>
      </c>
      <c r="J49" s="46">
        <f>+F16</f>
        <v>42</v>
      </c>
      <c r="K49" s="74">
        <f>+H16</f>
        <v>49.5</v>
      </c>
      <c r="L49" s="7" t="s">
        <v>102</v>
      </c>
      <c r="M49" s="74" t="s">
        <v>104</v>
      </c>
      <c r="N49" s="7" t="s">
        <v>105</v>
      </c>
      <c r="O49" s="93" t="s">
        <v>125</v>
      </c>
      <c r="P49" s="98">
        <v>500</v>
      </c>
      <c r="Q49"/>
      <c r="R49"/>
    </row>
    <row r="50" spans="1:18" ht="15.75" x14ac:dyDescent="0.3">
      <c r="A50" s="53" t="s">
        <v>54</v>
      </c>
      <c r="B50" s="54">
        <f>+E34*C42</f>
        <v>356.125</v>
      </c>
      <c r="C50" s="3"/>
      <c r="D50" s="21">
        <v>4</v>
      </c>
      <c r="E50" s="21">
        <v>1</v>
      </c>
      <c r="F50" s="21" t="s">
        <v>78</v>
      </c>
      <c r="G50" s="30">
        <v>140</v>
      </c>
      <c r="H50" s="30">
        <f>+(D50*E50)*G50</f>
        <v>560</v>
      </c>
      <c r="J50" s="46">
        <f>0.442*0.505*C41</f>
        <v>111.60499999999999</v>
      </c>
      <c r="K50" s="79">
        <v>3.9</v>
      </c>
      <c r="L50" s="79">
        <f>+J50*K50</f>
        <v>435.25949999999995</v>
      </c>
      <c r="M50" s="79">
        <v>0</v>
      </c>
      <c r="N50" s="79">
        <f>+L50+M50</f>
        <v>435.25949999999995</v>
      </c>
      <c r="O50" s="76" t="s">
        <v>106</v>
      </c>
      <c r="P50" s="8"/>
      <c r="Q50"/>
      <c r="R50"/>
    </row>
    <row r="51" spans="1:18" ht="15.75" x14ac:dyDescent="0.3">
      <c r="A51" s="53" t="s">
        <v>12</v>
      </c>
      <c r="B51" s="54">
        <f>+H61</f>
        <v>2910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 s="6"/>
      <c r="K51" s="79"/>
      <c r="L51" s="79"/>
      <c r="M51" s="79"/>
      <c r="N51" s="79"/>
      <c r="O51" s="7"/>
      <c r="P51" s="8"/>
      <c r="Q51"/>
      <c r="R51"/>
    </row>
    <row r="52" spans="1:18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400</v>
      </c>
      <c r="H52" s="30">
        <f t="shared" ref="H52:H59" si="0">+G52*E52</f>
        <v>400</v>
      </c>
      <c r="I52" s="30">
        <f>+(B73/100)*2</f>
        <v>184.51870499999998</v>
      </c>
      <c r="J52" s="46">
        <f>+J49</f>
        <v>42</v>
      </c>
      <c r="K52" s="74">
        <f>+K49</f>
        <v>49.5</v>
      </c>
      <c r="L52" s="7" t="s">
        <v>102</v>
      </c>
      <c r="M52" s="74" t="s">
        <v>104</v>
      </c>
      <c r="N52" s="7" t="s">
        <v>105</v>
      </c>
      <c r="O52" s="7" t="s">
        <v>107</v>
      </c>
      <c r="P52" s="8"/>
      <c r="Q52"/>
      <c r="R52"/>
    </row>
    <row r="53" spans="1:18" ht="16.5" x14ac:dyDescent="0.3">
      <c r="A53" s="53" t="s">
        <v>26</v>
      </c>
      <c r="B53" s="54">
        <v>700</v>
      </c>
      <c r="C53" s="3"/>
      <c r="D53" s="21">
        <v>0</v>
      </c>
      <c r="E53" s="21">
        <v>0</v>
      </c>
      <c r="F53" s="21" t="s">
        <v>110</v>
      </c>
      <c r="G53" s="30">
        <f>+N53</f>
        <v>892.35</v>
      </c>
      <c r="H53" s="30">
        <f t="shared" si="0"/>
        <v>0</v>
      </c>
      <c r="I53" s="55"/>
      <c r="J53" s="46">
        <f>0.28*0.325*C41</f>
        <v>45.500000000000007</v>
      </c>
      <c r="K53" s="79">
        <f>3.9*3</f>
        <v>11.7</v>
      </c>
      <c r="L53" s="79">
        <f>+J53*K53</f>
        <v>532.35</v>
      </c>
      <c r="M53" s="79">
        <v>360</v>
      </c>
      <c r="N53" s="79">
        <f>+L53+M53</f>
        <v>892.35</v>
      </c>
      <c r="O53" s="76" t="s">
        <v>108</v>
      </c>
      <c r="P53" s="8"/>
      <c r="Q53"/>
      <c r="R53"/>
    </row>
    <row r="54" spans="1:18" ht="15.75" x14ac:dyDescent="0.3">
      <c r="A54" s="56" t="s">
        <v>124</v>
      </c>
      <c r="B54" s="54">
        <f>+(F16*H16)*0.13</f>
        <v>270.27</v>
      </c>
      <c r="C54" s="3"/>
      <c r="D54" s="21">
        <v>1</v>
      </c>
      <c r="E54" s="21">
        <v>1</v>
      </c>
      <c r="F54" s="21" t="s">
        <v>79</v>
      </c>
      <c r="G54" s="30">
        <v>135</v>
      </c>
      <c r="H54" s="30">
        <f t="shared" si="0"/>
        <v>135</v>
      </c>
      <c r="J54" s="6"/>
      <c r="K54" s="7"/>
      <c r="L54" s="79"/>
      <c r="M54" s="79"/>
      <c r="N54" s="79"/>
      <c r="O54" s="79"/>
      <c r="P54" s="8"/>
      <c r="Q54"/>
      <c r="R54"/>
    </row>
    <row r="55" spans="1:18" ht="16.5" thickBot="1" x14ac:dyDescent="0.35">
      <c r="A55" s="56" t="s">
        <v>99</v>
      </c>
      <c r="B55" s="54">
        <v>0</v>
      </c>
      <c r="D55" s="21">
        <v>1</v>
      </c>
      <c r="E55" s="21">
        <v>1</v>
      </c>
      <c r="F55" s="21" t="s">
        <v>80</v>
      </c>
      <c r="G55" s="30">
        <v>135</v>
      </c>
      <c r="H55" s="30">
        <f t="shared" si="0"/>
        <v>135</v>
      </c>
      <c r="J55" s="14"/>
      <c r="K55" s="15"/>
      <c r="L55" s="15"/>
      <c r="M55" s="15"/>
      <c r="N55" s="15"/>
      <c r="O55" s="15"/>
      <c r="P55" s="16"/>
      <c r="Q55"/>
      <c r="R55"/>
    </row>
    <row r="56" spans="1:18" ht="15.75" x14ac:dyDescent="0.3">
      <c r="A56" s="56" t="s">
        <v>98</v>
      </c>
      <c r="B56" s="54">
        <f>+((20*B48)*1.1)</f>
        <v>2200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Q56"/>
      <c r="R56"/>
    </row>
    <row r="57" spans="1:18" customFormat="1" ht="15.75" x14ac:dyDescent="0.3">
      <c r="A57" s="56"/>
      <c r="B57" s="56"/>
      <c r="C57" s="1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I57" s="1"/>
    </row>
    <row r="58" spans="1:18" customFormat="1" ht="15.75" x14ac:dyDescent="0.3">
      <c r="A58" s="52" t="s">
        <v>57</v>
      </c>
      <c r="B58" s="57">
        <f>SUM(B50:B57)</f>
        <v>6436.3950000000004</v>
      </c>
      <c r="C58" s="3"/>
      <c r="D58" s="21">
        <v>1</v>
      </c>
      <c r="E58" s="21">
        <v>1</v>
      </c>
      <c r="F58" s="3" t="s">
        <v>58</v>
      </c>
      <c r="G58" s="30">
        <f>+P49</f>
        <v>500</v>
      </c>
      <c r="H58" s="30">
        <f t="shared" si="0"/>
        <v>500</v>
      </c>
      <c r="I58" s="1"/>
    </row>
    <row r="59" spans="1:18" customFormat="1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I59" s="1"/>
    </row>
    <row r="60" spans="1:18" customFormat="1" ht="15.75" x14ac:dyDescent="0.3">
      <c r="A60" s="9"/>
      <c r="B60" s="32">
        <f>+B58/B48</f>
        <v>64.363950000000003</v>
      </c>
      <c r="C60" s="4" t="s">
        <v>60</v>
      </c>
      <c r="D60" s="3"/>
      <c r="E60" s="3"/>
      <c r="F60" s="3"/>
      <c r="G60" s="3"/>
      <c r="H60" s="1"/>
      <c r="I60" s="1"/>
    </row>
    <row r="61" spans="1:18" customFormat="1" ht="15.75" x14ac:dyDescent="0.3">
      <c r="A61" s="3"/>
      <c r="B61" s="3"/>
      <c r="C61" s="1"/>
      <c r="D61" s="3"/>
      <c r="E61" s="3"/>
      <c r="F61" s="3"/>
      <c r="G61" s="61" t="s">
        <v>61</v>
      </c>
      <c r="H61" s="30">
        <f>SUM(H49:H60)</f>
        <v>2910</v>
      </c>
      <c r="I61" s="1"/>
    </row>
    <row r="62" spans="1:18" customFormat="1" ht="15.75" x14ac:dyDescent="0.3">
      <c r="A62" s="1"/>
      <c r="B62" s="1"/>
      <c r="C62" s="1"/>
      <c r="D62" s="3"/>
      <c r="E62" s="3"/>
      <c r="F62" s="1"/>
      <c r="G62" s="5" t="s">
        <v>62</v>
      </c>
      <c r="H62" s="77">
        <v>1.45</v>
      </c>
      <c r="I62" s="1"/>
    </row>
    <row r="63" spans="1:18" customFormat="1" ht="15.75" x14ac:dyDescent="0.3">
      <c r="A63" s="4" t="s">
        <v>64</v>
      </c>
      <c r="B63" s="3"/>
      <c r="C63" s="3"/>
      <c r="D63" s="1"/>
      <c r="E63" s="32">
        <f>+B73/C40</f>
        <v>92.259352499999991</v>
      </c>
      <c r="F63" s="1"/>
      <c r="G63" s="1" t="s">
        <v>65</v>
      </c>
      <c r="H63" s="62">
        <v>1.75</v>
      </c>
      <c r="I63" s="1"/>
    </row>
    <row r="64" spans="1:18" customFormat="1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I64" s="1"/>
    </row>
    <row r="65" spans="1:9" customFormat="1" ht="15.75" x14ac:dyDescent="0.3">
      <c r="A65" s="52" t="s">
        <v>70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I65" s="1"/>
    </row>
    <row r="66" spans="1:9" customFormat="1" ht="15.75" x14ac:dyDescent="0.3">
      <c r="A66" s="53" t="s">
        <v>54</v>
      </c>
      <c r="B66" s="54">
        <f>+E35*C42</f>
        <v>409.54374999999999</v>
      </c>
      <c r="C66" s="63"/>
      <c r="D66" s="1"/>
      <c r="E66" s="1"/>
      <c r="F66" s="1"/>
      <c r="G66" s="1"/>
      <c r="H66" s="1"/>
      <c r="I66" s="1"/>
    </row>
    <row r="67" spans="1:9" customFormat="1" ht="15.75" x14ac:dyDescent="0.3">
      <c r="A67" s="53" t="s">
        <v>12</v>
      </c>
      <c r="B67" s="54">
        <f>+H61*H62</f>
        <v>4219.5</v>
      </c>
      <c r="C67" s="63"/>
      <c r="D67" s="1"/>
      <c r="E67" s="1"/>
      <c r="F67" s="1"/>
      <c r="G67" s="1"/>
      <c r="H67" s="1"/>
      <c r="I67" s="1"/>
    </row>
    <row r="68" spans="1:9" customFormat="1" ht="15.75" x14ac:dyDescent="0.3">
      <c r="A68" s="53" t="str">
        <f>+A53</f>
        <v>Tabla de suaje</v>
      </c>
      <c r="B68" s="54">
        <f>+B53*H62</f>
        <v>1015</v>
      </c>
      <c r="C68" s="63"/>
      <c r="D68" s="1"/>
      <c r="E68" s="1"/>
      <c r="F68" s="1"/>
      <c r="G68" s="1"/>
      <c r="H68" s="1"/>
      <c r="I68" s="1"/>
    </row>
    <row r="69" spans="1:9" customFormat="1" ht="15.75" x14ac:dyDescent="0.3">
      <c r="A69" s="53" t="str">
        <f>+A54</f>
        <v>Pruebas de color</v>
      </c>
      <c r="B69" s="54">
        <f>+B54*H62</f>
        <v>391.89149999999995</v>
      </c>
      <c r="C69" s="63"/>
      <c r="D69" s="1"/>
      <c r="E69" s="1"/>
      <c r="F69" s="1"/>
      <c r="G69" s="64" t="s">
        <v>72</v>
      </c>
      <c r="H69" s="32">
        <f>+B60</f>
        <v>64.363950000000003</v>
      </c>
      <c r="I69" s="65">
        <f>+H69*B48</f>
        <v>6436.3950000000004</v>
      </c>
    </row>
    <row r="70" spans="1:9" customFormat="1" ht="15.75" x14ac:dyDescent="0.3">
      <c r="A70" s="53" t="str">
        <f>+A55</f>
        <v>Imán</v>
      </c>
      <c r="B70" s="54">
        <f>+B55*H62</f>
        <v>0</v>
      </c>
      <c r="C70" s="63"/>
      <c r="D70" s="1"/>
      <c r="E70" s="1"/>
      <c r="F70" s="1"/>
      <c r="G70" s="64" t="s">
        <v>74</v>
      </c>
      <c r="H70" s="32">
        <f>+C73</f>
        <v>92.259352499999991</v>
      </c>
      <c r="I70" s="65">
        <f>+H70*B48</f>
        <v>9225.9352499999986</v>
      </c>
    </row>
    <row r="71" spans="1:9" customFormat="1" ht="16.5" thickBot="1" x14ac:dyDescent="0.35">
      <c r="A71" s="53" t="str">
        <f>+A56</f>
        <v>Encuadernación</v>
      </c>
      <c r="B71" s="54">
        <f>+B56*H62</f>
        <v>3190</v>
      </c>
      <c r="C71" s="66"/>
      <c r="D71" s="1"/>
      <c r="E71" s="1"/>
      <c r="F71" s="1"/>
      <c r="G71" s="67" t="s">
        <v>75</v>
      </c>
      <c r="H71" s="68">
        <f>+H70-H69</f>
        <v>27.895402499999989</v>
      </c>
      <c r="I71" s="83">
        <f>+H71*B48</f>
        <v>2789.5402499999991</v>
      </c>
    </row>
    <row r="72" spans="1:9" customFormat="1" ht="16.5" thickBot="1" x14ac:dyDescent="0.35">
      <c r="A72" s="53"/>
      <c r="B72" s="54"/>
      <c r="C72" s="66"/>
      <c r="D72" s="1"/>
      <c r="E72" s="1"/>
      <c r="F72" s="1"/>
      <c r="G72" s="69" t="s">
        <v>76</v>
      </c>
      <c r="H72" s="43"/>
      <c r="I72" s="1"/>
    </row>
    <row r="73" spans="1:9" x14ac:dyDescent="0.3">
      <c r="A73" s="52" t="s">
        <v>57</v>
      </c>
      <c r="B73" s="57">
        <f>SUM(B65:B72)</f>
        <v>9225.9352499999986</v>
      </c>
      <c r="C73" s="68">
        <f>+B73/B48</f>
        <v>92.259352499999991</v>
      </c>
      <c r="D73" s="5" t="s">
        <v>129</v>
      </c>
    </row>
    <row r="74" spans="1:9" x14ac:dyDescent="0.3">
      <c r="C74" s="78"/>
      <c r="D74" s="5"/>
    </row>
    <row r="75" spans="1:9" x14ac:dyDescent="0.3">
      <c r="C75" s="78"/>
      <c r="D75" s="5"/>
    </row>
    <row r="76" spans="1:9" x14ac:dyDescent="0.3">
      <c r="A76" s="5"/>
      <c r="C76" s="65"/>
      <c r="D76" s="5"/>
    </row>
    <row r="77" spans="1:9" x14ac:dyDescent="0.3">
      <c r="B77" s="70"/>
      <c r="C77" s="71"/>
    </row>
    <row r="81" spans="10:18" x14ac:dyDescent="0.3">
      <c r="J81" s="72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0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B29" zoomScale="80" zoomScaleNormal="80" workbookViewId="0">
      <selection activeCell="J47" sqref="J4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04 de noviembre de 2016.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 xml:space="preserve">Televisa 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11</v>
      </c>
      <c r="C15" s="19" t="s">
        <v>138</v>
      </c>
      <c r="D15" s="18"/>
      <c r="E15" s="18"/>
      <c r="F15" s="73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139</v>
      </c>
      <c r="D16" s="18"/>
      <c r="E16" s="18"/>
      <c r="F16" s="46">
        <f>+F20</f>
        <v>34</v>
      </c>
      <c r="G16" s="74" t="s">
        <v>82</v>
      </c>
      <c r="H16" s="75">
        <f>+H20</f>
        <v>41.5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7" t="s">
        <v>94</v>
      </c>
      <c r="D17" s="18"/>
      <c r="E17" s="18"/>
      <c r="F17" s="73">
        <v>1</v>
      </c>
      <c r="G17" s="76" t="s">
        <v>83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7" t="s">
        <v>154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149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7" t="s">
        <v>155</v>
      </c>
      <c r="D20" s="18"/>
      <c r="E20" s="18"/>
      <c r="F20" s="46">
        <v>34</v>
      </c>
      <c r="G20" s="74" t="s">
        <v>82</v>
      </c>
      <c r="H20" s="75">
        <v>41.5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150</v>
      </c>
      <c r="D21" s="18"/>
      <c r="E21" s="18"/>
      <c r="F21" s="73">
        <v>1</v>
      </c>
      <c r="G21" s="76" t="s">
        <v>83</v>
      </c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8" t="s">
        <v>140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13</v>
      </c>
      <c r="C23" s="81" t="s">
        <v>151</v>
      </c>
      <c r="D23" s="5" t="s">
        <v>14</v>
      </c>
      <c r="E23" s="22" t="s">
        <v>152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15</v>
      </c>
      <c r="C25" s="23">
        <v>57</v>
      </c>
      <c r="D25" s="22" t="s">
        <v>16</v>
      </c>
      <c r="E25" s="24">
        <v>87</v>
      </c>
      <c r="F25" s="25">
        <f>+C25</f>
        <v>57</v>
      </c>
      <c r="G25" s="26" t="s">
        <v>16</v>
      </c>
      <c r="H25" s="26">
        <f>+E25</f>
        <v>87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17</v>
      </c>
      <c r="B26" s="3"/>
      <c r="C26" s="27">
        <f>+F16</f>
        <v>34</v>
      </c>
      <c r="D26" s="28" t="s">
        <v>16</v>
      </c>
      <c r="E26" s="27">
        <f>+H16</f>
        <v>41.5</v>
      </c>
      <c r="F26" s="29">
        <f>+E26</f>
        <v>41.5</v>
      </c>
      <c r="G26" s="29" t="s">
        <v>16</v>
      </c>
      <c r="H26" s="29">
        <f>+C26</f>
        <v>34</v>
      </c>
      <c r="I26" s="30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18</v>
      </c>
      <c r="B27" s="31"/>
      <c r="C27" s="32">
        <f>+C25/C26</f>
        <v>1.6764705882352942</v>
      </c>
      <c r="D27" s="33"/>
      <c r="E27" s="32">
        <f>+E25/E26</f>
        <v>2.0963855421686746</v>
      </c>
      <c r="F27" s="32">
        <f>+F25/F26</f>
        <v>1.3734939759036144</v>
      </c>
      <c r="G27" s="33"/>
      <c r="H27" s="32">
        <f>+H25/H26</f>
        <v>2.5588235294117645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2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8" ht="15.75" x14ac:dyDescent="0.3">
      <c r="A30" s="25" t="s">
        <v>21</v>
      </c>
      <c r="B30" s="25" t="s">
        <v>89</v>
      </c>
      <c r="D30" s="41" t="s">
        <v>22</v>
      </c>
      <c r="E30" s="42">
        <v>2.8490000000000002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4" t="s">
        <v>24</v>
      </c>
      <c r="E31" s="42">
        <f>+H30*E30</f>
        <v>1.4245000000000001</v>
      </c>
      <c r="H31" s="43"/>
      <c r="I31" s="30"/>
      <c r="J31"/>
      <c r="K31"/>
      <c r="L31"/>
      <c r="M31"/>
      <c r="N31"/>
      <c r="O31"/>
      <c r="P31"/>
      <c r="Q31"/>
      <c r="R31"/>
    </row>
    <row r="32" spans="1:18" ht="15.75" x14ac:dyDescent="0.3">
      <c r="D32" s="44" t="s">
        <v>25</v>
      </c>
      <c r="E32" s="45">
        <f>+E30-E31</f>
        <v>1.4245000000000001</v>
      </c>
      <c r="I32" s="30"/>
      <c r="J32"/>
      <c r="K32"/>
      <c r="L32"/>
      <c r="M32"/>
      <c r="N32"/>
      <c r="O32"/>
      <c r="P32"/>
      <c r="Q32"/>
      <c r="R32"/>
    </row>
    <row r="33" spans="1:18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</row>
    <row r="34" spans="1:18" ht="15.75" x14ac:dyDescent="0.3">
      <c r="D34" s="41" t="s">
        <v>29</v>
      </c>
      <c r="E34" s="47">
        <f>+E32</f>
        <v>1.4245000000000001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8" ht="15.75" x14ac:dyDescent="0.3">
      <c r="D35" s="41" t="s">
        <v>30</v>
      </c>
      <c r="E35" s="47">
        <f>+E34*1.15</f>
        <v>1.6381749999999999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8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8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</row>
    <row r="38" spans="1:18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</row>
    <row r="39" spans="1:18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</row>
    <row r="40" spans="1:18" ht="15.75" x14ac:dyDescent="0.3">
      <c r="A40" s="4" t="s">
        <v>38</v>
      </c>
      <c r="B40" s="5"/>
      <c r="C40" s="50">
        <f>+B48/F17</f>
        <v>100</v>
      </c>
      <c r="D40" s="24">
        <v>400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8" ht="15.75" x14ac:dyDescent="0.3">
      <c r="A41" s="4" t="s">
        <v>40</v>
      </c>
      <c r="C41" s="34">
        <f>+C40+D40</f>
        <v>500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8" ht="15.75" x14ac:dyDescent="0.3">
      <c r="A42" s="4" t="s">
        <v>42</v>
      </c>
      <c r="C42" s="34">
        <f>+C41/C38</f>
        <v>250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</row>
    <row r="43" spans="1:18" ht="15.75" x14ac:dyDescent="0.3">
      <c r="A43" s="4" t="s">
        <v>92</v>
      </c>
      <c r="C43" s="21">
        <f>+(C42*C38)*F17</f>
        <v>500</v>
      </c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</row>
    <row r="44" spans="1:18" ht="15.75" x14ac:dyDescent="0.3">
      <c r="A44" s="4"/>
      <c r="C44" s="51"/>
      <c r="F44" s="44" t="s">
        <v>45</v>
      </c>
      <c r="G44" s="48">
        <f>+C41</f>
        <v>500</v>
      </c>
      <c r="H44" s="3"/>
      <c r="J44"/>
      <c r="K44"/>
      <c r="L44"/>
      <c r="M44"/>
      <c r="N44"/>
      <c r="O44"/>
      <c r="P44"/>
      <c r="Q44"/>
      <c r="R44"/>
    </row>
    <row r="45" spans="1:18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</row>
    <row r="46" spans="1:18" ht="15.75" x14ac:dyDescent="0.3">
      <c r="A46" s="4" t="s">
        <v>46</v>
      </c>
      <c r="C46" s="25">
        <f>+C42*C38</f>
        <v>500</v>
      </c>
      <c r="F46" s="44"/>
      <c r="G46" s="30"/>
      <c r="H46" s="3"/>
      <c r="J46"/>
      <c r="K46"/>
      <c r="L46"/>
      <c r="M46"/>
      <c r="N46"/>
      <c r="O46"/>
      <c r="P46"/>
      <c r="Q46"/>
      <c r="R46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164</v>
      </c>
    </row>
    <row r="48" spans="1:18" ht="15.75" x14ac:dyDescent="0.3">
      <c r="A48" s="4" t="s">
        <v>77</v>
      </c>
      <c r="B48" s="21">
        <f>+'cartón caja'!B48</f>
        <v>100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 s="99" t="s">
        <v>103</v>
      </c>
      <c r="K48" s="100"/>
      <c r="L48" s="100"/>
      <c r="M48" s="100"/>
      <c r="N48" s="100"/>
      <c r="O48" s="100"/>
      <c r="P48" s="101"/>
      <c r="Q48"/>
      <c r="R48"/>
    </row>
    <row r="49" spans="1:22" ht="15.75" x14ac:dyDescent="0.3">
      <c r="A49" s="52" t="s">
        <v>52</v>
      </c>
      <c r="B49" s="53"/>
      <c r="C49" s="3"/>
      <c r="D49" s="21">
        <v>4</v>
      </c>
      <c r="E49" s="21">
        <v>1</v>
      </c>
      <c r="F49" s="21" t="s">
        <v>53</v>
      </c>
      <c r="G49" s="30">
        <v>295</v>
      </c>
      <c r="H49" s="30">
        <f>+(D49*E49)*G49</f>
        <v>1180</v>
      </c>
      <c r="J49" s="46">
        <f>+F16</f>
        <v>34</v>
      </c>
      <c r="K49" s="74">
        <f>+H16</f>
        <v>41.5</v>
      </c>
      <c r="L49" s="7" t="s">
        <v>102</v>
      </c>
      <c r="M49" s="74" t="s">
        <v>104</v>
      </c>
      <c r="N49" s="7" t="s">
        <v>105</v>
      </c>
      <c r="O49" s="93" t="s">
        <v>125</v>
      </c>
      <c r="P49" s="98">
        <v>500</v>
      </c>
      <c r="Q49"/>
      <c r="R49"/>
    </row>
    <row r="50" spans="1:22" ht="15.75" x14ac:dyDescent="0.3">
      <c r="A50" s="53" t="s">
        <v>54</v>
      </c>
      <c r="B50" s="54">
        <f>+E34*C42</f>
        <v>356.125</v>
      </c>
      <c r="C50" s="3"/>
      <c r="D50" s="21">
        <v>4</v>
      </c>
      <c r="E50" s="21">
        <v>1</v>
      </c>
      <c r="F50" s="21" t="s">
        <v>78</v>
      </c>
      <c r="G50" s="30">
        <v>140</v>
      </c>
      <c r="H50" s="30">
        <f>+(D50*E50)*G50</f>
        <v>560</v>
      </c>
      <c r="J50" s="46">
        <f>0.352*0.353*C41</f>
        <v>62.127999999999993</v>
      </c>
      <c r="K50" s="79">
        <v>3.9</v>
      </c>
      <c r="L50" s="79">
        <f>+J50*K50</f>
        <v>242.29919999999996</v>
      </c>
      <c r="M50" s="79">
        <v>0</v>
      </c>
      <c r="N50" s="79">
        <f>+L50+M50</f>
        <v>242.29919999999996</v>
      </c>
      <c r="O50" s="76" t="s">
        <v>106</v>
      </c>
      <c r="P50" s="8"/>
      <c r="Q50"/>
      <c r="R50"/>
    </row>
    <row r="51" spans="1:22" ht="15.75" x14ac:dyDescent="0.3">
      <c r="A51" s="53" t="s">
        <v>12</v>
      </c>
      <c r="B51" s="54">
        <f>+H61</f>
        <v>3325.4349999999999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 s="6"/>
      <c r="K51" s="79"/>
      <c r="L51" s="79"/>
      <c r="M51" s="79"/>
      <c r="N51" s="79"/>
      <c r="O51" s="7"/>
      <c r="P51" s="8"/>
      <c r="Q51"/>
      <c r="R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100</v>
      </c>
      <c r="G52" s="30">
        <v>400</v>
      </c>
      <c r="H52" s="30">
        <f t="shared" ref="H52:H59" si="0">+G52*E52</f>
        <v>400</v>
      </c>
      <c r="I52" s="30">
        <f>+(B73/100)*2</f>
        <v>125.953925</v>
      </c>
      <c r="J52" s="46">
        <f>+J49</f>
        <v>34</v>
      </c>
      <c r="K52" s="74">
        <f>+K49</f>
        <v>41.5</v>
      </c>
      <c r="L52" s="7" t="s">
        <v>102</v>
      </c>
      <c r="M52" s="74" t="s">
        <v>104</v>
      </c>
      <c r="N52" s="7" t="s">
        <v>105</v>
      </c>
      <c r="O52" s="7" t="s">
        <v>107</v>
      </c>
      <c r="P52" s="8"/>
      <c r="Q52"/>
      <c r="R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1</v>
      </c>
      <c r="F53" s="21" t="s">
        <v>110</v>
      </c>
      <c r="G53" s="30">
        <f>+N53</f>
        <v>1185.4349999999999</v>
      </c>
      <c r="H53" s="30">
        <f t="shared" si="0"/>
        <v>1185.4349999999999</v>
      </c>
      <c r="I53" s="55"/>
      <c r="J53" s="46">
        <f>0.34*0.415*C41</f>
        <v>70.55</v>
      </c>
      <c r="K53" s="79">
        <f>3.9*3</f>
        <v>11.7</v>
      </c>
      <c r="L53" s="79">
        <f>+J53*K53</f>
        <v>825.43499999999995</v>
      </c>
      <c r="M53" s="79">
        <v>360</v>
      </c>
      <c r="N53" s="79">
        <f>+L53+M53</f>
        <v>1185.4349999999999</v>
      </c>
      <c r="O53" s="76" t="s">
        <v>108</v>
      </c>
      <c r="P53" s="8"/>
      <c r="Q53"/>
      <c r="R53"/>
    </row>
    <row r="54" spans="1:22" ht="15.75" x14ac:dyDescent="0.3">
      <c r="A54" s="56" t="s">
        <v>156</v>
      </c>
      <c r="B54" s="54">
        <v>600</v>
      </c>
      <c r="C54" s="3"/>
      <c r="D54" s="21">
        <v>0</v>
      </c>
      <c r="E54" s="21">
        <v>0</v>
      </c>
      <c r="F54" s="21" t="s">
        <v>80</v>
      </c>
      <c r="G54" s="30">
        <v>130</v>
      </c>
      <c r="H54" s="30">
        <f t="shared" si="0"/>
        <v>0</v>
      </c>
      <c r="J54" s="6"/>
      <c r="K54" s="7"/>
      <c r="L54" s="79"/>
      <c r="M54" s="79"/>
      <c r="N54" s="79"/>
      <c r="O54" s="79"/>
      <c r="P54" s="8"/>
      <c r="Q54"/>
      <c r="R54"/>
    </row>
    <row r="55" spans="1:22" ht="16.5" thickBot="1" x14ac:dyDescent="0.35">
      <c r="A55" s="56" t="s">
        <v>99</v>
      </c>
      <c r="B55" s="54">
        <v>0</v>
      </c>
      <c r="D55" s="21">
        <v>0</v>
      </c>
      <c r="E55" s="21">
        <v>0</v>
      </c>
      <c r="F55" s="21" t="s">
        <v>97</v>
      </c>
      <c r="G55" s="30">
        <v>120</v>
      </c>
      <c r="H55" s="30">
        <f>+G55*E55</f>
        <v>0</v>
      </c>
      <c r="J55" s="14"/>
      <c r="K55" s="15"/>
      <c r="L55" s="15"/>
      <c r="M55" s="15"/>
      <c r="N55" s="15"/>
      <c r="O55" s="15"/>
      <c r="P55" s="16"/>
      <c r="Q55"/>
      <c r="R55"/>
    </row>
    <row r="56" spans="1:22" ht="15.75" x14ac:dyDescent="0.3">
      <c r="A56" s="56" t="s">
        <v>98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Q56"/>
      <c r="R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4281.5599999999995</v>
      </c>
      <c r="C58" s="3"/>
      <c r="D58" s="21">
        <v>0</v>
      </c>
      <c r="E58" s="21">
        <v>0</v>
      </c>
      <c r="F58" s="3" t="s">
        <v>58</v>
      </c>
      <c r="G58" s="30">
        <f>+P49</f>
        <v>500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42.815599999999996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3325.4349999999999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7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+B73/C40</f>
        <v>62.976962499999999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409.54374999999999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4988.1525000000001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900</v>
      </c>
      <c r="C69" s="63"/>
      <c r="G69" s="64" t="s">
        <v>72</v>
      </c>
      <c r="H69" s="32">
        <f>+B60</f>
        <v>42.815599999999996</v>
      </c>
      <c r="I69" s="65">
        <f>+H69*B48</f>
        <v>4281.5599999999995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G70" s="64" t="s">
        <v>74</v>
      </c>
      <c r="H70" s="32">
        <f>+C73</f>
        <v>62.976962499999999</v>
      </c>
      <c r="I70" s="65">
        <f>+H70*B48</f>
        <v>6297.69625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3" t="str">
        <f>+A56</f>
        <v>Encuadernación</v>
      </c>
      <c r="B71" s="54">
        <f>+B56*H62</f>
        <v>0</v>
      </c>
      <c r="C71" s="66"/>
      <c r="G71" s="67" t="s">
        <v>75</v>
      </c>
      <c r="H71" s="68">
        <f>+H70-H69</f>
        <v>20.161362500000003</v>
      </c>
      <c r="I71" s="83">
        <f>+H71*B48</f>
        <v>2016.1362500000002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6.5" thickBot="1" x14ac:dyDescent="0.35">
      <c r="A72" s="53"/>
      <c r="B72" s="54"/>
      <c r="C72" s="66"/>
      <c r="G72" s="69" t="s">
        <v>76</v>
      </c>
      <c r="H72" s="43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57</v>
      </c>
      <c r="B73" s="57">
        <f>SUM(B65:B72)</f>
        <v>6297.69625</v>
      </c>
      <c r="C73" s="68">
        <f>+B73/B48</f>
        <v>62.976962499999999</v>
      </c>
      <c r="D73" s="5" t="s">
        <v>158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8"/>
      <c r="D74" s="5"/>
    </row>
    <row r="75" spans="1:22" x14ac:dyDescent="0.3">
      <c r="C75" s="78"/>
      <c r="D75" s="5"/>
    </row>
    <row r="76" spans="1:22" x14ac:dyDescent="0.3">
      <c r="A76" s="5"/>
      <c r="C76" s="65"/>
      <c r="D76" s="5"/>
    </row>
    <row r="77" spans="1:22" x14ac:dyDescent="0.3">
      <c r="B77" s="70"/>
      <c r="C77" s="71"/>
    </row>
    <row r="81" spans="10:18" x14ac:dyDescent="0.3">
      <c r="J81" s="72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0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mergeCells count="1">
    <mergeCell ref="J48:P48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5"/>
  <sheetViews>
    <sheetView tabSelected="1" zoomScale="80" zoomScaleNormal="80" workbookViewId="0">
      <selection activeCell="I14" sqref="I1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24.42578125" style="1" customWidth="1"/>
    <col min="13" max="13" width="14.140625" style="1" customWidth="1"/>
    <col min="14" max="16384" width="11.42578125" style="1"/>
  </cols>
  <sheetData>
    <row r="1" spans="1:21" ht="18.75" x14ac:dyDescent="0.3">
      <c r="A1" s="2" t="s">
        <v>2</v>
      </c>
      <c r="E1" s="5" t="s">
        <v>3</v>
      </c>
      <c r="F1" s="1" t="s">
        <v>4</v>
      </c>
      <c r="J1"/>
      <c r="P1"/>
      <c r="Q1"/>
      <c r="R1"/>
    </row>
    <row r="2" spans="1:21" ht="15.75" x14ac:dyDescent="0.3">
      <c r="J2"/>
      <c r="P2"/>
      <c r="Q2"/>
      <c r="R2"/>
    </row>
    <row r="3" spans="1:21" ht="15.75" x14ac:dyDescent="0.3">
      <c r="J3"/>
      <c r="P3"/>
      <c r="Q3"/>
      <c r="R3"/>
    </row>
    <row r="4" spans="1:21" s="5" customFormat="1" ht="15.75" x14ac:dyDescent="0.3">
      <c r="A4" s="5" t="s">
        <v>6</v>
      </c>
      <c r="C4" s="5" t="str">
        <f>+'cartón caja'!C9</f>
        <v>04 de noviembre de 2016.</v>
      </c>
      <c r="H4" s="5" t="s">
        <v>7</v>
      </c>
      <c r="J4"/>
      <c r="P4"/>
      <c r="Q4"/>
      <c r="R4"/>
      <c r="S4" s="1"/>
      <c r="T4" s="1"/>
      <c r="U4" s="1"/>
    </row>
    <row r="5" spans="1:21" ht="15.75" x14ac:dyDescent="0.3">
      <c r="J5"/>
      <c r="P5"/>
      <c r="Q5"/>
      <c r="R5"/>
    </row>
    <row r="6" spans="1:21" ht="16.5" thickBot="1" x14ac:dyDescent="0.35">
      <c r="A6" s="5" t="s">
        <v>8</v>
      </c>
      <c r="C6" s="1" t="str">
        <f>+'cartón caja'!C11</f>
        <v xml:space="preserve">Televisa </v>
      </c>
      <c r="F6" s="5" t="s">
        <v>0</v>
      </c>
      <c r="J6"/>
      <c r="P6"/>
      <c r="Q6"/>
      <c r="R6"/>
    </row>
    <row r="7" spans="1:21" ht="15.75" x14ac:dyDescent="0.3">
      <c r="A7" s="5"/>
      <c r="F7" s="11"/>
      <c r="G7" s="12"/>
      <c r="H7" s="13"/>
      <c r="J7"/>
      <c r="P7"/>
      <c r="Q7"/>
      <c r="R7"/>
    </row>
    <row r="8" spans="1:21" ht="15.75" x14ac:dyDescent="0.3">
      <c r="A8" s="5" t="s">
        <v>10</v>
      </c>
      <c r="F8" s="6"/>
      <c r="G8" s="7"/>
      <c r="H8" s="8"/>
      <c r="J8"/>
      <c r="P8"/>
      <c r="Q8"/>
      <c r="R8"/>
    </row>
    <row r="9" spans="1:21" ht="15.75" x14ac:dyDescent="0.3">
      <c r="A9" s="5"/>
      <c r="F9" s="6"/>
      <c r="G9" s="7"/>
      <c r="H9" s="8"/>
      <c r="J9"/>
      <c r="P9"/>
      <c r="Q9"/>
      <c r="R9"/>
    </row>
    <row r="10" spans="1:21" ht="15.75" x14ac:dyDescent="0.3">
      <c r="A10" s="5" t="s">
        <v>11</v>
      </c>
      <c r="C10" s="19" t="s">
        <v>138</v>
      </c>
      <c r="D10" s="18"/>
      <c r="E10" s="18"/>
      <c r="F10" s="73" t="s">
        <v>5</v>
      </c>
      <c r="G10" s="7"/>
      <c r="H10" s="8"/>
      <c r="J10"/>
      <c r="P10"/>
      <c r="Q10"/>
      <c r="R10"/>
    </row>
    <row r="11" spans="1:21" ht="15.75" x14ac:dyDescent="0.3">
      <c r="C11" s="17" t="s">
        <v>139</v>
      </c>
      <c r="D11" s="18"/>
      <c r="E11" s="18"/>
      <c r="F11" s="46">
        <f>2+F15+2</f>
        <v>43</v>
      </c>
      <c r="G11" s="74" t="s">
        <v>82</v>
      </c>
      <c r="H11" s="75">
        <f>2+H15+2</f>
        <v>50.5</v>
      </c>
      <c r="J11"/>
      <c r="P11"/>
      <c r="Q11"/>
      <c r="R11"/>
    </row>
    <row r="12" spans="1:21" ht="15.75" x14ac:dyDescent="0.3">
      <c r="C12" s="17" t="s">
        <v>94</v>
      </c>
      <c r="D12" s="18"/>
      <c r="E12" s="18"/>
      <c r="F12" s="73">
        <v>1</v>
      </c>
      <c r="G12" s="76" t="s">
        <v>83</v>
      </c>
      <c r="H12" s="8"/>
      <c r="J12"/>
      <c r="P12"/>
      <c r="Q12"/>
      <c r="R12"/>
    </row>
    <row r="13" spans="1:21" ht="15.75" x14ac:dyDescent="0.3">
      <c r="C13" s="17" t="s">
        <v>154</v>
      </c>
      <c r="D13" s="18"/>
      <c r="E13" s="18"/>
      <c r="F13" s="6"/>
      <c r="G13" s="7"/>
      <c r="H13" s="8"/>
      <c r="J13"/>
      <c r="P13"/>
      <c r="Q13"/>
      <c r="R13"/>
    </row>
    <row r="14" spans="1:21" ht="15.75" x14ac:dyDescent="0.3">
      <c r="C14" s="19" t="s">
        <v>157</v>
      </c>
      <c r="D14" s="18"/>
      <c r="E14" s="18"/>
      <c r="F14" s="6"/>
      <c r="G14" s="7"/>
      <c r="H14" s="8"/>
      <c r="J14"/>
      <c r="P14"/>
      <c r="Q14"/>
      <c r="R14"/>
    </row>
    <row r="15" spans="1:21" ht="15.75" x14ac:dyDescent="0.3">
      <c r="C15" s="17" t="s">
        <v>155</v>
      </c>
      <c r="D15" s="18"/>
      <c r="E15" s="18"/>
      <c r="F15" s="46">
        <v>39</v>
      </c>
      <c r="G15" s="74" t="s">
        <v>82</v>
      </c>
      <c r="H15" s="75">
        <v>46.5</v>
      </c>
      <c r="J15"/>
      <c r="P15"/>
      <c r="Q15"/>
      <c r="R15"/>
    </row>
    <row r="16" spans="1:21" ht="15.75" x14ac:dyDescent="0.3">
      <c r="C16" s="18" t="s">
        <v>150</v>
      </c>
      <c r="D16" s="18"/>
      <c r="E16" s="18"/>
      <c r="F16" s="6"/>
      <c r="G16" s="7"/>
      <c r="H16" s="8"/>
      <c r="J16"/>
      <c r="P16"/>
      <c r="Q16"/>
      <c r="R16"/>
    </row>
    <row r="17" spans="1:18" ht="16.5" thickBot="1" x14ac:dyDescent="0.35">
      <c r="C17" s="18" t="s">
        <v>140</v>
      </c>
      <c r="D17" s="18"/>
      <c r="E17" s="18"/>
      <c r="F17" s="14"/>
      <c r="G17" s="15"/>
      <c r="H17" s="16"/>
      <c r="J17"/>
      <c r="K17"/>
      <c r="L17"/>
      <c r="M17"/>
      <c r="N17"/>
      <c r="O17"/>
      <c r="P17"/>
      <c r="Q17"/>
      <c r="R17"/>
    </row>
    <row r="18" spans="1:18" ht="15.75" x14ac:dyDescent="0.3">
      <c r="A18" s="4" t="s">
        <v>13</v>
      </c>
      <c r="C18" s="81" t="s">
        <v>151</v>
      </c>
      <c r="D18" s="5" t="s">
        <v>14</v>
      </c>
      <c r="E18" s="22" t="s">
        <v>152</v>
      </c>
      <c r="F18" s="1" t="s">
        <v>153</v>
      </c>
      <c r="J18"/>
      <c r="K18"/>
      <c r="L18"/>
      <c r="M18"/>
      <c r="N18"/>
      <c r="O18"/>
      <c r="P18"/>
      <c r="Q18"/>
      <c r="R18"/>
    </row>
    <row r="19" spans="1:18" ht="15.75" x14ac:dyDescent="0.3">
      <c r="J19"/>
      <c r="K19"/>
      <c r="L19"/>
      <c r="M19"/>
      <c r="N19"/>
      <c r="O19"/>
      <c r="P19"/>
      <c r="Q19"/>
      <c r="R19"/>
    </row>
    <row r="20" spans="1:18" ht="15.75" x14ac:dyDescent="0.3">
      <c r="A20" s="4" t="s">
        <v>15</v>
      </c>
      <c r="C20" s="23">
        <v>57</v>
      </c>
      <c r="D20" s="22" t="s">
        <v>16</v>
      </c>
      <c r="E20" s="24">
        <v>87</v>
      </c>
      <c r="F20" s="25">
        <f>+C20</f>
        <v>57</v>
      </c>
      <c r="G20" s="26" t="s">
        <v>16</v>
      </c>
      <c r="H20" s="26">
        <f>+E20</f>
        <v>87</v>
      </c>
      <c r="J20"/>
      <c r="K20"/>
      <c r="L20"/>
      <c r="M20"/>
      <c r="N20"/>
      <c r="O20"/>
      <c r="P20"/>
      <c r="Q20"/>
      <c r="R20"/>
    </row>
    <row r="21" spans="1:18" ht="15.75" x14ac:dyDescent="0.3">
      <c r="A21" s="4" t="s">
        <v>17</v>
      </c>
      <c r="B21" s="3"/>
      <c r="C21" s="27">
        <f>+F11</f>
        <v>43</v>
      </c>
      <c r="D21" s="28" t="s">
        <v>16</v>
      </c>
      <c r="E21" s="27">
        <f>+H11</f>
        <v>50.5</v>
      </c>
      <c r="F21" s="29">
        <f>+E21</f>
        <v>50.5</v>
      </c>
      <c r="G21" s="29" t="s">
        <v>16</v>
      </c>
      <c r="H21" s="29">
        <f>+C21</f>
        <v>43</v>
      </c>
      <c r="I21" s="30"/>
      <c r="J21"/>
      <c r="K21"/>
      <c r="L21"/>
      <c r="M21"/>
      <c r="N21"/>
      <c r="O21"/>
      <c r="P21"/>
      <c r="Q21"/>
      <c r="R21"/>
    </row>
    <row r="22" spans="1:18" ht="16.5" thickBot="1" x14ac:dyDescent="0.35">
      <c r="A22" s="3" t="s">
        <v>18</v>
      </c>
      <c r="B22" s="31"/>
      <c r="C22" s="32">
        <f>+C20/C21</f>
        <v>1.3255813953488371</v>
      </c>
      <c r="D22" s="33"/>
      <c r="E22" s="32">
        <f>+E20/E21</f>
        <v>1.7227722772277227</v>
      </c>
      <c r="F22" s="32">
        <f>+F20/F21</f>
        <v>1.1287128712871286</v>
      </c>
      <c r="G22" s="33"/>
      <c r="H22" s="32">
        <f>+H20/H21</f>
        <v>2.0232558139534884</v>
      </c>
      <c r="I22" s="30"/>
      <c r="J22"/>
      <c r="K22"/>
      <c r="L22"/>
      <c r="M22"/>
      <c r="N22"/>
      <c r="O22"/>
      <c r="P22"/>
      <c r="Q22"/>
      <c r="R22"/>
    </row>
    <row r="23" spans="1:18" ht="16.5" thickBot="1" x14ac:dyDescent="0.35">
      <c r="A23" s="3" t="s">
        <v>19</v>
      </c>
      <c r="B23" s="34"/>
      <c r="C23" s="35"/>
      <c r="D23" s="36">
        <v>2</v>
      </c>
      <c r="E23" s="37"/>
      <c r="F23" s="38"/>
      <c r="G23" s="39">
        <v>2</v>
      </c>
      <c r="H23" s="40" t="s">
        <v>20</v>
      </c>
      <c r="J23"/>
      <c r="K23"/>
      <c r="L23"/>
      <c r="M23"/>
      <c r="N23"/>
      <c r="O23"/>
      <c r="P23"/>
      <c r="Q23"/>
      <c r="R23"/>
    </row>
    <row r="24" spans="1:18" ht="15.75" x14ac:dyDescent="0.3">
      <c r="A24" s="3"/>
      <c r="B24" s="21"/>
      <c r="C24" s="30"/>
      <c r="G24" s="41"/>
      <c r="H24" s="30"/>
      <c r="J24"/>
      <c r="K24"/>
      <c r="L24"/>
      <c r="M24"/>
      <c r="N24"/>
      <c r="O24"/>
      <c r="P24"/>
      <c r="Q24"/>
      <c r="R24"/>
    </row>
    <row r="25" spans="1:18" ht="15.75" x14ac:dyDescent="0.3">
      <c r="A25" s="25" t="s">
        <v>21</v>
      </c>
      <c r="B25" s="25" t="s">
        <v>89</v>
      </c>
      <c r="D25" s="41" t="s">
        <v>22</v>
      </c>
      <c r="E25" s="42">
        <v>2.8490000000000002</v>
      </c>
      <c r="G25" s="1" t="s">
        <v>23</v>
      </c>
      <c r="H25" s="43">
        <v>0.5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3"/>
      <c r="B26" s="3"/>
      <c r="C26" s="3"/>
      <c r="D26" s="44" t="s">
        <v>24</v>
      </c>
      <c r="E26" s="42">
        <f>+H25*E25</f>
        <v>1.4245000000000001</v>
      </c>
      <c r="H26" s="43"/>
      <c r="I26" s="30"/>
      <c r="J26"/>
      <c r="K26"/>
      <c r="L26"/>
      <c r="M26"/>
      <c r="N26"/>
      <c r="O26"/>
      <c r="P26"/>
      <c r="Q26"/>
      <c r="R26"/>
    </row>
    <row r="27" spans="1:18" ht="15.75" x14ac:dyDescent="0.3">
      <c r="D27" s="44" t="s">
        <v>25</v>
      </c>
      <c r="E27" s="45">
        <f>+E25-E26</f>
        <v>1.4245000000000001</v>
      </c>
      <c r="I27" s="30"/>
      <c r="J27"/>
      <c r="K27"/>
      <c r="L27"/>
      <c r="M27"/>
      <c r="N27"/>
      <c r="O27"/>
      <c r="P27"/>
      <c r="Q27"/>
      <c r="R27"/>
    </row>
    <row r="28" spans="1:18" ht="15.75" x14ac:dyDescent="0.3">
      <c r="E28" s="21" t="s">
        <v>27</v>
      </c>
      <c r="F28" s="21" t="s">
        <v>28</v>
      </c>
      <c r="G28" s="21" t="s">
        <v>28</v>
      </c>
      <c r="H28" s="21" t="s">
        <v>28</v>
      </c>
      <c r="I28" s="30"/>
      <c r="J28"/>
      <c r="K28"/>
      <c r="L28"/>
      <c r="M28"/>
      <c r="N28"/>
      <c r="O28"/>
      <c r="P28"/>
      <c r="Q28"/>
      <c r="R28"/>
    </row>
    <row r="29" spans="1:18" ht="15.75" x14ac:dyDescent="0.3">
      <c r="D29" s="41" t="s">
        <v>29</v>
      </c>
      <c r="E29" s="47">
        <f>+E27</f>
        <v>1.4245000000000001</v>
      </c>
      <c r="F29" s="47">
        <v>0</v>
      </c>
      <c r="G29" s="47">
        <v>0</v>
      </c>
      <c r="H29" s="47">
        <v>0</v>
      </c>
      <c r="J29"/>
      <c r="K29"/>
      <c r="L29"/>
      <c r="M29"/>
      <c r="N29"/>
      <c r="O29"/>
      <c r="P29"/>
      <c r="Q29"/>
      <c r="R29"/>
    </row>
    <row r="30" spans="1:18" ht="15.75" x14ac:dyDescent="0.3">
      <c r="D30" s="41" t="s">
        <v>30</v>
      </c>
      <c r="E30" s="47">
        <f>+E29*1.15</f>
        <v>1.6381749999999999</v>
      </c>
      <c r="F30" s="47">
        <v>0</v>
      </c>
      <c r="G30" s="47">
        <v>0</v>
      </c>
      <c r="H30" s="47">
        <v>0</v>
      </c>
      <c r="J30"/>
      <c r="K30"/>
      <c r="L30"/>
      <c r="M30"/>
      <c r="N30"/>
      <c r="O30"/>
      <c r="P30"/>
      <c r="Q30"/>
      <c r="R30"/>
    </row>
    <row r="31" spans="1:18" ht="16.5" thickBot="1" x14ac:dyDescent="0.35">
      <c r="A31" s="3"/>
      <c r="G31" s="41"/>
      <c r="J31"/>
      <c r="K31"/>
      <c r="L31"/>
      <c r="M31"/>
      <c r="N31"/>
      <c r="O31"/>
      <c r="P31"/>
      <c r="Q31"/>
      <c r="R31"/>
    </row>
    <row r="32" spans="1:18" ht="15.75" x14ac:dyDescent="0.3">
      <c r="A32" s="3"/>
      <c r="B32" s="21"/>
      <c r="C32" s="30"/>
      <c r="E32" s="11" t="s">
        <v>32</v>
      </c>
      <c r="F32" s="12" t="s">
        <v>33</v>
      </c>
      <c r="G32" s="12"/>
      <c r="H32" s="13"/>
      <c r="J32"/>
      <c r="K32"/>
      <c r="L32"/>
      <c r="M32"/>
      <c r="N32"/>
      <c r="O32"/>
      <c r="P32"/>
      <c r="Q32"/>
      <c r="R32"/>
    </row>
    <row r="33" spans="1:18" ht="16.5" thickBot="1" x14ac:dyDescent="0.35">
      <c r="A33" s="4" t="s">
        <v>34</v>
      </c>
      <c r="C33" s="48">
        <v>2</v>
      </c>
      <c r="D33" s="49" t="s">
        <v>35</v>
      </c>
      <c r="E33" s="14"/>
      <c r="F33" s="15" t="s">
        <v>36</v>
      </c>
      <c r="G33" s="15"/>
      <c r="H33" s="16"/>
      <c r="J33"/>
      <c r="K33"/>
      <c r="L33"/>
      <c r="M33"/>
      <c r="N33"/>
      <c r="O33"/>
      <c r="P33"/>
      <c r="Q33"/>
      <c r="R33"/>
    </row>
    <row r="34" spans="1:18" ht="15.75" x14ac:dyDescent="0.3">
      <c r="A34" s="4"/>
      <c r="C34" s="21"/>
      <c r="D34" s="1" t="s">
        <v>37</v>
      </c>
      <c r="E34" s="3"/>
      <c r="F34" s="3"/>
      <c r="J34"/>
      <c r="K34"/>
      <c r="L34"/>
      <c r="M34"/>
      <c r="N34"/>
      <c r="O34"/>
      <c r="P34"/>
      <c r="Q34"/>
      <c r="R34"/>
    </row>
    <row r="35" spans="1:18" ht="15.75" x14ac:dyDescent="0.3">
      <c r="A35" s="4" t="s">
        <v>38</v>
      </c>
      <c r="B35" s="5"/>
      <c r="C35" s="50">
        <f>+B43/F12</f>
        <v>100</v>
      </c>
      <c r="D35" s="24">
        <v>500</v>
      </c>
      <c r="F35" s="44" t="s">
        <v>39</v>
      </c>
      <c r="G35" s="23">
        <v>1</v>
      </c>
      <c r="H35" s="3"/>
      <c r="J35"/>
      <c r="K35"/>
      <c r="L35"/>
      <c r="M35"/>
      <c r="N35"/>
      <c r="O35"/>
      <c r="P35"/>
      <c r="Q35"/>
      <c r="R35"/>
    </row>
    <row r="36" spans="1:18" ht="15.75" x14ac:dyDescent="0.3">
      <c r="A36" s="4" t="s">
        <v>40</v>
      </c>
      <c r="C36" s="34">
        <f>+C35+D35</f>
        <v>600</v>
      </c>
      <c r="F36" s="44" t="s">
        <v>41</v>
      </c>
      <c r="G36" s="23">
        <v>2</v>
      </c>
      <c r="H36" s="3"/>
      <c r="J36"/>
      <c r="K36"/>
      <c r="L36"/>
      <c r="M36"/>
      <c r="N36"/>
      <c r="O36"/>
      <c r="P36"/>
      <c r="Q36"/>
      <c r="R36"/>
    </row>
    <row r="37" spans="1:18" ht="15.75" x14ac:dyDescent="0.3">
      <c r="A37" s="4" t="s">
        <v>42</v>
      </c>
      <c r="C37" s="34">
        <f>+C36/C33</f>
        <v>300</v>
      </c>
      <c r="F37" s="44" t="s">
        <v>43</v>
      </c>
      <c r="G37" s="23"/>
      <c r="H37" s="3"/>
      <c r="J37"/>
      <c r="K37"/>
      <c r="L37"/>
      <c r="M37"/>
      <c r="N37"/>
      <c r="O37"/>
      <c r="P37"/>
      <c r="Q37"/>
      <c r="R37"/>
    </row>
    <row r="38" spans="1:18" ht="15.75" x14ac:dyDescent="0.3">
      <c r="A38" s="4" t="s">
        <v>92</v>
      </c>
      <c r="C38" s="21">
        <f>+(C37*C33)*F12</f>
        <v>600</v>
      </c>
      <c r="F38" s="41" t="s">
        <v>44</v>
      </c>
      <c r="G38" s="23">
        <f>+C35/100</f>
        <v>1</v>
      </c>
      <c r="H38" s="3"/>
      <c r="J38"/>
      <c r="K38"/>
      <c r="L38"/>
      <c r="M38"/>
      <c r="N38"/>
      <c r="O38"/>
      <c r="P38"/>
      <c r="Q38"/>
      <c r="R38"/>
    </row>
    <row r="39" spans="1:18" ht="15.75" x14ac:dyDescent="0.3">
      <c r="A39" s="4"/>
      <c r="C39" s="51"/>
      <c r="F39" s="44" t="s">
        <v>45</v>
      </c>
      <c r="G39" s="48">
        <f>+C36</f>
        <v>600</v>
      </c>
      <c r="H39" s="3"/>
      <c r="J39"/>
      <c r="K39"/>
      <c r="L39"/>
      <c r="M39"/>
      <c r="N39"/>
      <c r="O39"/>
      <c r="P39"/>
      <c r="Q39"/>
      <c r="R39"/>
    </row>
    <row r="40" spans="1:18" x14ac:dyDescent="0.3">
      <c r="A40" s="4"/>
      <c r="C40" s="21"/>
      <c r="E40" s="44"/>
      <c r="F40" s="44"/>
      <c r="G40" s="30"/>
      <c r="I40" s="3"/>
      <c r="M40" s="7"/>
      <c r="N40" s="10"/>
      <c r="O40" s="74"/>
      <c r="P40" s="74"/>
      <c r="Q40" s="7"/>
      <c r="R40" s="7"/>
    </row>
    <row r="41" spans="1:18" x14ac:dyDescent="0.3">
      <c r="A41" s="4" t="s">
        <v>46</v>
      </c>
      <c r="C41" s="25">
        <f>+C37*C33</f>
        <v>600</v>
      </c>
      <c r="F41" s="44"/>
      <c r="G41" s="30"/>
      <c r="H41" s="3"/>
      <c r="M41" s="7"/>
      <c r="N41" s="10"/>
      <c r="O41" s="74"/>
      <c r="P41" s="74"/>
      <c r="Q41" s="7"/>
      <c r="R41" s="7"/>
    </row>
    <row r="42" spans="1:18" x14ac:dyDescent="0.3">
      <c r="A42" s="3"/>
      <c r="B42" s="3"/>
      <c r="C42" s="3"/>
      <c r="D42" s="3"/>
      <c r="E42" s="3"/>
      <c r="H42" s="3"/>
    </row>
    <row r="43" spans="1:18" ht="15.75" x14ac:dyDescent="0.3">
      <c r="A43" s="4" t="s">
        <v>77</v>
      </c>
      <c r="B43" s="21">
        <f>+'cartón caja'!B48</f>
        <v>100</v>
      </c>
      <c r="C43" s="3"/>
      <c r="D43" s="25" t="s">
        <v>47</v>
      </c>
      <c r="E43" s="25" t="s">
        <v>48</v>
      </c>
      <c r="F43" s="25" t="s">
        <v>49</v>
      </c>
      <c r="G43" s="25" t="s">
        <v>50</v>
      </c>
      <c r="H43" s="25" t="s">
        <v>51</v>
      </c>
      <c r="Q43"/>
      <c r="R43"/>
    </row>
    <row r="44" spans="1:18" ht="15.75" x14ac:dyDescent="0.3">
      <c r="A44" s="52" t="s">
        <v>52</v>
      </c>
      <c r="B44" s="53"/>
      <c r="C44" s="3"/>
      <c r="D44" s="21">
        <v>4</v>
      </c>
      <c r="E44" s="21">
        <v>1</v>
      </c>
      <c r="F44" s="21" t="s">
        <v>111</v>
      </c>
      <c r="G44" s="30">
        <v>295</v>
      </c>
      <c r="H44" s="30">
        <f>+(D44*E44)*G44</f>
        <v>1180</v>
      </c>
      <c r="Q44"/>
      <c r="R44"/>
    </row>
    <row r="45" spans="1:18" ht="15.75" x14ac:dyDescent="0.3">
      <c r="A45" s="53" t="s">
        <v>54</v>
      </c>
      <c r="B45" s="54">
        <f>+E29*C37</f>
        <v>427.35</v>
      </c>
      <c r="C45" s="3"/>
      <c r="D45" s="21">
        <v>4</v>
      </c>
      <c r="E45" s="21">
        <v>1</v>
      </c>
      <c r="F45" s="21" t="s">
        <v>78</v>
      </c>
      <c r="G45" s="30">
        <v>140</v>
      </c>
      <c r="H45" s="30">
        <f>+(D45*E45)*G45</f>
        <v>560</v>
      </c>
      <c r="Q45"/>
      <c r="R45"/>
    </row>
    <row r="46" spans="1:18" ht="15.75" x14ac:dyDescent="0.3">
      <c r="A46" s="53" t="s">
        <v>12</v>
      </c>
      <c r="B46" s="54">
        <f>+H55</f>
        <v>3105</v>
      </c>
      <c r="C46" s="3"/>
      <c r="D46" s="21">
        <v>0</v>
      </c>
      <c r="E46" s="21">
        <v>0</v>
      </c>
      <c r="F46" s="21" t="s">
        <v>84</v>
      </c>
      <c r="G46" s="30">
        <v>500</v>
      </c>
      <c r="H46" s="30">
        <f>+G46*E46*D46</f>
        <v>0</v>
      </c>
      <c r="Q46"/>
      <c r="R46"/>
    </row>
    <row r="47" spans="1:18" ht="15.75" x14ac:dyDescent="0.3">
      <c r="A47" s="53" t="s">
        <v>131</v>
      </c>
      <c r="B47" s="54">
        <f>400+400</f>
        <v>800</v>
      </c>
      <c r="C47" s="3"/>
      <c r="D47" s="21">
        <v>1</v>
      </c>
      <c r="E47" s="21">
        <v>1</v>
      </c>
      <c r="F47" s="21" t="s">
        <v>100</v>
      </c>
      <c r="G47" s="30">
        <v>400</v>
      </c>
      <c r="H47" s="30">
        <f t="shared" ref="H47:H49" si="0">+G47*E47</f>
        <v>400</v>
      </c>
      <c r="I47" s="30">
        <f>+(B69/100)*2</f>
        <v>260.77904999999998</v>
      </c>
      <c r="Q47"/>
      <c r="R47"/>
    </row>
    <row r="48" spans="1:18" ht="16.5" x14ac:dyDescent="0.3">
      <c r="A48" s="56" t="s">
        <v>99</v>
      </c>
      <c r="B48" s="54">
        <f>(6*B43)*1.1</f>
        <v>660</v>
      </c>
      <c r="C48" s="3"/>
      <c r="D48" s="21">
        <v>1</v>
      </c>
      <c r="E48" s="21">
        <v>1</v>
      </c>
      <c r="F48" s="21" t="s">
        <v>79</v>
      </c>
      <c r="G48" s="30">
        <v>135</v>
      </c>
      <c r="H48" s="30">
        <f t="shared" si="0"/>
        <v>135</v>
      </c>
      <c r="I48" s="55"/>
      <c r="Q48"/>
      <c r="R48"/>
    </row>
    <row r="49" spans="1:21" ht="15.75" x14ac:dyDescent="0.3">
      <c r="A49" s="56" t="s">
        <v>98</v>
      </c>
      <c r="B49" s="54">
        <f>(20*B43)*1.1</f>
        <v>2200</v>
      </c>
      <c r="C49" s="3"/>
      <c r="D49" s="21">
        <v>1</v>
      </c>
      <c r="E49" s="21">
        <v>1</v>
      </c>
      <c r="F49" s="21" t="s">
        <v>80</v>
      </c>
      <c r="G49" s="30">
        <v>135</v>
      </c>
      <c r="H49" s="30">
        <f t="shared" si="0"/>
        <v>135</v>
      </c>
      <c r="Q49"/>
      <c r="R49"/>
    </row>
    <row r="50" spans="1:21" ht="15.75" x14ac:dyDescent="0.3">
      <c r="A50" s="56" t="s">
        <v>141</v>
      </c>
      <c r="B50" s="54">
        <v>800</v>
      </c>
      <c r="D50" s="21">
        <v>1</v>
      </c>
      <c r="E50" s="21">
        <v>1</v>
      </c>
      <c r="F50" s="21" t="s">
        <v>97</v>
      </c>
      <c r="G50" s="30">
        <v>295</v>
      </c>
      <c r="H50" s="30">
        <f>+G50*E50</f>
        <v>295</v>
      </c>
      <c r="Q50"/>
      <c r="R50"/>
    </row>
    <row r="51" spans="1:21" ht="15.75" x14ac:dyDescent="0.3">
      <c r="A51" s="56" t="s">
        <v>112</v>
      </c>
      <c r="B51" s="54">
        <v>400</v>
      </c>
      <c r="D51" s="21">
        <v>1</v>
      </c>
      <c r="E51" s="21">
        <v>1</v>
      </c>
      <c r="F51" s="21" t="s">
        <v>142</v>
      </c>
      <c r="G51" s="30">
        <v>400</v>
      </c>
      <c r="H51" s="30">
        <f>+G51*E51</f>
        <v>400</v>
      </c>
      <c r="Q51"/>
      <c r="R51"/>
    </row>
    <row r="52" spans="1:21" ht="15.75" x14ac:dyDescent="0.3">
      <c r="A52" s="56" t="s">
        <v>123</v>
      </c>
      <c r="B52" s="54">
        <v>400</v>
      </c>
      <c r="D52" s="21">
        <v>0</v>
      </c>
      <c r="E52" s="21">
        <v>0</v>
      </c>
      <c r="F52" s="21" t="s">
        <v>56</v>
      </c>
      <c r="G52" s="30">
        <v>1.5</v>
      </c>
      <c r="H52" s="30">
        <f t="shared" ref="H52:H53" si="1">+G52*E52</f>
        <v>0</v>
      </c>
      <c r="O52"/>
      <c r="P52"/>
      <c r="Q52"/>
      <c r="R52"/>
    </row>
    <row r="53" spans="1:21" ht="15.75" x14ac:dyDescent="0.3">
      <c r="A53" s="52" t="s">
        <v>57</v>
      </c>
      <c r="B53" s="57">
        <f>SUM(B45:B51)</f>
        <v>8392.35</v>
      </c>
      <c r="C53" s="3"/>
      <c r="D53" s="21">
        <v>0</v>
      </c>
      <c r="E53" s="21">
        <v>0</v>
      </c>
      <c r="F53" s="3" t="s">
        <v>58</v>
      </c>
      <c r="G53" s="30">
        <f>+G87</f>
        <v>500</v>
      </c>
      <c r="H53" s="30">
        <f t="shared" si="1"/>
        <v>0</v>
      </c>
      <c r="O53"/>
      <c r="P53"/>
      <c r="Q53"/>
      <c r="R53"/>
    </row>
    <row r="54" spans="1:21" ht="15.75" x14ac:dyDescent="0.3">
      <c r="A54" s="9"/>
      <c r="B54" s="58"/>
      <c r="C54" s="3"/>
      <c r="D54" s="21"/>
      <c r="E54" s="21"/>
      <c r="F54" s="3"/>
      <c r="G54" s="3"/>
      <c r="H54" s="30">
        <f t="shared" ref="H54" si="2">+G54*E54</f>
        <v>0</v>
      </c>
      <c r="O54"/>
      <c r="P54"/>
      <c r="Q54"/>
      <c r="S54"/>
      <c r="T54"/>
      <c r="U54"/>
    </row>
    <row r="55" spans="1:21" ht="15.75" x14ac:dyDescent="0.3">
      <c r="A55" s="9"/>
      <c r="B55" s="32">
        <f>+B53/B43</f>
        <v>83.923500000000004</v>
      </c>
      <c r="C55" s="4" t="s">
        <v>60</v>
      </c>
      <c r="D55" s="3"/>
      <c r="E55" s="3"/>
      <c r="F55" s="3"/>
      <c r="G55" s="61" t="s">
        <v>172</v>
      </c>
      <c r="H55" s="32">
        <f>SUM(H44:H54)</f>
        <v>3105</v>
      </c>
      <c r="O55"/>
      <c r="P55"/>
      <c r="Q55"/>
      <c r="S55"/>
      <c r="T55"/>
      <c r="U55"/>
    </row>
    <row r="56" spans="1:21" ht="15.75" x14ac:dyDescent="0.3">
      <c r="A56" s="3"/>
      <c r="B56" s="3"/>
      <c r="D56" s="3"/>
      <c r="E56" s="3"/>
      <c r="O56"/>
      <c r="P56"/>
      <c r="Q56"/>
      <c r="S56"/>
      <c r="T56"/>
      <c r="U56"/>
    </row>
    <row r="57" spans="1:21" ht="15.75" x14ac:dyDescent="0.3">
      <c r="D57" s="3"/>
      <c r="E57" s="3"/>
      <c r="O57"/>
      <c r="P57"/>
      <c r="Q57"/>
      <c r="S57"/>
      <c r="T57"/>
      <c r="U57"/>
    </row>
    <row r="58" spans="1:21" ht="15.75" x14ac:dyDescent="0.3">
      <c r="A58" s="4" t="s">
        <v>64</v>
      </c>
      <c r="B58" s="3"/>
      <c r="C58" s="3"/>
      <c r="E58" s="32"/>
      <c r="F58" s="3"/>
      <c r="O58"/>
      <c r="P58"/>
      <c r="Q58"/>
      <c r="S58"/>
      <c r="T58"/>
      <c r="U58"/>
    </row>
    <row r="59" spans="1:21" ht="15.75" x14ac:dyDescent="0.3">
      <c r="A59" s="3"/>
      <c r="B59" s="4" t="s">
        <v>67</v>
      </c>
      <c r="C59" s="25" t="s">
        <v>68</v>
      </c>
      <c r="D59" s="3"/>
      <c r="E59" s="3"/>
      <c r="O59"/>
      <c r="P59"/>
      <c r="Q59"/>
      <c r="S59"/>
      <c r="T59"/>
      <c r="U59"/>
    </row>
    <row r="60" spans="1:21" ht="15.75" x14ac:dyDescent="0.3">
      <c r="A60" s="52" t="s">
        <v>70</v>
      </c>
      <c r="B60" s="53"/>
      <c r="C60" s="3"/>
      <c r="D60" s="3"/>
      <c r="E60" s="3"/>
      <c r="G60" s="61" t="s">
        <v>173</v>
      </c>
      <c r="H60" s="77">
        <v>1.5</v>
      </c>
      <c r="O60"/>
      <c r="P60"/>
      <c r="Q60"/>
      <c r="S60"/>
      <c r="T60"/>
      <c r="U60"/>
    </row>
    <row r="61" spans="1:21" ht="15.75" x14ac:dyDescent="0.3">
      <c r="A61" s="53" t="s">
        <v>54</v>
      </c>
      <c r="B61" s="54">
        <f>+E30*C37</f>
        <v>491.45249999999999</v>
      </c>
      <c r="C61" s="63"/>
      <c r="F61" s="3"/>
      <c r="G61" s="41" t="s">
        <v>173</v>
      </c>
      <c r="H61" s="62">
        <v>1.75</v>
      </c>
      <c r="O61"/>
      <c r="P61"/>
      <c r="Q61"/>
      <c r="S61"/>
      <c r="T61"/>
      <c r="U61"/>
    </row>
    <row r="62" spans="1:21" ht="15.75" x14ac:dyDescent="0.3">
      <c r="A62" s="53" t="s">
        <v>12</v>
      </c>
      <c r="B62" s="54">
        <f>+H55*H60</f>
        <v>4657.5</v>
      </c>
      <c r="C62" s="63"/>
      <c r="F62" s="3"/>
      <c r="G62" s="41" t="s">
        <v>173</v>
      </c>
      <c r="H62" s="62">
        <v>2</v>
      </c>
      <c r="O62"/>
      <c r="P62"/>
      <c r="Q62"/>
      <c r="S62"/>
      <c r="T62"/>
      <c r="U62"/>
    </row>
    <row r="63" spans="1:21" ht="15.75" x14ac:dyDescent="0.3">
      <c r="A63" s="53" t="str">
        <f t="shared" ref="A63:A68" si="3">+A47</f>
        <v>Tabla de suaje + Placa</v>
      </c>
      <c r="B63" s="54">
        <f>+B47*H60</f>
        <v>1200</v>
      </c>
      <c r="C63" s="63"/>
      <c r="G63" s="41" t="s">
        <v>81</v>
      </c>
      <c r="H63" s="62">
        <v>2.5</v>
      </c>
      <c r="O63"/>
      <c r="P63"/>
      <c r="Q63"/>
      <c r="S63"/>
      <c r="T63"/>
      <c r="U63"/>
    </row>
    <row r="64" spans="1:21" ht="15.75" x14ac:dyDescent="0.3">
      <c r="A64" s="53" t="str">
        <f t="shared" si="3"/>
        <v>Imán</v>
      </c>
      <c r="B64" s="54">
        <f>+B48*H60</f>
        <v>990</v>
      </c>
      <c r="C64" s="63"/>
      <c r="O64"/>
      <c r="P64"/>
      <c r="Q64"/>
      <c r="S64"/>
      <c r="T64"/>
      <c r="U64"/>
    </row>
    <row r="65" spans="1:21" ht="15.75" x14ac:dyDescent="0.3">
      <c r="A65" s="53" t="str">
        <f t="shared" si="3"/>
        <v>Encuadernación</v>
      </c>
      <c r="B65" s="54">
        <f>+B49*H60</f>
        <v>3300</v>
      </c>
      <c r="C65" s="66"/>
      <c r="G65" s="64" t="s">
        <v>72</v>
      </c>
      <c r="H65" s="32">
        <f>+B55</f>
        <v>83.923500000000004</v>
      </c>
      <c r="I65" s="65">
        <f>+H65*B43</f>
        <v>8392.35</v>
      </c>
      <c r="O65"/>
      <c r="P65"/>
      <c r="Q65"/>
      <c r="S65"/>
      <c r="T65"/>
      <c r="U65"/>
    </row>
    <row r="66" spans="1:21" ht="15.75" x14ac:dyDescent="0.3">
      <c r="A66" s="53" t="str">
        <f t="shared" si="3"/>
        <v>Placa HS</v>
      </c>
      <c r="B66" s="54">
        <f>+B50*H60</f>
        <v>1200</v>
      </c>
      <c r="C66" s="66"/>
      <c r="G66" s="64" t="s">
        <v>74</v>
      </c>
      <c r="H66" s="32">
        <f>+C69</f>
        <v>130.38952499999999</v>
      </c>
      <c r="I66" s="65">
        <f>+H66*B43</f>
        <v>13038.952499999999</v>
      </c>
      <c r="O66"/>
      <c r="P66"/>
      <c r="Q66"/>
      <c r="S66"/>
      <c r="T66"/>
      <c r="U66"/>
    </row>
    <row r="67" spans="1:21" ht="15.75" x14ac:dyDescent="0.3">
      <c r="A67" s="53" t="str">
        <f t="shared" si="3"/>
        <v>Empaque</v>
      </c>
      <c r="B67" s="54">
        <f>+B51*H60</f>
        <v>600</v>
      </c>
      <c r="C67" s="66"/>
      <c r="G67" s="67" t="s">
        <v>75</v>
      </c>
      <c r="H67" s="68">
        <f>+H66-H65</f>
        <v>46.466024999999988</v>
      </c>
      <c r="I67" s="83">
        <f>+H67*B43</f>
        <v>4646.6024999999991</v>
      </c>
      <c r="O67"/>
      <c r="P67"/>
      <c r="Q67"/>
      <c r="S67"/>
      <c r="T67"/>
      <c r="U67"/>
    </row>
    <row r="68" spans="1:21" ht="15.75" x14ac:dyDescent="0.3">
      <c r="A68" s="53" t="str">
        <f t="shared" si="3"/>
        <v>Envio</v>
      </c>
      <c r="B68" s="54">
        <f>+B52*H60</f>
        <v>600</v>
      </c>
      <c r="C68" s="68" t="s">
        <v>122</v>
      </c>
      <c r="D68" s="26"/>
      <c r="E68" s="26"/>
      <c r="F68" s="26" t="s">
        <v>72</v>
      </c>
      <c r="G68" s="95" t="s">
        <v>113</v>
      </c>
      <c r="H68" s="95"/>
      <c r="I68" s="86">
        <f>+(A76/100)*2.5</f>
        <v>1029.2959958333333</v>
      </c>
      <c r="O68"/>
      <c r="P68"/>
      <c r="Q68"/>
      <c r="S68"/>
      <c r="T68"/>
      <c r="U68"/>
    </row>
    <row r="69" spans="1:21" ht="15.75" x14ac:dyDescent="0.3">
      <c r="A69" s="52" t="s">
        <v>57</v>
      </c>
      <c r="B69" s="57">
        <f>SUM(B60:B68)</f>
        <v>13038.952499999999</v>
      </c>
      <c r="C69" s="68">
        <f>+B69/B43</f>
        <v>130.38952499999999</v>
      </c>
      <c r="D69" s="5" t="s">
        <v>130</v>
      </c>
      <c r="F69" s="78">
        <f>+B55</f>
        <v>83.923500000000004</v>
      </c>
      <c r="G69" s="7"/>
      <c r="O69"/>
      <c r="P69"/>
      <c r="Q69"/>
      <c r="S69"/>
      <c r="T69"/>
      <c r="U69"/>
    </row>
    <row r="70" spans="1:21" ht="15.75" x14ac:dyDescent="0.3">
      <c r="C70" s="78">
        <f>+'forro cartera guarda '!C73</f>
        <v>62.976962499999999</v>
      </c>
      <c r="D70" s="5" t="str">
        <f>+'forro cartera guarda '!D73</f>
        <v>forro cartera guarda</v>
      </c>
      <c r="F70" s="78">
        <f>+'forro cartera guarda '!B60</f>
        <v>42.815599999999996</v>
      </c>
      <c r="O70"/>
      <c r="P70"/>
      <c r="Q70"/>
    </row>
    <row r="71" spans="1:21" x14ac:dyDescent="0.3">
      <c r="C71" s="78">
        <f>+'forro caja EXT'!C73</f>
        <v>92.259352499999991</v>
      </c>
      <c r="D71" s="5" t="str">
        <f>+'forro caja EXT'!D73</f>
        <v>forro caja EXT</v>
      </c>
      <c r="E71" s="5"/>
      <c r="F71" s="78">
        <f>+'forro caja EXT'!B60</f>
        <v>64.363950000000003</v>
      </c>
    </row>
    <row r="72" spans="1:21" x14ac:dyDescent="0.3">
      <c r="A72" s="5"/>
      <c r="C72" s="78">
        <f>+'forro caja INT'!C73</f>
        <v>27.835464999999999</v>
      </c>
      <c r="D72" s="5" t="str">
        <f>+'forro caja INT'!D73</f>
        <v>forro caja INT</v>
      </c>
      <c r="E72" s="5"/>
      <c r="F72" s="78">
        <f>+'forro caja INT'!B60</f>
        <v>18.88936</v>
      </c>
      <c r="J72" s="7"/>
    </row>
    <row r="73" spans="1:21" x14ac:dyDescent="0.3">
      <c r="A73" s="5"/>
      <c r="C73" s="78">
        <f>+'espuma suajada'!C72</f>
        <v>64.3</v>
      </c>
      <c r="D73" s="5" t="str">
        <f>+'espuma suajada'!D72</f>
        <v>espuma suajada</v>
      </c>
      <c r="E73" s="5"/>
      <c r="F73" s="78">
        <f>+'espuma suajada'!B60</f>
        <v>54.7</v>
      </c>
      <c r="J73" s="7"/>
    </row>
    <row r="74" spans="1:21" x14ac:dyDescent="0.3">
      <c r="B74" s="70"/>
      <c r="C74" s="78">
        <f>+'cartón cartera'!C72</f>
        <v>16.97854666666667</v>
      </c>
      <c r="D74" s="5" t="str">
        <f>+'cartón cartera'!D72</f>
        <v>cartón cartera</v>
      </c>
      <c r="E74" s="5"/>
      <c r="F74" s="78">
        <f>+'cartón cartera'!B60</f>
        <v>14.344133333333332</v>
      </c>
    </row>
    <row r="75" spans="1:21" x14ac:dyDescent="0.3">
      <c r="C75" s="80">
        <f>+'cartón caja'!C72</f>
        <v>16.97854666666667</v>
      </c>
      <c r="D75" s="5" t="str">
        <f>+'cartón caja'!D72</f>
        <v>cartón caja</v>
      </c>
      <c r="E75" s="5"/>
      <c r="F75" s="80">
        <f>+'cartón caja'!B60</f>
        <v>14.344133333333332</v>
      </c>
    </row>
    <row r="76" spans="1:21" ht="15.75" customHeight="1" x14ac:dyDescent="0.3">
      <c r="A76" s="94">
        <f>+C76*B43</f>
        <v>41171.839833333332</v>
      </c>
      <c r="B76" s="94"/>
      <c r="C76" s="82">
        <f>SUM(C69:C75)</f>
        <v>411.71839833333331</v>
      </c>
      <c r="D76" s="5" t="s">
        <v>101</v>
      </c>
      <c r="F76" s="84">
        <f>SUM(F69:F75)</f>
        <v>293.38067666666666</v>
      </c>
      <c r="G76" s="85">
        <f>+F76*B43</f>
        <v>29338.067666666666</v>
      </c>
      <c r="H76" s="124">
        <f>+A76-G76</f>
        <v>11833.772166666666</v>
      </c>
      <c r="I76" s="124"/>
      <c r="J76"/>
    </row>
    <row r="85" spans="1:7" ht="15" thickBot="1" x14ac:dyDescent="0.35">
      <c r="A85" s="5" t="s">
        <v>164</v>
      </c>
    </row>
    <row r="86" spans="1:7" x14ac:dyDescent="0.3">
      <c r="A86" s="11" t="s">
        <v>103</v>
      </c>
      <c r="B86" s="12"/>
      <c r="C86" s="12"/>
      <c r="D86" s="12"/>
      <c r="E86" s="12"/>
      <c r="F86" s="12"/>
      <c r="G86" s="13"/>
    </row>
    <row r="87" spans="1:7" x14ac:dyDescent="0.3">
      <c r="A87" s="46">
        <f>+F11</f>
        <v>43</v>
      </c>
      <c r="B87" s="74">
        <f>+H11</f>
        <v>50.5</v>
      </c>
      <c r="C87" s="7" t="s">
        <v>102</v>
      </c>
      <c r="D87" s="74" t="s">
        <v>104</v>
      </c>
      <c r="E87" s="7" t="s">
        <v>105</v>
      </c>
      <c r="F87" s="93" t="s">
        <v>125</v>
      </c>
      <c r="G87" s="98">
        <v>500</v>
      </c>
    </row>
    <row r="88" spans="1:7" x14ac:dyDescent="0.3">
      <c r="A88" s="46">
        <f>0.442*0.438*C36</f>
        <v>116.15759999999999</v>
      </c>
      <c r="B88" s="79">
        <v>3.9</v>
      </c>
      <c r="C88" s="79">
        <f>+A88*B88</f>
        <v>453.01463999999993</v>
      </c>
      <c r="D88" s="79">
        <v>0</v>
      </c>
      <c r="E88" s="79">
        <f>+C88+D88</f>
        <v>453.01463999999993</v>
      </c>
      <c r="F88" s="76" t="s">
        <v>106</v>
      </c>
      <c r="G88" s="8"/>
    </row>
    <row r="89" spans="1:7" x14ac:dyDescent="0.3">
      <c r="A89" s="6"/>
      <c r="B89" s="79"/>
      <c r="C89" s="79"/>
      <c r="D89" s="79"/>
      <c r="E89" s="79"/>
      <c r="F89" s="7"/>
      <c r="G89" s="8"/>
    </row>
    <row r="90" spans="1:7" x14ac:dyDescent="0.3">
      <c r="A90" s="46">
        <f>+A87</f>
        <v>43</v>
      </c>
      <c r="B90" s="74">
        <f>+B87</f>
        <v>50.5</v>
      </c>
      <c r="C90" s="7" t="s">
        <v>102</v>
      </c>
      <c r="D90" s="74" t="s">
        <v>104</v>
      </c>
      <c r="E90" s="7" t="s">
        <v>105</v>
      </c>
      <c r="F90" s="7" t="s">
        <v>107</v>
      </c>
      <c r="G90" s="8"/>
    </row>
    <row r="91" spans="1:7" x14ac:dyDescent="0.3">
      <c r="A91" s="46">
        <f>0.65*0.36*C36</f>
        <v>140.39999999999998</v>
      </c>
      <c r="B91" s="79">
        <v>2.5</v>
      </c>
      <c r="C91" s="79">
        <f>+A91*B91</f>
        <v>350.99999999999994</v>
      </c>
      <c r="D91" s="79">
        <v>360</v>
      </c>
      <c r="E91" s="79">
        <f>+C91+D91</f>
        <v>711</v>
      </c>
      <c r="F91" s="76" t="s">
        <v>108</v>
      </c>
      <c r="G91" s="8"/>
    </row>
    <row r="92" spans="1:7" x14ac:dyDescent="0.3">
      <c r="A92" s="6"/>
      <c r="B92" s="7"/>
      <c r="C92" s="79"/>
      <c r="D92" s="79"/>
      <c r="E92" s="79"/>
      <c r="F92" s="79"/>
      <c r="G92" s="8"/>
    </row>
    <row r="93" spans="1:7" ht="15" thickBot="1" x14ac:dyDescent="0.35">
      <c r="A93" s="14"/>
      <c r="B93" s="15"/>
      <c r="C93" s="15"/>
      <c r="D93" s="15"/>
      <c r="E93" s="15"/>
      <c r="F93" s="15"/>
      <c r="G93" s="16"/>
    </row>
    <row r="96" spans="1:7" ht="16.5" x14ac:dyDescent="0.3">
      <c r="A96" s="122" t="s">
        <v>163</v>
      </c>
      <c r="B96" s="5"/>
    </row>
    <row r="97" spans="1:18" x14ac:dyDescent="0.3">
      <c r="A97" s="61" t="s">
        <v>59</v>
      </c>
      <c r="B97" s="96" t="s">
        <v>168</v>
      </c>
      <c r="C97" s="97"/>
    </row>
    <row r="98" spans="1:18" x14ac:dyDescent="0.3">
      <c r="A98" s="41" t="s">
        <v>1</v>
      </c>
      <c r="B98" s="59"/>
      <c r="C98" s="60"/>
    </row>
    <row r="99" spans="1:18" x14ac:dyDescent="0.3">
      <c r="A99" s="41" t="s">
        <v>14</v>
      </c>
      <c r="B99" s="87"/>
      <c r="C99" s="60"/>
    </row>
    <row r="100" spans="1:18" x14ac:dyDescent="0.3">
      <c r="A100" s="41" t="s">
        <v>63</v>
      </c>
      <c r="B100" s="87"/>
      <c r="C100" s="60" t="s">
        <v>115</v>
      </c>
    </row>
    <row r="101" spans="1:18" x14ac:dyDescent="0.3">
      <c r="A101" s="41" t="s">
        <v>66</v>
      </c>
      <c r="B101" s="87"/>
      <c r="C101" s="60"/>
    </row>
    <row r="102" spans="1:18" x14ac:dyDescent="0.3">
      <c r="A102" s="41" t="s">
        <v>69</v>
      </c>
      <c r="B102" s="87">
        <f>+B43*1.1</f>
        <v>110.00000000000001</v>
      </c>
      <c r="C102" s="88">
        <f>+((B42*60)*2)</f>
        <v>0</v>
      </c>
    </row>
    <row r="103" spans="1:18" x14ac:dyDescent="0.3">
      <c r="A103" s="41" t="s">
        <v>71</v>
      </c>
      <c r="B103" s="89"/>
      <c r="C103" s="60"/>
    </row>
    <row r="104" spans="1:18" x14ac:dyDescent="0.3">
      <c r="A104" s="41" t="s">
        <v>116</v>
      </c>
      <c r="B104" s="89">
        <v>6</v>
      </c>
      <c r="C104" s="90" t="s">
        <v>169</v>
      </c>
    </row>
    <row r="105" spans="1:18" x14ac:dyDescent="0.3">
      <c r="A105" s="41" t="s">
        <v>73</v>
      </c>
      <c r="B105" s="89">
        <f>+B104*B102</f>
        <v>660.00000000000011</v>
      </c>
      <c r="C105" s="60"/>
    </row>
    <row r="106" spans="1:18" x14ac:dyDescent="0.3">
      <c r="A106" s="41" t="s">
        <v>114</v>
      </c>
      <c r="B106" s="89">
        <v>0</v>
      </c>
      <c r="C106" s="60"/>
    </row>
    <row r="107" spans="1:18" x14ac:dyDescent="0.3">
      <c r="A107" s="41" t="s">
        <v>117</v>
      </c>
      <c r="B107" s="89">
        <v>0</v>
      </c>
      <c r="C107" s="60"/>
    </row>
    <row r="108" spans="1:18" x14ac:dyDescent="0.3">
      <c r="A108" s="1" t="s">
        <v>118</v>
      </c>
      <c r="B108" s="89"/>
      <c r="C108" s="60"/>
    </row>
    <row r="109" spans="1:18" x14ac:dyDescent="0.3">
      <c r="A109" s="41" t="s">
        <v>119</v>
      </c>
      <c r="B109" s="91">
        <f>+B108+B105</f>
        <v>660.00000000000011</v>
      </c>
      <c r="C109" s="92">
        <f>+B109/B43</f>
        <v>6.6000000000000014</v>
      </c>
      <c r="D109" s="1" t="s">
        <v>121</v>
      </c>
    </row>
    <row r="110" spans="1:18" x14ac:dyDescent="0.3">
      <c r="A110" s="41" t="s">
        <v>120</v>
      </c>
      <c r="B110" s="91">
        <f>+B109*1.5</f>
        <v>990.00000000000023</v>
      </c>
      <c r="C110" s="92">
        <f>+B110/B43</f>
        <v>9.9000000000000021</v>
      </c>
      <c r="D110" s="1" t="s">
        <v>121</v>
      </c>
    </row>
    <row r="111" spans="1:18" x14ac:dyDescent="0.3">
      <c r="B111" s="59"/>
      <c r="C111" s="60"/>
    </row>
    <row r="112" spans="1:18" ht="16.5" x14ac:dyDescent="0.3">
      <c r="B112" s="59"/>
      <c r="C112" s="60"/>
      <c r="Q112" s="55"/>
      <c r="R112" s="55"/>
    </row>
    <row r="113" spans="2:18" ht="17.25" thickBot="1" x14ac:dyDescent="0.35">
      <c r="B113" s="7"/>
      <c r="C113" s="125"/>
      <c r="Q113" s="55"/>
      <c r="R113" s="55"/>
    </row>
    <row r="114" spans="2:18" ht="17.25" thickBot="1" x14ac:dyDescent="0.35">
      <c r="B114" s="102"/>
      <c r="C114" s="103" t="s">
        <v>159</v>
      </c>
      <c r="D114" s="103" t="s">
        <v>160</v>
      </c>
      <c r="E114" s="103" t="s">
        <v>161</v>
      </c>
      <c r="F114" s="104" t="s">
        <v>162</v>
      </c>
      <c r="Q114" s="55"/>
      <c r="R114" s="55"/>
    </row>
    <row r="115" spans="2:18" ht="16.5" x14ac:dyDescent="0.3">
      <c r="B115" s="105" t="str">
        <f>+D75</f>
        <v>cartón caja</v>
      </c>
      <c r="C115" s="106" t="str">
        <f>+'cartón caja'!C23</f>
        <v>Cartón Gris #5</v>
      </c>
      <c r="D115" s="107">
        <f>+'cartón caja'!E34</f>
        <v>44.332000000000001</v>
      </c>
      <c r="E115" s="108">
        <f>+'cartón caja'!C42</f>
        <v>23.333333333333332</v>
      </c>
      <c r="F115" s="109">
        <f>+E115*D115</f>
        <v>1034.4133333333332</v>
      </c>
      <c r="Q115" s="55"/>
      <c r="R115" s="55"/>
    </row>
    <row r="116" spans="2:18" ht="16.5" x14ac:dyDescent="0.3">
      <c r="B116" s="110" t="str">
        <f>+D74</f>
        <v>cartón cartera</v>
      </c>
      <c r="C116" s="111" t="str">
        <f>+C115</f>
        <v>Cartón Gris #5</v>
      </c>
      <c r="D116" s="112">
        <f>+D115</f>
        <v>44.332000000000001</v>
      </c>
      <c r="E116" s="113">
        <f>+'cartón cartera'!C42</f>
        <v>23.333333333333332</v>
      </c>
      <c r="F116" s="114">
        <f>+D116*E116</f>
        <v>1034.4133333333332</v>
      </c>
      <c r="Q116" s="55"/>
      <c r="R116" s="55"/>
    </row>
    <row r="117" spans="2:18" ht="16.5" x14ac:dyDescent="0.3">
      <c r="B117" s="110" t="str">
        <f>+D73</f>
        <v>espuma suajada</v>
      </c>
      <c r="C117" s="111" t="s">
        <v>165</v>
      </c>
      <c r="D117" s="112">
        <f>+'espuma suajada'!E34</f>
        <v>300</v>
      </c>
      <c r="E117" s="113">
        <f>+'espuma suajada'!C42</f>
        <v>12.5</v>
      </c>
      <c r="F117" s="114">
        <f t="shared" ref="F117:F119" si="4">+D117*E117</f>
        <v>3750</v>
      </c>
      <c r="Q117" s="55"/>
      <c r="R117" s="55"/>
    </row>
    <row r="118" spans="2:18" ht="16.5" x14ac:dyDescent="0.3">
      <c r="B118" s="110" t="str">
        <f>+D72</f>
        <v>forro caja INT</v>
      </c>
      <c r="C118" s="111" t="str">
        <f>+CONCATENATE(C18, E18, F18)</f>
        <v>Couche Blanco150 gr.</v>
      </c>
      <c r="D118" s="112">
        <f>+'forro caja INT'!E34</f>
        <v>1.4245000000000001</v>
      </c>
      <c r="E118" s="113">
        <f>+'forro caja INT'!C42</f>
        <v>100</v>
      </c>
      <c r="F118" s="114">
        <f t="shared" si="4"/>
        <v>142.45000000000002</v>
      </c>
      <c r="Q118" s="55"/>
      <c r="R118" s="55"/>
    </row>
    <row r="119" spans="2:18" ht="16.5" x14ac:dyDescent="0.3">
      <c r="B119" s="110" t="str">
        <f>+D71</f>
        <v>forro caja EXT</v>
      </c>
      <c r="C119" s="111" t="str">
        <f>+C118</f>
        <v>Couche Blanco150 gr.</v>
      </c>
      <c r="D119" s="112">
        <f>+'forro caja EXT'!E34</f>
        <v>1.4245000000000001</v>
      </c>
      <c r="E119" s="113">
        <f>+'forro caja EXT'!C42</f>
        <v>250</v>
      </c>
      <c r="F119" s="114">
        <f t="shared" si="4"/>
        <v>356.125</v>
      </c>
      <c r="J119" s="55"/>
      <c r="K119" s="55"/>
      <c r="L119" s="55"/>
      <c r="M119" s="55"/>
      <c r="N119" s="55"/>
      <c r="O119" s="55"/>
      <c r="P119" s="55"/>
      <c r="Q119" s="55"/>
      <c r="R119" s="55"/>
    </row>
    <row r="120" spans="2:18" ht="16.5" x14ac:dyDescent="0.3">
      <c r="B120" s="110" t="str">
        <f>+D70</f>
        <v>forro cartera guarda</v>
      </c>
      <c r="C120" s="111" t="str">
        <f>+C119</f>
        <v>Couche Blanco150 gr.</v>
      </c>
      <c r="D120" s="112">
        <f>+'forro cartera guarda '!E34</f>
        <v>1.4245000000000001</v>
      </c>
      <c r="E120" s="113">
        <f>+'forro caja EXT'!C42</f>
        <v>250</v>
      </c>
      <c r="F120" s="114">
        <f>+D120*E120</f>
        <v>356.125</v>
      </c>
      <c r="J120" s="55"/>
      <c r="K120" s="55"/>
      <c r="L120" s="55"/>
      <c r="M120" s="55"/>
      <c r="N120" s="55"/>
      <c r="O120" s="55"/>
      <c r="P120" s="55"/>
      <c r="Q120" s="55"/>
      <c r="R120" s="55"/>
    </row>
    <row r="121" spans="2:18" ht="16.5" x14ac:dyDescent="0.3">
      <c r="B121" s="123" t="str">
        <f>+D69</f>
        <v>forro cartera</v>
      </c>
      <c r="C121" s="111" t="str">
        <f>+C120</f>
        <v>Couche Blanco150 gr.</v>
      </c>
      <c r="D121" s="112">
        <f>+E29</f>
        <v>1.4245000000000001</v>
      </c>
      <c r="E121" s="113">
        <f>+C37</f>
        <v>300</v>
      </c>
      <c r="F121" s="114">
        <f>+D121*E121</f>
        <v>427.35</v>
      </c>
      <c r="J121" s="55"/>
      <c r="K121" s="55"/>
      <c r="L121" s="55"/>
      <c r="M121" s="55"/>
      <c r="N121" s="55"/>
      <c r="O121" s="55"/>
      <c r="P121" s="55"/>
      <c r="Q121" s="55"/>
      <c r="R121" s="55"/>
    </row>
    <row r="122" spans="2:18" ht="16.5" x14ac:dyDescent="0.3">
      <c r="B122" s="110" t="s">
        <v>167</v>
      </c>
      <c r="C122" s="115"/>
      <c r="D122" s="112">
        <v>6</v>
      </c>
      <c r="E122" s="113">
        <v>110</v>
      </c>
      <c r="F122" s="114">
        <f>+D122*E122</f>
        <v>660</v>
      </c>
      <c r="J122" s="55"/>
      <c r="K122" s="55"/>
      <c r="L122" s="55"/>
      <c r="M122" s="55"/>
      <c r="N122" s="55"/>
      <c r="O122" s="55"/>
      <c r="P122" s="55"/>
      <c r="Q122" s="55"/>
      <c r="R122" s="55"/>
    </row>
    <row r="123" spans="2:18" x14ac:dyDescent="0.3">
      <c r="B123" s="110" t="s">
        <v>170</v>
      </c>
      <c r="C123" s="111"/>
      <c r="D123" s="112">
        <f>+'forro caja EXT'!B53+'forro cartera'!B47</f>
        <v>1500</v>
      </c>
      <c r="E123" s="113">
        <v>1</v>
      </c>
      <c r="F123" s="114">
        <f>+D123*E123</f>
        <v>1500</v>
      </c>
    </row>
    <row r="124" spans="2:18" ht="16.5" thickBot="1" x14ac:dyDescent="0.35">
      <c r="B124" s="116"/>
      <c r="C124" s="117"/>
      <c r="D124" s="117"/>
      <c r="E124" s="118"/>
      <c r="F124" s="119"/>
    </row>
    <row r="125" spans="2:18" ht="16.5" thickBot="1" x14ac:dyDescent="0.35">
      <c r="B125"/>
      <c r="C125"/>
      <c r="D125"/>
      <c r="E125" s="120" t="s">
        <v>162</v>
      </c>
      <c r="F125" s="121">
        <f>SUM(F115:F124)</f>
        <v>9260.876666666667</v>
      </c>
    </row>
  </sheetData>
  <mergeCells count="4">
    <mergeCell ref="A76:B76"/>
    <mergeCell ref="G68:H68"/>
    <mergeCell ref="B97:C97"/>
    <mergeCell ref="H76:I76"/>
  </mergeCells>
  <pageMargins left="0.70866141732283472" right="0.70866141732283472" top="0.74803149606299213" bottom="0.74803149606299213" header="0.31496062992125984" footer="0.31496062992125984"/>
  <pageSetup scale="55" fitToHeight="2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cartón caja</vt:lpstr>
      <vt:lpstr>cartón cartera</vt:lpstr>
      <vt:lpstr>espuma suajada</vt:lpstr>
      <vt:lpstr>forro caja INT</vt:lpstr>
      <vt:lpstr>forro caja EXT</vt:lpstr>
      <vt:lpstr>forro cartera guarda </vt:lpstr>
      <vt:lpstr>forro cartera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2016-11-05T00:40:36Z</cp:lastPrinted>
  <dcterms:created xsi:type="dcterms:W3CDTF">2013-03-04T22:24:31Z</dcterms:created>
  <dcterms:modified xsi:type="dcterms:W3CDTF">2016-11-05T01:07:14Z</dcterms:modified>
</cp:coreProperties>
</file>