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5" yWindow="3090" windowWidth="20550" windowHeight="4035" firstSheet="4" activeTab="10"/>
  </bookViews>
  <sheets>
    <sheet name="Desarrollo" sheetId="46" r:id="rId1"/>
    <sheet name="cartón limon circ" sheetId="39" r:id="rId2"/>
    <sheet name="cartón soporte" sheetId="40" r:id="rId3"/>
    <sheet name="cartón tira " sheetId="47" r:id="rId4"/>
    <sheet name="cartón base cajón" sheetId="48" r:id="rId5"/>
    <sheet name="cartón tapa base" sheetId="49" r:id="rId6"/>
    <sheet name="eva" sheetId="50" r:id="rId7"/>
    <sheet name="forro Circulo " sheetId="34" r:id="rId8"/>
    <sheet name="forro tira cir" sheetId="42" r:id="rId9"/>
    <sheet name="forro base caja" sheetId="43" r:id="rId10"/>
    <sheet name="forro tapa caja" sheetId="38" r:id="rId11"/>
  </sheets>
  <calcPr calcId="145621"/>
</workbook>
</file>

<file path=xl/calcChain.xml><?xml version="1.0" encoding="utf-8"?>
<calcChain xmlns="http://schemas.openxmlformats.org/spreadsheetml/2006/main">
  <c r="F77" i="38" l="1"/>
  <c r="B89" i="38"/>
  <c r="B79" i="43"/>
  <c r="A89" i="38"/>
  <c r="I114" i="38"/>
  <c r="G114" i="38"/>
  <c r="G113" i="38"/>
  <c r="G112" i="38"/>
  <c r="H110" i="38"/>
  <c r="G110" i="38"/>
  <c r="F110" i="38"/>
  <c r="H109" i="38"/>
  <c r="G109" i="38"/>
  <c r="F23" i="39"/>
  <c r="H108" i="38"/>
  <c r="G108" i="38"/>
  <c r="F108" i="38"/>
  <c r="H107" i="38"/>
  <c r="H106" i="38"/>
  <c r="G106" i="38"/>
  <c r="F106" i="38"/>
  <c r="H105" i="38"/>
  <c r="H104" i="38"/>
  <c r="G104" i="38"/>
  <c r="H103" i="38"/>
  <c r="G103" i="38"/>
  <c r="H102" i="38"/>
  <c r="G102" i="38"/>
  <c r="H101" i="38"/>
  <c r="G101" i="38"/>
  <c r="I113" i="38"/>
  <c r="E109" i="38"/>
  <c r="I110" i="38"/>
  <c r="E110" i="38"/>
  <c r="I109" i="38"/>
  <c r="E108" i="38"/>
  <c r="E107" i="38"/>
  <c r="E106" i="38"/>
  <c r="E105" i="38"/>
  <c r="F30" i="43"/>
  <c r="C54" i="34"/>
  <c r="F30" i="34"/>
  <c r="G29" i="46"/>
  <c r="G131" i="46"/>
  <c r="G96" i="46"/>
  <c r="G44" i="46"/>
  <c r="G37" i="46"/>
  <c r="I116" i="38" l="1"/>
  <c r="H59" i="34"/>
  <c r="H58" i="34"/>
  <c r="H57" i="34"/>
  <c r="H56" i="34"/>
  <c r="H55" i="34"/>
  <c r="H52" i="34"/>
  <c r="H51" i="34"/>
  <c r="H50" i="34"/>
  <c r="H57" i="38" l="1"/>
  <c r="H56" i="38"/>
  <c r="H55" i="38"/>
  <c r="H52" i="38"/>
  <c r="H51" i="38"/>
  <c r="B57" i="38" l="1"/>
  <c r="H50" i="38"/>
  <c r="H49" i="38"/>
  <c r="G49" i="38"/>
  <c r="H20" i="43"/>
  <c r="F20" i="43"/>
  <c r="H50" i="43"/>
  <c r="G49" i="43"/>
  <c r="H49" i="43" s="1"/>
  <c r="G49" i="34"/>
  <c r="H49" i="34" s="1"/>
  <c r="G49" i="42"/>
  <c r="H58" i="42"/>
  <c r="G58" i="42"/>
  <c r="B81" i="42"/>
  <c r="A81" i="42"/>
  <c r="G58" i="34"/>
  <c r="B81" i="34"/>
  <c r="A81" i="34"/>
  <c r="F20" i="34"/>
  <c r="H20" i="34"/>
  <c r="C40" i="46"/>
  <c r="E40" i="46"/>
  <c r="F30" i="48"/>
  <c r="E30" i="48" s="1"/>
  <c r="E30" i="49" s="1"/>
  <c r="G124" i="46"/>
  <c r="B122" i="46"/>
  <c r="F94" i="46"/>
  <c r="F122" i="46" s="1"/>
  <c r="F81" i="46"/>
  <c r="D81" i="46"/>
  <c r="C11" i="46"/>
  <c r="D77" i="38" l="1"/>
  <c r="B70" i="50"/>
  <c r="A70" i="50"/>
  <c r="B69" i="50"/>
  <c r="A69" i="50"/>
  <c r="B68" i="50"/>
  <c r="A68" i="50"/>
  <c r="H59" i="50"/>
  <c r="H58" i="50"/>
  <c r="H57" i="50"/>
  <c r="H56" i="50"/>
  <c r="H54" i="50"/>
  <c r="H53" i="50"/>
  <c r="H52" i="50"/>
  <c r="H51" i="50"/>
  <c r="H50" i="50"/>
  <c r="H49" i="50"/>
  <c r="E31" i="50"/>
  <c r="E32" i="50" s="1"/>
  <c r="H25" i="50"/>
  <c r="F25" i="50"/>
  <c r="B79" i="42"/>
  <c r="F30" i="42"/>
  <c r="B79" i="34"/>
  <c r="D82" i="38"/>
  <c r="D81" i="38"/>
  <c r="D80" i="38"/>
  <c r="D79" i="38"/>
  <c r="D78" i="38"/>
  <c r="F23" i="47"/>
  <c r="B70" i="49"/>
  <c r="A70" i="49"/>
  <c r="B69" i="49"/>
  <c r="A69" i="49"/>
  <c r="B68" i="49"/>
  <c r="A68" i="49"/>
  <c r="H59" i="49"/>
  <c r="H58" i="49"/>
  <c r="H57" i="49"/>
  <c r="H56" i="49"/>
  <c r="H55" i="49"/>
  <c r="H54" i="49"/>
  <c r="H53" i="49"/>
  <c r="H52" i="49"/>
  <c r="H51" i="49"/>
  <c r="H50" i="49"/>
  <c r="H49" i="49"/>
  <c r="H61" i="49" s="1"/>
  <c r="H25" i="49"/>
  <c r="F25" i="49"/>
  <c r="F23" i="49"/>
  <c r="B70" i="48"/>
  <c r="A70" i="48"/>
  <c r="B69" i="48"/>
  <c r="A69" i="48"/>
  <c r="B68" i="48"/>
  <c r="A68" i="48"/>
  <c r="B70" i="47"/>
  <c r="A70" i="47"/>
  <c r="B69" i="47"/>
  <c r="A69" i="47"/>
  <c r="B68" i="47"/>
  <c r="A68" i="47"/>
  <c r="B70" i="40"/>
  <c r="A70" i="40"/>
  <c r="B69" i="40"/>
  <c r="A69" i="40"/>
  <c r="B68" i="40"/>
  <c r="A68" i="40"/>
  <c r="B70" i="39"/>
  <c r="A70" i="39"/>
  <c r="B69" i="39"/>
  <c r="A69" i="39"/>
  <c r="B68" i="39"/>
  <c r="A68" i="39"/>
  <c r="H59" i="48"/>
  <c r="H58" i="48"/>
  <c r="H57" i="48"/>
  <c r="H56" i="48"/>
  <c r="H55" i="48"/>
  <c r="H54" i="48"/>
  <c r="H53" i="48"/>
  <c r="H52" i="48"/>
  <c r="H51" i="48"/>
  <c r="H50" i="48"/>
  <c r="H49" i="48"/>
  <c r="H25" i="48"/>
  <c r="F25" i="48"/>
  <c r="F23" i="48"/>
  <c r="F109" i="38" s="1"/>
  <c r="F30" i="47"/>
  <c r="E30" i="47" s="1"/>
  <c r="H16" i="40"/>
  <c r="E26" i="40"/>
  <c r="F16" i="47"/>
  <c r="C26" i="47"/>
  <c r="H59" i="47"/>
  <c r="H58" i="47"/>
  <c r="H57" i="47"/>
  <c r="H56" i="47"/>
  <c r="H55" i="47"/>
  <c r="H54" i="47"/>
  <c r="H53" i="47"/>
  <c r="H52" i="47"/>
  <c r="H51" i="47"/>
  <c r="H50" i="47"/>
  <c r="H49" i="47"/>
  <c r="H61" i="47" s="1"/>
  <c r="H25" i="47"/>
  <c r="F25" i="47"/>
  <c r="B48" i="39"/>
  <c r="B48" i="40" s="1"/>
  <c r="C13" i="39"/>
  <c r="C13" i="47" s="1"/>
  <c r="C15" i="39"/>
  <c r="G76" i="46"/>
  <c r="F42" i="46"/>
  <c r="H42" i="46" s="1"/>
  <c r="E36" i="46"/>
  <c r="E38" i="46" s="1"/>
  <c r="C36" i="46"/>
  <c r="C38" i="46" s="1"/>
  <c r="F73" i="46"/>
  <c r="E71" i="46"/>
  <c r="G70" i="46"/>
  <c r="D70" i="46"/>
  <c r="H65" i="46"/>
  <c r="C65" i="46"/>
  <c r="G60" i="46"/>
  <c r="D60" i="46"/>
  <c r="E59" i="46"/>
  <c r="F129" i="46"/>
  <c r="H129" i="46" s="1"/>
  <c r="G116" i="46"/>
  <c r="E127" i="46" s="1"/>
  <c r="E130" i="46" s="1"/>
  <c r="F112" i="46"/>
  <c r="E112" i="46"/>
  <c r="D112" i="46"/>
  <c r="D84" i="46"/>
  <c r="E84" i="46"/>
  <c r="F84" i="46"/>
  <c r="E34" i="50" l="1"/>
  <c r="G105" i="38"/>
  <c r="C13" i="49"/>
  <c r="C13" i="48"/>
  <c r="B85" i="46"/>
  <c r="H70" i="46"/>
  <c r="E74" i="46" s="1"/>
  <c r="F16" i="40"/>
  <c r="C26" i="40"/>
  <c r="C13" i="50"/>
  <c r="B48" i="49"/>
  <c r="C40" i="49" s="1"/>
  <c r="G43" i="49" s="1"/>
  <c r="B48" i="48"/>
  <c r="C40" i="48" s="1"/>
  <c r="C48" i="50"/>
  <c r="B48" i="50" s="1"/>
  <c r="E35" i="50"/>
  <c r="B67" i="49"/>
  <c r="B51" i="49"/>
  <c r="H61" i="48"/>
  <c r="B51" i="48" s="1"/>
  <c r="G43" i="48"/>
  <c r="B67" i="48"/>
  <c r="B61" i="46"/>
  <c r="C74" i="46" s="1"/>
  <c r="C43" i="46"/>
  <c r="C45" i="46" s="1"/>
  <c r="B48" i="47"/>
  <c r="C40" i="47" s="1"/>
  <c r="G43" i="47" s="1"/>
  <c r="C27" i="47"/>
  <c r="H26" i="47"/>
  <c r="H27" i="47" s="1"/>
  <c r="B67" i="47"/>
  <c r="B51" i="47"/>
  <c r="H73" i="46"/>
  <c r="C127" i="46"/>
  <c r="C130" i="46" s="1"/>
  <c r="C132" i="46" s="1"/>
  <c r="H119" i="46"/>
  <c r="E123" i="46" s="1"/>
  <c r="E125" i="46" s="1"/>
  <c r="E43" i="46"/>
  <c r="E45" i="46" s="1"/>
  <c r="E76" i="46"/>
  <c r="E75" i="46"/>
  <c r="C75" i="46"/>
  <c r="C76" i="46"/>
  <c r="C44" i="46"/>
  <c r="C37" i="46"/>
  <c r="E37" i="46"/>
  <c r="C131" i="46"/>
  <c r="E124" i="46"/>
  <c r="E132" i="46"/>
  <c r="E131" i="46"/>
  <c r="B113" i="46"/>
  <c r="C123" i="46" s="1"/>
  <c r="B69" i="38"/>
  <c r="A69" i="38"/>
  <c r="A54" i="38"/>
  <c r="B88" i="38"/>
  <c r="B91" i="38" s="1"/>
  <c r="A88" i="38"/>
  <c r="A91" i="38" s="1"/>
  <c r="B92" i="38"/>
  <c r="E30" i="38"/>
  <c r="H56" i="43"/>
  <c r="H55" i="43"/>
  <c r="H52" i="43"/>
  <c r="H51" i="43"/>
  <c r="E30" i="43"/>
  <c r="H56" i="42"/>
  <c r="H55" i="42"/>
  <c r="H52" i="42"/>
  <c r="H51" i="42"/>
  <c r="H50" i="42"/>
  <c r="H49" i="42"/>
  <c r="E30" i="42"/>
  <c r="E30" i="34"/>
  <c r="C11" i="39"/>
  <c r="F101" i="46"/>
  <c r="E26" i="49" l="1"/>
  <c r="E26" i="50"/>
  <c r="C26" i="50"/>
  <c r="C26" i="49"/>
  <c r="E44" i="46"/>
  <c r="H16" i="47"/>
  <c r="E26" i="47"/>
  <c r="C11" i="47"/>
  <c r="C11" i="49"/>
  <c r="C11" i="48"/>
  <c r="C11" i="50"/>
  <c r="C40" i="50"/>
  <c r="E55" i="50"/>
  <c r="H55" i="50" s="1"/>
  <c r="H61" i="50" s="1"/>
  <c r="B67" i="50" s="1"/>
  <c r="C125" i="46"/>
  <c r="C124" i="46"/>
  <c r="D40" i="39"/>
  <c r="F30" i="39"/>
  <c r="E30" i="39" s="1"/>
  <c r="C13" i="40"/>
  <c r="C13" i="34" s="1"/>
  <c r="C9" i="39"/>
  <c r="F27" i="46"/>
  <c r="F35" i="46" s="1"/>
  <c r="H35" i="46" s="1"/>
  <c r="F26" i="50" l="1"/>
  <c r="F27" i="50" s="1"/>
  <c r="E27" i="50"/>
  <c r="F26" i="49"/>
  <c r="F27" i="49" s="1"/>
  <c r="E27" i="49"/>
  <c r="H16" i="49"/>
  <c r="F16" i="49"/>
  <c r="H26" i="49"/>
  <c r="H27" i="49" s="1"/>
  <c r="C27" i="49"/>
  <c r="C27" i="50"/>
  <c r="H26" i="50"/>
  <c r="H27" i="50" s="1"/>
  <c r="F26" i="47"/>
  <c r="F27" i="47" s="1"/>
  <c r="E27" i="47"/>
  <c r="B51" i="50"/>
  <c r="G43" i="50"/>
  <c r="C41" i="50"/>
  <c r="C9" i="47"/>
  <c r="C9" i="49"/>
  <c r="C9" i="48"/>
  <c r="C9" i="50"/>
  <c r="D40" i="47"/>
  <c r="C41" i="47" s="1"/>
  <c r="C42" i="47" s="1"/>
  <c r="C46" i="47" s="1"/>
  <c r="D40" i="49"/>
  <c r="C41" i="49" s="1"/>
  <c r="D40" i="48"/>
  <c r="C41" i="48" s="1"/>
  <c r="G44" i="47"/>
  <c r="E31" i="47"/>
  <c r="E32" i="47" s="1"/>
  <c r="E34" i="47" s="1"/>
  <c r="H122" i="46"/>
  <c r="C13" i="42"/>
  <c r="C13" i="43" s="1"/>
  <c r="G104" i="46"/>
  <c r="H101" i="46"/>
  <c r="H94" i="46"/>
  <c r="G88" i="46"/>
  <c r="E99" i="46" s="1"/>
  <c r="H27" i="46"/>
  <c r="E25" i="46"/>
  <c r="G24" i="46"/>
  <c r="D24" i="46"/>
  <c r="H19" i="46"/>
  <c r="C19" i="46"/>
  <c r="G14" i="46"/>
  <c r="D14" i="46"/>
  <c r="E13" i="46"/>
  <c r="E102" i="46" l="1"/>
  <c r="C42" i="50"/>
  <c r="G44" i="50"/>
  <c r="G44" i="49"/>
  <c r="C42" i="49"/>
  <c r="C42" i="48"/>
  <c r="G44" i="48"/>
  <c r="E35" i="47"/>
  <c r="B66" i="47" s="1"/>
  <c r="B72" i="47" s="1"/>
  <c r="C72" i="47" s="1"/>
  <c r="B50" i="47"/>
  <c r="B58" i="47" s="1"/>
  <c r="B60" i="47" s="1"/>
  <c r="C95" i="46"/>
  <c r="C26" i="48" s="1"/>
  <c r="E104" i="46"/>
  <c r="E103" i="46"/>
  <c r="H24" i="46"/>
  <c r="E28" i="46" s="1"/>
  <c r="H16" i="39" s="1"/>
  <c r="E26" i="39" s="1"/>
  <c r="F26" i="39" s="1"/>
  <c r="F27" i="39" s="1"/>
  <c r="C99" i="46"/>
  <c r="B15" i="46"/>
  <c r="C28" i="46" s="1"/>
  <c r="F16" i="39" s="1"/>
  <c r="H91" i="46"/>
  <c r="E95" i="46" s="1"/>
  <c r="E26" i="48" s="1"/>
  <c r="G111" i="38"/>
  <c r="I111" i="38" s="1"/>
  <c r="B85" i="34"/>
  <c r="D40" i="42"/>
  <c r="D40" i="40"/>
  <c r="I112" i="38"/>
  <c r="E111" i="38"/>
  <c r="E31" i="38"/>
  <c r="E32" i="38" s="1"/>
  <c r="E34" i="38" s="1"/>
  <c r="E31" i="43"/>
  <c r="E32" i="43" s="1"/>
  <c r="E34" i="43" s="1"/>
  <c r="E35" i="43" s="1"/>
  <c r="E31" i="42"/>
  <c r="E32" i="42" s="1"/>
  <c r="E34" i="42" s="1"/>
  <c r="E35" i="42" s="1"/>
  <c r="E31" i="34"/>
  <c r="E32" i="34" s="1"/>
  <c r="E34" i="34" s="1"/>
  <c r="E35" i="34" s="1"/>
  <c r="H52" i="39"/>
  <c r="H52" i="40"/>
  <c r="H61" i="40" s="1"/>
  <c r="B68" i="34"/>
  <c r="B69" i="34"/>
  <c r="B70" i="34"/>
  <c r="B68" i="42"/>
  <c r="B69" i="42"/>
  <c r="B70" i="42"/>
  <c r="B68" i="43"/>
  <c r="B69" i="43"/>
  <c r="B70" i="43"/>
  <c r="B71" i="43"/>
  <c r="B67" i="38"/>
  <c r="B71" i="38"/>
  <c r="B72" i="38"/>
  <c r="H25" i="38"/>
  <c r="F25" i="38"/>
  <c r="H25" i="43"/>
  <c r="C26" i="43"/>
  <c r="H26" i="43" s="1"/>
  <c r="F25" i="43"/>
  <c r="E26" i="43"/>
  <c r="F26" i="43" s="1"/>
  <c r="H25" i="42"/>
  <c r="F25" i="42"/>
  <c r="F23" i="40"/>
  <c r="F107" i="38" s="1"/>
  <c r="E30" i="40"/>
  <c r="E31" i="39"/>
  <c r="E32" i="39" s="1"/>
  <c r="E34" i="39" s="1"/>
  <c r="E31" i="40"/>
  <c r="E32" i="40" s="1"/>
  <c r="E34" i="40" s="1"/>
  <c r="F101" i="38"/>
  <c r="F102" i="38" s="1"/>
  <c r="F104" i="38"/>
  <c r="F103" i="38"/>
  <c r="D76" i="38"/>
  <c r="E104" i="38" s="1"/>
  <c r="E101" i="38"/>
  <c r="B48" i="38"/>
  <c r="B56" i="38" s="1"/>
  <c r="C26" i="38"/>
  <c r="E26" i="38"/>
  <c r="C26" i="42"/>
  <c r="E26" i="42"/>
  <c r="B48" i="34"/>
  <c r="C40" i="34" s="1"/>
  <c r="B48" i="42"/>
  <c r="B48" i="43"/>
  <c r="C40" i="43" s="1"/>
  <c r="C40" i="39"/>
  <c r="C41" i="39" s="1"/>
  <c r="C40" i="40"/>
  <c r="C11" i="38"/>
  <c r="G58" i="43"/>
  <c r="H58" i="43" s="1"/>
  <c r="C11" i="43"/>
  <c r="C11" i="42"/>
  <c r="C26" i="34"/>
  <c r="C11" i="34"/>
  <c r="C11" i="40"/>
  <c r="C26" i="39"/>
  <c r="H26" i="39" s="1"/>
  <c r="H27" i="39" s="1"/>
  <c r="E26" i="34"/>
  <c r="E27" i="34" s="1"/>
  <c r="C9" i="38"/>
  <c r="C9" i="43"/>
  <c r="C9" i="42"/>
  <c r="C9" i="34"/>
  <c r="C9" i="40"/>
  <c r="D75" i="38"/>
  <c r="E103" i="38" s="1"/>
  <c r="D74" i="38"/>
  <c r="E102" i="38" s="1"/>
  <c r="A71" i="43"/>
  <c r="A70" i="43"/>
  <c r="A69" i="43"/>
  <c r="A68" i="43"/>
  <c r="H59" i="43"/>
  <c r="H57" i="43"/>
  <c r="B78" i="43"/>
  <c r="B81" i="43" s="1"/>
  <c r="A78" i="43"/>
  <c r="A81" i="43" s="1"/>
  <c r="H59" i="42"/>
  <c r="H57" i="42"/>
  <c r="B78" i="42"/>
  <c r="A78" i="42"/>
  <c r="A71" i="42"/>
  <c r="A70" i="42"/>
  <c r="A69" i="42"/>
  <c r="A68" i="42"/>
  <c r="B71" i="34"/>
  <c r="B78" i="34"/>
  <c r="B84" i="34" s="1"/>
  <c r="A78" i="34"/>
  <c r="A84" i="34" s="1"/>
  <c r="H59" i="38"/>
  <c r="A71" i="38"/>
  <c r="A70" i="38"/>
  <c r="A68" i="38"/>
  <c r="A72" i="38"/>
  <c r="A67" i="38"/>
  <c r="A68" i="34"/>
  <c r="H49" i="40"/>
  <c r="H50" i="40"/>
  <c r="H51" i="40"/>
  <c r="H53" i="40"/>
  <c r="H54" i="40"/>
  <c r="H55" i="40"/>
  <c r="H56" i="40"/>
  <c r="H57" i="40"/>
  <c r="H58" i="40"/>
  <c r="H59" i="40"/>
  <c r="H25" i="40"/>
  <c r="F25" i="40"/>
  <c r="E27" i="40"/>
  <c r="H49" i="39"/>
  <c r="H50" i="39"/>
  <c r="H51" i="39"/>
  <c r="H53" i="39"/>
  <c r="H54" i="39"/>
  <c r="H55" i="39"/>
  <c r="H56" i="39"/>
  <c r="H57" i="39"/>
  <c r="H58" i="39"/>
  <c r="H59" i="39"/>
  <c r="H25" i="39"/>
  <c r="F25" i="39"/>
  <c r="A71" i="34"/>
  <c r="A70" i="34"/>
  <c r="A69" i="34"/>
  <c r="H25" i="34"/>
  <c r="F25" i="34"/>
  <c r="G43" i="39"/>
  <c r="F26" i="34"/>
  <c r="F27" i="34" s="1"/>
  <c r="F26" i="48" l="1"/>
  <c r="F27" i="48" s="1"/>
  <c r="E27" i="48"/>
  <c r="H16" i="48"/>
  <c r="C102" i="46"/>
  <c r="C96" i="46"/>
  <c r="H26" i="48"/>
  <c r="H27" i="48" s="1"/>
  <c r="C27" i="48"/>
  <c r="F16" i="48"/>
  <c r="E31" i="48"/>
  <c r="E32" i="48" s="1"/>
  <c r="E34" i="48" s="1"/>
  <c r="E35" i="48" s="1"/>
  <c r="E31" i="49"/>
  <c r="E32" i="49" s="1"/>
  <c r="E34" i="49" s="1"/>
  <c r="E35" i="49" s="1"/>
  <c r="B66" i="49" s="1"/>
  <c r="B72" i="49" s="1"/>
  <c r="C72" i="49" s="1"/>
  <c r="C46" i="50"/>
  <c r="B66" i="50"/>
  <c r="B72" i="50" s="1"/>
  <c r="C72" i="50" s="1"/>
  <c r="B50" i="50"/>
  <c r="B58" i="50" s="1"/>
  <c r="B60" i="50" s="1"/>
  <c r="G69" i="47"/>
  <c r="H69" i="47" s="1"/>
  <c r="F80" i="38"/>
  <c r="C46" i="49"/>
  <c r="G70" i="47"/>
  <c r="H70" i="47" s="1"/>
  <c r="C80" i="38"/>
  <c r="C46" i="48"/>
  <c r="B66" i="48"/>
  <c r="B72" i="48" s="1"/>
  <c r="C72" i="48" s="1"/>
  <c r="B50" i="48"/>
  <c r="B58" i="48" s="1"/>
  <c r="B60" i="48" s="1"/>
  <c r="B71" i="42"/>
  <c r="H61" i="39"/>
  <c r="B51" i="39" s="1"/>
  <c r="C27" i="39"/>
  <c r="C97" i="46"/>
  <c r="B103" i="38"/>
  <c r="B106" i="38" s="1"/>
  <c r="B110" i="38" s="1"/>
  <c r="B111" i="38" s="1"/>
  <c r="H27" i="43"/>
  <c r="F27" i="43"/>
  <c r="C27" i="43"/>
  <c r="F26" i="40"/>
  <c r="F27" i="40" s="1"/>
  <c r="E27" i="39"/>
  <c r="C103" i="38"/>
  <c r="C104" i="38" s="1"/>
  <c r="F26" i="38"/>
  <c r="F27" i="38" s="1"/>
  <c r="E27" i="38"/>
  <c r="H26" i="38"/>
  <c r="H27" i="38" s="1"/>
  <c r="C27" i="38"/>
  <c r="E35" i="38"/>
  <c r="E27" i="43"/>
  <c r="F26" i="42"/>
  <c r="F27" i="42" s="1"/>
  <c r="E27" i="42"/>
  <c r="H26" i="42"/>
  <c r="H27" i="42" s="1"/>
  <c r="C27" i="42"/>
  <c r="C27" i="34"/>
  <c r="H26" i="34"/>
  <c r="H27" i="34" s="1"/>
  <c r="C41" i="40"/>
  <c r="C42" i="40" s="1"/>
  <c r="G43" i="40"/>
  <c r="C41" i="43"/>
  <c r="G43" i="43"/>
  <c r="C40" i="38"/>
  <c r="C42" i="39"/>
  <c r="B50" i="39" s="1"/>
  <c r="G44" i="39"/>
  <c r="C41" i="34"/>
  <c r="A82" i="34" s="1"/>
  <c r="C82" i="34" s="1"/>
  <c r="E82" i="34" s="1"/>
  <c r="G43" i="34"/>
  <c r="C40" i="42"/>
  <c r="G43" i="42" s="1"/>
  <c r="B70" i="38"/>
  <c r="C30" i="46"/>
  <c r="C29" i="46"/>
  <c r="E97" i="46"/>
  <c r="E96" i="46"/>
  <c r="C104" i="46"/>
  <c r="C103" i="46"/>
  <c r="E30" i="46"/>
  <c r="E29" i="46"/>
  <c r="B67" i="40"/>
  <c r="B51" i="40"/>
  <c r="E35" i="40"/>
  <c r="G107" i="38"/>
  <c r="E35" i="39"/>
  <c r="B54" i="38" l="1"/>
  <c r="B50" i="49"/>
  <c r="B58" i="49" s="1"/>
  <c r="B60" i="49" s="1"/>
  <c r="B67" i="39"/>
  <c r="G70" i="50"/>
  <c r="C77" i="38"/>
  <c r="A79" i="34"/>
  <c r="A85" i="34"/>
  <c r="C85" i="34" s="1"/>
  <c r="E85" i="34" s="1"/>
  <c r="G69" i="50"/>
  <c r="H69" i="50" s="1"/>
  <c r="G44" i="43"/>
  <c r="A82" i="43"/>
  <c r="C82" i="43" s="1"/>
  <c r="E82" i="43" s="1"/>
  <c r="G53" i="43" s="1"/>
  <c r="H53" i="43" s="1"/>
  <c r="G69" i="48"/>
  <c r="H69" i="48" s="1"/>
  <c r="F81" i="38"/>
  <c r="G70" i="49"/>
  <c r="C82" i="38"/>
  <c r="G71" i="47"/>
  <c r="H71" i="47" s="1"/>
  <c r="G70" i="48"/>
  <c r="C81" i="38"/>
  <c r="G69" i="49"/>
  <c r="H69" i="49" s="1"/>
  <c r="F82" i="38"/>
  <c r="C41" i="42"/>
  <c r="A79" i="43"/>
  <c r="C79" i="43" s="1"/>
  <c r="E79" i="43" s="1"/>
  <c r="G54" i="43" s="1"/>
  <c r="H54" i="43" s="1"/>
  <c r="H61" i="43" s="1"/>
  <c r="A79" i="42"/>
  <c r="C79" i="42" s="1"/>
  <c r="E79" i="42" s="1"/>
  <c r="G54" i="42" s="1"/>
  <c r="H54" i="42" s="1"/>
  <c r="C79" i="34"/>
  <c r="E79" i="34" s="1"/>
  <c r="G54" i="34" s="1"/>
  <c r="H54" i="34" s="1"/>
  <c r="B58" i="39"/>
  <c r="B60" i="39" s="1"/>
  <c r="F78" i="38" s="1"/>
  <c r="H26" i="40"/>
  <c r="H27" i="40" s="1"/>
  <c r="C27" i="40"/>
  <c r="G44" i="40"/>
  <c r="B66" i="39"/>
  <c r="B72" i="39" s="1"/>
  <c r="I52" i="39" s="1"/>
  <c r="C46" i="40"/>
  <c r="I107" i="38"/>
  <c r="B50" i="40"/>
  <c r="B58" i="40" s="1"/>
  <c r="B60" i="40" s="1"/>
  <c r="F79" i="38" s="1"/>
  <c r="B66" i="40"/>
  <c r="B72" i="40" s="1"/>
  <c r="C72" i="40" s="1"/>
  <c r="C79" i="38" s="1"/>
  <c r="C42" i="43"/>
  <c r="B66" i="43" s="1"/>
  <c r="B68" i="38"/>
  <c r="C110" i="38"/>
  <c r="G44" i="42"/>
  <c r="C41" i="38"/>
  <c r="G43" i="38"/>
  <c r="G44" i="34"/>
  <c r="C42" i="34"/>
  <c r="I108" i="38"/>
  <c r="C46" i="39"/>
  <c r="I105" i="38"/>
  <c r="C42" i="42" l="1"/>
  <c r="A82" i="42"/>
  <c r="C82" i="42" s="1"/>
  <c r="E82" i="42" s="1"/>
  <c r="G53" i="42" s="1"/>
  <c r="H53" i="42" s="1"/>
  <c r="H61" i="42" s="1"/>
  <c r="C89" i="38"/>
  <c r="E89" i="38" s="1"/>
  <c r="A92" i="38"/>
  <c r="C92" i="38" s="1"/>
  <c r="E92" i="38" s="1"/>
  <c r="G53" i="38" s="1"/>
  <c r="H53" i="38" s="1"/>
  <c r="H70" i="50"/>
  <c r="G71" i="50"/>
  <c r="H71" i="50" s="1"/>
  <c r="H70" i="49"/>
  <c r="G71" i="49"/>
  <c r="H71" i="49" s="1"/>
  <c r="G69" i="39"/>
  <c r="H69" i="39" s="1"/>
  <c r="H70" i="48"/>
  <c r="G71" i="48"/>
  <c r="H71" i="48" s="1"/>
  <c r="C72" i="39"/>
  <c r="C78" i="38" s="1"/>
  <c r="G69" i="40"/>
  <c r="H69" i="40" s="1"/>
  <c r="B51" i="43"/>
  <c r="B67" i="43"/>
  <c r="B73" i="43" s="1"/>
  <c r="I52" i="43" s="1"/>
  <c r="G53" i="34"/>
  <c r="H53" i="34" s="1"/>
  <c r="C111" i="38"/>
  <c r="C46" i="43"/>
  <c r="B50" i="43"/>
  <c r="B58" i="43" s="1"/>
  <c r="B60" i="43" s="1"/>
  <c r="C43" i="43"/>
  <c r="C42" i="38"/>
  <c r="G44" i="38"/>
  <c r="B66" i="34"/>
  <c r="C46" i="34"/>
  <c r="C43" i="34"/>
  <c r="B50" i="34"/>
  <c r="G70" i="40"/>
  <c r="G54" i="38" l="1"/>
  <c r="H54" i="38" s="1"/>
  <c r="G58" i="38"/>
  <c r="H58" i="38" s="1"/>
  <c r="B50" i="42"/>
  <c r="C43" i="42"/>
  <c r="B66" i="42"/>
  <c r="C46" i="42"/>
  <c r="G70" i="39"/>
  <c r="G71" i="39" s="1"/>
  <c r="H71" i="39" s="1"/>
  <c r="H61" i="34"/>
  <c r="G70" i="43"/>
  <c r="H70" i="43" s="1"/>
  <c r="F74" i="38"/>
  <c r="B51" i="42"/>
  <c r="B58" i="42" s="1"/>
  <c r="B60" i="42" s="1"/>
  <c r="F75" i="38" s="1"/>
  <c r="B67" i="42"/>
  <c r="B73" i="42" s="1"/>
  <c r="I52" i="42" s="1"/>
  <c r="C73" i="43"/>
  <c r="C74" i="38" s="1"/>
  <c r="B65" i="38"/>
  <c r="B50" i="38"/>
  <c r="C43" i="38"/>
  <c r="I101" i="38"/>
  <c r="I102" i="38" s="1"/>
  <c r="I103" i="38" s="1"/>
  <c r="I104" i="38" s="1"/>
  <c r="C46" i="38"/>
  <c r="I106" i="38"/>
  <c r="G71" i="40"/>
  <c r="H71" i="40" s="1"/>
  <c r="H70" i="40"/>
  <c r="H61" i="38" l="1"/>
  <c r="B51" i="38" s="1"/>
  <c r="B59" i="38" s="1"/>
  <c r="B61" i="38" s="1"/>
  <c r="H70" i="39"/>
  <c r="C73" i="42"/>
  <c r="C75" i="38" s="1"/>
  <c r="B51" i="34"/>
  <c r="B58" i="34" s="1"/>
  <c r="B60" i="34" s="1"/>
  <c r="F76" i="38" s="1"/>
  <c r="B67" i="34"/>
  <c r="B73" i="34" s="1"/>
  <c r="I52" i="34" s="1"/>
  <c r="B66" i="38"/>
  <c r="B73" i="38" s="1"/>
  <c r="G70" i="42"/>
  <c r="H70" i="42" s="1"/>
  <c r="G71" i="43"/>
  <c r="H69" i="34"/>
  <c r="I69" i="34" s="1"/>
  <c r="C73" i="34" l="1"/>
  <c r="C76" i="38" s="1"/>
  <c r="G71" i="42"/>
  <c r="H71" i="42" s="1"/>
  <c r="I52" i="38"/>
  <c r="C73" i="38"/>
  <c r="C83" i="38" s="1"/>
  <c r="F73" i="38"/>
  <c r="G67" i="38"/>
  <c r="H67" i="38" s="1"/>
  <c r="G72" i="43"/>
  <c r="H72" i="43" s="1"/>
  <c r="H71" i="43"/>
  <c r="G68" i="38" l="1"/>
  <c r="G69" i="38" s="1"/>
  <c r="H69" i="38" s="1"/>
  <c r="F83" i="38"/>
  <c r="G83" i="38" s="1"/>
  <c r="G72" i="42"/>
  <c r="H72" i="42" s="1"/>
  <c r="H70" i="34"/>
  <c r="H71" i="34" s="1"/>
  <c r="I71" i="34" s="1"/>
  <c r="H68" i="38"/>
  <c r="A83" i="38" l="1"/>
  <c r="H71" i="38" s="1"/>
  <c r="I70" i="34"/>
  <c r="H70" i="38" l="1"/>
</calcChain>
</file>

<file path=xl/sharedStrings.xml><?xml version="1.0" encoding="utf-8"?>
<sst xmlns="http://schemas.openxmlformats.org/spreadsheetml/2006/main" count="1162" uniqueCount="213">
  <si>
    <t>Observaciones</t>
  </si>
  <si>
    <t xml:space="preserve">Material 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</si>
  <si>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</si>
  <si>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</si>
  <si>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</si>
  <si>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</si>
  <si>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</si>
  <si>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</si>
  <si>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</si>
  <si>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 xml:space="preserve">Grafico </t>
  </si>
  <si>
    <t>Proyecto</t>
  </si>
  <si>
    <t>Descripción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</si>
  <si>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</si>
  <si>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</si>
  <si>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</si>
  <si>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</si>
  <si>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</si>
  <si>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</si>
  <si>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</si>
  <si>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</si>
  <si>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</si>
  <si>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</si>
  <si>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</si>
  <si>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</si>
  <si>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</si>
  <si>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</si>
  <si>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</si>
  <si>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</si>
  <si>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</si>
  <si>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</si>
  <si>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</si>
  <si>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</si>
  <si>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</si>
  <si>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</si>
  <si>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</si>
  <si>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</si>
  <si>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</si>
  <si>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</si>
  <si>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</si>
  <si>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</si>
  <si>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</si>
  <si>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</si>
  <si>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</si>
  <si>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</si>
  <si>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</si>
  <si>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</si>
  <si>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</si>
  <si>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</si>
  <si>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</si>
  <si>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</si>
  <si>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</si>
  <si>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</si>
  <si>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</si>
  <si>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</si>
  <si>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</si>
  <si>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</si>
  <si>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</si>
  <si>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</si>
  <si>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</si>
  <si>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</si>
  <si>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</si>
  <si>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</si>
  <si>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</si>
  <si>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</si>
  <si>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</si>
  <si>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</si>
  <si>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</si>
  <si>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</si>
  <si>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</si>
  <si>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Cantidad a comprar</t>
  </si>
  <si>
    <t>Precio</t>
  </si>
  <si>
    <t>Costo</t>
  </si>
  <si>
    <t>Importe de la compra</t>
  </si>
  <si>
    <t>Precio final</t>
  </si>
  <si>
    <t>Utilidad</t>
  </si>
  <si>
    <t>Ganancia %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</si>
  <si>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</si>
  <si>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</si>
  <si>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</si>
  <si>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</si>
  <si>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</si>
  <si>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</si>
  <si>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</si>
  <si>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</si>
  <si>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</si>
  <si>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</si>
  <si>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</si>
  <si>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</si>
  <si>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</si>
  <si>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</si>
  <si>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</si>
  <si>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</si>
  <si>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>cartoné</t>
  </si>
  <si>
    <t>gris</t>
  </si>
  <si>
    <t>Encuadernación</t>
  </si>
  <si>
    <t>Imán</t>
  </si>
  <si>
    <t>corte</t>
  </si>
  <si>
    <t>TOTAL</t>
  </si>
  <si>
    <t>Area</t>
  </si>
  <si>
    <t>area + cantidad de hojas</t>
  </si>
  <si>
    <t>arreglo</t>
  </si>
  <si>
    <t>total a pagar</t>
  </si>
  <si>
    <t xml:space="preserve">laminado mate </t>
  </si>
  <si>
    <t>Cartón Gris</t>
  </si>
  <si>
    <t>empalme</t>
  </si>
  <si>
    <t>Empaque</t>
  </si>
  <si>
    <t>Comisiones</t>
  </si>
  <si>
    <t>Suajado</t>
  </si>
  <si>
    <t>Precio por Paquete</t>
  </si>
  <si>
    <t>Colocado</t>
  </si>
  <si>
    <t>Maquila Armado</t>
  </si>
  <si>
    <t>TT Costo</t>
  </si>
  <si>
    <t>TT Utilidad</t>
  </si>
  <si>
    <t>Unitario</t>
  </si>
  <si>
    <t>Venta</t>
  </si>
  <si>
    <t>Envio</t>
  </si>
  <si>
    <t>Pruebas de color</t>
  </si>
  <si>
    <t xml:space="preserve">minimo </t>
  </si>
  <si>
    <t>Material</t>
  </si>
  <si>
    <t>$ compra dcto</t>
  </si>
  <si>
    <t>negra 0.2</t>
  </si>
  <si>
    <t>TT</t>
  </si>
  <si>
    <t>Pliegos</t>
  </si>
  <si>
    <t>#4</t>
  </si>
  <si>
    <t xml:space="preserve">Costo Basicos </t>
  </si>
  <si>
    <t>Fecha:</t>
  </si>
  <si>
    <t>Cliente:</t>
  </si>
  <si>
    <t>Proyecto:</t>
  </si>
  <si>
    <t>Cantidad:</t>
  </si>
  <si>
    <t>piezas</t>
  </si>
  <si>
    <t>merma</t>
  </si>
  <si>
    <t>Base(frente)</t>
  </si>
  <si>
    <t>Profundidad</t>
  </si>
  <si>
    <t>Altura</t>
  </si>
  <si>
    <t>TT Horizontal</t>
  </si>
  <si>
    <t>TT Vertical</t>
  </si>
  <si>
    <t>CARTÓN</t>
  </si>
  <si>
    <t>TT Pliegos</t>
  </si>
  <si>
    <t>Forro Exterior</t>
  </si>
  <si>
    <t>Lado 1</t>
  </si>
  <si>
    <t>Lado 2</t>
  </si>
  <si>
    <t>Medida Tapa</t>
  </si>
  <si>
    <t xml:space="preserve">Cartón </t>
  </si>
  <si>
    <t>Medida Caja</t>
  </si>
  <si>
    <t>Ancho o</t>
  </si>
  <si>
    <t>Alto</t>
  </si>
  <si>
    <t>LAMINADO + UV + EMPALME</t>
  </si>
  <si>
    <t>Empalme</t>
  </si>
  <si>
    <t>Blanco</t>
  </si>
  <si>
    <t>merma agregar</t>
  </si>
  <si>
    <t>Couche</t>
  </si>
  <si>
    <t>150 gr.</t>
  </si>
  <si>
    <t xml:space="preserve">Prueba de Color </t>
  </si>
  <si>
    <t>Arreglo Suaje</t>
  </si>
  <si>
    <t>Jgo.</t>
  </si>
  <si>
    <t>pieza</t>
  </si>
  <si>
    <t>Pruebas de Color</t>
  </si>
  <si>
    <t>PRM</t>
  </si>
  <si>
    <t>Absolut Empaque Premium</t>
  </si>
  <si>
    <t>Base Interior</t>
  </si>
  <si>
    <t>Limón Circulo</t>
  </si>
  <si>
    <t>Couche 150 gr.</t>
  </si>
  <si>
    <t>Tapa Caja</t>
  </si>
  <si>
    <t>Tira Circulo</t>
  </si>
  <si>
    <t>Base Interior(soporte)</t>
  </si>
  <si>
    <t>cartón limón círculo</t>
  </si>
  <si>
    <t>cartón soporte</t>
  </si>
  <si>
    <t>cartón tira</t>
  </si>
  <si>
    <t>#2</t>
  </si>
  <si>
    <t>Medida Hoja</t>
  </si>
  <si>
    <t>cartón tapa base</t>
  </si>
  <si>
    <t xml:space="preserve">tamaño extendido 17.6 X 12.6 </t>
  </si>
  <si>
    <t>Tapa Acrilico</t>
  </si>
  <si>
    <t>Transparente</t>
  </si>
  <si>
    <t>Caja Glorificador Limón</t>
  </si>
  <si>
    <t>tamaño 30 X 30 cm.(aprox)</t>
  </si>
  <si>
    <t>Base cartoné forrado en papel couche 150 gr.</t>
  </si>
  <si>
    <t>impresa a 4 X 0 tintas offset +</t>
  </si>
  <si>
    <t>laminado mate 1 cara  +</t>
  </si>
  <si>
    <t>eva suajada  para soportar botella +</t>
  </si>
  <si>
    <t>acrilico transparente sin impresión</t>
  </si>
  <si>
    <t>forro circulo laterales</t>
  </si>
  <si>
    <t>forro tira circulo</t>
  </si>
  <si>
    <t>forro base caja</t>
  </si>
  <si>
    <t>forro tapa caja</t>
  </si>
  <si>
    <t>*pieza</t>
  </si>
  <si>
    <t>Eva</t>
  </si>
  <si>
    <t>Negra</t>
  </si>
  <si>
    <t>12 mm</t>
  </si>
  <si>
    <t>eva</t>
  </si>
  <si>
    <t>#7</t>
  </si>
  <si>
    <t>esta parte va adentro del limón</t>
  </si>
  <si>
    <t>Base Cajón</t>
  </si>
  <si>
    <t>Forro Exterior Base Cajón</t>
  </si>
  <si>
    <t>Forro Exterior TAPA cajón</t>
  </si>
  <si>
    <t>Cartón Base Soporte Interior</t>
  </si>
  <si>
    <t>tamaño 35.3 X 23 cm.</t>
  </si>
  <si>
    <t>tamaño extendido 14 .65 X 12 cm.</t>
  </si>
  <si>
    <t>tamaño extendido 10.5 X 39.6</t>
  </si>
  <si>
    <t>tamaño extendido 26.4 X 20.4</t>
  </si>
  <si>
    <t>cartón base cajón</t>
  </si>
  <si>
    <t>Tapa Base Cajón</t>
  </si>
  <si>
    <t>UV Rugoso</t>
  </si>
  <si>
    <t>Barniz UV Rugoso</t>
  </si>
  <si>
    <t>T Ent 48 hr.</t>
  </si>
  <si>
    <t>UV Brillante</t>
  </si>
  <si>
    <t>UV Rugoso/ Brillante</t>
  </si>
  <si>
    <t>ARREGLAR ESTA TABLA PARA PASAR A COMPRAS!!</t>
  </si>
  <si>
    <t>Couche Mate</t>
  </si>
  <si>
    <t>05 de abril de 2017</t>
  </si>
  <si>
    <t>Tablas Suaje</t>
  </si>
  <si>
    <t>Barnices UV</t>
  </si>
  <si>
    <t xml:space="preserve">tamaño extendido 10 X 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</si>
</sst>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9"/>
      <color theme="0"/>
      <name val="Century Gothic"/>
      <family val="2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9"/>
      <name val="Arial"/>
      <family val="2"/>
    </font>
    <font>
      <b/>
      <sz val="10"/>
      <color rgb="FFFF000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22" applyNumberFormat="0" applyAlignment="0" applyProtection="0"/>
    <xf numFmtId="0" fontId="15" fillId="6" borderId="23" applyNumberFormat="0" applyAlignment="0" applyProtection="0"/>
    <xf numFmtId="0" fontId="16" fillId="7" borderId="0" applyNumberFormat="0" applyBorder="0" applyAlignment="0" applyProtection="0"/>
    <xf numFmtId="0" fontId="17" fillId="0" borderId="24" applyNumberFormat="0" applyFill="0" applyAlignment="0" applyProtection="0"/>
    <xf numFmtId="0" fontId="18" fillId="0" borderId="25" applyNumberFormat="0" applyFill="0" applyAlignment="0" applyProtection="0"/>
    <xf numFmtId="0" fontId="19" fillId="0" borderId="26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8" borderId="27" applyNumberFormat="0" applyFont="0" applyAlignment="0" applyProtection="0"/>
    <xf numFmtId="44" fontId="21" fillId="0" borderId="0" applyFont="0" applyFill="0" applyBorder="0" applyAlignment="0" applyProtection="0"/>
  </cellStyleXfs>
  <cellXfs count="14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0" fontId="2" fillId="0" borderId="4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15" xfId="0" applyFont="1" applyBorder="1"/>
    <xf numFmtId="0" fontId="4" fillId="0" borderId="15" xfId="0" applyFont="1" applyBorder="1"/>
    <xf numFmtId="2" fontId="4" fillId="0" borderId="15" xfId="0" applyNumberFormat="1" applyFont="1" applyBorder="1" applyAlignment="1">
      <alignment horizontal="center"/>
    </xf>
    <xf numFmtId="0" fontId="10" fillId="0" borderId="0" xfId="0" applyFont="1"/>
    <xf numFmtId="0" fontId="2" fillId="0" borderId="15" xfId="0" applyFont="1" applyBorder="1"/>
    <xf numFmtId="2" fontId="5" fillId="0" borderId="15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0" fontId="12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2" fontId="22" fillId="0" borderId="0" xfId="0" applyNumberFormat="1" applyFont="1" applyAlignment="1">
      <alignment horizontal="center"/>
    </xf>
    <xf numFmtId="44" fontId="23" fillId="0" borderId="0" xfId="1" applyFont="1"/>
    <xf numFmtId="44" fontId="24" fillId="9" borderId="0" xfId="1" applyFont="1" applyFill="1"/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center"/>
    </xf>
    <xf numFmtId="44" fontId="2" fillId="0" borderId="20" xfId="1" applyFont="1" applyBorder="1" applyAlignment="1">
      <alignment horizontal="left"/>
    </xf>
    <xf numFmtId="0" fontId="6" fillId="0" borderId="21" xfId="0" applyFont="1" applyBorder="1"/>
    <xf numFmtId="44" fontId="2" fillId="0" borderId="20" xfId="0" applyNumberFormat="1" applyFont="1" applyBorder="1"/>
    <xf numFmtId="44" fontId="2" fillId="0" borderId="21" xfId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4" fontId="6" fillId="0" borderId="5" xfId="1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26" fillId="0" borderId="15" xfId="0" applyFont="1" applyBorder="1" applyAlignment="1">
      <alignment horizontal="left"/>
    </xf>
    <xf numFmtId="44" fontId="26" fillId="0" borderId="15" xfId="0" applyNumberFormat="1" applyFont="1" applyBorder="1" applyAlignment="1">
      <alignment horizontal="center"/>
    </xf>
    <xf numFmtId="1" fontId="26" fillId="0" borderId="15" xfId="0" applyNumberFormat="1" applyFont="1" applyBorder="1" applyAlignment="1">
      <alignment horizontal="center"/>
    </xf>
    <xf numFmtId="0" fontId="25" fillId="0" borderId="28" xfId="0" applyFont="1" applyBorder="1"/>
    <xf numFmtId="44" fontId="25" fillId="0" borderId="29" xfId="0" applyNumberFormat="1" applyFont="1" applyBorder="1"/>
    <xf numFmtId="0" fontId="26" fillId="0" borderId="1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26" fillId="0" borderId="14" xfId="0" applyFont="1" applyBorder="1" applyAlignment="1">
      <alignment horizontal="right"/>
    </xf>
    <xf numFmtId="44" fontId="26" fillId="0" borderId="16" xfId="0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2" fillId="0" borderId="18" xfId="0" applyFont="1" applyBorder="1"/>
    <xf numFmtId="0" fontId="2" fillId="0" borderId="19" xfId="0" applyFont="1" applyBorder="1"/>
    <xf numFmtId="0" fontId="2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29" fillId="0" borderId="0" xfId="0" applyFont="1"/>
    <xf numFmtId="0" fontId="28" fillId="0" borderId="0" xfId="0" applyFont="1"/>
    <xf numFmtId="0" fontId="28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44" fontId="10" fillId="0" borderId="0" xfId="1" applyFont="1"/>
    <xf numFmtId="44" fontId="28" fillId="0" borderId="0" xfId="1" applyFont="1"/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  <xf numFmtId="44" fontId="2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44" fontId="2" fillId="0" borderId="0" xfId="0" applyNumberFormat="1" applyFont="1"/>
    <xf numFmtId="44" fontId="2" fillId="0" borderId="5" xfId="1" applyFont="1" applyBorder="1" applyAlignment="1">
      <alignment horizontal="center"/>
    </xf>
    <xf numFmtId="44" fontId="30" fillId="0" borderId="5" xfId="1" applyFont="1" applyFill="1" applyBorder="1" applyAlignment="1">
      <alignment vertical="center"/>
    </xf>
    <xf numFmtId="0" fontId="31" fillId="0" borderId="0" xfId="0" applyFont="1"/>
    <xf numFmtId="44" fontId="6" fillId="0" borderId="0" xfId="1" applyFont="1" applyBorder="1" applyAlignment="1">
      <alignment horizontal="center"/>
    </xf>
    <xf numFmtId="44" fontId="6" fillId="0" borderId="20" xfId="0" applyNumberFormat="1" applyFont="1" applyBorder="1"/>
    <xf numFmtId="44" fontId="6" fillId="0" borderId="21" xfId="1" applyFont="1" applyBorder="1" applyAlignment="1">
      <alignment horizontal="right"/>
    </xf>
    <xf numFmtId="44" fontId="30" fillId="0" borderId="5" xfId="1" applyFont="1" applyBorder="1" applyAlignment="1">
      <alignment vertical="center"/>
    </xf>
    <xf numFmtId="44" fontId="30" fillId="10" borderId="5" xfId="1" applyFont="1" applyFill="1" applyBorder="1" applyAlignment="1">
      <alignment vertical="center"/>
    </xf>
    <xf numFmtId="0" fontId="10" fillId="11" borderId="0" xfId="0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0" fontId="10" fillId="11" borderId="0" xfId="0" applyFont="1" applyFill="1"/>
    <xf numFmtId="0" fontId="27" fillId="0" borderId="11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44" fontId="6" fillId="0" borderId="0" xfId="1" applyFont="1" applyAlignment="1">
      <alignment horizontal="center"/>
    </xf>
    <xf numFmtId="2" fontId="24" fillId="9" borderId="0" xfId="0" applyNumberFormat="1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1" fontId="28" fillId="0" borderId="0" xfId="0" applyNumberFormat="1" applyFont="1" applyAlignment="1">
      <alignment horizontal="center"/>
    </xf>
  </cellXfs>
  <cellStyles count="14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3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724297</xdr:colOff>
      <xdr:row>14</xdr:row>
      <xdr:rowOff>178592</xdr:rowOff>
    </xdr:from>
    <xdr:to>
      <xdr:col>5</xdr:col>
      <xdr:colOff>228203</xdr:colOff>
      <xdr:row>22</xdr:row>
      <xdr:rowOff>188514</xdr:rowOff>
    </xdr:to>
    <xdr:sp macro="" textlink="">
      <xdr:nvSpPr>
        <xdr:cNvPr id="2" name="1 Rectángulo"/>
        <xdr:cNvSpPr/>
      </xdr:nvSpPr>
      <xdr:spPr>
        <a:xfrm>
          <a:off x="3303985" y="3145233"/>
          <a:ext cx="1071562" cy="16767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466327</xdr:colOff>
      <xdr:row>85</xdr:row>
      <xdr:rowOff>9926</xdr:rowOff>
    </xdr:from>
    <xdr:to>
      <xdr:col>5</xdr:col>
      <xdr:colOff>754062</xdr:colOff>
      <xdr:row>88</xdr:row>
      <xdr:rowOff>188520</xdr:rowOff>
    </xdr:to>
    <xdr:sp macro="" textlink="">
      <xdr:nvSpPr>
        <xdr:cNvPr id="5" name="4 Rectángulo"/>
        <xdr:cNvSpPr/>
      </xdr:nvSpPr>
      <xdr:spPr>
        <a:xfrm rot="5400000">
          <a:off x="3571875" y="12035238"/>
          <a:ext cx="803672" cy="18553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257969</xdr:colOff>
      <xdr:row>14</xdr:row>
      <xdr:rowOff>178593</xdr:rowOff>
    </xdr:from>
    <xdr:to>
      <xdr:col>6</xdr:col>
      <xdr:colOff>198438</xdr:colOff>
      <xdr:row>22</xdr:row>
      <xdr:rowOff>198437</xdr:rowOff>
    </xdr:to>
    <xdr:sp macro="" textlink="">
      <xdr:nvSpPr>
        <xdr:cNvPr id="11" name="10 Retraso"/>
        <xdr:cNvSpPr/>
      </xdr:nvSpPr>
      <xdr:spPr>
        <a:xfrm>
          <a:off x="4405313" y="3145234"/>
          <a:ext cx="704453" cy="1686719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754063</xdr:colOff>
      <xdr:row>14</xdr:row>
      <xdr:rowOff>178588</xdr:rowOff>
    </xdr:from>
    <xdr:to>
      <xdr:col>3</xdr:col>
      <xdr:colOff>694531</xdr:colOff>
      <xdr:row>22</xdr:row>
      <xdr:rowOff>198432</xdr:rowOff>
    </xdr:to>
    <xdr:sp macro="" textlink="">
      <xdr:nvSpPr>
        <xdr:cNvPr id="12" name="11 Retraso"/>
        <xdr:cNvSpPr/>
      </xdr:nvSpPr>
      <xdr:spPr>
        <a:xfrm rot="10800000">
          <a:off x="2569766" y="3145229"/>
          <a:ext cx="704453" cy="1686719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466327</xdr:colOff>
      <xdr:row>113</xdr:row>
      <xdr:rowOff>9926</xdr:rowOff>
    </xdr:from>
    <xdr:to>
      <xdr:col>5</xdr:col>
      <xdr:colOff>754062</xdr:colOff>
      <xdr:row>116</xdr:row>
      <xdr:rowOff>188520</xdr:rowOff>
    </xdr:to>
    <xdr:sp macro="" textlink="">
      <xdr:nvSpPr>
        <xdr:cNvPr id="13" name="12 Rectángulo"/>
        <xdr:cNvSpPr/>
      </xdr:nvSpPr>
      <xdr:spPr>
        <a:xfrm rot="5400000">
          <a:off x="3571875" y="10368363"/>
          <a:ext cx="803672" cy="18553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724297</xdr:colOff>
      <xdr:row>59</xdr:row>
      <xdr:rowOff>19842</xdr:rowOff>
    </xdr:from>
    <xdr:to>
      <xdr:col>5</xdr:col>
      <xdr:colOff>128984</xdr:colOff>
      <xdr:row>69</xdr:row>
      <xdr:rowOff>168671</xdr:rowOff>
    </xdr:to>
    <xdr:sp macro="" textlink="">
      <xdr:nvSpPr>
        <xdr:cNvPr id="14" name="13 Rectángulo"/>
        <xdr:cNvSpPr/>
      </xdr:nvSpPr>
      <xdr:spPr>
        <a:xfrm>
          <a:off x="3303985" y="10279061"/>
          <a:ext cx="972343" cy="223242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2"/>
  <sheetViews>
    <sheetView topLeftCell="A80" zoomScale="96" zoomScaleNormal="96" workbookViewId="0">
      <selection activeCell="G129" sqref="G129"/>
    </sheetView>
  </sheetViews>
  <sheetFormatPr baseColWidth="10" defaultRowHeight="16.5" x14ac:dyDescent="0.3"/>
  <cols>
    <col min="1" max="1" width="15.85546875" style="55" customWidth="1"/>
    <col min="2" max="2" width="13.7109375" style="55" customWidth="1"/>
    <col min="3" max="4" width="11.42578125" style="55"/>
    <col min="5" max="5" width="12" style="55" customWidth="1"/>
    <col min="6" max="6" width="11.42578125" style="55"/>
    <col min="7" max="7" width="13.28515625" style="55" customWidth="1"/>
    <col min="8" max="8" width="14.28515625" style="55" customWidth="1"/>
    <col min="9" max="16384" width="11.42578125" style="55"/>
  </cols>
  <sheetData>
    <row r="1" spans="1:8" x14ac:dyDescent="0.3">
      <c r="A1" s="109" t="s">
        <v>125</v>
      </c>
      <c r="B1" s="55" t="s">
        <v>209</v>
      </c>
    </row>
    <row r="3" spans="1:8" x14ac:dyDescent="0.3">
      <c r="A3" s="109" t="s">
        <v>126</v>
      </c>
      <c r="B3" s="55" t="s">
        <v>157</v>
      </c>
    </row>
    <row r="5" spans="1:8" x14ac:dyDescent="0.3">
      <c r="A5" s="109" t="s">
        <v>127</v>
      </c>
      <c r="B5" s="55" t="s">
        <v>158</v>
      </c>
    </row>
    <row r="6" spans="1:8" x14ac:dyDescent="0.3">
      <c r="A6" s="109"/>
    </row>
    <row r="7" spans="1:8" x14ac:dyDescent="0.3">
      <c r="A7" s="109" t="s">
        <v>128</v>
      </c>
      <c r="B7" s="110">
        <v>700</v>
      </c>
      <c r="C7" s="55" t="s">
        <v>129</v>
      </c>
      <c r="D7" s="55">
        <v>200</v>
      </c>
      <c r="E7" s="55" t="s">
        <v>130</v>
      </c>
    </row>
    <row r="8" spans="1:8" x14ac:dyDescent="0.3">
      <c r="C8" s="110"/>
    </row>
    <row r="9" spans="1:8" ht="20.25" x14ac:dyDescent="0.3">
      <c r="A9" s="111" t="s">
        <v>160</v>
      </c>
      <c r="D9" s="113" t="s">
        <v>144</v>
      </c>
    </row>
    <row r="10" spans="1:8" x14ac:dyDescent="0.3">
      <c r="A10" s="112" t="s">
        <v>143</v>
      </c>
      <c r="C10" s="113" t="s">
        <v>131</v>
      </c>
      <c r="D10" s="113" t="s">
        <v>132</v>
      </c>
      <c r="E10" s="113" t="s">
        <v>145</v>
      </c>
    </row>
    <row r="11" spans="1:8" x14ac:dyDescent="0.3">
      <c r="A11" s="112"/>
      <c r="C11" s="110">
        <f>12.65+10+12.65</f>
        <v>35.299999999999997</v>
      </c>
      <c r="D11" s="110">
        <v>23</v>
      </c>
      <c r="E11" s="110">
        <v>0</v>
      </c>
    </row>
    <row r="12" spans="1:8" x14ac:dyDescent="0.3">
      <c r="A12" s="112"/>
    </row>
    <row r="13" spans="1:8" x14ac:dyDescent="0.3">
      <c r="E13" s="55">
        <f>+C11</f>
        <v>35.299999999999997</v>
      </c>
    </row>
    <row r="14" spans="1:8" x14ac:dyDescent="0.3">
      <c r="D14" s="114">
        <f>+E11</f>
        <v>0</v>
      </c>
      <c r="G14" s="114">
        <f>+E11</f>
        <v>0</v>
      </c>
    </row>
    <row r="15" spans="1:8" x14ac:dyDescent="0.3">
      <c r="A15" s="115" t="s">
        <v>134</v>
      </c>
      <c r="B15" s="115">
        <f>+G14+E13+D14</f>
        <v>35.299999999999997</v>
      </c>
      <c r="H15" s="114"/>
    </row>
    <row r="16" spans="1:8" x14ac:dyDescent="0.3">
      <c r="G16" s="114"/>
      <c r="H16" s="114"/>
    </row>
    <row r="17" spans="1:9" x14ac:dyDescent="0.3">
      <c r="G17" s="114"/>
      <c r="H17" s="114"/>
    </row>
    <row r="18" spans="1:9" x14ac:dyDescent="0.3">
      <c r="G18" s="114"/>
      <c r="H18" s="114"/>
    </row>
    <row r="19" spans="1:9" x14ac:dyDescent="0.3">
      <c r="C19" s="114">
        <f>+D11</f>
        <v>23</v>
      </c>
      <c r="H19" s="114">
        <f>+D11</f>
        <v>23</v>
      </c>
    </row>
    <row r="20" spans="1:9" x14ac:dyDescent="0.3">
      <c r="G20" s="114"/>
      <c r="H20" s="114"/>
    </row>
    <row r="21" spans="1:9" x14ac:dyDescent="0.3">
      <c r="G21" s="114"/>
      <c r="H21" s="114"/>
    </row>
    <row r="22" spans="1:9" x14ac:dyDescent="0.3">
      <c r="G22" s="114"/>
      <c r="H22" s="114"/>
    </row>
    <row r="23" spans="1:9" x14ac:dyDescent="0.3">
      <c r="H23" s="114"/>
    </row>
    <row r="24" spans="1:9" x14ac:dyDescent="0.3">
      <c r="D24" s="114">
        <f>+E11</f>
        <v>0</v>
      </c>
      <c r="G24" s="114">
        <f>+E11</f>
        <v>0</v>
      </c>
      <c r="H24" s="112">
        <f>+G14+H19+G24</f>
        <v>23</v>
      </c>
      <c r="I24" s="115" t="s">
        <v>135</v>
      </c>
    </row>
    <row r="25" spans="1:9" x14ac:dyDescent="0.3">
      <c r="E25" s="55">
        <f>+C11</f>
        <v>35.299999999999997</v>
      </c>
    </row>
    <row r="27" spans="1:9" s="112" customFormat="1" x14ac:dyDescent="0.3">
      <c r="A27" s="112" t="s">
        <v>136</v>
      </c>
      <c r="B27" s="112" t="s">
        <v>123</v>
      </c>
      <c r="C27" s="113">
        <v>90</v>
      </c>
      <c r="D27" s="113" t="s">
        <v>81</v>
      </c>
      <c r="E27" s="113">
        <v>130</v>
      </c>
      <c r="F27" s="116">
        <f>+G27/1000</f>
        <v>39.429000000000002</v>
      </c>
      <c r="G27" s="116">
        <v>39429</v>
      </c>
      <c r="H27" s="117">
        <f>+F27*H28</f>
        <v>3548.61</v>
      </c>
    </row>
    <row r="28" spans="1:9" x14ac:dyDescent="0.3">
      <c r="C28" s="131">
        <f>+B15</f>
        <v>35.299999999999997</v>
      </c>
      <c r="D28" s="131" t="s">
        <v>81</v>
      </c>
      <c r="E28" s="131">
        <f>+H24</f>
        <v>23</v>
      </c>
      <c r="G28" s="112" t="s">
        <v>137</v>
      </c>
      <c r="H28" s="112">
        <v>90</v>
      </c>
    </row>
    <row r="29" spans="1:9" x14ac:dyDescent="0.3">
      <c r="C29" s="118">
        <f>+C27/C28</f>
        <v>2.5495750708215299</v>
      </c>
      <c r="D29" s="118"/>
      <c r="E29" s="118">
        <f>+E27/E28</f>
        <v>5.6521739130434785</v>
      </c>
      <c r="F29" s="112">
        <v>10</v>
      </c>
      <c r="G29" s="55">
        <f>+((B7+D7)/F29)</f>
        <v>90</v>
      </c>
    </row>
    <row r="30" spans="1:9" x14ac:dyDescent="0.3">
      <c r="C30" s="118">
        <f>+E27/C28</f>
        <v>3.6827195467422098</v>
      </c>
      <c r="D30" s="118"/>
      <c r="E30" s="118">
        <f>+C27/E28</f>
        <v>3.9130434782608696</v>
      </c>
      <c r="F30" s="55">
        <v>9</v>
      </c>
    </row>
    <row r="31" spans="1:9" x14ac:dyDescent="0.3">
      <c r="C31" s="110"/>
      <c r="D31" s="110"/>
      <c r="E31" s="110"/>
    </row>
    <row r="33" spans="1:8" x14ac:dyDescent="0.3">
      <c r="A33" s="112" t="s">
        <v>164</v>
      </c>
      <c r="C33" s="131">
        <v>12.65</v>
      </c>
      <c r="D33" s="131" t="s">
        <v>81</v>
      </c>
      <c r="E33" s="131">
        <v>10</v>
      </c>
      <c r="G33" s="55" t="s">
        <v>191</v>
      </c>
    </row>
    <row r="34" spans="1:8" ht="6" customHeight="1" x14ac:dyDescent="0.3">
      <c r="A34" s="112"/>
      <c r="C34" s="110"/>
      <c r="D34" s="110"/>
      <c r="E34" s="110"/>
    </row>
    <row r="35" spans="1:8" s="112" customFormat="1" x14ac:dyDescent="0.3">
      <c r="A35" s="112" t="s">
        <v>136</v>
      </c>
      <c r="B35" s="112" t="s">
        <v>123</v>
      </c>
      <c r="C35" s="113">
        <v>90</v>
      </c>
      <c r="D35" s="113" t="s">
        <v>81</v>
      </c>
      <c r="E35" s="113">
        <v>130</v>
      </c>
      <c r="F35" s="116">
        <f>+F27</f>
        <v>39.429000000000002</v>
      </c>
      <c r="G35" s="116"/>
      <c r="H35" s="117">
        <f>+F35*H36</f>
        <v>591.43500000000006</v>
      </c>
    </row>
    <row r="36" spans="1:8" x14ac:dyDescent="0.3">
      <c r="C36" s="110">
        <f>1+C33+1</f>
        <v>14.65</v>
      </c>
      <c r="D36" s="110" t="s">
        <v>81</v>
      </c>
      <c r="E36" s="110">
        <f>1+E33+1</f>
        <v>12</v>
      </c>
      <c r="G36" s="109" t="s">
        <v>137</v>
      </c>
      <c r="H36" s="115">
        <v>15</v>
      </c>
    </row>
    <row r="37" spans="1:8" x14ac:dyDescent="0.3">
      <c r="C37" s="118">
        <f>+C35/C36</f>
        <v>6.1433447098976108</v>
      </c>
      <c r="D37" s="118"/>
      <c r="E37" s="118">
        <f>+E35/E36</f>
        <v>10.833333333333334</v>
      </c>
      <c r="F37" s="112">
        <v>60</v>
      </c>
      <c r="G37" s="141">
        <f>+((B7+D7)/F37)</f>
        <v>15</v>
      </c>
      <c r="H37" s="125" t="s">
        <v>149</v>
      </c>
    </row>
    <row r="38" spans="1:8" x14ac:dyDescent="0.3">
      <c r="C38" s="118">
        <f>+E35/C36</f>
        <v>8.8737201365187719</v>
      </c>
      <c r="D38" s="118"/>
      <c r="E38" s="118">
        <f>+C35/E36</f>
        <v>7.5</v>
      </c>
      <c r="F38" s="55">
        <v>56</v>
      </c>
    </row>
    <row r="40" spans="1:8" x14ac:dyDescent="0.3">
      <c r="A40" s="112" t="s">
        <v>138</v>
      </c>
      <c r="C40" s="131">
        <f>1.5+0.25+1+12.65+1+0.25+1+12.65+1+0.25+1.5</f>
        <v>33.049999999999997</v>
      </c>
      <c r="D40" s="131" t="s">
        <v>81</v>
      </c>
      <c r="E40" s="131">
        <f>1.5+0.25+23+0.25+0.25+0.25+1.5</f>
        <v>27</v>
      </c>
    </row>
    <row r="41" spans="1:8" ht="6" customHeight="1" x14ac:dyDescent="0.3">
      <c r="A41" s="112"/>
      <c r="C41" s="110"/>
      <c r="D41" s="110"/>
      <c r="E41" s="110"/>
    </row>
    <row r="42" spans="1:8" s="112" customFormat="1" x14ac:dyDescent="0.3">
      <c r="A42" s="112" t="s">
        <v>208</v>
      </c>
      <c r="B42" s="112" t="s">
        <v>151</v>
      </c>
      <c r="C42" s="113">
        <v>70</v>
      </c>
      <c r="D42" s="113" t="s">
        <v>81</v>
      </c>
      <c r="E42" s="113">
        <v>95</v>
      </c>
      <c r="F42" s="116">
        <f>+(G42/1000)*0.5</f>
        <v>1.7925000000000002</v>
      </c>
      <c r="G42" s="116">
        <v>3585.0000000000005</v>
      </c>
      <c r="H42" s="117">
        <f>+F42*H43</f>
        <v>0</v>
      </c>
    </row>
    <row r="43" spans="1:8" x14ac:dyDescent="0.3">
      <c r="C43" s="131">
        <f>2+C40+2</f>
        <v>37.049999999999997</v>
      </c>
      <c r="D43" s="131" t="s">
        <v>81</v>
      </c>
      <c r="E43" s="131">
        <f>2+E40+2</f>
        <v>31</v>
      </c>
      <c r="G43" s="109" t="s">
        <v>137</v>
      </c>
      <c r="H43" s="115">
        <v>0</v>
      </c>
    </row>
    <row r="44" spans="1:8" x14ac:dyDescent="0.3">
      <c r="C44" s="118">
        <f>+C42/C43</f>
        <v>1.8893387314439947</v>
      </c>
      <c r="D44" s="118"/>
      <c r="E44" s="118">
        <f>+E42/E43</f>
        <v>3.064516129032258</v>
      </c>
      <c r="F44" s="112">
        <v>4</v>
      </c>
      <c r="G44" s="118">
        <f>+((B7+D7)/F44)</f>
        <v>225</v>
      </c>
      <c r="H44" s="125" t="s">
        <v>149</v>
      </c>
    </row>
    <row r="45" spans="1:8" x14ac:dyDescent="0.3">
      <c r="C45" s="118">
        <f>+E42/C43</f>
        <v>2.5641025641025643</v>
      </c>
      <c r="D45" s="118"/>
      <c r="E45" s="118">
        <f>+C42/E43</f>
        <v>2.2580645161290325</v>
      </c>
      <c r="F45" s="55">
        <v>4</v>
      </c>
      <c r="G45" s="110"/>
    </row>
    <row r="46" spans="1:8" x14ac:dyDescent="0.3">
      <c r="C46" s="118"/>
      <c r="D46" s="118"/>
      <c r="E46" s="118"/>
      <c r="G46" s="110"/>
    </row>
    <row r="47" spans="1:8" x14ac:dyDescent="0.3">
      <c r="C47" s="118"/>
      <c r="D47" s="118"/>
      <c r="E47" s="118"/>
      <c r="G47" s="110"/>
    </row>
    <row r="48" spans="1:8" x14ac:dyDescent="0.3">
      <c r="C48" s="118"/>
      <c r="D48" s="118"/>
      <c r="E48" s="118"/>
      <c r="G48" s="110"/>
    </row>
    <row r="49" spans="1:8" x14ac:dyDescent="0.3">
      <c r="C49" s="118"/>
      <c r="D49" s="118"/>
      <c r="E49" s="118"/>
      <c r="G49" s="110"/>
    </row>
    <row r="50" spans="1:8" x14ac:dyDescent="0.3">
      <c r="C50" s="118"/>
      <c r="D50" s="118"/>
      <c r="E50" s="118"/>
      <c r="G50" s="110"/>
    </row>
    <row r="51" spans="1:8" x14ac:dyDescent="0.3">
      <c r="C51" s="118"/>
      <c r="D51" s="118"/>
      <c r="E51" s="118"/>
      <c r="G51" s="110"/>
    </row>
    <row r="52" spans="1:8" x14ac:dyDescent="0.3">
      <c r="C52" s="118"/>
      <c r="D52" s="118"/>
      <c r="E52" s="118"/>
      <c r="G52" s="110"/>
    </row>
    <row r="53" spans="1:8" x14ac:dyDescent="0.3">
      <c r="C53" s="118"/>
      <c r="D53" s="118"/>
      <c r="E53" s="118"/>
      <c r="G53" s="110"/>
    </row>
    <row r="54" spans="1:8" x14ac:dyDescent="0.3">
      <c r="C54" s="118"/>
      <c r="D54" s="118"/>
      <c r="E54" s="118"/>
      <c r="G54" s="110"/>
    </row>
    <row r="55" spans="1:8" ht="20.25" x14ac:dyDescent="0.3">
      <c r="A55" s="111" t="s">
        <v>163</v>
      </c>
      <c r="D55" s="113" t="s">
        <v>144</v>
      </c>
    </row>
    <row r="56" spans="1:8" x14ac:dyDescent="0.3">
      <c r="A56" s="112" t="s">
        <v>143</v>
      </c>
      <c r="C56" s="113" t="s">
        <v>131</v>
      </c>
      <c r="D56" s="113" t="s">
        <v>132</v>
      </c>
      <c r="E56" s="113" t="s">
        <v>145</v>
      </c>
    </row>
    <row r="57" spans="1:8" x14ac:dyDescent="0.3">
      <c r="A57" s="112"/>
      <c r="C57" s="110">
        <v>10.5</v>
      </c>
      <c r="D57" s="110">
        <v>39.6</v>
      </c>
      <c r="E57" s="110">
        <v>0</v>
      </c>
    </row>
    <row r="58" spans="1:8" x14ac:dyDescent="0.3">
      <c r="A58" s="112"/>
    </row>
    <row r="59" spans="1:8" x14ac:dyDescent="0.3">
      <c r="E59" s="55">
        <f>+C57</f>
        <v>10.5</v>
      </c>
    </row>
    <row r="60" spans="1:8" x14ac:dyDescent="0.3">
      <c r="D60" s="114">
        <f>+E57</f>
        <v>0</v>
      </c>
      <c r="G60" s="114">
        <f>+E57</f>
        <v>0</v>
      </c>
    </row>
    <row r="61" spans="1:8" x14ac:dyDescent="0.3">
      <c r="A61" s="115" t="s">
        <v>134</v>
      </c>
      <c r="B61" s="115">
        <f>+G60+E59+D60</f>
        <v>10.5</v>
      </c>
      <c r="H61" s="114"/>
    </row>
    <row r="62" spans="1:8" x14ac:dyDescent="0.3">
      <c r="G62" s="114"/>
      <c r="H62" s="114"/>
    </row>
    <row r="63" spans="1:8" x14ac:dyDescent="0.3">
      <c r="G63" s="114"/>
      <c r="H63" s="114"/>
    </row>
    <row r="64" spans="1:8" x14ac:dyDescent="0.3">
      <c r="G64" s="114"/>
      <c r="H64" s="114"/>
    </row>
    <row r="65" spans="1:9" x14ac:dyDescent="0.3">
      <c r="C65" s="114">
        <f>+D57</f>
        <v>39.6</v>
      </c>
      <c r="H65" s="114">
        <f>+D57</f>
        <v>39.6</v>
      </c>
    </row>
    <row r="66" spans="1:9" x14ac:dyDescent="0.3">
      <c r="G66" s="114"/>
      <c r="H66" s="114"/>
    </row>
    <row r="67" spans="1:9" x14ac:dyDescent="0.3">
      <c r="G67" s="114"/>
      <c r="H67" s="114"/>
    </row>
    <row r="68" spans="1:9" x14ac:dyDescent="0.3">
      <c r="G68" s="114"/>
      <c r="H68" s="114"/>
    </row>
    <row r="69" spans="1:9" x14ac:dyDescent="0.3">
      <c r="H69" s="114"/>
    </row>
    <row r="70" spans="1:9" x14ac:dyDescent="0.3">
      <c r="D70" s="114">
        <f>+E57</f>
        <v>0</v>
      </c>
      <c r="G70" s="114">
        <f>+E57</f>
        <v>0</v>
      </c>
      <c r="H70" s="112">
        <f>+G60+H65+G70</f>
        <v>39.6</v>
      </c>
      <c r="I70" s="115" t="s">
        <v>135</v>
      </c>
    </row>
    <row r="71" spans="1:9" x14ac:dyDescent="0.3">
      <c r="E71" s="55">
        <f>+C57</f>
        <v>10.5</v>
      </c>
    </row>
    <row r="73" spans="1:9" s="112" customFormat="1" x14ac:dyDescent="0.3">
      <c r="A73" s="112" t="s">
        <v>136</v>
      </c>
      <c r="B73" s="112" t="s">
        <v>168</v>
      </c>
      <c r="C73" s="113">
        <v>90</v>
      </c>
      <c r="D73" s="113" t="s">
        <v>81</v>
      </c>
      <c r="E73" s="113">
        <v>130</v>
      </c>
      <c r="F73" s="116">
        <f>+G73/1000</f>
        <v>19.664000000000005</v>
      </c>
      <c r="G73" s="116">
        <v>19664.000000000004</v>
      </c>
      <c r="H73" s="117">
        <f>+F73*H74</f>
        <v>747.2320000000002</v>
      </c>
    </row>
    <row r="74" spans="1:9" x14ac:dyDescent="0.3">
      <c r="C74" s="131">
        <f>+B61</f>
        <v>10.5</v>
      </c>
      <c r="D74" s="131" t="s">
        <v>81</v>
      </c>
      <c r="E74" s="131">
        <f>+H70</f>
        <v>39.6</v>
      </c>
      <c r="G74" s="112" t="s">
        <v>137</v>
      </c>
      <c r="H74" s="112">
        <v>38</v>
      </c>
    </row>
    <row r="75" spans="1:9" x14ac:dyDescent="0.3">
      <c r="C75" s="118">
        <f>+C73/C74</f>
        <v>8.5714285714285712</v>
      </c>
      <c r="D75" s="118"/>
      <c r="E75" s="118">
        <f>+E73/E74</f>
        <v>3.2828282828282829</v>
      </c>
      <c r="F75" s="55">
        <v>24</v>
      </c>
    </row>
    <row r="76" spans="1:9" x14ac:dyDescent="0.3">
      <c r="C76" s="118">
        <f>+E73/C74</f>
        <v>12.380952380952381</v>
      </c>
      <c r="D76" s="118"/>
      <c r="E76" s="118">
        <f>+C73/E74</f>
        <v>2.2727272727272725</v>
      </c>
      <c r="F76" s="112">
        <v>24</v>
      </c>
      <c r="G76" s="55">
        <f>+((B7+D7)/F76)</f>
        <v>37.5</v>
      </c>
    </row>
    <row r="77" spans="1:9" x14ac:dyDescent="0.3">
      <c r="C77" s="110"/>
      <c r="D77" s="110"/>
      <c r="E77" s="110"/>
    </row>
    <row r="80" spans="1:9" ht="20.25" x14ac:dyDescent="0.3">
      <c r="A80" s="111" t="s">
        <v>192</v>
      </c>
      <c r="C80" s="113" t="s">
        <v>139</v>
      </c>
      <c r="D80" s="113" t="s">
        <v>131</v>
      </c>
      <c r="E80" s="113" t="s">
        <v>140</v>
      </c>
      <c r="F80" s="113" t="s">
        <v>133</v>
      </c>
    </row>
    <row r="81" spans="1:9" x14ac:dyDescent="0.3">
      <c r="A81" s="112" t="s">
        <v>141</v>
      </c>
      <c r="C81" s="110">
        <v>0</v>
      </c>
      <c r="D81" s="110">
        <f>4.2+18+4.2</f>
        <v>26.4</v>
      </c>
      <c r="E81" s="110">
        <v>0</v>
      </c>
      <c r="F81" s="110">
        <f>4.2+12+4.2</f>
        <v>20.399999999999999</v>
      </c>
    </row>
    <row r="82" spans="1:9" x14ac:dyDescent="0.3">
      <c r="A82" s="112"/>
    </row>
    <row r="84" spans="1:9" x14ac:dyDescent="0.3">
      <c r="D84" s="110">
        <f>+C81</f>
        <v>0</v>
      </c>
      <c r="E84" s="110">
        <f>+D81</f>
        <v>26.4</v>
      </c>
      <c r="F84" s="55">
        <f>+E81</f>
        <v>0</v>
      </c>
    </row>
    <row r="85" spans="1:9" x14ac:dyDescent="0.3">
      <c r="A85" s="115" t="s">
        <v>134</v>
      </c>
      <c r="B85" s="115">
        <f>+D84+E84+F84</f>
        <v>26.4</v>
      </c>
      <c r="G85" s="114"/>
      <c r="H85" s="114"/>
    </row>
    <row r="86" spans="1:9" x14ac:dyDescent="0.3">
      <c r="G86" s="114"/>
      <c r="H86" s="114"/>
    </row>
    <row r="87" spans="1:9" x14ac:dyDescent="0.3">
      <c r="G87" s="114"/>
      <c r="H87" s="114"/>
    </row>
    <row r="88" spans="1:9" x14ac:dyDescent="0.3">
      <c r="G88" s="119">
        <f>+F81</f>
        <v>20.399999999999999</v>
      </c>
      <c r="H88" s="114"/>
    </row>
    <row r="89" spans="1:9" x14ac:dyDescent="0.3">
      <c r="C89" s="114"/>
      <c r="G89" s="114"/>
      <c r="H89" s="114"/>
    </row>
    <row r="90" spans="1:9" x14ac:dyDescent="0.3">
      <c r="G90" s="114"/>
      <c r="H90" s="114"/>
    </row>
    <row r="91" spans="1:9" x14ac:dyDescent="0.3">
      <c r="H91" s="112">
        <f>+G88+0</f>
        <v>20.399999999999999</v>
      </c>
      <c r="I91" s="115" t="s">
        <v>135</v>
      </c>
    </row>
    <row r="94" spans="1:9" s="112" customFormat="1" x14ac:dyDescent="0.3">
      <c r="A94" s="112" t="s">
        <v>142</v>
      </c>
      <c r="B94" s="112" t="s">
        <v>190</v>
      </c>
      <c r="C94" s="113">
        <v>90</v>
      </c>
      <c r="D94" s="113" t="s">
        <v>81</v>
      </c>
      <c r="E94" s="113">
        <v>130</v>
      </c>
      <c r="F94" s="116">
        <f>+G94/1000</f>
        <v>70.966999999999999</v>
      </c>
      <c r="G94" s="116">
        <v>70967</v>
      </c>
      <c r="H94" s="117">
        <f>+F94*H95</f>
        <v>3548.35</v>
      </c>
    </row>
    <row r="95" spans="1:9" x14ac:dyDescent="0.3">
      <c r="C95" s="131">
        <f>+B85</f>
        <v>26.4</v>
      </c>
      <c r="D95" s="131" t="s">
        <v>81</v>
      </c>
      <c r="E95" s="131">
        <f>+H91</f>
        <v>20.399999999999999</v>
      </c>
      <c r="F95" s="133"/>
      <c r="G95" s="109" t="s">
        <v>137</v>
      </c>
      <c r="H95" s="115">
        <v>50</v>
      </c>
    </row>
    <row r="96" spans="1:9" x14ac:dyDescent="0.3">
      <c r="C96" s="118">
        <f>+C94/C95</f>
        <v>3.4090909090909092</v>
      </c>
      <c r="D96" s="118"/>
      <c r="E96" s="118">
        <f>+E94/E95</f>
        <v>6.3725490196078436</v>
      </c>
      <c r="F96" s="112">
        <v>18</v>
      </c>
      <c r="G96" s="141">
        <f>+((B7+D7)/F96)</f>
        <v>50</v>
      </c>
    </row>
    <row r="97" spans="1:8" x14ac:dyDescent="0.3">
      <c r="C97" s="118">
        <f>+E94/C95</f>
        <v>4.9242424242424248</v>
      </c>
      <c r="D97" s="118"/>
      <c r="E97" s="118">
        <f>+C94/E95</f>
        <v>4.4117647058823533</v>
      </c>
      <c r="F97" s="55">
        <v>16</v>
      </c>
    </row>
    <row r="98" spans="1:8" x14ac:dyDescent="0.3">
      <c r="C98" s="110"/>
      <c r="D98" s="110"/>
      <c r="E98" s="110"/>
    </row>
    <row r="99" spans="1:8" x14ac:dyDescent="0.3">
      <c r="A99" s="112" t="s">
        <v>193</v>
      </c>
      <c r="C99" s="110">
        <f>1.5+0.25+D84+0.25+E84+0.25+F84+0.25+1.5</f>
        <v>30.4</v>
      </c>
      <c r="D99" s="110" t="s">
        <v>81</v>
      </c>
      <c r="E99" s="110">
        <f>1.5+0.25+G88+0.25+1.5</f>
        <v>23.9</v>
      </c>
    </row>
    <row r="100" spans="1:8" ht="6" customHeight="1" x14ac:dyDescent="0.3">
      <c r="A100" s="112"/>
      <c r="C100" s="110"/>
      <c r="D100" s="110"/>
      <c r="E100" s="110"/>
    </row>
    <row r="101" spans="1:8" s="112" customFormat="1" x14ac:dyDescent="0.3">
      <c r="A101" s="112" t="s">
        <v>161</v>
      </c>
      <c r="B101" s="112" t="s">
        <v>148</v>
      </c>
      <c r="C101" s="113">
        <v>61</v>
      </c>
      <c r="D101" s="113" t="s">
        <v>81</v>
      </c>
      <c r="E101" s="113">
        <v>90</v>
      </c>
      <c r="F101" s="116">
        <f>+(G101/1000)*0.5</f>
        <v>1.48</v>
      </c>
      <c r="G101" s="116">
        <v>2960</v>
      </c>
      <c r="H101" s="117">
        <f>+F101*H102</f>
        <v>0</v>
      </c>
    </row>
    <row r="102" spans="1:8" x14ac:dyDescent="0.3">
      <c r="C102" s="110">
        <f>2+C99+2</f>
        <v>34.4</v>
      </c>
      <c r="D102" s="110" t="s">
        <v>81</v>
      </c>
      <c r="E102" s="110">
        <f>2+E99+2</f>
        <v>27.9</v>
      </c>
      <c r="G102" s="109" t="s">
        <v>137</v>
      </c>
      <c r="H102" s="115">
        <v>0</v>
      </c>
    </row>
    <row r="103" spans="1:8" x14ac:dyDescent="0.3">
      <c r="C103" s="118">
        <f>+C101/C102</f>
        <v>1.7732558139534884</v>
      </c>
      <c r="D103" s="118"/>
      <c r="E103" s="118">
        <f>+E101/E102</f>
        <v>3.2258064516129035</v>
      </c>
      <c r="F103" s="55">
        <v>3</v>
      </c>
      <c r="G103" s="118"/>
      <c r="H103" s="125" t="s">
        <v>149</v>
      </c>
    </row>
    <row r="104" spans="1:8" x14ac:dyDescent="0.3">
      <c r="C104" s="118">
        <f>+E101/C102</f>
        <v>2.6162790697674421</v>
      </c>
      <c r="D104" s="118"/>
      <c r="E104" s="118">
        <f>+C101/E102</f>
        <v>2.1863799283154122</v>
      </c>
      <c r="F104" s="112">
        <v>4</v>
      </c>
      <c r="G104" s="132">
        <f>+((B7+D7)/F104)</f>
        <v>225</v>
      </c>
    </row>
    <row r="108" spans="1:8" ht="20.25" x14ac:dyDescent="0.3">
      <c r="A108" s="111" t="s">
        <v>162</v>
      </c>
      <c r="C108" s="113" t="s">
        <v>139</v>
      </c>
      <c r="D108" s="113" t="s">
        <v>131</v>
      </c>
      <c r="E108" s="113" t="s">
        <v>140</v>
      </c>
      <c r="F108" s="113" t="s">
        <v>133</v>
      </c>
    </row>
    <row r="109" spans="1:8" x14ac:dyDescent="0.3">
      <c r="A109" s="112" t="s">
        <v>141</v>
      </c>
      <c r="C109" s="110">
        <v>0</v>
      </c>
      <c r="D109" s="110">
        <v>18</v>
      </c>
      <c r="E109" s="110">
        <v>0</v>
      </c>
      <c r="F109" s="110">
        <v>12</v>
      </c>
    </row>
    <row r="110" spans="1:8" x14ac:dyDescent="0.3">
      <c r="A110" s="112"/>
    </row>
    <row r="112" spans="1:8" x14ac:dyDescent="0.3">
      <c r="D112" s="110">
        <f>+C109</f>
        <v>0</v>
      </c>
      <c r="E112" s="110">
        <f>+D109</f>
        <v>18</v>
      </c>
      <c r="F112" s="55">
        <f>+E109</f>
        <v>0</v>
      </c>
    </row>
    <row r="113" spans="1:9" x14ac:dyDescent="0.3">
      <c r="A113" s="115" t="s">
        <v>134</v>
      </c>
      <c r="B113" s="115">
        <f>+D112+E112+F112</f>
        <v>18</v>
      </c>
      <c r="G113" s="114"/>
      <c r="H113" s="114"/>
    </row>
    <row r="114" spans="1:9" x14ac:dyDescent="0.3">
      <c r="G114" s="114"/>
      <c r="H114" s="114"/>
    </row>
    <row r="115" spans="1:9" x14ac:dyDescent="0.3">
      <c r="G115" s="114"/>
      <c r="H115" s="114"/>
    </row>
    <row r="116" spans="1:9" x14ac:dyDescent="0.3">
      <c r="G116" s="119">
        <f>+F109</f>
        <v>12</v>
      </c>
      <c r="H116" s="114"/>
    </row>
    <row r="117" spans="1:9" x14ac:dyDescent="0.3">
      <c r="C117" s="114"/>
      <c r="G117" s="114"/>
      <c r="H117" s="114"/>
    </row>
    <row r="118" spans="1:9" x14ac:dyDescent="0.3">
      <c r="G118" s="114"/>
      <c r="H118" s="114"/>
    </row>
    <row r="119" spans="1:9" x14ac:dyDescent="0.3">
      <c r="H119" s="112">
        <f>+G116+0</f>
        <v>12</v>
      </c>
      <c r="I119" s="115" t="s">
        <v>135</v>
      </c>
    </row>
    <row r="122" spans="1:9" s="112" customFormat="1" x14ac:dyDescent="0.3">
      <c r="A122" s="112" t="s">
        <v>142</v>
      </c>
      <c r="B122" s="112" t="str">
        <f>+B94</f>
        <v>#7</v>
      </c>
      <c r="C122" s="113">
        <v>90</v>
      </c>
      <c r="D122" s="113" t="s">
        <v>81</v>
      </c>
      <c r="E122" s="113">
        <v>130</v>
      </c>
      <c r="F122" s="116">
        <f>+F94</f>
        <v>70.966999999999999</v>
      </c>
      <c r="H122" s="117">
        <f>+F122*H123</f>
        <v>1277.4059999999999</v>
      </c>
    </row>
    <row r="123" spans="1:9" x14ac:dyDescent="0.3">
      <c r="C123" s="131">
        <f>+B113</f>
        <v>18</v>
      </c>
      <c r="D123" s="131" t="s">
        <v>81</v>
      </c>
      <c r="E123" s="131">
        <f>+H119</f>
        <v>12</v>
      </c>
      <c r="G123" s="109" t="s">
        <v>137</v>
      </c>
      <c r="H123" s="115">
        <v>18</v>
      </c>
    </row>
    <row r="124" spans="1:9" x14ac:dyDescent="0.3">
      <c r="C124" s="118">
        <f>+C122/C123</f>
        <v>5</v>
      </c>
      <c r="D124" s="118"/>
      <c r="E124" s="118">
        <f>+E122/E123</f>
        <v>10.833333333333334</v>
      </c>
      <c r="F124" s="112">
        <v>50</v>
      </c>
      <c r="G124" s="132">
        <f>+((B7+D7)/F124)</f>
        <v>18</v>
      </c>
    </row>
    <row r="125" spans="1:9" x14ac:dyDescent="0.3">
      <c r="C125" s="118">
        <f>+E122/C123</f>
        <v>7.2222222222222223</v>
      </c>
      <c r="D125" s="118"/>
      <c r="E125" s="118">
        <f>+C122/E123</f>
        <v>7.5</v>
      </c>
      <c r="F125" s="55">
        <v>49</v>
      </c>
    </row>
    <row r="126" spans="1:9" x14ac:dyDescent="0.3">
      <c r="C126" s="110"/>
      <c r="D126" s="110"/>
      <c r="E126" s="110"/>
    </row>
    <row r="127" spans="1:9" x14ac:dyDescent="0.3">
      <c r="A127" s="112" t="s">
        <v>194</v>
      </c>
      <c r="C127" s="110">
        <f>1.5+0.25+D112+0.25+E112+0.25+F112+0.25+1.5</f>
        <v>22</v>
      </c>
      <c r="D127" s="110" t="s">
        <v>81</v>
      </c>
      <c r="E127" s="110">
        <f>1.5+0.25+G116+0.25+1.5</f>
        <v>15.5</v>
      </c>
    </row>
    <row r="128" spans="1:9" ht="6" customHeight="1" x14ac:dyDescent="0.3">
      <c r="A128" s="112"/>
      <c r="C128" s="110"/>
      <c r="D128" s="110"/>
      <c r="E128" s="110"/>
    </row>
    <row r="129" spans="1:8" s="112" customFormat="1" x14ac:dyDescent="0.3">
      <c r="A129" s="112" t="s">
        <v>161</v>
      </c>
      <c r="B129" s="112" t="s">
        <v>148</v>
      </c>
      <c r="C129" s="113">
        <v>61</v>
      </c>
      <c r="D129" s="113" t="s">
        <v>81</v>
      </c>
      <c r="E129" s="113">
        <v>90</v>
      </c>
      <c r="F129" s="116">
        <f>+(G129/1000)*0.5</f>
        <v>1.48</v>
      </c>
      <c r="G129" s="116">
        <v>2960</v>
      </c>
      <c r="H129" s="117">
        <f>+F129*H130</f>
        <v>0</v>
      </c>
    </row>
    <row r="130" spans="1:8" x14ac:dyDescent="0.3">
      <c r="C130" s="110">
        <f>2+C127+2</f>
        <v>26</v>
      </c>
      <c r="D130" s="110" t="s">
        <v>81</v>
      </c>
      <c r="E130" s="110">
        <f>2+E127+2</f>
        <v>19.5</v>
      </c>
      <c r="G130" s="109" t="s">
        <v>137</v>
      </c>
      <c r="H130" s="115">
        <v>0</v>
      </c>
    </row>
    <row r="131" spans="1:8" x14ac:dyDescent="0.3">
      <c r="C131" s="118">
        <f>+C129/C130</f>
        <v>2.3461538461538463</v>
      </c>
      <c r="D131" s="118"/>
      <c r="E131" s="118">
        <f>+E129/E130</f>
        <v>4.615384615384615</v>
      </c>
      <c r="F131" s="112">
        <v>8</v>
      </c>
      <c r="G131" s="118">
        <f>+((B7+D7)/F131)</f>
        <v>112.5</v>
      </c>
      <c r="H131" s="125" t="s">
        <v>149</v>
      </c>
    </row>
    <row r="132" spans="1:8" x14ac:dyDescent="0.3">
      <c r="C132" s="118">
        <f>+E129/C130</f>
        <v>3.4615384615384617</v>
      </c>
      <c r="D132" s="118"/>
      <c r="E132" s="118">
        <f>+C129/E130</f>
        <v>3.1282051282051282</v>
      </c>
      <c r="F132" s="55">
        <v>6</v>
      </c>
    </row>
  </sheetData>
  <pageMargins left="0.70866141732283472" right="0.70866141732283472" top="0.74803149606299213" bottom="0.74803149606299213" header="0.31496062992125984" footer="0.31496062992125984"/>
  <pageSetup scale="78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opLeftCell="A46" zoomScale="80" zoomScaleNormal="80" workbookViewId="0">
      <selection activeCell="G61" sqref="G6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2.285156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  <c r="T1"/>
    </row>
    <row r="2" spans="1:21" ht="15.75" x14ac:dyDescent="0.3">
      <c r="J2"/>
      <c r="K2"/>
      <c r="L2"/>
      <c r="M2"/>
      <c r="N2"/>
      <c r="O2"/>
      <c r="P2"/>
      <c r="Q2"/>
      <c r="R2"/>
      <c r="S2"/>
      <c r="T2"/>
    </row>
    <row r="3" spans="1:21" ht="15.75" x14ac:dyDescent="0.3">
      <c r="J3"/>
      <c r="K3"/>
      <c r="L3"/>
      <c r="M3"/>
      <c r="N3"/>
      <c r="O3"/>
      <c r="P3"/>
      <c r="Q3"/>
      <c r="R3"/>
      <c r="S3"/>
      <c r="T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  <c r="T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  <c r="T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</row>
    <row r="7" spans="1:21" ht="15.75" x14ac:dyDescent="0.3">
      <c r="J7"/>
      <c r="K7"/>
      <c r="L7"/>
      <c r="M7"/>
      <c r="N7"/>
      <c r="O7"/>
      <c r="P7"/>
      <c r="Q7"/>
      <c r="R7"/>
      <c r="S7"/>
      <c r="T7"/>
    </row>
    <row r="8" spans="1:21" ht="15.75" x14ac:dyDescent="0.3">
      <c r="J8"/>
      <c r="K8"/>
      <c r="L8"/>
      <c r="M8"/>
      <c r="N8"/>
      <c r="O8"/>
      <c r="P8"/>
      <c r="Q8"/>
      <c r="R8"/>
      <c r="S8"/>
      <c r="T8"/>
    </row>
    <row r="9" spans="1:21" s="5" customFormat="1" ht="15.75" x14ac:dyDescent="0.3">
      <c r="A9" s="5" t="s">
        <v>6</v>
      </c>
      <c r="C9" s="5" t="str">
        <f>+'cartón limon circ'!C9</f>
        <v>05 de abril de 2017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  <c r="T10"/>
    </row>
    <row r="11" spans="1:21" ht="16.5" thickBot="1" x14ac:dyDescent="0.35">
      <c r="A11" s="5" t="s">
        <v>8</v>
      </c>
      <c r="C11" s="1" t="str">
        <f>+'cartón limon circ'!C11</f>
        <v>PRM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</row>
    <row r="12" spans="1:21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</row>
    <row r="13" spans="1:21" ht="15.75" x14ac:dyDescent="0.3">
      <c r="A13" s="5" t="s">
        <v>10</v>
      </c>
      <c r="C13" s="1" t="str">
        <f>+'forro tira cir'!C13</f>
        <v>Absolut Empaque Premium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</row>
    <row r="15" spans="1:21" ht="15.75" x14ac:dyDescent="0.3">
      <c r="A15" s="5" t="s">
        <v>11</v>
      </c>
      <c r="C15" s="19" t="s">
        <v>174</v>
      </c>
      <c r="D15" s="18"/>
      <c r="E15" s="18"/>
      <c r="F15" s="73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  <c r="T15"/>
    </row>
    <row r="16" spans="1:21" ht="15.75" x14ac:dyDescent="0.3">
      <c r="C16" s="17" t="s">
        <v>175</v>
      </c>
      <c r="D16" s="18"/>
      <c r="E16" s="18"/>
      <c r="F16" s="46">
        <v>61</v>
      </c>
      <c r="G16" s="74" t="s">
        <v>81</v>
      </c>
      <c r="H16" s="75">
        <v>45</v>
      </c>
      <c r="J16"/>
      <c r="K16"/>
      <c r="L16"/>
      <c r="M16"/>
      <c r="N16"/>
      <c r="O16"/>
      <c r="P16"/>
      <c r="Q16"/>
      <c r="R16"/>
      <c r="S16"/>
      <c r="T16"/>
    </row>
    <row r="17" spans="1:20" ht="15.75" x14ac:dyDescent="0.3">
      <c r="C17" s="17" t="s">
        <v>176</v>
      </c>
      <c r="D17" s="18"/>
      <c r="E17" s="18"/>
      <c r="F17" s="73">
        <v>2</v>
      </c>
      <c r="G17" s="76" t="s">
        <v>82</v>
      </c>
      <c r="H17" s="8"/>
      <c r="J17"/>
      <c r="K17"/>
      <c r="L17"/>
      <c r="M17"/>
      <c r="N17"/>
      <c r="O17"/>
      <c r="P17"/>
      <c r="Q17"/>
      <c r="R17"/>
      <c r="S17"/>
      <c r="T17"/>
    </row>
    <row r="18" spans="1:20" ht="15.75" x14ac:dyDescent="0.3">
      <c r="C18" s="17" t="s">
        <v>177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</row>
    <row r="19" spans="1:20" ht="15.75" x14ac:dyDescent="0.3">
      <c r="C19" s="17" t="s">
        <v>178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</row>
    <row r="20" spans="1:20" ht="15.75" x14ac:dyDescent="0.3">
      <c r="C20" s="18" t="s">
        <v>179</v>
      </c>
      <c r="D20" s="18"/>
      <c r="E20" s="18"/>
      <c r="F20" s="46">
        <f>+Desarrollo!C102</f>
        <v>34.4</v>
      </c>
      <c r="G20" s="74" t="s">
        <v>81</v>
      </c>
      <c r="H20" s="75">
        <f>+Desarrollo!E102</f>
        <v>27.9</v>
      </c>
      <c r="J20"/>
      <c r="K20"/>
      <c r="L20"/>
      <c r="M20"/>
      <c r="N20"/>
      <c r="O20"/>
      <c r="P20"/>
      <c r="Q20"/>
      <c r="R20"/>
      <c r="S20"/>
      <c r="T20"/>
    </row>
    <row r="21" spans="1:20" ht="15.75" x14ac:dyDescent="0.3">
      <c r="C21" s="18" t="s">
        <v>180</v>
      </c>
      <c r="D21" s="18"/>
      <c r="E21" s="18"/>
      <c r="F21" s="73">
        <v>1</v>
      </c>
      <c r="G21" s="76" t="s">
        <v>82</v>
      </c>
      <c r="H21" s="8"/>
      <c r="J21"/>
      <c r="K21"/>
      <c r="L21"/>
      <c r="M21"/>
      <c r="N21"/>
      <c r="O21"/>
      <c r="P21"/>
      <c r="Q21"/>
      <c r="R21"/>
      <c r="S21"/>
      <c r="T21"/>
    </row>
    <row r="22" spans="1:20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</row>
    <row r="23" spans="1:20" ht="15.75" x14ac:dyDescent="0.3">
      <c r="A23" s="4" t="s">
        <v>13</v>
      </c>
      <c r="C23" s="81" t="s">
        <v>150</v>
      </c>
      <c r="D23" s="5" t="s">
        <v>14</v>
      </c>
      <c r="E23" s="22" t="s">
        <v>148</v>
      </c>
      <c r="F23" s="1" t="s">
        <v>151</v>
      </c>
      <c r="J23"/>
      <c r="K23"/>
      <c r="L23"/>
      <c r="M23"/>
      <c r="N23"/>
      <c r="O23"/>
      <c r="P23"/>
      <c r="Q23"/>
      <c r="R23"/>
      <c r="S23"/>
      <c r="T23"/>
    </row>
    <row r="24" spans="1:20" ht="15.75" x14ac:dyDescent="0.3">
      <c r="J24"/>
      <c r="K24"/>
      <c r="L24"/>
      <c r="M24"/>
      <c r="N24"/>
      <c r="O24"/>
      <c r="P24"/>
      <c r="Q24"/>
      <c r="R24"/>
      <c r="S24"/>
      <c r="T24"/>
    </row>
    <row r="25" spans="1:20" ht="15.75" x14ac:dyDescent="0.3">
      <c r="A25" s="4" t="s">
        <v>15</v>
      </c>
      <c r="C25" s="23">
        <v>61</v>
      </c>
      <c r="D25" s="22" t="s">
        <v>16</v>
      </c>
      <c r="E25" s="24">
        <v>90</v>
      </c>
      <c r="F25" s="25">
        <f>+C25</f>
        <v>61</v>
      </c>
      <c r="G25" s="26" t="s">
        <v>16</v>
      </c>
      <c r="H25" s="26">
        <f>+E25</f>
        <v>90</v>
      </c>
      <c r="J25"/>
      <c r="K25"/>
      <c r="L25"/>
      <c r="M25"/>
      <c r="N25"/>
      <c r="O25"/>
      <c r="P25"/>
      <c r="Q25"/>
      <c r="R25"/>
      <c r="S25"/>
      <c r="T25"/>
    </row>
    <row r="26" spans="1:20" ht="15.75" x14ac:dyDescent="0.3">
      <c r="A26" s="4" t="s">
        <v>17</v>
      </c>
      <c r="B26" s="3"/>
      <c r="C26" s="27">
        <f>+F16</f>
        <v>61</v>
      </c>
      <c r="D26" s="28" t="s">
        <v>16</v>
      </c>
      <c r="E26" s="27">
        <f>+H16</f>
        <v>45</v>
      </c>
      <c r="F26" s="29">
        <f>+E26</f>
        <v>45</v>
      </c>
      <c r="G26" s="29" t="s">
        <v>16</v>
      </c>
      <c r="H26" s="29">
        <f>+C26</f>
        <v>61</v>
      </c>
      <c r="I26" s="30"/>
      <c r="J26"/>
      <c r="K26"/>
      <c r="L26"/>
      <c r="M26"/>
      <c r="N26"/>
      <c r="O26"/>
      <c r="P26"/>
      <c r="Q26"/>
      <c r="R26"/>
      <c r="S26"/>
      <c r="T26"/>
    </row>
    <row r="27" spans="1:20" ht="16.5" thickBot="1" x14ac:dyDescent="0.35">
      <c r="A27" s="3" t="s">
        <v>18</v>
      </c>
      <c r="B27" s="31"/>
      <c r="C27" s="32">
        <f>+C25/C26</f>
        <v>1</v>
      </c>
      <c r="D27" s="33"/>
      <c r="E27" s="32">
        <f>+E25/E26</f>
        <v>2</v>
      </c>
      <c r="F27" s="32">
        <f>+F25/F26</f>
        <v>1.3555555555555556</v>
      </c>
      <c r="G27" s="33"/>
      <c r="H27" s="32">
        <f>+H25/H26</f>
        <v>1.4754098360655739</v>
      </c>
      <c r="I27" s="30"/>
      <c r="J27"/>
      <c r="K27"/>
      <c r="L27"/>
      <c r="M27"/>
      <c r="N27"/>
      <c r="O27"/>
      <c r="P27"/>
      <c r="Q27"/>
      <c r="R27"/>
      <c r="S27"/>
      <c r="T27"/>
    </row>
    <row r="28" spans="1:20" ht="16.5" thickBot="1" x14ac:dyDescent="0.35">
      <c r="A28" s="3" t="s">
        <v>19</v>
      </c>
      <c r="B28" s="34"/>
      <c r="C28" s="35"/>
      <c r="D28" s="36">
        <v>2</v>
      </c>
      <c r="E28" s="37"/>
      <c r="F28" s="38"/>
      <c r="G28" s="39">
        <v>1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</row>
    <row r="29" spans="1:20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</row>
    <row r="30" spans="1:20" ht="15.75" x14ac:dyDescent="0.3">
      <c r="A30" s="25" t="s">
        <v>21</v>
      </c>
      <c r="B30" s="25" t="s">
        <v>88</v>
      </c>
      <c r="D30" s="41" t="s">
        <v>22</v>
      </c>
      <c r="E30" s="42">
        <f>+F30/1000</f>
        <v>2.96</v>
      </c>
      <c r="F30" s="124">
        <f>+Desarrollo!G101</f>
        <v>2960</v>
      </c>
      <c r="G30" s="1" t="s">
        <v>23</v>
      </c>
      <c r="H30" s="43">
        <v>0.5</v>
      </c>
      <c r="J30"/>
      <c r="K30"/>
      <c r="L30"/>
      <c r="M30"/>
      <c r="N30"/>
      <c r="O30"/>
      <c r="P30"/>
      <c r="Q30"/>
      <c r="R30"/>
      <c r="S30"/>
      <c r="T30"/>
    </row>
    <row r="31" spans="1:20" ht="15.75" x14ac:dyDescent="0.3">
      <c r="A31" s="3"/>
      <c r="B31" s="3"/>
      <c r="C31" s="3"/>
      <c r="D31" s="44" t="s">
        <v>24</v>
      </c>
      <c r="E31" s="42">
        <f>+H30*E30</f>
        <v>1.48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</row>
    <row r="32" spans="1:20" ht="15.75" x14ac:dyDescent="0.3">
      <c r="D32" s="44" t="s">
        <v>25</v>
      </c>
      <c r="E32" s="45">
        <f>+E30-E31</f>
        <v>1.48</v>
      </c>
      <c r="I32" s="30"/>
      <c r="J32"/>
      <c r="K32"/>
      <c r="L32"/>
      <c r="M32"/>
      <c r="N32"/>
      <c r="O32"/>
      <c r="P32"/>
      <c r="Q32"/>
      <c r="R32"/>
      <c r="S32"/>
      <c r="T32"/>
    </row>
    <row r="33" spans="1:20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</row>
    <row r="34" spans="1:20" ht="15.75" x14ac:dyDescent="0.3">
      <c r="D34" s="41" t="s">
        <v>29</v>
      </c>
      <c r="E34" s="47">
        <f>+E32</f>
        <v>1.48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</row>
    <row r="35" spans="1:20" ht="15.75" x14ac:dyDescent="0.3">
      <c r="D35" s="41" t="s">
        <v>30</v>
      </c>
      <c r="E35" s="47">
        <f>+E34*1.15</f>
        <v>1.702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</row>
    <row r="36" spans="1:20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</row>
    <row r="37" spans="1:20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</row>
    <row r="38" spans="1:20" ht="16.5" thickBot="1" x14ac:dyDescent="0.35">
      <c r="A38" s="4" t="s">
        <v>34</v>
      </c>
      <c r="C38" s="48">
        <v>2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</row>
    <row r="39" spans="1:20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</row>
    <row r="40" spans="1:20" ht="15.75" x14ac:dyDescent="0.3">
      <c r="A40" s="4" t="s">
        <v>38</v>
      </c>
      <c r="B40" s="5"/>
      <c r="C40" s="50">
        <f>+B48/F17</f>
        <v>350</v>
      </c>
      <c r="D40" s="24">
        <v>500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</row>
    <row r="41" spans="1:20" ht="15.75" x14ac:dyDescent="0.3">
      <c r="A41" s="4" t="s">
        <v>40</v>
      </c>
      <c r="C41" s="34">
        <f>+C40+D40</f>
        <v>850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  <c r="S41"/>
      <c r="T41"/>
    </row>
    <row r="42" spans="1:20" ht="15.75" x14ac:dyDescent="0.3">
      <c r="A42" s="4" t="s">
        <v>42</v>
      </c>
      <c r="C42" s="34">
        <f>+C41/C38</f>
        <v>425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</row>
    <row r="43" spans="1:20" ht="15.75" x14ac:dyDescent="0.3">
      <c r="A43" s="4" t="s">
        <v>91</v>
      </c>
      <c r="C43" s="21">
        <f>+(C42*C38)*F17</f>
        <v>1700</v>
      </c>
      <c r="F43" s="41" t="s">
        <v>44</v>
      </c>
      <c r="G43" s="23">
        <f>+C40/1000</f>
        <v>0.35</v>
      </c>
      <c r="H43" s="3"/>
      <c r="J43"/>
      <c r="K43"/>
      <c r="L43"/>
      <c r="M43"/>
      <c r="N43"/>
      <c r="O43"/>
      <c r="P43"/>
      <c r="Q43"/>
      <c r="R43"/>
      <c r="S43"/>
      <c r="T43"/>
    </row>
    <row r="44" spans="1:20" ht="15.75" x14ac:dyDescent="0.3">
      <c r="A44" s="4"/>
      <c r="C44" s="51"/>
      <c r="F44" s="44" t="s">
        <v>45</v>
      </c>
      <c r="G44" s="48">
        <f>+C41</f>
        <v>850</v>
      </c>
      <c r="H44" s="3"/>
      <c r="J44"/>
      <c r="K44"/>
      <c r="L44"/>
      <c r="M44"/>
      <c r="N44"/>
      <c r="O44"/>
      <c r="P44"/>
      <c r="Q44"/>
      <c r="R44"/>
      <c r="S44"/>
      <c r="T44"/>
    </row>
    <row r="45" spans="1:20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</row>
    <row r="46" spans="1:20" ht="15.75" x14ac:dyDescent="0.3">
      <c r="A46" s="4" t="s">
        <v>46</v>
      </c>
      <c r="C46" s="25">
        <f>+C42*C38</f>
        <v>850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</row>
    <row r="47" spans="1:20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</row>
    <row r="48" spans="1:20" ht="15.75" x14ac:dyDescent="0.3">
      <c r="A48" s="4" t="s">
        <v>76</v>
      </c>
      <c r="B48" s="21">
        <f>+'cartón limon circ'!B48</f>
        <v>700</v>
      </c>
      <c r="C48" s="21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</row>
    <row r="49" spans="1:21" ht="15.75" x14ac:dyDescent="0.3">
      <c r="A49" s="52" t="s">
        <v>52</v>
      </c>
      <c r="B49" s="53"/>
      <c r="C49" s="3"/>
      <c r="D49" s="21">
        <v>4</v>
      </c>
      <c r="E49" s="21">
        <v>1</v>
      </c>
      <c r="F49" s="21" t="s">
        <v>53</v>
      </c>
      <c r="G49" s="30">
        <f>185+145</f>
        <v>330</v>
      </c>
      <c r="H49" s="30">
        <f>+(D49*E49)*G49</f>
        <v>1320</v>
      </c>
      <c r="J49"/>
      <c r="K49"/>
      <c r="L49"/>
      <c r="M49"/>
      <c r="N49"/>
      <c r="O49"/>
      <c r="P49"/>
      <c r="Q49"/>
      <c r="R49"/>
      <c r="S49"/>
      <c r="T49"/>
    </row>
    <row r="50" spans="1:21" ht="15.75" x14ac:dyDescent="0.3">
      <c r="A50" s="53" t="s">
        <v>54</v>
      </c>
      <c r="B50" s="54">
        <f>+E34*C42</f>
        <v>629</v>
      </c>
      <c r="C50" s="3"/>
      <c r="D50" s="21">
        <v>4</v>
      </c>
      <c r="E50" s="21">
        <v>1</v>
      </c>
      <c r="F50" s="21" t="s">
        <v>77</v>
      </c>
      <c r="G50" s="30">
        <v>155</v>
      </c>
      <c r="H50" s="30">
        <f>+(D50*E50)*G50</f>
        <v>620</v>
      </c>
      <c r="J50"/>
      <c r="K50"/>
      <c r="L50"/>
      <c r="M50"/>
      <c r="N50"/>
      <c r="O50"/>
      <c r="P50"/>
      <c r="Q50"/>
      <c r="R50"/>
      <c r="S50"/>
      <c r="T50"/>
    </row>
    <row r="51" spans="1:21" ht="15.75" x14ac:dyDescent="0.3">
      <c r="A51" s="53" t="s">
        <v>12</v>
      </c>
      <c r="B51" s="54">
        <f>+H61</f>
        <v>6529.8700000000008</v>
      </c>
      <c r="C51" s="3"/>
      <c r="D51" s="21">
        <v>0</v>
      </c>
      <c r="E51" s="21">
        <v>0</v>
      </c>
      <c r="F51" s="21" t="s">
        <v>83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</row>
    <row r="52" spans="1:21" ht="15.75" x14ac:dyDescent="0.3">
      <c r="A52" s="53"/>
      <c r="B52" s="54"/>
      <c r="C52" s="3"/>
      <c r="D52" s="21">
        <v>1</v>
      </c>
      <c r="E52" s="21">
        <v>1</v>
      </c>
      <c r="F52" s="21" t="s">
        <v>96</v>
      </c>
      <c r="G52" s="30">
        <v>300</v>
      </c>
      <c r="H52" s="30">
        <f t="shared" ref="H52:H54" si="0">+G52*E52</f>
        <v>300</v>
      </c>
      <c r="I52" s="30">
        <f>+(B73/100)*2</f>
        <v>231.3631</v>
      </c>
      <c r="J52"/>
      <c r="K52"/>
      <c r="L52"/>
      <c r="M52"/>
      <c r="N52"/>
      <c r="O52"/>
      <c r="P52"/>
      <c r="Q52"/>
      <c r="R52"/>
      <c r="S52"/>
      <c r="T52"/>
    </row>
    <row r="53" spans="1:21" ht="16.5" x14ac:dyDescent="0.3">
      <c r="A53" s="53" t="s">
        <v>26</v>
      </c>
      <c r="B53" s="54">
        <v>600</v>
      </c>
      <c r="C53" s="3"/>
      <c r="D53" s="21">
        <v>1</v>
      </c>
      <c r="E53" s="21">
        <v>1</v>
      </c>
      <c r="F53" s="21" t="s">
        <v>104</v>
      </c>
      <c r="G53" s="30">
        <f>+E82</f>
        <v>2179.9350000000004</v>
      </c>
      <c r="H53" s="30">
        <f t="shared" si="0"/>
        <v>2179.9350000000004</v>
      </c>
      <c r="I53" s="55"/>
      <c r="J53"/>
      <c r="K53"/>
      <c r="L53"/>
      <c r="M53"/>
      <c r="N53"/>
      <c r="O53"/>
      <c r="P53"/>
      <c r="Q53"/>
      <c r="R53"/>
      <c r="S53"/>
      <c r="T53"/>
    </row>
    <row r="54" spans="1:21" ht="15.75" x14ac:dyDescent="0.3">
      <c r="A54" s="56" t="s">
        <v>116</v>
      </c>
      <c r="B54" s="54">
        <v>100</v>
      </c>
      <c r="C54" s="3"/>
      <c r="D54" s="21">
        <v>1</v>
      </c>
      <c r="E54" s="21">
        <v>1</v>
      </c>
      <c r="F54" s="21" t="s">
        <v>58</v>
      </c>
      <c r="G54" s="30">
        <f>+E79</f>
        <v>1819.9350000000002</v>
      </c>
      <c r="H54" s="30">
        <f t="shared" si="0"/>
        <v>1819.9350000000002</v>
      </c>
      <c r="J54"/>
      <c r="K54"/>
      <c r="L54"/>
      <c r="M54"/>
      <c r="N54"/>
      <c r="O54"/>
      <c r="P54"/>
      <c r="Q54"/>
      <c r="R54"/>
      <c r="S54"/>
      <c r="T54"/>
    </row>
    <row r="55" spans="1:21" ht="15.75" x14ac:dyDescent="0.3">
      <c r="A55" s="56" t="s">
        <v>95</v>
      </c>
      <c r="B55" s="54">
        <v>0</v>
      </c>
      <c r="D55" s="21">
        <v>1</v>
      </c>
      <c r="E55" s="21">
        <v>1</v>
      </c>
      <c r="F55" s="21" t="s">
        <v>153</v>
      </c>
      <c r="G55" s="30">
        <v>145</v>
      </c>
      <c r="H55" s="30">
        <f>+G55*E55</f>
        <v>145</v>
      </c>
      <c r="J55"/>
      <c r="K55"/>
      <c r="L55"/>
      <c r="M55"/>
      <c r="N55"/>
      <c r="O55"/>
      <c r="P55"/>
      <c r="Q55"/>
      <c r="R55"/>
      <c r="S55"/>
      <c r="T55"/>
    </row>
    <row r="56" spans="1:21" ht="15.75" x14ac:dyDescent="0.3">
      <c r="A56" s="56" t="s">
        <v>94</v>
      </c>
      <c r="B56" s="54">
        <v>0</v>
      </c>
      <c r="D56" s="21">
        <v>1</v>
      </c>
      <c r="E56" s="21">
        <v>1</v>
      </c>
      <c r="F56" s="21" t="s">
        <v>107</v>
      </c>
      <c r="G56" s="30">
        <v>145</v>
      </c>
      <c r="H56" s="30">
        <f>+G56*E56</f>
        <v>145</v>
      </c>
      <c r="J56"/>
      <c r="K56"/>
      <c r="L56"/>
      <c r="M56"/>
      <c r="N56"/>
      <c r="O56"/>
      <c r="P56"/>
      <c r="Q56"/>
      <c r="R56"/>
      <c r="S56"/>
      <c r="T56"/>
    </row>
    <row r="57" spans="1:21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ref="H57:H59" si="1">+G57*E57</f>
        <v>0</v>
      </c>
      <c r="J57"/>
      <c r="K57"/>
      <c r="L57"/>
      <c r="M57"/>
      <c r="N57"/>
      <c r="O57"/>
      <c r="P57"/>
      <c r="Q57"/>
      <c r="R57"/>
      <c r="S57"/>
      <c r="T57"/>
      <c r="U57"/>
    </row>
    <row r="58" spans="1:21" ht="15.75" x14ac:dyDescent="0.3">
      <c r="A58" s="52" t="s">
        <v>57</v>
      </c>
      <c r="B58" s="57">
        <f>SUM(B50:B57)</f>
        <v>7858.8700000000008</v>
      </c>
      <c r="C58" s="3"/>
      <c r="D58" s="21">
        <v>0</v>
      </c>
      <c r="E58" s="21">
        <v>0</v>
      </c>
      <c r="F58" s="3" t="s">
        <v>205</v>
      </c>
      <c r="G58" s="30">
        <f>+G78</f>
        <v>0</v>
      </c>
      <c r="H58" s="30">
        <f t="shared" si="1"/>
        <v>0</v>
      </c>
      <c r="J58"/>
      <c r="K58"/>
      <c r="L58"/>
      <c r="M58"/>
      <c r="N58"/>
      <c r="O58"/>
      <c r="P58"/>
      <c r="Q58"/>
      <c r="R58"/>
      <c r="S58"/>
      <c r="T58"/>
      <c r="U58"/>
    </row>
    <row r="59" spans="1:21" ht="15.75" x14ac:dyDescent="0.3">
      <c r="A59" s="9"/>
      <c r="B59" s="58"/>
      <c r="C59" s="3"/>
      <c r="D59" s="21"/>
      <c r="E59" s="21"/>
      <c r="F59" s="3"/>
      <c r="G59" s="3"/>
      <c r="H59" s="30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</row>
    <row r="60" spans="1:21" ht="15.75" x14ac:dyDescent="0.3">
      <c r="A60" s="9"/>
      <c r="B60" s="32">
        <f>+B58/B48</f>
        <v>11.226957142857144</v>
      </c>
      <c r="C60" s="4" t="s">
        <v>60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</row>
    <row r="61" spans="1:21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6529.8700000000008</v>
      </c>
      <c r="J61"/>
      <c r="K61"/>
      <c r="L61"/>
      <c r="M61"/>
      <c r="N61"/>
      <c r="O61"/>
      <c r="P61"/>
      <c r="Q61"/>
      <c r="R61"/>
      <c r="S61"/>
      <c r="T61"/>
      <c r="U61"/>
    </row>
    <row r="62" spans="1:21" ht="15.75" x14ac:dyDescent="0.3">
      <c r="D62" s="3"/>
      <c r="E62" s="3"/>
      <c r="G62" s="5" t="s">
        <v>62</v>
      </c>
      <c r="H62" s="77">
        <v>1.5</v>
      </c>
      <c r="J62"/>
      <c r="K62"/>
      <c r="L62"/>
      <c r="M62"/>
      <c r="N62"/>
      <c r="O62"/>
      <c r="P62"/>
      <c r="Q62"/>
      <c r="R62"/>
      <c r="S62"/>
      <c r="T62"/>
      <c r="U62"/>
    </row>
    <row r="63" spans="1:21" ht="15.75" x14ac:dyDescent="0.3">
      <c r="A63" s="4" t="s">
        <v>64</v>
      </c>
      <c r="B63" s="3"/>
      <c r="C63" s="3"/>
      <c r="E63" s="32"/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</row>
    <row r="64" spans="1:21" ht="15.75" x14ac:dyDescent="0.3">
      <c r="A64" s="3"/>
      <c r="B64" s="4" t="s">
        <v>67</v>
      </c>
      <c r="C64" s="25"/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</row>
    <row r="65" spans="1:21" ht="15.75" x14ac:dyDescent="0.3">
      <c r="A65" s="52" t="s">
        <v>70</v>
      </c>
      <c r="B65" s="53"/>
      <c r="C65" s="3"/>
      <c r="D65" s="3"/>
      <c r="E65" s="3"/>
      <c r="F65" s="3"/>
      <c r="G65" s="5" t="s">
        <v>80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</row>
    <row r="66" spans="1:21" ht="15.75" x14ac:dyDescent="0.3">
      <c r="A66" s="53" t="s">
        <v>54</v>
      </c>
      <c r="B66" s="54">
        <f>+E35*C42</f>
        <v>723.35</v>
      </c>
      <c r="C66" s="63"/>
      <c r="J66"/>
      <c r="K66"/>
      <c r="L66"/>
      <c r="M66"/>
      <c r="N66"/>
      <c r="O66"/>
      <c r="P66"/>
      <c r="Q66"/>
      <c r="R66"/>
      <c r="S66"/>
      <c r="T66"/>
      <c r="U66"/>
    </row>
    <row r="67" spans="1:21" ht="15.75" x14ac:dyDescent="0.3">
      <c r="A67" s="53" t="s">
        <v>12</v>
      </c>
      <c r="B67" s="54">
        <f>+H61*H62</f>
        <v>9794.8050000000003</v>
      </c>
      <c r="C67" s="63"/>
      <c r="J67"/>
      <c r="K67"/>
      <c r="L67"/>
      <c r="M67"/>
      <c r="N67"/>
      <c r="O67"/>
      <c r="P67"/>
      <c r="Q67"/>
      <c r="R67"/>
      <c r="S67"/>
      <c r="T67"/>
      <c r="U67"/>
    </row>
    <row r="68" spans="1:21" ht="15.75" x14ac:dyDescent="0.3">
      <c r="A68" s="53" t="str">
        <f>+A53</f>
        <v>Tabla de suaje</v>
      </c>
      <c r="B68" s="54">
        <f>+B53*H62</f>
        <v>900</v>
      </c>
      <c r="C68" s="63"/>
      <c r="J68"/>
      <c r="K68"/>
      <c r="L68"/>
      <c r="M68"/>
      <c r="N68"/>
      <c r="O68"/>
      <c r="P68"/>
      <c r="Q68"/>
      <c r="R68"/>
      <c r="S68"/>
      <c r="T68"/>
      <c r="U68"/>
    </row>
    <row r="69" spans="1:21" ht="15.75" x14ac:dyDescent="0.3">
      <c r="A69" s="53" t="str">
        <f>+A54</f>
        <v>Pruebas de color</v>
      </c>
      <c r="B69" s="54">
        <f>+B54*H62</f>
        <v>150</v>
      </c>
      <c r="C69" s="63"/>
      <c r="J69"/>
      <c r="K69"/>
      <c r="L69"/>
      <c r="M69"/>
      <c r="N69"/>
      <c r="O69"/>
      <c r="P69"/>
      <c r="Q69"/>
      <c r="R69"/>
      <c r="S69"/>
      <c r="T69"/>
      <c r="U69"/>
    </row>
    <row r="70" spans="1:21" ht="15.75" x14ac:dyDescent="0.3">
      <c r="A70" s="53" t="str">
        <f>+A55</f>
        <v>Imán</v>
      </c>
      <c r="B70" s="54">
        <f>+B55*H62</f>
        <v>0</v>
      </c>
      <c r="C70" s="63"/>
      <c r="F70" s="64" t="s">
        <v>71</v>
      </c>
      <c r="G70" s="32">
        <f>+B60</f>
        <v>11.226957142857144</v>
      </c>
      <c r="H70" s="65">
        <f>+G70*B48</f>
        <v>7858.8700000000008</v>
      </c>
      <c r="J70"/>
      <c r="K70"/>
      <c r="L70"/>
      <c r="M70"/>
      <c r="N70"/>
      <c r="O70"/>
      <c r="P70"/>
      <c r="Q70"/>
      <c r="R70"/>
      <c r="S70"/>
      <c r="T70"/>
      <c r="U70"/>
    </row>
    <row r="71" spans="1:21" ht="15.75" x14ac:dyDescent="0.3">
      <c r="A71" s="53" t="str">
        <f>+A56</f>
        <v>Encuadernación</v>
      </c>
      <c r="B71" s="54">
        <f>+B56*H62</f>
        <v>0</v>
      </c>
      <c r="C71" s="66"/>
      <c r="F71" s="64" t="s">
        <v>73</v>
      </c>
      <c r="G71" s="32">
        <f>+C73</f>
        <v>16.525935714285716</v>
      </c>
      <c r="H71" s="65">
        <f>+G71*B48</f>
        <v>11568.155000000001</v>
      </c>
      <c r="J71"/>
      <c r="K71"/>
      <c r="L71"/>
      <c r="M71"/>
      <c r="N71"/>
      <c r="O71"/>
      <c r="P71"/>
      <c r="Q71"/>
      <c r="R71"/>
      <c r="S71"/>
      <c r="T71"/>
      <c r="U71"/>
    </row>
    <row r="72" spans="1:21" ht="15.75" x14ac:dyDescent="0.3">
      <c r="A72" s="53"/>
      <c r="B72" s="54"/>
      <c r="C72" s="66"/>
      <c r="F72" s="67" t="s">
        <v>74</v>
      </c>
      <c r="G72" s="68">
        <f>+G71-G70</f>
        <v>5.298978571428572</v>
      </c>
      <c r="H72" s="83">
        <f>+G72*B48</f>
        <v>3709.2850000000003</v>
      </c>
      <c r="J72"/>
      <c r="K72"/>
      <c r="L72"/>
      <c r="M72"/>
      <c r="N72"/>
      <c r="O72"/>
      <c r="P72"/>
      <c r="Q72"/>
      <c r="R72"/>
      <c r="S72"/>
      <c r="T72"/>
      <c r="U72"/>
    </row>
    <row r="73" spans="1:21" x14ac:dyDescent="0.3">
      <c r="A73" s="52" t="s">
        <v>57</v>
      </c>
      <c r="B73" s="57">
        <f>SUM(B65:B72)</f>
        <v>11568.155000000001</v>
      </c>
      <c r="C73" s="68">
        <f>+B73/B48</f>
        <v>16.525935714285716</v>
      </c>
      <c r="D73" s="5" t="s">
        <v>183</v>
      </c>
    </row>
    <row r="74" spans="1:21" x14ac:dyDescent="0.3">
      <c r="C74" s="78"/>
      <c r="D74" s="5"/>
    </row>
    <row r="75" spans="1:21" x14ac:dyDescent="0.3">
      <c r="C75" s="78"/>
      <c r="D75" s="5"/>
    </row>
    <row r="76" spans="1:21" ht="16.5" thickBot="1" x14ac:dyDescent="0.35">
      <c r="A76" s="5" t="s">
        <v>146</v>
      </c>
      <c r="H76"/>
    </row>
    <row r="77" spans="1:21" ht="15.75" x14ac:dyDescent="0.3">
      <c r="A77" s="11" t="s">
        <v>99</v>
      </c>
      <c r="B77" s="12"/>
      <c r="C77" s="12"/>
      <c r="D77" s="12"/>
      <c r="E77" s="12"/>
      <c r="F77" s="12"/>
      <c r="G77" s="13"/>
      <c r="H77"/>
      <c r="I77"/>
    </row>
    <row r="78" spans="1:21" ht="15.75" x14ac:dyDescent="0.3">
      <c r="A78" s="46">
        <f>+F16</f>
        <v>61</v>
      </c>
      <c r="B78" s="74">
        <f>+H16</f>
        <v>45</v>
      </c>
      <c r="C78" s="7" t="s">
        <v>98</v>
      </c>
      <c r="D78" s="74" t="s">
        <v>100</v>
      </c>
      <c r="E78" s="7" t="s">
        <v>101</v>
      </c>
      <c r="F78" s="76" t="s">
        <v>102</v>
      </c>
      <c r="G78" s="94"/>
      <c r="H78"/>
      <c r="I78"/>
    </row>
    <row r="79" spans="1:21" ht="15.75" x14ac:dyDescent="0.3">
      <c r="A79" s="46">
        <f>0.61*0.45*C41</f>
        <v>233.32500000000002</v>
      </c>
      <c r="B79" s="79">
        <f>3.9*2</f>
        <v>7.8</v>
      </c>
      <c r="C79" s="79">
        <f>+A79*B79</f>
        <v>1819.9350000000002</v>
      </c>
      <c r="D79" s="79">
        <v>0</v>
      </c>
      <c r="E79" s="79">
        <f>+C79+D79</f>
        <v>1819.9350000000002</v>
      </c>
      <c r="F79" s="93" t="s">
        <v>117</v>
      </c>
      <c r="G79" s="123">
        <v>500</v>
      </c>
      <c r="H79"/>
      <c r="I79"/>
    </row>
    <row r="80" spans="1:21" ht="15.75" x14ac:dyDescent="0.3">
      <c r="A80" s="6"/>
      <c r="B80" s="79"/>
      <c r="C80" s="79"/>
      <c r="D80" s="79"/>
      <c r="E80" s="79"/>
      <c r="F80" s="7"/>
      <c r="G80" s="8"/>
      <c r="H80"/>
      <c r="I80"/>
    </row>
    <row r="81" spans="1:18" ht="15.75" x14ac:dyDescent="0.3">
      <c r="A81" s="46">
        <f>+A78</f>
        <v>61</v>
      </c>
      <c r="B81" s="74">
        <f>+B78</f>
        <v>45</v>
      </c>
      <c r="C81" s="7" t="s">
        <v>98</v>
      </c>
      <c r="D81" s="74" t="s">
        <v>100</v>
      </c>
      <c r="E81" s="7" t="s">
        <v>101</v>
      </c>
      <c r="F81" s="76" t="s">
        <v>147</v>
      </c>
      <c r="G81" s="8"/>
      <c r="H81"/>
      <c r="I81"/>
      <c r="J81" s="72"/>
    </row>
    <row r="82" spans="1:18" ht="15.75" x14ac:dyDescent="0.3">
      <c r="A82" s="46">
        <f>0.61*0.45*C41</f>
        <v>233.32500000000002</v>
      </c>
      <c r="B82" s="79">
        <v>7.8</v>
      </c>
      <c r="C82" s="79">
        <f>+A82*B82</f>
        <v>1819.9350000000002</v>
      </c>
      <c r="D82" s="79">
        <v>360</v>
      </c>
      <c r="E82" s="79">
        <f>+C82+D82</f>
        <v>2179.9350000000004</v>
      </c>
      <c r="F82" s="93" t="s">
        <v>117</v>
      </c>
      <c r="G82" s="123">
        <v>1500</v>
      </c>
      <c r="H82"/>
      <c r="I82"/>
    </row>
    <row r="83" spans="1:18" ht="15.75" x14ac:dyDescent="0.3">
      <c r="A83" s="6"/>
      <c r="B83" s="79"/>
      <c r="C83" s="79"/>
      <c r="D83" s="79"/>
      <c r="E83" s="79"/>
      <c r="F83" s="7"/>
      <c r="G83" s="8"/>
      <c r="H83"/>
      <c r="I83"/>
    </row>
    <row r="84" spans="1:18" ht="16.5" thickBot="1" x14ac:dyDescent="0.35">
      <c r="A84" s="14"/>
      <c r="B84" s="15"/>
      <c r="C84" s="15"/>
      <c r="D84" s="15"/>
      <c r="E84" s="15"/>
      <c r="F84" s="15"/>
      <c r="G84" s="16"/>
      <c r="H84"/>
      <c r="I84"/>
    </row>
    <row r="85" spans="1:18" ht="15.75" x14ac:dyDescent="0.3">
      <c r="H85"/>
      <c r="I85"/>
    </row>
    <row r="87" spans="1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16"/>
  <sheetViews>
    <sheetView tabSelected="1" topLeftCell="A60" zoomScale="80" zoomScaleNormal="80" workbookViewId="0">
      <selection activeCell="C83" sqref="C83"/>
    </sheetView>
  </sheetViews>
  <sheetFormatPr baseColWidth="10" defaultRowHeight="14.25" x14ac:dyDescent="0.3"/>
  <cols>
    <col min="1" max="1" width="17.7109375" style="1" customWidth="1"/>
    <col min="2" max="2" width="17.28515625" style="1" customWidth="1"/>
    <col min="3" max="3" width="11.5703125" style="1" bestFit="1" customWidth="1"/>
    <col min="4" max="4" width="9.7109375" style="1" customWidth="1"/>
    <col min="5" max="5" width="18.5703125" style="1" customWidth="1"/>
    <col min="6" max="6" width="12.5703125" style="1" customWidth="1"/>
    <col min="7" max="7" width="13.42578125" style="1" customWidth="1"/>
    <col min="8" max="8" width="14.5703125" style="1" customWidth="1"/>
    <col min="9" max="9" width="15" style="1" customWidth="1"/>
    <col min="10" max="10" width="11.42578125" style="1"/>
    <col min="11" max="11" width="15.85546875" style="1" customWidth="1"/>
    <col min="12" max="12" width="16.85546875" style="1" customWidth="1"/>
    <col min="13" max="13" width="14.140625" style="1" customWidth="1"/>
    <col min="14" max="14" width="11.42578125" style="1"/>
    <col min="15" max="15" width="12.5703125" style="1" customWidth="1"/>
    <col min="16" max="16384" width="11.42578125" style="1"/>
  </cols>
  <sheetData>
    <row r="1" spans="1:21" ht="18.75" x14ac:dyDescent="0.3">
      <c r="J1" s="2"/>
      <c r="K1" s="3"/>
      <c r="L1" s="3"/>
      <c r="M1" s="3"/>
      <c r="N1" s="3"/>
      <c r="O1" s="3"/>
      <c r="P1" s="3"/>
    </row>
    <row r="2" spans="1:21" x14ac:dyDescent="0.3">
      <c r="J2" s="3"/>
    </row>
    <row r="3" spans="1:21" ht="15.75" x14ac:dyDescent="0.3">
      <c r="J3"/>
      <c r="Q3"/>
      <c r="R3"/>
      <c r="S3" s="3"/>
      <c r="T3" s="3"/>
      <c r="U3" s="3"/>
    </row>
    <row r="4" spans="1:21" ht="15.75" x14ac:dyDescent="0.3">
      <c r="J4"/>
      <c r="Q4"/>
      <c r="R4"/>
    </row>
    <row r="5" spans="1:21" ht="15.75" x14ac:dyDescent="0.3">
      <c r="A5" s="5"/>
      <c r="J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J6"/>
      <c r="Q6"/>
      <c r="R6"/>
    </row>
    <row r="7" spans="1:21" ht="15.75" x14ac:dyDescent="0.3">
      <c r="J7"/>
      <c r="Q7"/>
      <c r="R7"/>
    </row>
    <row r="8" spans="1:21" ht="15.75" x14ac:dyDescent="0.3">
      <c r="J8"/>
      <c r="Q8"/>
      <c r="R8"/>
    </row>
    <row r="9" spans="1:21" s="5" customFormat="1" ht="15.75" x14ac:dyDescent="0.3">
      <c r="A9" s="5" t="s">
        <v>6</v>
      </c>
      <c r="C9" s="5" t="str">
        <f>+'cartón limon circ'!C9</f>
        <v>05 de abril de 2017</v>
      </c>
      <c r="H9" s="5" t="s">
        <v>7</v>
      </c>
      <c r="J9"/>
      <c r="Q9"/>
      <c r="R9"/>
      <c r="S9" s="1"/>
      <c r="T9" s="1"/>
      <c r="U9" s="1"/>
    </row>
    <row r="10" spans="1:21" ht="15.75" x14ac:dyDescent="0.3">
      <c r="J10"/>
      <c r="Q10"/>
      <c r="R10"/>
    </row>
    <row r="11" spans="1:21" ht="16.5" thickBot="1" x14ac:dyDescent="0.35">
      <c r="A11" s="5" t="s">
        <v>8</v>
      </c>
      <c r="C11" s="1" t="str">
        <f>+'cartón limon circ'!C11</f>
        <v>PRM</v>
      </c>
      <c r="F11" s="5" t="s">
        <v>0</v>
      </c>
      <c r="J11"/>
      <c r="Q11"/>
      <c r="R11"/>
    </row>
    <row r="12" spans="1:21" ht="15.75" x14ac:dyDescent="0.3">
      <c r="A12" s="5"/>
      <c r="F12" s="11"/>
      <c r="G12" s="12"/>
      <c r="H12" s="13"/>
      <c r="J12"/>
      <c r="Q12"/>
      <c r="R12"/>
    </row>
    <row r="13" spans="1:21" ht="15.75" x14ac:dyDescent="0.3">
      <c r="A13" s="5" t="s">
        <v>10</v>
      </c>
      <c r="F13" s="6"/>
      <c r="G13" s="7"/>
      <c r="H13" s="8"/>
      <c r="J13"/>
      <c r="Q13"/>
      <c r="R13"/>
    </row>
    <row r="14" spans="1:21" ht="15.75" x14ac:dyDescent="0.3">
      <c r="A14" s="5"/>
      <c r="F14" s="6"/>
      <c r="G14" s="7"/>
      <c r="H14" s="8"/>
      <c r="J14"/>
      <c r="Q14"/>
      <c r="R14"/>
    </row>
    <row r="15" spans="1:21" ht="15.75" x14ac:dyDescent="0.3">
      <c r="A15" s="5" t="s">
        <v>11</v>
      </c>
      <c r="C15" s="19" t="s">
        <v>174</v>
      </c>
      <c r="D15" s="18"/>
      <c r="E15" s="18"/>
      <c r="F15" s="73" t="s">
        <v>5</v>
      </c>
      <c r="G15" s="7"/>
      <c r="H15" s="8"/>
      <c r="J15"/>
      <c r="Q15"/>
      <c r="R15"/>
    </row>
    <row r="16" spans="1:21" ht="15.75" x14ac:dyDescent="0.3">
      <c r="C16" s="17" t="s">
        <v>175</v>
      </c>
      <c r="D16" s="18"/>
      <c r="E16" s="18"/>
      <c r="F16" s="46">
        <v>61</v>
      </c>
      <c r="G16" s="74" t="s">
        <v>81</v>
      </c>
      <c r="H16" s="75">
        <v>45</v>
      </c>
      <c r="J16"/>
      <c r="Q16"/>
      <c r="R16"/>
    </row>
    <row r="17" spans="1:18" ht="15.75" x14ac:dyDescent="0.3">
      <c r="C17" s="17" t="s">
        <v>176</v>
      </c>
      <c r="D17" s="18"/>
      <c r="E17" s="18"/>
      <c r="F17" s="73">
        <v>6</v>
      </c>
      <c r="G17" s="76" t="s">
        <v>82</v>
      </c>
      <c r="H17" s="8"/>
      <c r="J17"/>
      <c r="Q17"/>
      <c r="R17"/>
    </row>
    <row r="18" spans="1:18" ht="15.75" x14ac:dyDescent="0.3">
      <c r="C18" s="17" t="s">
        <v>177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ht="15.75" x14ac:dyDescent="0.3">
      <c r="C19" s="17" t="s">
        <v>178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8" ht="15.75" x14ac:dyDescent="0.3">
      <c r="C20" s="18" t="s">
        <v>179</v>
      </c>
      <c r="D20" s="18"/>
      <c r="E20" s="18"/>
      <c r="F20" s="46">
        <v>18</v>
      </c>
      <c r="G20" s="74" t="s">
        <v>81</v>
      </c>
      <c r="H20" s="75">
        <v>12</v>
      </c>
      <c r="J20"/>
      <c r="K20"/>
      <c r="L20"/>
      <c r="M20"/>
      <c r="N20"/>
      <c r="O20"/>
      <c r="P20"/>
      <c r="Q20"/>
      <c r="R20"/>
    </row>
    <row r="21" spans="1:18" ht="15.75" x14ac:dyDescent="0.3">
      <c r="C21" s="18" t="s">
        <v>180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8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</row>
    <row r="23" spans="1:18" ht="15.75" x14ac:dyDescent="0.3">
      <c r="A23" s="4" t="s">
        <v>13</v>
      </c>
      <c r="C23" s="81" t="s">
        <v>150</v>
      </c>
      <c r="D23" s="5" t="s">
        <v>14</v>
      </c>
      <c r="E23" s="22" t="s">
        <v>148</v>
      </c>
      <c r="F23" s="1" t="s">
        <v>151</v>
      </c>
      <c r="J23"/>
      <c r="K23"/>
      <c r="L23"/>
      <c r="M23"/>
      <c r="N23"/>
      <c r="O23"/>
      <c r="P23"/>
      <c r="Q23"/>
      <c r="R23"/>
    </row>
    <row r="24" spans="1:18" ht="15.75" x14ac:dyDescent="0.3">
      <c r="J24"/>
      <c r="K24"/>
      <c r="L24"/>
      <c r="M24"/>
      <c r="N24"/>
      <c r="O24"/>
      <c r="P24"/>
      <c r="Q24"/>
      <c r="R24"/>
    </row>
    <row r="25" spans="1:18" ht="15.75" x14ac:dyDescent="0.3">
      <c r="A25" s="4" t="s">
        <v>15</v>
      </c>
      <c r="C25" s="23">
        <v>61</v>
      </c>
      <c r="D25" s="22" t="s">
        <v>16</v>
      </c>
      <c r="E25" s="24">
        <v>90</v>
      </c>
      <c r="F25" s="25">
        <f>+C25</f>
        <v>61</v>
      </c>
      <c r="G25" s="26" t="s">
        <v>16</v>
      </c>
      <c r="H25" s="26">
        <f>+E25</f>
        <v>90</v>
      </c>
      <c r="J25"/>
      <c r="K25"/>
      <c r="L25"/>
      <c r="M25"/>
      <c r="N25"/>
      <c r="O25"/>
      <c r="P25"/>
      <c r="Q25"/>
      <c r="R25"/>
    </row>
    <row r="26" spans="1:18" ht="15.75" x14ac:dyDescent="0.3">
      <c r="A26" s="4" t="s">
        <v>17</v>
      </c>
      <c r="B26" s="3"/>
      <c r="C26" s="27">
        <f>+F16</f>
        <v>61</v>
      </c>
      <c r="D26" s="28" t="s">
        <v>16</v>
      </c>
      <c r="E26" s="27">
        <f>+H16</f>
        <v>45</v>
      </c>
      <c r="F26" s="29">
        <f>+E26</f>
        <v>45</v>
      </c>
      <c r="G26" s="29" t="s">
        <v>16</v>
      </c>
      <c r="H26" s="29">
        <f>+C26</f>
        <v>61</v>
      </c>
      <c r="I26" s="30"/>
      <c r="J26"/>
      <c r="K26"/>
      <c r="L26"/>
      <c r="M26"/>
      <c r="N26"/>
      <c r="O26"/>
      <c r="P26"/>
      <c r="Q26"/>
      <c r="R26"/>
    </row>
    <row r="27" spans="1:18" ht="16.5" thickBot="1" x14ac:dyDescent="0.35">
      <c r="A27" s="3" t="s">
        <v>18</v>
      </c>
      <c r="B27" s="31"/>
      <c r="C27" s="32">
        <f>+C25/C26</f>
        <v>1</v>
      </c>
      <c r="D27" s="33"/>
      <c r="E27" s="32">
        <f>+E25/E26</f>
        <v>2</v>
      </c>
      <c r="F27" s="32">
        <f>+F25/F26</f>
        <v>1.3555555555555556</v>
      </c>
      <c r="G27" s="33"/>
      <c r="H27" s="32">
        <f>+H25/H26</f>
        <v>1.4754098360655739</v>
      </c>
      <c r="I27" s="30"/>
      <c r="J27"/>
      <c r="K27"/>
      <c r="L27"/>
      <c r="M27"/>
      <c r="N27"/>
      <c r="O27"/>
      <c r="P27"/>
      <c r="Q27"/>
      <c r="R27"/>
    </row>
    <row r="28" spans="1:18" ht="16.5" thickBot="1" x14ac:dyDescent="0.35">
      <c r="A28" s="3" t="s">
        <v>19</v>
      </c>
      <c r="B28" s="34"/>
      <c r="C28" s="35"/>
      <c r="D28" s="36">
        <v>2</v>
      </c>
      <c r="E28" s="37"/>
      <c r="F28" s="38"/>
      <c r="G28" s="39">
        <v>1</v>
      </c>
      <c r="H28" s="40" t="s">
        <v>20</v>
      </c>
      <c r="J28"/>
      <c r="K28"/>
      <c r="L28"/>
      <c r="M28"/>
      <c r="N28"/>
      <c r="O28"/>
      <c r="P28"/>
      <c r="Q28"/>
      <c r="R28"/>
    </row>
    <row r="29" spans="1:18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</row>
    <row r="30" spans="1:18" ht="15.75" x14ac:dyDescent="0.3">
      <c r="A30" s="25" t="s">
        <v>21</v>
      </c>
      <c r="B30" s="25" t="s">
        <v>88</v>
      </c>
      <c r="D30" s="41" t="s">
        <v>22</v>
      </c>
      <c r="E30" s="42">
        <f>+F30/1000</f>
        <v>2.96</v>
      </c>
      <c r="F30" s="124">
        <v>2960</v>
      </c>
      <c r="G30" s="1" t="s">
        <v>23</v>
      </c>
      <c r="H30" s="43">
        <v>0.5</v>
      </c>
      <c r="J30"/>
      <c r="K30"/>
      <c r="L30"/>
      <c r="M30"/>
      <c r="N30"/>
      <c r="O30"/>
      <c r="P30"/>
      <c r="Q30"/>
      <c r="R30"/>
    </row>
    <row r="31" spans="1:18" ht="15.75" x14ac:dyDescent="0.3">
      <c r="A31" s="3"/>
      <c r="B31" s="3"/>
      <c r="C31" s="3"/>
      <c r="D31" s="44" t="s">
        <v>24</v>
      </c>
      <c r="E31" s="42">
        <f>+H30*E30</f>
        <v>1.48</v>
      </c>
      <c r="H31" s="43"/>
      <c r="I31" s="30"/>
      <c r="J31"/>
      <c r="K31"/>
      <c r="L31"/>
      <c r="M31"/>
      <c r="N31"/>
      <c r="O31"/>
      <c r="P31"/>
      <c r="Q31"/>
      <c r="R31"/>
    </row>
    <row r="32" spans="1:18" ht="15.75" x14ac:dyDescent="0.3">
      <c r="D32" s="44" t="s">
        <v>25</v>
      </c>
      <c r="E32" s="45">
        <f>+E30-E31</f>
        <v>1.48</v>
      </c>
      <c r="I32" s="30"/>
      <c r="J32"/>
      <c r="K32"/>
      <c r="L32"/>
      <c r="M32"/>
      <c r="N32"/>
      <c r="O32"/>
      <c r="P32"/>
      <c r="Q32"/>
      <c r="R32"/>
    </row>
    <row r="33" spans="1:19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</row>
    <row r="34" spans="1:19" ht="15.75" x14ac:dyDescent="0.3">
      <c r="D34" s="41" t="s">
        <v>29</v>
      </c>
      <c r="E34" s="47">
        <f>+E32</f>
        <v>1.48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</row>
    <row r="35" spans="1:19" ht="15.75" x14ac:dyDescent="0.3">
      <c r="D35" s="41" t="s">
        <v>30</v>
      </c>
      <c r="E35" s="47">
        <f>+E34*1.1</f>
        <v>1.6280000000000001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</row>
    <row r="36" spans="1:19" ht="16.5" thickBot="1" x14ac:dyDescent="0.35">
      <c r="A36" s="3"/>
      <c r="G36" s="41"/>
      <c r="J36"/>
      <c r="K36"/>
      <c r="L36"/>
      <c r="M36"/>
      <c r="N36"/>
      <c r="O36"/>
      <c r="P36"/>
      <c r="Q36"/>
      <c r="R36"/>
    </row>
    <row r="37" spans="1:19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</row>
    <row r="38" spans="1:19" ht="16.5" thickBot="1" x14ac:dyDescent="0.35">
      <c r="A38" s="4" t="s">
        <v>34</v>
      </c>
      <c r="C38" s="48">
        <v>2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</row>
    <row r="39" spans="1:19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</row>
    <row r="40" spans="1:19" ht="15.75" x14ac:dyDescent="0.3">
      <c r="A40" s="4" t="s">
        <v>38</v>
      </c>
      <c r="B40" s="5"/>
      <c r="C40" s="50">
        <f>+B48/F17</f>
        <v>116.66666666666667</v>
      </c>
      <c r="D40" s="24">
        <v>500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</row>
    <row r="41" spans="1:19" ht="15.75" x14ac:dyDescent="0.3">
      <c r="A41" s="4" t="s">
        <v>40</v>
      </c>
      <c r="C41" s="34">
        <f>+C40+D40</f>
        <v>616.66666666666663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</row>
    <row r="42" spans="1:19" ht="15.75" x14ac:dyDescent="0.3">
      <c r="A42" s="4" t="s">
        <v>42</v>
      </c>
      <c r="C42" s="34">
        <f>+C41/C38</f>
        <v>308.33333333333331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</row>
    <row r="43" spans="1:19" ht="15.75" x14ac:dyDescent="0.3">
      <c r="A43" s="4" t="s">
        <v>91</v>
      </c>
      <c r="C43" s="21">
        <f>+(C42*C38)*F17</f>
        <v>3700</v>
      </c>
      <c r="F43" s="41" t="s">
        <v>44</v>
      </c>
      <c r="G43" s="23">
        <f>+C40/100</f>
        <v>1.1666666666666667</v>
      </c>
      <c r="H43" s="3"/>
      <c r="J43"/>
      <c r="K43"/>
      <c r="L43"/>
      <c r="M43"/>
      <c r="N43"/>
      <c r="O43"/>
      <c r="P43"/>
      <c r="Q43" s="7"/>
      <c r="R43" s="7"/>
    </row>
    <row r="44" spans="1:19" x14ac:dyDescent="0.3">
      <c r="A44" s="4"/>
      <c r="C44" s="51"/>
      <c r="F44" s="44" t="s">
        <v>45</v>
      </c>
      <c r="G44" s="48">
        <f>+C41</f>
        <v>616.66666666666663</v>
      </c>
      <c r="H44" s="3"/>
      <c r="M44" s="7"/>
      <c r="N44" s="10"/>
      <c r="O44" s="74"/>
      <c r="P44" s="74"/>
      <c r="Q44" s="7"/>
      <c r="R44" s="7"/>
    </row>
    <row r="45" spans="1:19" x14ac:dyDescent="0.3">
      <c r="A45" s="4"/>
      <c r="C45" s="21"/>
      <c r="E45" s="44"/>
      <c r="F45" s="44"/>
      <c r="G45" s="30"/>
      <c r="I45" s="3"/>
      <c r="M45" s="7"/>
      <c r="N45" s="10"/>
      <c r="O45" s="74"/>
      <c r="P45" s="74"/>
      <c r="Q45" s="7"/>
      <c r="R45" s="7"/>
    </row>
    <row r="46" spans="1:19" x14ac:dyDescent="0.3">
      <c r="A46" s="4" t="s">
        <v>46</v>
      </c>
      <c r="C46" s="25">
        <f>+C42*C38</f>
        <v>616.66666666666663</v>
      </c>
      <c r="F46" s="44"/>
      <c r="G46" s="30"/>
      <c r="H46" s="3"/>
      <c r="M46" s="7"/>
      <c r="N46" s="10"/>
      <c r="O46" s="74"/>
      <c r="P46" s="74"/>
      <c r="Q46" s="7"/>
      <c r="R46" s="7"/>
    </row>
    <row r="47" spans="1:19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</row>
    <row r="48" spans="1:19" ht="15.75" x14ac:dyDescent="0.3">
      <c r="A48" s="4" t="s">
        <v>76</v>
      </c>
      <c r="B48" s="21">
        <f>+'cartón limon circ'!B48</f>
        <v>700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</row>
    <row r="49" spans="1:21" ht="15.75" x14ac:dyDescent="0.3">
      <c r="A49" s="52" t="s">
        <v>52</v>
      </c>
      <c r="B49" s="53"/>
      <c r="C49" s="3"/>
      <c r="D49" s="21">
        <v>4</v>
      </c>
      <c r="E49" s="21">
        <v>1</v>
      </c>
      <c r="F49" s="21" t="s">
        <v>53</v>
      </c>
      <c r="G49" s="30">
        <f>185+145</f>
        <v>330</v>
      </c>
      <c r="H49" s="30">
        <f>+(D49*E49)*G49</f>
        <v>1320</v>
      </c>
      <c r="J49"/>
      <c r="K49"/>
      <c r="L49"/>
      <c r="M49"/>
      <c r="N49"/>
      <c r="O49"/>
      <c r="P49"/>
      <c r="Q49"/>
      <c r="R49"/>
      <c r="S49"/>
    </row>
    <row r="50" spans="1:21" ht="15.75" x14ac:dyDescent="0.3">
      <c r="A50" s="53" t="s">
        <v>54</v>
      </c>
      <c r="B50" s="54">
        <f>+E34*C42</f>
        <v>456.33333333333331</v>
      </c>
      <c r="C50" s="3"/>
      <c r="D50" s="21">
        <v>4</v>
      </c>
      <c r="E50" s="21">
        <v>1</v>
      </c>
      <c r="F50" s="21" t="s">
        <v>77</v>
      </c>
      <c r="G50" s="30">
        <v>155</v>
      </c>
      <c r="H50" s="30">
        <f>+(D50*E50)*G50</f>
        <v>620</v>
      </c>
      <c r="J50"/>
      <c r="K50"/>
      <c r="L50"/>
      <c r="M50"/>
      <c r="N50"/>
      <c r="O50"/>
      <c r="P50"/>
      <c r="Q50"/>
      <c r="R50"/>
      <c r="S50"/>
    </row>
    <row r="51" spans="1:21" ht="15.75" x14ac:dyDescent="0.3">
      <c r="A51" s="53" t="s">
        <v>12</v>
      </c>
      <c r="B51" s="54">
        <f>+H61</f>
        <v>7890.8625000000002</v>
      </c>
      <c r="C51" s="3"/>
      <c r="D51" s="21">
        <v>0</v>
      </c>
      <c r="E51" s="21">
        <v>0</v>
      </c>
      <c r="F51" s="21" t="s">
        <v>83</v>
      </c>
      <c r="G51" s="30">
        <v>500</v>
      </c>
      <c r="H51" s="30">
        <f t="shared" ref="H51:H57" si="0">+(D51*E51)*G51</f>
        <v>0</v>
      </c>
      <c r="J51"/>
      <c r="K51"/>
      <c r="L51"/>
      <c r="M51"/>
      <c r="N51"/>
      <c r="O51"/>
      <c r="P51"/>
      <c r="Q51"/>
      <c r="R51"/>
      <c r="S51"/>
    </row>
    <row r="52" spans="1:21" ht="15.75" x14ac:dyDescent="0.3">
      <c r="A52" s="53"/>
      <c r="B52" s="54"/>
      <c r="C52" s="3"/>
      <c r="D52" s="21">
        <v>1</v>
      </c>
      <c r="E52" s="21">
        <v>1</v>
      </c>
      <c r="F52" s="21" t="s">
        <v>96</v>
      </c>
      <c r="G52" s="30">
        <v>2000</v>
      </c>
      <c r="H52" s="30">
        <f t="shared" si="0"/>
        <v>2000</v>
      </c>
      <c r="I52" s="63">
        <f>+(B73/100)*2</f>
        <v>4452.0652083333334</v>
      </c>
      <c r="J52"/>
      <c r="K52"/>
      <c r="L52"/>
      <c r="M52"/>
      <c r="N52"/>
      <c r="O52"/>
      <c r="P52"/>
      <c r="Q52"/>
      <c r="R52"/>
      <c r="S52"/>
    </row>
    <row r="53" spans="1:21" ht="16.5" x14ac:dyDescent="0.3">
      <c r="A53" s="53" t="s">
        <v>26</v>
      </c>
      <c r="B53" s="54">
        <v>600</v>
      </c>
      <c r="C53" s="3"/>
      <c r="D53" s="21">
        <v>1</v>
      </c>
      <c r="E53" s="21">
        <v>1</v>
      </c>
      <c r="F53" s="21" t="s">
        <v>104</v>
      </c>
      <c r="G53" s="30">
        <f>+E92</f>
        <v>2340.5174999999999</v>
      </c>
      <c r="H53" s="30">
        <f t="shared" si="0"/>
        <v>2340.5174999999999</v>
      </c>
      <c r="I53" s="55"/>
      <c r="J53"/>
      <c r="K53"/>
      <c r="L53"/>
      <c r="M53"/>
      <c r="N53"/>
      <c r="O53"/>
      <c r="P53"/>
      <c r="Q53"/>
      <c r="R53"/>
      <c r="S53"/>
    </row>
    <row r="54" spans="1:21" ht="15.75" x14ac:dyDescent="0.3">
      <c r="A54" s="56" t="str">
        <f>+B98</f>
        <v>Tapa Acrilico</v>
      </c>
      <c r="B54" s="54">
        <f>+B110</f>
        <v>100100.00000000001</v>
      </c>
      <c r="C54" s="3"/>
      <c r="D54" s="21">
        <v>1</v>
      </c>
      <c r="E54" s="21">
        <v>1</v>
      </c>
      <c r="F54" s="21" t="s">
        <v>58</v>
      </c>
      <c r="G54" s="30">
        <f>+E89</f>
        <v>1320.345</v>
      </c>
      <c r="H54" s="30">
        <f t="shared" si="0"/>
        <v>1320.345</v>
      </c>
      <c r="J54"/>
      <c r="K54"/>
      <c r="L54"/>
      <c r="M54"/>
      <c r="N54"/>
      <c r="O54"/>
      <c r="P54"/>
      <c r="Q54"/>
      <c r="R54"/>
      <c r="S54"/>
    </row>
    <row r="55" spans="1:21" ht="15.75" x14ac:dyDescent="0.3">
      <c r="A55" s="56" t="s">
        <v>156</v>
      </c>
      <c r="B55" s="54">
        <v>200</v>
      </c>
      <c r="C55" s="3"/>
      <c r="D55" s="21">
        <v>1</v>
      </c>
      <c r="E55" s="21">
        <v>1</v>
      </c>
      <c r="F55" s="21" t="s">
        <v>153</v>
      </c>
      <c r="G55" s="30">
        <v>145</v>
      </c>
      <c r="H55" s="30">
        <f t="shared" si="0"/>
        <v>145</v>
      </c>
      <c r="J55"/>
      <c r="K55"/>
      <c r="L55"/>
      <c r="M55"/>
      <c r="N55"/>
      <c r="O55"/>
      <c r="P55"/>
      <c r="Q55"/>
      <c r="R55"/>
      <c r="S55"/>
    </row>
    <row r="56" spans="1:21" ht="15.75" x14ac:dyDescent="0.3">
      <c r="A56" s="56" t="s">
        <v>94</v>
      </c>
      <c r="B56" s="54">
        <f>(55*B48)*1.1</f>
        <v>42350</v>
      </c>
      <c r="D56" s="21">
        <v>1</v>
      </c>
      <c r="E56" s="21">
        <v>1</v>
      </c>
      <c r="F56" s="21" t="s">
        <v>107</v>
      </c>
      <c r="G56" s="30">
        <v>145</v>
      </c>
      <c r="H56" s="30">
        <f t="shared" si="0"/>
        <v>145</v>
      </c>
      <c r="J56"/>
      <c r="K56"/>
      <c r="L56"/>
      <c r="M56"/>
      <c r="N56"/>
      <c r="O56"/>
      <c r="P56"/>
      <c r="Q56"/>
      <c r="R56"/>
      <c r="S56"/>
    </row>
    <row r="57" spans="1:21" ht="15.75" x14ac:dyDescent="0.3">
      <c r="A57" s="56" t="s">
        <v>105</v>
      </c>
      <c r="B57" s="54">
        <f>120*20</f>
        <v>2400</v>
      </c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</row>
    <row r="58" spans="1:21" ht="15.75" x14ac:dyDescent="0.3">
      <c r="A58" s="56" t="s">
        <v>115</v>
      </c>
      <c r="B58" s="54">
        <v>1200</v>
      </c>
      <c r="D58" s="21">
        <v>0</v>
      </c>
      <c r="E58" s="21">
        <v>0</v>
      </c>
      <c r="F58" s="3" t="s">
        <v>58</v>
      </c>
      <c r="G58" s="30">
        <f>+E89</f>
        <v>1320.345</v>
      </c>
      <c r="H58" s="30">
        <f t="shared" ref="H58" si="1">+G58*E58</f>
        <v>0</v>
      </c>
      <c r="J58" s="5"/>
      <c r="O58"/>
      <c r="P58"/>
      <c r="Q58"/>
    </row>
    <row r="59" spans="1:21" ht="15.75" x14ac:dyDescent="0.3">
      <c r="A59" s="52" t="s">
        <v>57</v>
      </c>
      <c r="B59" s="57">
        <f>SUM(B50:B57)</f>
        <v>153997.19583333336</v>
      </c>
      <c r="C59" s="3"/>
      <c r="D59" s="21"/>
      <c r="E59" s="21"/>
      <c r="F59" s="3"/>
      <c r="G59" s="3"/>
      <c r="H59" s="30">
        <f t="shared" ref="H59" si="2">+G59*E59</f>
        <v>0</v>
      </c>
      <c r="O59"/>
      <c r="P59"/>
      <c r="Q59"/>
    </row>
    <row r="60" spans="1:21" ht="15.75" x14ac:dyDescent="0.3">
      <c r="A60" s="9"/>
      <c r="B60" s="58"/>
      <c r="C60" s="3"/>
      <c r="D60" s="3"/>
      <c r="E60" s="3"/>
      <c r="F60" s="3"/>
      <c r="G60" s="3"/>
      <c r="O60"/>
      <c r="P60"/>
      <c r="Q60"/>
      <c r="S60"/>
      <c r="T60"/>
      <c r="U60"/>
    </row>
    <row r="61" spans="1:21" ht="15.75" x14ac:dyDescent="0.3">
      <c r="A61" s="9"/>
      <c r="B61" s="32">
        <f>+B59/B48</f>
        <v>219.99599404761909</v>
      </c>
      <c r="C61" s="4"/>
      <c r="D61" s="3"/>
      <c r="E61" s="3"/>
      <c r="G61" s="61" t="s">
        <v>61</v>
      </c>
      <c r="H61" s="30">
        <f>SUM(H49:H60)</f>
        <v>7890.8625000000002</v>
      </c>
      <c r="O61"/>
      <c r="P61"/>
      <c r="Q61"/>
      <c r="S61"/>
      <c r="T61"/>
      <c r="U61"/>
    </row>
    <row r="62" spans="1:21" ht="15.75" x14ac:dyDescent="0.3">
      <c r="A62" s="4" t="s">
        <v>64</v>
      </c>
      <c r="B62" s="3"/>
      <c r="C62" s="3"/>
      <c r="D62" s="3"/>
      <c r="E62" s="3"/>
      <c r="F62" s="3"/>
      <c r="G62" s="5" t="s">
        <v>62</v>
      </c>
      <c r="H62" s="77">
        <v>1.5</v>
      </c>
      <c r="O62"/>
      <c r="P62"/>
      <c r="Q62"/>
      <c r="S62"/>
      <c r="T62"/>
      <c r="U62"/>
    </row>
    <row r="63" spans="1:21" ht="15.75" x14ac:dyDescent="0.3">
      <c r="A63" s="3"/>
      <c r="B63" s="4" t="s">
        <v>67</v>
      </c>
      <c r="C63" s="25"/>
      <c r="D63" s="3"/>
      <c r="E63" s="3"/>
      <c r="G63" s="5" t="s">
        <v>65</v>
      </c>
      <c r="H63" s="77">
        <v>1.4</v>
      </c>
      <c r="O63"/>
      <c r="P63"/>
      <c r="Q63"/>
      <c r="S63"/>
      <c r="T63"/>
      <c r="U63"/>
    </row>
    <row r="64" spans="1:21" ht="15.75" x14ac:dyDescent="0.3">
      <c r="A64" s="52" t="s">
        <v>70</v>
      </c>
      <c r="B64" s="53"/>
      <c r="C64" s="3"/>
      <c r="G64" s="1" t="s">
        <v>65</v>
      </c>
      <c r="H64" s="62">
        <v>2</v>
      </c>
      <c r="O64"/>
      <c r="P64"/>
      <c r="Q64"/>
      <c r="S64"/>
      <c r="T64"/>
      <c r="U64"/>
    </row>
    <row r="65" spans="1:21" ht="15.75" x14ac:dyDescent="0.3">
      <c r="A65" s="53" t="s">
        <v>54</v>
      </c>
      <c r="B65" s="54">
        <f>+E35*C42</f>
        <v>501.9666666666667</v>
      </c>
      <c r="C65" s="63"/>
      <c r="F65" s="3"/>
      <c r="G65" s="5" t="s">
        <v>80</v>
      </c>
      <c r="H65" s="62">
        <v>2.5</v>
      </c>
      <c r="O65"/>
      <c r="P65"/>
      <c r="Q65"/>
      <c r="S65"/>
      <c r="T65"/>
      <c r="U65"/>
    </row>
    <row r="66" spans="1:21" ht="15.75" x14ac:dyDescent="0.3">
      <c r="A66" s="53" t="s">
        <v>12</v>
      </c>
      <c r="B66" s="54">
        <f>+H61*H62</f>
        <v>11836.293750000001</v>
      </c>
      <c r="C66" s="63"/>
      <c r="F66" s="3"/>
      <c r="O66"/>
      <c r="P66"/>
      <c r="Q66"/>
      <c r="S66"/>
      <c r="T66"/>
      <c r="U66"/>
    </row>
    <row r="67" spans="1:21" ht="15.75" x14ac:dyDescent="0.3">
      <c r="A67" s="53" t="str">
        <f t="shared" ref="A67:A72" si="3">+A53</f>
        <v>Tabla de suaje</v>
      </c>
      <c r="B67" s="54">
        <f>+B53*H62</f>
        <v>900</v>
      </c>
      <c r="C67" s="63"/>
      <c r="F67" s="64" t="s">
        <v>71</v>
      </c>
      <c r="G67" s="32">
        <f>+B61</f>
        <v>219.99599404761909</v>
      </c>
      <c r="H67" s="65">
        <f>+G67*B48</f>
        <v>153997.19583333336</v>
      </c>
      <c r="O67"/>
      <c r="P67"/>
      <c r="Q67"/>
      <c r="S67"/>
      <c r="T67"/>
      <c r="U67"/>
    </row>
    <row r="68" spans="1:21" ht="15.75" x14ac:dyDescent="0.3">
      <c r="A68" s="53" t="str">
        <f t="shared" si="3"/>
        <v>Tapa Acrilico</v>
      </c>
      <c r="B68" s="54">
        <f>+B111</f>
        <v>140140</v>
      </c>
      <c r="C68" s="63"/>
      <c r="F68" s="64" t="s">
        <v>73</v>
      </c>
      <c r="G68" s="32">
        <f>+C73</f>
        <v>318.0046577380952</v>
      </c>
      <c r="H68" s="65">
        <f>+G68*B48</f>
        <v>222603.26041666666</v>
      </c>
      <c r="O68"/>
      <c r="P68"/>
      <c r="Q68"/>
      <c r="S68"/>
      <c r="T68"/>
      <c r="U68"/>
    </row>
    <row r="69" spans="1:21" ht="15.75" x14ac:dyDescent="0.3">
      <c r="A69" s="53" t="str">
        <f t="shared" si="3"/>
        <v>Pruebas de Color</v>
      </c>
      <c r="B69" s="54">
        <f>+B55*H62</f>
        <v>300</v>
      </c>
      <c r="C69" s="66"/>
      <c r="F69" s="67" t="s">
        <v>74</v>
      </c>
      <c r="G69" s="68">
        <f>+G68-G67</f>
        <v>98.008663690476112</v>
      </c>
      <c r="H69" s="83">
        <f>+G69*B48</f>
        <v>68606.064583333282</v>
      </c>
      <c r="O69"/>
      <c r="P69"/>
      <c r="Q69"/>
      <c r="S69"/>
      <c r="T69"/>
      <c r="U69"/>
    </row>
    <row r="70" spans="1:21" ht="15.75" x14ac:dyDescent="0.3">
      <c r="A70" s="53" t="str">
        <f t="shared" si="3"/>
        <v>Encuadernación</v>
      </c>
      <c r="B70" s="54">
        <f>+B56*H62</f>
        <v>63525</v>
      </c>
      <c r="C70" s="66"/>
      <c r="F70" s="138" t="s">
        <v>106</v>
      </c>
      <c r="G70" s="138"/>
      <c r="H70" s="86">
        <f>+(A83/100)*2.5</f>
        <v>7187.333256666665</v>
      </c>
      <c r="O70"/>
      <c r="P70"/>
      <c r="Q70"/>
      <c r="S70"/>
      <c r="T70"/>
      <c r="U70"/>
    </row>
    <row r="71" spans="1:21" ht="15.75" x14ac:dyDescent="0.3">
      <c r="A71" s="53" t="str">
        <f t="shared" si="3"/>
        <v>Empaque</v>
      </c>
      <c r="B71" s="54">
        <f>+B57*H62</f>
        <v>3600</v>
      </c>
      <c r="C71" s="66"/>
      <c r="G71" s="61" t="s">
        <v>112</v>
      </c>
      <c r="H71" s="121">
        <f>+A83-G83</f>
        <v>86682.719683333242</v>
      </c>
      <c r="O71"/>
      <c r="P71"/>
      <c r="Q71"/>
      <c r="S71"/>
      <c r="T71"/>
      <c r="U71"/>
    </row>
    <row r="72" spans="1:21" ht="15.75" x14ac:dyDescent="0.3">
      <c r="A72" s="53" t="str">
        <f t="shared" si="3"/>
        <v>Envio</v>
      </c>
      <c r="B72" s="54">
        <f>+B58*H62</f>
        <v>1800</v>
      </c>
      <c r="C72" s="68" t="s">
        <v>114</v>
      </c>
      <c r="D72" s="26"/>
      <c r="E72" s="26"/>
      <c r="F72" s="26" t="s">
        <v>71</v>
      </c>
      <c r="O72"/>
      <c r="P72"/>
      <c r="Q72"/>
      <c r="S72"/>
      <c r="T72"/>
      <c r="U72"/>
    </row>
    <row r="73" spans="1:21" ht="15.75" x14ac:dyDescent="0.3">
      <c r="A73" s="52" t="s">
        <v>57</v>
      </c>
      <c r="B73" s="57">
        <f>SUM(B64:B72)</f>
        <v>222603.26041666666</v>
      </c>
      <c r="C73" s="68">
        <f>+B73/B48</f>
        <v>318.0046577380952</v>
      </c>
      <c r="D73" s="5" t="s">
        <v>184</v>
      </c>
      <c r="F73" s="78">
        <f>+B61</f>
        <v>219.99599404761909</v>
      </c>
      <c r="G73" s="7"/>
      <c r="O73"/>
      <c r="P73"/>
      <c r="Q73"/>
      <c r="S73"/>
      <c r="T73"/>
      <c r="U73"/>
    </row>
    <row r="74" spans="1:21" ht="15.75" x14ac:dyDescent="0.3">
      <c r="C74" s="78">
        <f>+'forro base caja'!C73</f>
        <v>16.525935714285716</v>
      </c>
      <c r="D74" s="5" t="str">
        <f>+'forro base caja'!D73</f>
        <v>forro base caja</v>
      </c>
      <c r="F74" s="78">
        <f>+'forro base caja'!B60</f>
        <v>11.226957142857144</v>
      </c>
      <c r="O74"/>
      <c r="P74"/>
      <c r="Q74"/>
    </row>
    <row r="75" spans="1:21" ht="15.75" x14ac:dyDescent="0.3">
      <c r="C75" s="78">
        <f>+'forro tira cir'!C73</f>
        <v>16.123406249999999</v>
      </c>
      <c r="D75" s="5" t="str">
        <f>+'forro tira cir'!D73</f>
        <v>forro tira circulo</v>
      </c>
      <c r="E75" s="5"/>
      <c r="F75" s="78">
        <f>+'forro tira cir'!B60</f>
        <v>10.979401785714284</v>
      </c>
      <c r="O75"/>
      <c r="P75"/>
      <c r="Q75"/>
    </row>
    <row r="76" spans="1:21" x14ac:dyDescent="0.3">
      <c r="A76" s="5"/>
      <c r="C76" s="78">
        <f>+'forro Circulo '!C73</f>
        <v>27.274299107142856</v>
      </c>
      <c r="D76" s="5" t="str">
        <f>+'forro Circulo '!D73</f>
        <v>forro circulo laterales</v>
      </c>
      <c r="E76" s="5"/>
      <c r="F76" s="78">
        <f>+'forro Circulo '!B60</f>
        <v>18.43680357142857</v>
      </c>
      <c r="J76" s="7"/>
    </row>
    <row r="77" spans="1:21" x14ac:dyDescent="0.3">
      <c r="B77" s="70"/>
      <c r="C77" s="78">
        <f>+eva!C72</f>
        <v>6.6642857142857146</v>
      </c>
      <c r="D77" s="5" t="str">
        <f>+eva!D72</f>
        <v>eva</v>
      </c>
      <c r="E77" s="5"/>
      <c r="F77" s="78">
        <f>+eva!B60</f>
        <v>5.128571428571429</v>
      </c>
    </row>
    <row r="78" spans="1:21" x14ac:dyDescent="0.3">
      <c r="B78" s="70"/>
      <c r="C78" s="78">
        <f>+'cartón limon circ'!C72</f>
        <v>8.3406728571428577</v>
      </c>
      <c r="D78" s="5" t="str">
        <f>+'cartón limon circ'!D72</f>
        <v>cartón limón círculo</v>
      </c>
      <c r="E78" s="5"/>
      <c r="F78" s="78">
        <f>+'cartón limon circ'!B60</f>
        <v>6.912300000000001</v>
      </c>
    </row>
    <row r="79" spans="1:21" x14ac:dyDescent="0.3">
      <c r="B79" s="70"/>
      <c r="C79" s="78">
        <f>+'cartón soporte'!C72</f>
        <v>2.215112142857143</v>
      </c>
      <c r="D79" s="5" t="str">
        <f>+'cartón soporte'!D72</f>
        <v>cartón soporte</v>
      </c>
      <c r="E79" s="5"/>
      <c r="F79" s="78">
        <f>+'cartón soporte'!B60</f>
        <v>1.7020499999999998</v>
      </c>
    </row>
    <row r="80" spans="1:21" x14ac:dyDescent="0.3">
      <c r="B80" s="70"/>
      <c r="C80" s="78">
        <f>+'cartón tira '!C72</f>
        <v>2.4444857142857148</v>
      </c>
      <c r="D80" s="5" t="str">
        <f>+'cartón tira '!D72</f>
        <v>cartón tira</v>
      </c>
      <c r="E80" s="5"/>
      <c r="F80" s="78">
        <f>+'cartón tira '!B60</f>
        <v>1.9105714285714288</v>
      </c>
    </row>
    <row r="81" spans="1:24" x14ac:dyDescent="0.3">
      <c r="B81" s="70"/>
      <c r="C81" s="78">
        <f>+'cartón base cajón'!C72</f>
        <v>8.3402642857142855</v>
      </c>
      <c r="D81" s="5" t="str">
        <f>+'cartón base cajón'!D72</f>
        <v>cartón base cajón</v>
      </c>
      <c r="E81" s="5"/>
      <c r="F81" s="78">
        <f>+'cartón base cajón'!B60</f>
        <v>6.9119285714285716</v>
      </c>
    </row>
    <row r="82" spans="1:24" x14ac:dyDescent="0.3">
      <c r="C82" s="80">
        <f>+'cartón tapa base'!C72</f>
        <v>4.7716380000000003</v>
      </c>
      <c r="D82" s="5" t="str">
        <f>+'cartón tapa base'!D72</f>
        <v>cartón tapa base</v>
      </c>
      <c r="E82" s="5"/>
      <c r="F82" s="80">
        <f>+'cartón tapa base'!B60</f>
        <v>3.6677228571428571</v>
      </c>
    </row>
    <row r="83" spans="1:24" ht="15.75" customHeight="1" x14ac:dyDescent="0.3">
      <c r="A83" s="137">
        <f>+C83*B48</f>
        <v>287493.3302666666</v>
      </c>
      <c r="B83" s="137"/>
      <c r="C83" s="82">
        <f>SUM(C73:C82)</f>
        <v>410.70475752380946</v>
      </c>
      <c r="D83" s="5" t="s">
        <v>97</v>
      </c>
      <c r="F83" s="84">
        <f>SUM(F73:F82)</f>
        <v>286.87230083333338</v>
      </c>
      <c r="G83" s="85">
        <f>+F83*B48</f>
        <v>200810.61058333336</v>
      </c>
      <c r="I83" s="120"/>
    </row>
    <row r="85" spans="1:24" x14ac:dyDescent="0.3">
      <c r="J85" s="72"/>
    </row>
    <row r="86" spans="1:24" ht="16.5" thickBot="1" x14ac:dyDescent="0.35">
      <c r="A86" s="5" t="s">
        <v>146</v>
      </c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ht="15.75" x14ac:dyDescent="0.3">
      <c r="A87" s="11" t="s">
        <v>99</v>
      </c>
      <c r="B87" s="12"/>
      <c r="C87" s="12"/>
      <c r="D87" s="12"/>
      <c r="E87" s="12"/>
      <c r="F87" s="12"/>
      <c r="G87" s="13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 ht="15.75" x14ac:dyDescent="0.3">
      <c r="A88" s="46">
        <f>+F16</f>
        <v>61</v>
      </c>
      <c r="B88" s="74">
        <f>+H16</f>
        <v>45</v>
      </c>
      <c r="C88" s="7" t="s">
        <v>98</v>
      </c>
      <c r="D88" s="74" t="s">
        <v>100</v>
      </c>
      <c r="E88" s="7" t="s">
        <v>101</v>
      </c>
      <c r="F88" s="76" t="s">
        <v>102</v>
      </c>
      <c r="G88" s="94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 ht="15.75" x14ac:dyDescent="0.3">
      <c r="A89" s="46">
        <f>0.61*0.45*C41</f>
        <v>169.27500000000001</v>
      </c>
      <c r="B89" s="79">
        <f>3.9*2</f>
        <v>7.8</v>
      </c>
      <c r="C89" s="79">
        <f>+A89*B89</f>
        <v>1320.345</v>
      </c>
      <c r="D89" s="79">
        <v>0</v>
      </c>
      <c r="E89" s="126">
        <f>+C89+D89</f>
        <v>1320.345</v>
      </c>
      <c r="F89" s="93" t="s">
        <v>117</v>
      </c>
      <c r="G89" s="123">
        <v>500</v>
      </c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 ht="15.75" x14ac:dyDescent="0.3">
      <c r="A90" s="6"/>
      <c r="B90" s="79"/>
      <c r="C90" s="79"/>
      <c r="D90" s="79"/>
      <c r="E90" s="79"/>
      <c r="G90" s="8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ht="15.75" x14ac:dyDescent="0.3">
      <c r="A91" s="46">
        <f>+A88</f>
        <v>61</v>
      </c>
      <c r="B91" s="74">
        <f>+B88</f>
        <v>45</v>
      </c>
      <c r="C91" s="7" t="s">
        <v>98</v>
      </c>
      <c r="D91" s="74" t="s">
        <v>100</v>
      </c>
      <c r="E91" s="7" t="s">
        <v>101</v>
      </c>
      <c r="F91" s="76" t="s">
        <v>147</v>
      </c>
      <c r="G91" s="8"/>
      <c r="H91"/>
      <c r="I91"/>
      <c r="J91" s="72"/>
    </row>
    <row r="92" spans="1:24" ht="15.75" x14ac:dyDescent="0.3">
      <c r="A92" s="46">
        <f>0.61*0.45*C41</f>
        <v>169.27500000000001</v>
      </c>
      <c r="B92" s="79">
        <f>3.9*3</f>
        <v>11.7</v>
      </c>
      <c r="C92" s="79">
        <f>+A92*B92</f>
        <v>1980.5174999999999</v>
      </c>
      <c r="D92" s="79">
        <v>360</v>
      </c>
      <c r="E92" s="79">
        <f>+C92+D92</f>
        <v>2340.5174999999999</v>
      </c>
      <c r="F92" s="93" t="s">
        <v>117</v>
      </c>
      <c r="G92" s="123">
        <v>1000</v>
      </c>
      <c r="H92"/>
      <c r="I92"/>
    </row>
    <row r="93" spans="1:24" ht="15.75" x14ac:dyDescent="0.3">
      <c r="A93" s="6"/>
      <c r="B93" s="7"/>
      <c r="C93" s="79"/>
      <c r="D93" s="79"/>
      <c r="E93" s="79"/>
      <c r="F93" s="79"/>
      <c r="G93" s="8"/>
      <c r="H93"/>
      <c r="I93"/>
    </row>
    <row r="94" spans="1:24" ht="16.5" thickBot="1" x14ac:dyDescent="0.35">
      <c r="A94" s="14"/>
      <c r="B94" s="15"/>
      <c r="C94" s="15"/>
      <c r="D94" s="15"/>
      <c r="E94" s="15"/>
      <c r="F94" s="15"/>
      <c r="G94" s="16"/>
      <c r="H94"/>
      <c r="I94"/>
    </row>
    <row r="95" spans="1:24" ht="15.75" x14ac:dyDescent="0.3">
      <c r="H95"/>
      <c r="I95"/>
    </row>
    <row r="97" spans="1:18" x14ac:dyDescent="0.3">
      <c r="B97" s="5"/>
    </row>
    <row r="98" spans="1:18" ht="15" thickBot="1" x14ac:dyDescent="0.35">
      <c r="A98" s="61" t="s">
        <v>59</v>
      </c>
      <c r="B98" s="139" t="s">
        <v>172</v>
      </c>
      <c r="C98" s="140"/>
      <c r="E98" s="3"/>
      <c r="F98" s="4" t="s">
        <v>207</v>
      </c>
      <c r="G98" s="3"/>
      <c r="H98" s="3"/>
      <c r="I98" s="4"/>
      <c r="J98" s="3"/>
    </row>
    <row r="99" spans="1:18" ht="16.5" x14ac:dyDescent="0.3">
      <c r="A99" s="41" t="s">
        <v>1</v>
      </c>
      <c r="B99" s="59"/>
      <c r="C99" s="60"/>
      <c r="E99" s="134" t="s">
        <v>124</v>
      </c>
      <c r="F99" s="135"/>
      <c r="G99" s="135"/>
      <c r="H99" s="135"/>
      <c r="I99" s="136"/>
      <c r="J99"/>
    </row>
    <row r="100" spans="1:18" ht="15.75" x14ac:dyDescent="0.3">
      <c r="A100" s="41" t="s">
        <v>14</v>
      </c>
      <c r="B100" s="87" t="s">
        <v>173</v>
      </c>
      <c r="C100" s="60"/>
      <c r="E100" s="101"/>
      <c r="F100" s="95" t="s">
        <v>118</v>
      </c>
      <c r="G100" s="95" t="s">
        <v>119</v>
      </c>
      <c r="H100" s="95" t="s">
        <v>122</v>
      </c>
      <c r="I100" s="102" t="s">
        <v>121</v>
      </c>
      <c r="J100"/>
    </row>
    <row r="101" spans="1:18" ht="16.5" x14ac:dyDescent="0.3">
      <c r="A101" s="41" t="s">
        <v>63</v>
      </c>
      <c r="B101" s="87">
        <v>1</v>
      </c>
      <c r="C101" s="60" t="s">
        <v>154</v>
      </c>
      <c r="E101" s="103" t="str">
        <f>+D73</f>
        <v>forro tapa caja</v>
      </c>
      <c r="F101" s="96" t="str">
        <f>+'forro base caja'!C23</f>
        <v>Couche</v>
      </c>
      <c r="G101" s="97">
        <f>+E34</f>
        <v>1.48</v>
      </c>
      <c r="H101" s="98">
        <f>+C42</f>
        <v>308.33333333333331</v>
      </c>
      <c r="I101" s="104">
        <f>+G101*H101</f>
        <v>456.33333333333331</v>
      </c>
      <c r="J101"/>
      <c r="K101" s="55"/>
      <c r="L101" s="55"/>
      <c r="M101" s="55"/>
      <c r="N101" s="55"/>
      <c r="O101" s="55"/>
      <c r="P101" s="55"/>
      <c r="Q101" s="55"/>
      <c r="R101" s="55"/>
    </row>
    <row r="102" spans="1:18" ht="16.5" x14ac:dyDescent="0.3">
      <c r="A102" s="41" t="s">
        <v>66</v>
      </c>
      <c r="B102" s="87">
        <v>1</v>
      </c>
      <c r="C102" s="60" t="s">
        <v>155</v>
      </c>
      <c r="E102" s="103" t="str">
        <f>+D74</f>
        <v>forro base caja</v>
      </c>
      <c r="F102" s="96" t="str">
        <f>+F101</f>
        <v>Couche</v>
      </c>
      <c r="G102" s="97">
        <f>+'forro base caja'!E31</f>
        <v>1.48</v>
      </c>
      <c r="H102" s="98">
        <f>+'forro base caja'!C42</f>
        <v>425</v>
      </c>
      <c r="I102" s="104">
        <f>+I101</f>
        <v>456.33333333333331</v>
      </c>
      <c r="J102"/>
      <c r="K102" s="55"/>
      <c r="L102" s="55"/>
      <c r="M102" s="55"/>
      <c r="N102" s="55"/>
      <c r="O102" s="55"/>
      <c r="P102" s="55"/>
      <c r="Q102" s="55"/>
      <c r="R102" s="55"/>
    </row>
    <row r="103" spans="1:18" ht="16.5" x14ac:dyDescent="0.3">
      <c r="A103" s="41" t="s">
        <v>69</v>
      </c>
      <c r="B103" s="87">
        <f>+B48*1.1</f>
        <v>770.00000000000011</v>
      </c>
      <c r="C103" s="88">
        <f>+(B48*B101)*1.1</f>
        <v>770.00000000000011</v>
      </c>
      <c r="E103" s="103" t="str">
        <f>+D75</f>
        <v>forro tira circulo</v>
      </c>
      <c r="F103" s="96" t="str">
        <f>+C23</f>
        <v>Couche</v>
      </c>
      <c r="G103" s="97">
        <f>+'forro tira cir'!E32</f>
        <v>1.7925000000000002</v>
      </c>
      <c r="H103" s="98">
        <f>+'forro tira cir'!C42</f>
        <v>337.5</v>
      </c>
      <c r="I103" s="104">
        <f>+I102</f>
        <v>456.33333333333331</v>
      </c>
      <c r="J103"/>
      <c r="K103" s="55"/>
      <c r="L103" s="55"/>
      <c r="M103" s="55"/>
      <c r="N103" s="55"/>
      <c r="O103" s="55"/>
      <c r="P103" s="55"/>
      <c r="Q103" s="55"/>
      <c r="R103" s="55"/>
    </row>
    <row r="104" spans="1:18" ht="16.5" x14ac:dyDescent="0.3">
      <c r="A104" s="41"/>
      <c r="B104" s="89"/>
      <c r="C104" s="88">
        <f>+((C103/(B102*100)))</f>
        <v>7.7000000000000011</v>
      </c>
      <c r="E104" s="103" t="str">
        <f>+D76</f>
        <v>forro circulo laterales</v>
      </c>
      <c r="F104" s="96" t="str">
        <f>+C23</f>
        <v>Couche</v>
      </c>
      <c r="G104" s="97">
        <f>+'forro Circulo '!E32</f>
        <v>1.7925000000000002</v>
      </c>
      <c r="H104" s="98">
        <f>+'forro Circulo '!C42</f>
        <v>425</v>
      </c>
      <c r="I104" s="104">
        <f>+I103</f>
        <v>456.33333333333331</v>
      </c>
      <c r="J104"/>
      <c r="K104" s="55"/>
      <c r="L104" s="55"/>
      <c r="M104" s="55"/>
      <c r="N104" s="55"/>
      <c r="O104" s="55"/>
      <c r="P104" s="55"/>
      <c r="Q104" s="55"/>
      <c r="R104" s="55"/>
    </row>
    <row r="105" spans="1:18" ht="16.5" x14ac:dyDescent="0.3">
      <c r="A105" s="41" t="s">
        <v>108</v>
      </c>
      <c r="B105" s="89">
        <v>130</v>
      </c>
      <c r="C105" s="90" t="s">
        <v>185</v>
      </c>
      <c r="E105" s="103" t="str">
        <f>+D77</f>
        <v>eva</v>
      </c>
      <c r="F105" s="96" t="s">
        <v>120</v>
      </c>
      <c r="G105" s="97">
        <f>+eva!E32</f>
        <v>400</v>
      </c>
      <c r="H105" s="98">
        <f>+eva!C42</f>
        <v>4.5</v>
      </c>
      <c r="I105" s="104">
        <f t="shared" ref="I105:I108" si="4">+G105*H105</f>
        <v>1800</v>
      </c>
      <c r="J105"/>
      <c r="K105" s="55"/>
      <c r="L105" s="55"/>
      <c r="M105" s="55"/>
      <c r="N105" s="55"/>
      <c r="O105" s="55"/>
      <c r="P105" s="55"/>
      <c r="Q105" s="55"/>
      <c r="R105" s="55"/>
    </row>
    <row r="106" spans="1:18" ht="16.5" x14ac:dyDescent="0.3">
      <c r="A106" s="41" t="s">
        <v>72</v>
      </c>
      <c r="B106" s="89">
        <f>+B105*B103</f>
        <v>100100.00000000001</v>
      </c>
      <c r="C106" s="60"/>
      <c r="E106" s="103" t="str">
        <f>+D78</f>
        <v>cartón limón círculo</v>
      </c>
      <c r="F106" s="96" t="str">
        <f>+'cartón limon circ'!F23</f>
        <v>#7</v>
      </c>
      <c r="G106" s="97">
        <f>+'cartón limon circ'!E32</f>
        <v>39.429000000000002</v>
      </c>
      <c r="H106" s="98">
        <f>+'cartón limon circ'!C42</f>
        <v>90</v>
      </c>
      <c r="I106" s="104">
        <f t="shared" si="4"/>
        <v>3548.61</v>
      </c>
      <c r="J106"/>
      <c r="K106" s="55"/>
      <c r="L106" s="55"/>
      <c r="M106" s="55"/>
      <c r="N106" s="55"/>
      <c r="O106" s="55"/>
      <c r="P106" s="55"/>
      <c r="Q106" s="55"/>
      <c r="R106" s="55"/>
    </row>
    <row r="107" spans="1:18" ht="16.5" x14ac:dyDescent="0.3">
      <c r="A107" s="41" t="s">
        <v>107</v>
      </c>
      <c r="B107" s="89">
        <v>0</v>
      </c>
      <c r="C107" s="60"/>
      <c r="E107" s="103" t="str">
        <f>+D79</f>
        <v>cartón soporte</v>
      </c>
      <c r="F107" s="96" t="str">
        <f>+'cartón soporte'!F23</f>
        <v>#7</v>
      </c>
      <c r="G107" s="97">
        <f>+'cartón soporte'!E34</f>
        <v>39.429000000000002</v>
      </c>
      <c r="H107" s="98">
        <f>+'cartón soporte'!C42</f>
        <v>15</v>
      </c>
      <c r="I107" s="104">
        <f t="shared" si="4"/>
        <v>591.43500000000006</v>
      </c>
      <c r="J107"/>
      <c r="K107" s="55"/>
      <c r="L107" s="55"/>
      <c r="M107" s="55"/>
      <c r="N107" s="55"/>
      <c r="O107" s="55"/>
      <c r="P107" s="55"/>
      <c r="Q107" s="55"/>
      <c r="R107" s="55"/>
    </row>
    <row r="108" spans="1:18" ht="16.5" x14ac:dyDescent="0.3">
      <c r="A108" s="41" t="s">
        <v>109</v>
      </c>
      <c r="B108" s="89">
        <v>0</v>
      </c>
      <c r="C108" s="60"/>
      <c r="E108" s="103" t="str">
        <f>+D80</f>
        <v>cartón tira</v>
      </c>
      <c r="F108" s="96" t="str">
        <f>+'cartón tira '!F23</f>
        <v>#2</v>
      </c>
      <c r="G108" s="97">
        <f>+'cartón tira '!E32</f>
        <v>19.664000000000005</v>
      </c>
      <c r="H108" s="98">
        <f>+'cartón tira '!C42</f>
        <v>37.5</v>
      </c>
      <c r="I108" s="104">
        <f t="shared" si="4"/>
        <v>737.4000000000002</v>
      </c>
      <c r="J108"/>
      <c r="K108" s="55"/>
      <c r="L108" s="55"/>
      <c r="M108" s="55"/>
      <c r="N108" s="55"/>
      <c r="O108" s="55"/>
      <c r="P108" s="55"/>
      <c r="Q108" s="55"/>
      <c r="R108" s="55"/>
    </row>
    <row r="109" spans="1:18" ht="16.5" x14ac:dyDescent="0.3">
      <c r="A109" s="1" t="s">
        <v>110</v>
      </c>
      <c r="B109" s="89">
        <v>0</v>
      </c>
      <c r="C109" s="60"/>
      <c r="E109" s="103" t="str">
        <f>+D81</f>
        <v>cartón base cajón</v>
      </c>
      <c r="F109" s="96" t="str">
        <f>+'cartón base cajón'!F23</f>
        <v>#7</v>
      </c>
      <c r="G109" s="97">
        <f>+'cartón base cajón'!E32</f>
        <v>70.966999999999999</v>
      </c>
      <c r="H109" s="98">
        <f>+'cartón base cajón'!C42</f>
        <v>50</v>
      </c>
      <c r="I109" s="104">
        <f t="shared" ref="I109:I110" si="5">+G109*H109</f>
        <v>3548.35</v>
      </c>
      <c r="J109"/>
      <c r="K109" s="55"/>
      <c r="L109" s="55"/>
      <c r="M109" s="55"/>
      <c r="N109" s="55"/>
      <c r="O109" s="55"/>
      <c r="P109" s="55"/>
      <c r="Q109" s="55"/>
      <c r="R109" s="55"/>
    </row>
    <row r="110" spans="1:18" ht="16.5" x14ac:dyDescent="0.3">
      <c r="A110" s="41" t="s">
        <v>111</v>
      </c>
      <c r="B110" s="91">
        <f>+B106</f>
        <v>100100.00000000001</v>
      </c>
      <c r="C110" s="92">
        <f>+B110/B48</f>
        <v>143.00000000000003</v>
      </c>
      <c r="D110" s="1" t="s">
        <v>113</v>
      </c>
      <c r="E110" s="103" t="str">
        <f t="shared" ref="E109:E110" si="6">+D82</f>
        <v>cartón tapa base</v>
      </c>
      <c r="F110" s="96" t="str">
        <f>+'cartón tapa base'!F23</f>
        <v>#7</v>
      </c>
      <c r="G110" s="97">
        <f>+'cartón tapa base'!E32</f>
        <v>70.966999999999999</v>
      </c>
      <c r="H110" s="98">
        <f>+'cartón tapa base'!C42</f>
        <v>18</v>
      </c>
      <c r="I110" s="104">
        <f t="shared" si="5"/>
        <v>1277.4059999999999</v>
      </c>
      <c r="J110"/>
      <c r="K110" s="55"/>
      <c r="L110" s="55"/>
      <c r="M110" s="55"/>
      <c r="N110" s="55"/>
      <c r="O110" s="55"/>
      <c r="P110" s="55"/>
      <c r="Q110" s="55"/>
      <c r="R110" s="55"/>
    </row>
    <row r="111" spans="1:18" ht="15.75" x14ac:dyDescent="0.3">
      <c r="A111" s="61" t="s">
        <v>112</v>
      </c>
      <c r="B111" s="127">
        <f>+B110*H63</f>
        <v>140140</v>
      </c>
      <c r="C111" s="128">
        <f>+B111/B48</f>
        <v>200.2</v>
      </c>
      <c r="D111" s="1" t="s">
        <v>113</v>
      </c>
      <c r="E111" s="103" t="str">
        <f>+A54</f>
        <v>Tapa Acrilico</v>
      </c>
      <c r="F111" s="96"/>
      <c r="G111" s="97">
        <f>+B105</f>
        <v>130</v>
      </c>
      <c r="H111" s="98">
        <v>730</v>
      </c>
      <c r="I111" s="104">
        <f t="shared" ref="I111:I112" si="7">+G111*H111</f>
        <v>94900</v>
      </c>
      <c r="J111"/>
    </row>
    <row r="112" spans="1:18" ht="15.75" x14ac:dyDescent="0.3">
      <c r="B112" s="59"/>
      <c r="C112" s="60"/>
      <c r="E112" s="103" t="s">
        <v>210</v>
      </c>
      <c r="F112" s="96"/>
      <c r="G112" s="97">
        <f>+'cartón limon circ'!B53+'cartón base cajón'!B53+'cartón tapa base'!B53+eva!B53+'forro Circulo '!B53+'forro tira cir'!B53+'forro base caja'!B53+'forro tapa caja'!B53</f>
        <v>4700</v>
      </c>
      <c r="H112" s="98">
        <v>1</v>
      </c>
      <c r="I112" s="104">
        <f t="shared" si="7"/>
        <v>4700</v>
      </c>
      <c r="J112"/>
    </row>
    <row r="113" spans="2:10" ht="15.75" x14ac:dyDescent="0.3">
      <c r="B113" s="59"/>
      <c r="C113" s="60"/>
      <c r="E113" s="103" t="s">
        <v>156</v>
      </c>
      <c r="F113" s="96"/>
      <c r="G113" s="97">
        <f>+'forro Circulo '!B54+'forro tira cir'!B54+'forro base caja'!B54+'forro tapa caja'!B55</f>
        <v>850</v>
      </c>
      <c r="H113" s="98">
        <v>1</v>
      </c>
      <c r="I113" s="104">
        <f t="shared" ref="I113" si="8">+G113*H113</f>
        <v>850</v>
      </c>
      <c r="J113"/>
    </row>
    <row r="114" spans="2:10" x14ac:dyDescent="0.3">
      <c r="E114" s="103" t="s">
        <v>211</v>
      </c>
      <c r="F114" s="96"/>
      <c r="G114" s="97">
        <f>+'forro Circulo '!H58+'forro tira cir'!H58</f>
        <v>5700</v>
      </c>
      <c r="H114" s="98">
        <v>1</v>
      </c>
      <c r="I114" s="104">
        <f t="shared" ref="I114" si="9">+G114*H114</f>
        <v>5700</v>
      </c>
    </row>
    <row r="115" spans="2:10" ht="16.5" thickBot="1" x14ac:dyDescent="0.35">
      <c r="E115" s="105"/>
      <c r="F115" s="106"/>
      <c r="G115" s="106"/>
      <c r="H115" s="107"/>
      <c r="I115" s="108"/>
    </row>
    <row r="116" spans="2:10" ht="16.5" thickBot="1" x14ac:dyDescent="0.35">
      <c r="E116"/>
      <c r="F116"/>
      <c r="G116"/>
      <c r="H116" s="99" t="s">
        <v>121</v>
      </c>
      <c r="I116" s="100">
        <f>SUM(I101:I115)</f>
        <v>119478.53433333333</v>
      </c>
    </row>
  </sheetData>
  <mergeCells count="4">
    <mergeCell ref="E99:I99"/>
    <mergeCell ref="A83:B83"/>
    <mergeCell ref="F70:G70"/>
    <mergeCell ref="B98:C98"/>
  </mergeCells>
  <pageMargins left="0.70866141732283472" right="0.70866141732283472" top="0.74803149606299213" bottom="0.74803149606299213" header="0.31496062992125984" footer="0.31496062992125984"/>
  <pageSetup scale="38" orientation="portrait" r:id="rId1"/>
  <headerFooter>
    <oddFooter>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5"/>
  <sheetViews>
    <sheetView topLeftCell="A45" zoomScale="80" zoomScaleNormal="80" workbookViewId="0">
      <selection activeCell="F23" sqref="F2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tr">
        <f>+Desarrollo!B1</f>
        <v>05 de abril de 2017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tr">
        <f>+Desarrollo!B3</f>
        <v>PRM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10</v>
      </c>
      <c r="C13" s="1" t="str">
        <f>+Desarrollo!B5</f>
        <v>Absolut Empaque Premium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11</v>
      </c>
      <c r="C15" s="19" t="str">
        <f>+Desarrollo!A9</f>
        <v>Limón Circulo</v>
      </c>
      <c r="D15" s="18"/>
      <c r="E15" s="18"/>
      <c r="F15" s="73" t="s">
        <v>87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196</v>
      </c>
      <c r="D16" s="18"/>
      <c r="E16" s="18"/>
      <c r="F16" s="46">
        <f>+Desarrollo!C28</f>
        <v>35.299999999999997</v>
      </c>
      <c r="G16" s="74" t="s">
        <v>81</v>
      </c>
      <c r="H16" s="75">
        <f>+Desarrollo!E28</f>
        <v>23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/>
      <c r="D17" s="18"/>
      <c r="E17" s="18"/>
      <c r="F17" s="73">
        <v>1</v>
      </c>
      <c r="G17" s="76" t="s">
        <v>82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/>
      <c r="D18" s="18"/>
      <c r="E18" s="18"/>
      <c r="F18" s="73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20"/>
      <c r="D19" s="18"/>
      <c r="E19" s="18"/>
      <c r="F19" s="46"/>
      <c r="G19" s="74"/>
      <c r="H19" s="75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/>
      <c r="D20" s="18"/>
      <c r="E20" s="18"/>
      <c r="F20" s="73"/>
      <c r="G20" s="76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21" t="s">
        <v>103</v>
      </c>
      <c r="D23" s="5" t="s">
        <v>14</v>
      </c>
      <c r="E23" s="22" t="s">
        <v>93</v>
      </c>
      <c r="F23" s="1" t="str">
        <f>+Desarrollo!B94</f>
        <v>#7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169</v>
      </c>
      <c r="C25" s="23">
        <v>90</v>
      </c>
      <c r="D25" s="22" t="s">
        <v>16</v>
      </c>
      <c r="E25" s="24">
        <v>130</v>
      </c>
      <c r="F25" s="25">
        <f>+C25</f>
        <v>90</v>
      </c>
      <c r="G25" s="26" t="s">
        <v>16</v>
      </c>
      <c r="H25" s="26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35.299999999999997</v>
      </c>
      <c r="D26" s="28" t="s">
        <v>16</v>
      </c>
      <c r="E26" s="27">
        <f>+H16</f>
        <v>23</v>
      </c>
      <c r="F26" s="29">
        <f>+E26</f>
        <v>23</v>
      </c>
      <c r="G26" s="29" t="s">
        <v>16</v>
      </c>
      <c r="H26" s="29">
        <f>+C26</f>
        <v>35.299999999999997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1"/>
      <c r="C27" s="32">
        <f>+C25/C26</f>
        <v>2.5495750708215299</v>
      </c>
      <c r="D27" s="33"/>
      <c r="E27" s="32">
        <f>+E25/E26</f>
        <v>5.6521739130434785</v>
      </c>
      <c r="F27" s="32">
        <f>+F25/F26</f>
        <v>3.9130434782608696</v>
      </c>
      <c r="G27" s="33"/>
      <c r="H27" s="32">
        <f>+H25/H26</f>
        <v>3.6827195467422098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4"/>
      <c r="C28" s="35"/>
      <c r="D28" s="36">
        <v>10</v>
      </c>
      <c r="E28" s="37"/>
      <c r="F28" s="38"/>
      <c r="G28" s="39">
        <v>9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21</v>
      </c>
      <c r="B30" s="25" t="s">
        <v>88</v>
      </c>
      <c r="D30" s="41" t="s">
        <v>22</v>
      </c>
      <c r="E30" s="42">
        <f>+F30/1000</f>
        <v>39.429000000000002</v>
      </c>
      <c r="F30" s="122">
        <f>+Desarrollo!G27</f>
        <v>39429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25</v>
      </c>
      <c r="E32" s="45">
        <f>+E30-E31</f>
        <v>39.429000000000002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29</v>
      </c>
      <c r="E34" s="47">
        <f>+E32</f>
        <v>39.429000000000002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30</v>
      </c>
      <c r="E35" s="47">
        <f>+E34*1.1</f>
        <v>43.371900000000004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34</v>
      </c>
      <c r="C38" s="48">
        <v>10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38</v>
      </c>
      <c r="B40" s="5"/>
      <c r="C40" s="50">
        <f>+B48/F17</f>
        <v>700</v>
      </c>
      <c r="D40" s="24">
        <f>+Desarrollo!D7</f>
        <v>200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40</v>
      </c>
      <c r="C41" s="34">
        <f>+C40+D40</f>
        <v>900</v>
      </c>
      <c r="F41" s="44" t="s">
        <v>41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42</v>
      </c>
      <c r="C42" s="34">
        <f>+C41/C38</f>
        <v>90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1"/>
      <c r="F43" s="41" t="s">
        <v>44</v>
      </c>
      <c r="G43" s="23">
        <f>+C40/1000</f>
        <v>0.7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45</v>
      </c>
      <c r="G44" s="48">
        <f>+C41</f>
        <v>900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46</v>
      </c>
      <c r="C46" s="25">
        <f>+C42*C38</f>
        <v>900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76</v>
      </c>
      <c r="B48" s="21">
        <f>+Desarrollo!B7</f>
        <v>700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89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54</v>
      </c>
      <c r="B50" s="54">
        <f>+E34*C42</f>
        <v>3548.61</v>
      </c>
      <c r="C50" s="3"/>
      <c r="D50" s="21">
        <v>0</v>
      </c>
      <c r="E50" s="21">
        <v>0</v>
      </c>
      <c r="F50" s="21" t="s">
        <v>90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12</v>
      </c>
      <c r="B51" s="54">
        <f>+H61</f>
        <v>690</v>
      </c>
      <c r="C51" s="3"/>
      <c r="D51" s="21">
        <v>0</v>
      </c>
      <c r="E51" s="21">
        <v>0</v>
      </c>
      <c r="F51" s="21" t="s">
        <v>83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96</v>
      </c>
      <c r="G52" s="30">
        <v>400</v>
      </c>
      <c r="H52" s="30">
        <f t="shared" ref="H52:H59" si="0">+G52*E52</f>
        <v>400</v>
      </c>
      <c r="I52" s="30">
        <f>+(B72/100)*2</f>
        <v>116.76942000000001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26</v>
      </c>
      <c r="B53" s="54">
        <v>600</v>
      </c>
      <c r="C53" s="3"/>
      <c r="D53" s="21">
        <v>1</v>
      </c>
      <c r="E53" s="21">
        <v>1</v>
      </c>
      <c r="F53" s="21" t="s">
        <v>78</v>
      </c>
      <c r="G53" s="30">
        <v>145</v>
      </c>
      <c r="H53" s="30">
        <f t="shared" si="0"/>
        <v>145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84</v>
      </c>
      <c r="B54" s="54">
        <v>0</v>
      </c>
      <c r="C54" s="3"/>
      <c r="D54" s="21">
        <v>1</v>
      </c>
      <c r="E54" s="21">
        <v>1</v>
      </c>
      <c r="F54" s="21" t="s">
        <v>79</v>
      </c>
      <c r="G54" s="30">
        <v>145</v>
      </c>
      <c r="H54" s="30">
        <f t="shared" si="0"/>
        <v>145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85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/>
      <c r="B56" s="54"/>
      <c r="D56" s="21">
        <v>1</v>
      </c>
      <c r="E56" s="21">
        <v>0</v>
      </c>
      <c r="F56" s="21" t="s">
        <v>55</v>
      </c>
      <c r="G56" s="30">
        <v>1.5</v>
      </c>
      <c r="H56" s="30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57</v>
      </c>
      <c r="B58" s="57">
        <f>SUM(B50:B57)</f>
        <v>4838.6100000000006</v>
      </c>
      <c r="C58" s="3"/>
      <c r="D58" s="21">
        <v>0</v>
      </c>
      <c r="E58" s="21">
        <v>0</v>
      </c>
      <c r="F58" s="3" t="s">
        <v>58</v>
      </c>
      <c r="G58" s="30">
        <v>600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6.912300000000001</v>
      </c>
      <c r="C60" s="4" t="s">
        <v>60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690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62</v>
      </c>
      <c r="H62" s="77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64</v>
      </c>
      <c r="B63" s="3"/>
      <c r="C63" s="3"/>
      <c r="E63" s="32"/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70</v>
      </c>
      <c r="B65" s="53"/>
      <c r="C65" s="3"/>
      <c r="D65" s="3"/>
      <c r="E65" s="3"/>
      <c r="F65" s="3"/>
      <c r="G65" s="5" t="s">
        <v>80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54</v>
      </c>
      <c r="B66" s="54">
        <f>+E35*C42</f>
        <v>3903.4710000000005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1035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+A53</f>
        <v>Tabla de suaje</v>
      </c>
      <c r="B68" s="54">
        <f>+B53*H62</f>
        <v>900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+A54</f>
        <v>Placas</v>
      </c>
      <c r="B69" s="54">
        <f>+B54*H62</f>
        <v>0</v>
      </c>
      <c r="C69" s="63"/>
      <c r="F69" s="64" t="s">
        <v>71</v>
      </c>
      <c r="G69" s="32">
        <f>+B60</f>
        <v>6.912300000000001</v>
      </c>
      <c r="H69" s="65">
        <f>+G69*B48</f>
        <v>4838.6100000000006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3" t="str">
        <f>+A55</f>
        <v>Mensajeria</v>
      </c>
      <c r="B70" s="54">
        <f>+B55*H62</f>
        <v>0</v>
      </c>
      <c r="C70" s="66"/>
      <c r="F70" s="64" t="s">
        <v>73</v>
      </c>
      <c r="G70" s="32">
        <f>+C72</f>
        <v>8.3406728571428577</v>
      </c>
      <c r="H70" s="65">
        <f>+G70*B48</f>
        <v>5838.4710000000005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3"/>
      <c r="B71" s="54"/>
      <c r="C71" s="66"/>
      <c r="F71" s="67" t="s">
        <v>74</v>
      </c>
      <c r="G71" s="68">
        <f>+G70-G69</f>
        <v>1.4283728571428567</v>
      </c>
      <c r="H71" s="65">
        <f>+G71*B48</f>
        <v>999.86099999999965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2" t="s">
        <v>57</v>
      </c>
      <c r="B72" s="57">
        <f>SUM(B65:B71)</f>
        <v>5838.4710000000005</v>
      </c>
      <c r="C72" s="68">
        <f>+B72/B48</f>
        <v>8.3406728571428577</v>
      </c>
      <c r="D72" s="5" t="s">
        <v>165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x14ac:dyDescent="0.3">
      <c r="A75" s="5"/>
    </row>
    <row r="76" spans="1:22" x14ac:dyDescent="0.3">
      <c r="B76" s="70"/>
      <c r="C76" s="71"/>
    </row>
    <row r="80" spans="1:22" x14ac:dyDescent="0.3">
      <c r="J80" s="72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topLeftCell="A45" zoomScale="80" zoomScaleNormal="80" workbookViewId="0">
      <selection activeCell="D52" sqref="D5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3" ht="15.75" x14ac:dyDescent="0.3"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ht="15.75" x14ac:dyDescent="0.3"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ht="15.75" x14ac:dyDescent="0.3"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ht="15.75" x14ac:dyDescent="0.3"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x14ac:dyDescent="0.3">
      <c r="A5" s="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ht="18.75" x14ac:dyDescent="0.3">
      <c r="A6" s="2" t="s">
        <v>2</v>
      </c>
      <c r="E6" s="5" t="s">
        <v>3</v>
      </c>
      <c r="F6" s="1" t="s">
        <v>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ht="15.75" x14ac:dyDescent="0.3"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ht="15.75" x14ac:dyDescent="0.3"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s="5" customFormat="1" ht="15" x14ac:dyDescent="0.25">
      <c r="A9" s="5" t="s">
        <v>6</v>
      </c>
      <c r="C9" s="5" t="str">
        <f>+'cartón limon circ'!C9</f>
        <v>05 de abril de 2017</v>
      </c>
      <c r="H9" s="5" t="s">
        <v>7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ht="15.75" x14ac:dyDescent="0.3"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ht="16.5" thickBot="1" x14ac:dyDescent="0.35">
      <c r="A11" s="5" t="s">
        <v>8</v>
      </c>
      <c r="C11" s="1" t="str">
        <f>+'cartón limon circ'!C11</f>
        <v>PRM</v>
      </c>
      <c r="F11" s="5" t="s">
        <v>0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ht="15.75" x14ac:dyDescent="0.3">
      <c r="A12" s="5"/>
      <c r="F12" s="11"/>
      <c r="G12" s="12"/>
      <c r="H12" s="13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ht="15.75" x14ac:dyDescent="0.3">
      <c r="A13" s="5" t="s">
        <v>10</v>
      </c>
      <c r="C13" s="1" t="str">
        <f>+'cartón limon circ'!C13</f>
        <v>Absolut Empaque Premium</v>
      </c>
      <c r="F13" s="6"/>
      <c r="G13" s="7"/>
      <c r="H13" s="8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ht="15.75" x14ac:dyDescent="0.3">
      <c r="A14" s="5"/>
      <c r="F14" s="6"/>
      <c r="G14" s="7"/>
      <c r="H14" s="8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ht="15.75" x14ac:dyDescent="0.3">
      <c r="A15" s="5" t="s">
        <v>11</v>
      </c>
      <c r="C15" s="19" t="s">
        <v>195</v>
      </c>
      <c r="D15" s="18"/>
      <c r="E15" s="18"/>
      <c r="F15" s="73" t="s">
        <v>87</v>
      </c>
      <c r="G15" s="7"/>
      <c r="H15" s="8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ht="15.75" x14ac:dyDescent="0.3">
      <c r="C16" s="17" t="s">
        <v>197</v>
      </c>
      <c r="D16" s="18"/>
      <c r="E16" s="18"/>
      <c r="F16" s="46">
        <f>+Desarrollo!C36</f>
        <v>14.65</v>
      </c>
      <c r="G16" s="74" t="s">
        <v>81</v>
      </c>
      <c r="H16" s="75">
        <f>+Desarrollo!E36</f>
        <v>12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ht="15.75" x14ac:dyDescent="0.3">
      <c r="C17" s="17" t="s">
        <v>92</v>
      </c>
      <c r="D17" s="18"/>
      <c r="E17" s="18"/>
      <c r="F17" s="73">
        <v>1</v>
      </c>
      <c r="G17" s="76" t="s">
        <v>82</v>
      </c>
      <c r="H17" s="8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ht="15.75" x14ac:dyDescent="0.3">
      <c r="C18" s="17"/>
      <c r="D18" s="18"/>
      <c r="E18" s="18"/>
      <c r="F18" s="73"/>
      <c r="G18" s="7"/>
      <c r="H18" s="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ht="15.75" x14ac:dyDescent="0.3">
      <c r="C19" s="20"/>
      <c r="D19" s="18"/>
      <c r="E19" s="18"/>
      <c r="F19" s="46"/>
      <c r="G19" s="74"/>
      <c r="H19" s="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ht="15.75" x14ac:dyDescent="0.3">
      <c r="C20" s="18"/>
      <c r="D20" s="18"/>
      <c r="E20" s="18"/>
      <c r="F20" s="73"/>
      <c r="G20" s="76"/>
      <c r="H20" s="8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ht="15.75" x14ac:dyDescent="0.3">
      <c r="C21" s="18"/>
      <c r="D21" s="18"/>
      <c r="E21" s="18"/>
      <c r="F21" s="6"/>
      <c r="G21" s="7"/>
      <c r="H21" s="8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ht="16.5" thickBot="1" x14ac:dyDescent="0.35">
      <c r="C22" s="18"/>
      <c r="D22" s="18"/>
      <c r="E22" s="18"/>
      <c r="F22" s="14"/>
      <c r="G22" s="15"/>
      <c r="H22" s="16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ht="15.75" x14ac:dyDescent="0.3">
      <c r="A23" s="4" t="s">
        <v>13</v>
      </c>
      <c r="C23" s="21" t="s">
        <v>103</v>
      </c>
      <c r="D23" s="5" t="s">
        <v>14</v>
      </c>
      <c r="E23" s="22" t="s">
        <v>93</v>
      </c>
      <c r="F23" s="1" t="str">
        <f>+'cartón limon circ'!F23</f>
        <v>#7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ht="15.75" x14ac:dyDescent="0.3"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ht="15.75" x14ac:dyDescent="0.3">
      <c r="A25" s="4" t="s">
        <v>169</v>
      </c>
      <c r="C25" s="23">
        <v>90</v>
      </c>
      <c r="D25" s="22" t="s">
        <v>16</v>
      </c>
      <c r="E25" s="24">
        <v>130</v>
      </c>
      <c r="F25" s="25">
        <f>+C25</f>
        <v>90</v>
      </c>
      <c r="G25" s="26" t="s">
        <v>16</v>
      </c>
      <c r="H25" s="26">
        <f>+E25</f>
        <v>130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ht="15.75" x14ac:dyDescent="0.3">
      <c r="A26" s="4" t="s">
        <v>17</v>
      </c>
      <c r="B26" s="3"/>
      <c r="C26" s="27">
        <f>+Desarrollo!C36</f>
        <v>14.65</v>
      </c>
      <c r="D26" s="28" t="s">
        <v>16</v>
      </c>
      <c r="E26" s="27">
        <f>+Desarrollo!E36</f>
        <v>12</v>
      </c>
      <c r="F26" s="29">
        <f>+E26</f>
        <v>12</v>
      </c>
      <c r="G26" s="29" t="s">
        <v>16</v>
      </c>
      <c r="H26" s="29">
        <f>+C26</f>
        <v>14.65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ht="16.5" thickBot="1" x14ac:dyDescent="0.35">
      <c r="A27" s="3" t="s">
        <v>18</v>
      </c>
      <c r="B27" s="31"/>
      <c r="C27" s="32">
        <f>+C25/C26</f>
        <v>6.1433447098976108</v>
      </c>
      <c r="D27" s="33"/>
      <c r="E27" s="32">
        <f>+E25/E26</f>
        <v>10.833333333333334</v>
      </c>
      <c r="F27" s="32">
        <f>+F25/F26</f>
        <v>7.5</v>
      </c>
      <c r="G27" s="33"/>
      <c r="H27" s="32">
        <f>+H25/H26</f>
        <v>8.8737201365187719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ht="16.5" thickBot="1" x14ac:dyDescent="0.35">
      <c r="A28" s="3" t="s">
        <v>19</v>
      </c>
      <c r="B28" s="34"/>
      <c r="C28" s="35"/>
      <c r="D28" s="36">
        <v>60</v>
      </c>
      <c r="E28" s="37"/>
      <c r="F28" s="38"/>
      <c r="G28" s="39">
        <v>56</v>
      </c>
      <c r="H28" s="40" t="s">
        <v>20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ht="15.75" x14ac:dyDescent="0.3">
      <c r="A29" s="3"/>
      <c r="B29" s="21"/>
      <c r="C29" s="30"/>
      <c r="G29" s="41"/>
      <c r="H29" s="30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ht="15.75" x14ac:dyDescent="0.3">
      <c r="A30" s="25" t="s">
        <v>21</v>
      </c>
      <c r="B30" s="25" t="s">
        <v>88</v>
      </c>
      <c r="D30" s="41" t="s">
        <v>22</v>
      </c>
      <c r="E30" s="42">
        <f>+'cartón limon circ'!E30</f>
        <v>39.429000000000002</v>
      </c>
      <c r="G30" s="1" t="s">
        <v>23</v>
      </c>
      <c r="H30" s="43">
        <v>0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ht="15.75" x14ac:dyDescent="0.3">
      <c r="D32" s="44" t="s">
        <v>25</v>
      </c>
      <c r="E32" s="45">
        <f>+E30-E31</f>
        <v>39.429000000000002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ht="15.75" x14ac:dyDescent="0.3">
      <c r="D34" s="41" t="s">
        <v>29</v>
      </c>
      <c r="E34" s="47">
        <f>+E32</f>
        <v>39.429000000000002</v>
      </c>
      <c r="F34" s="47">
        <v>0</v>
      </c>
      <c r="G34" s="47">
        <v>0</v>
      </c>
      <c r="H34" s="47"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ht="15.75" x14ac:dyDescent="0.3">
      <c r="D35" s="41" t="s">
        <v>30</v>
      </c>
      <c r="E35" s="47">
        <f>+E34*1.1</f>
        <v>43.371900000000004</v>
      </c>
      <c r="F35" s="47">
        <v>0</v>
      </c>
      <c r="G35" s="47">
        <v>0</v>
      </c>
      <c r="H35" s="47">
        <v>0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ht="16.5" thickBot="1" x14ac:dyDescent="0.35">
      <c r="A36" s="3"/>
      <c r="G36" s="41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ht="16.5" thickBot="1" x14ac:dyDescent="0.35">
      <c r="A38" s="4" t="s">
        <v>34</v>
      </c>
      <c r="C38" s="48">
        <v>60</v>
      </c>
      <c r="D38" s="49" t="s">
        <v>35</v>
      </c>
      <c r="E38" s="14"/>
      <c r="F38" s="15" t="s">
        <v>36</v>
      </c>
      <c r="G38" s="15"/>
      <c r="H38" s="16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ht="15.75" x14ac:dyDescent="0.3">
      <c r="A39" s="4"/>
      <c r="C39" s="21"/>
      <c r="D39" s="1" t="s">
        <v>37</v>
      </c>
      <c r="E39" s="3"/>
      <c r="F39" s="3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ht="15.75" x14ac:dyDescent="0.3">
      <c r="A40" s="4" t="s">
        <v>38</v>
      </c>
      <c r="B40" s="5"/>
      <c r="C40" s="50">
        <f>+B48/F17</f>
        <v>700</v>
      </c>
      <c r="D40" s="24">
        <f>+'cartón limon circ'!D40</f>
        <v>200</v>
      </c>
      <c r="F40" s="44" t="s">
        <v>39</v>
      </c>
      <c r="G40" s="23">
        <v>1</v>
      </c>
      <c r="H40" s="3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ht="15.75" x14ac:dyDescent="0.3">
      <c r="A41" s="4" t="s">
        <v>40</v>
      </c>
      <c r="C41" s="34">
        <f>+C40+D40</f>
        <v>900</v>
      </c>
      <c r="F41" s="44" t="s">
        <v>41</v>
      </c>
      <c r="G41" s="23">
        <v>1</v>
      </c>
      <c r="H41" s="3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ht="15.75" x14ac:dyDescent="0.3">
      <c r="A42" s="4" t="s">
        <v>42</v>
      </c>
      <c r="C42" s="34">
        <f>+C41/C38</f>
        <v>15</v>
      </c>
      <c r="F42" s="44" t="s">
        <v>43</v>
      </c>
      <c r="G42" s="23"/>
      <c r="H42" s="3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ht="15.75" x14ac:dyDescent="0.3">
      <c r="A43" s="4"/>
      <c r="C43" s="21"/>
      <c r="F43" s="41" t="s">
        <v>44</v>
      </c>
      <c r="G43" s="23">
        <f>+C40/1000</f>
        <v>0.7</v>
      </c>
      <c r="H43" s="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ht="15.75" x14ac:dyDescent="0.3">
      <c r="A44" s="4"/>
      <c r="C44" s="51"/>
      <c r="F44" s="44" t="s">
        <v>45</v>
      </c>
      <c r="G44" s="48">
        <f>+C41</f>
        <v>900</v>
      </c>
      <c r="H44" s="3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ht="15.75" x14ac:dyDescent="0.3">
      <c r="A45" s="4"/>
      <c r="C45" s="21"/>
      <c r="E45" s="44"/>
      <c r="F45" s="44"/>
      <c r="G45" s="30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ht="15.75" x14ac:dyDescent="0.3">
      <c r="A46" s="4" t="s">
        <v>46</v>
      </c>
      <c r="C46" s="25">
        <f>+C42*C38</f>
        <v>900</v>
      </c>
      <c r="F46" s="44"/>
      <c r="G46" s="30"/>
      <c r="H46" s="3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ht="15.75" x14ac:dyDescent="0.3">
      <c r="A47" s="3"/>
      <c r="B47" s="3"/>
      <c r="C47" s="3"/>
      <c r="D47" s="3"/>
      <c r="E47" s="3"/>
      <c r="H47" s="3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ht="15.75" x14ac:dyDescent="0.3">
      <c r="A48" s="4" t="s">
        <v>76</v>
      </c>
      <c r="B48" s="21">
        <f>+'cartón limon circ'!B48</f>
        <v>700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89</v>
      </c>
      <c r="G49" s="30">
        <v>7</v>
      </c>
      <c r="H49" s="30">
        <f>+(D49*E49)*G49</f>
        <v>0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ht="15.75" x14ac:dyDescent="0.3">
      <c r="A50" s="53" t="s">
        <v>54</v>
      </c>
      <c r="B50" s="54">
        <f>+E34*C42</f>
        <v>591.43500000000006</v>
      </c>
      <c r="C50" s="3"/>
      <c r="D50" s="21">
        <v>0</v>
      </c>
      <c r="E50" s="21">
        <v>0</v>
      </c>
      <c r="F50" s="21" t="s">
        <v>90</v>
      </c>
      <c r="G50" s="30">
        <v>250</v>
      </c>
      <c r="H50" s="30">
        <f>+(D50*E50)*G50</f>
        <v>0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ht="15.75" x14ac:dyDescent="0.3">
      <c r="A51" s="53" t="s">
        <v>12</v>
      </c>
      <c r="B51" s="54">
        <f>+H61</f>
        <v>600</v>
      </c>
      <c r="C51" s="3"/>
      <c r="D51" s="21">
        <v>0</v>
      </c>
      <c r="E51" s="21">
        <v>0</v>
      </c>
      <c r="F51" s="21" t="s">
        <v>83</v>
      </c>
      <c r="G51" s="30">
        <v>500</v>
      </c>
      <c r="H51" s="30">
        <f>+G51*E51*D51</f>
        <v>0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ht="15.75" x14ac:dyDescent="0.3">
      <c r="A52" s="53"/>
      <c r="B52" s="54"/>
      <c r="C52" s="3"/>
      <c r="D52" s="21">
        <v>1</v>
      </c>
      <c r="E52" s="21">
        <v>1</v>
      </c>
      <c r="F52" s="21" t="s">
        <v>96</v>
      </c>
      <c r="G52" s="30">
        <v>600</v>
      </c>
      <c r="H52" s="30">
        <f t="shared" ref="H52" si="0">+G52*E52</f>
        <v>600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ht="15.75" x14ac:dyDescent="0.3">
      <c r="A53" s="53" t="s">
        <v>26</v>
      </c>
      <c r="B53" s="54">
        <v>0</v>
      </c>
      <c r="C53" s="3"/>
      <c r="D53" s="21">
        <v>1</v>
      </c>
      <c r="E53" s="21">
        <v>0</v>
      </c>
      <c r="F53" s="21" t="s">
        <v>78</v>
      </c>
      <c r="G53" s="30">
        <v>130</v>
      </c>
      <c r="H53" s="30">
        <f t="shared" ref="H53:H59" si="1">+G53*E53</f>
        <v>0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 ht="15.75" x14ac:dyDescent="0.3">
      <c r="A54" s="56" t="s">
        <v>84</v>
      </c>
      <c r="B54" s="54">
        <v>0</v>
      </c>
      <c r="C54" s="3"/>
      <c r="D54" s="21">
        <v>1</v>
      </c>
      <c r="E54" s="21">
        <v>0</v>
      </c>
      <c r="F54" s="21" t="s">
        <v>79</v>
      </c>
      <c r="G54" s="30">
        <v>130</v>
      </c>
      <c r="H54" s="30">
        <f t="shared" si="1"/>
        <v>0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ht="15.75" x14ac:dyDescent="0.3">
      <c r="A55" s="56" t="s">
        <v>85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1"/>
        <v>0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 ht="15.75" x14ac:dyDescent="0.3">
      <c r="A56" s="56" t="s">
        <v>86</v>
      </c>
      <c r="B56" s="54">
        <v>0</v>
      </c>
      <c r="D56" s="21">
        <v>1</v>
      </c>
      <c r="E56" s="21">
        <v>0</v>
      </c>
      <c r="F56" s="21" t="s">
        <v>55</v>
      </c>
      <c r="G56" s="30">
        <v>1.5</v>
      </c>
      <c r="H56" s="30">
        <f t="shared" si="1"/>
        <v>0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1"/>
        <v>0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52" t="s">
        <v>57</v>
      </c>
      <c r="B58" s="57">
        <f>SUM(B50:B57)</f>
        <v>1191.4349999999999</v>
      </c>
      <c r="C58" s="3"/>
      <c r="D58" s="21">
        <v>0</v>
      </c>
      <c r="E58" s="21">
        <v>0</v>
      </c>
      <c r="F58" s="3" t="s">
        <v>58</v>
      </c>
      <c r="G58" s="30">
        <v>600</v>
      </c>
      <c r="H58" s="30">
        <f t="shared" si="1"/>
        <v>0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9"/>
      <c r="B59" s="58"/>
      <c r="C59" s="3"/>
      <c r="D59" s="21"/>
      <c r="E59" s="21"/>
      <c r="F59" s="3"/>
      <c r="G59" s="3"/>
      <c r="H59" s="30">
        <f t="shared" si="1"/>
        <v>0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2">
        <f>+B58/B48</f>
        <v>1.7020499999999998</v>
      </c>
      <c r="C60" s="4" t="s">
        <v>60</v>
      </c>
      <c r="D60" s="3"/>
      <c r="E60" s="3"/>
      <c r="F60" s="3"/>
      <c r="G60" s="3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600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62</v>
      </c>
      <c r="H62" s="77">
        <v>1.5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64</v>
      </c>
      <c r="B63" s="3"/>
      <c r="C63" s="3"/>
      <c r="E63" s="32"/>
      <c r="G63" s="1" t="s">
        <v>65</v>
      </c>
      <c r="H63" s="62">
        <v>1.75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67</v>
      </c>
      <c r="C64" s="25"/>
      <c r="D64" s="3"/>
      <c r="E64" s="3"/>
      <c r="F64" s="3"/>
      <c r="G64" s="1" t="s">
        <v>65</v>
      </c>
      <c r="H64" s="62">
        <v>2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2" t="s">
        <v>70</v>
      </c>
      <c r="B65" s="53"/>
      <c r="C65" s="3"/>
      <c r="D65" s="3"/>
      <c r="E65" s="3"/>
      <c r="F65" s="3"/>
      <c r="G65" s="5" t="s">
        <v>80</v>
      </c>
      <c r="H65" s="62">
        <v>2.5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3" t="s">
        <v>54</v>
      </c>
      <c r="B66" s="54">
        <f>+E35*C42</f>
        <v>650.57850000000008</v>
      </c>
      <c r="C66" s="63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3" t="s">
        <v>12</v>
      </c>
      <c r="B67" s="54">
        <f>+H61*H62</f>
        <v>900</v>
      </c>
      <c r="C67" s="63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3" t="str">
        <f>+A53</f>
        <v>Tabla de suaje</v>
      </c>
      <c r="B68" s="54">
        <f>+B53*H62</f>
        <v>0</v>
      </c>
      <c r="C68" s="63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3" t="str">
        <f>+A54</f>
        <v>Placas</v>
      </c>
      <c r="B69" s="54">
        <f>+B54*H62</f>
        <v>0</v>
      </c>
      <c r="C69" s="63"/>
      <c r="F69" s="64" t="s">
        <v>71</v>
      </c>
      <c r="G69" s="32">
        <f>+B60</f>
        <v>1.7020499999999998</v>
      </c>
      <c r="H69" s="65">
        <f>+G69*C46</f>
        <v>1531.8449999999998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3" t="str">
        <f>+A55</f>
        <v>Mensajeria</v>
      </c>
      <c r="B70" s="54">
        <f>+B55*H62</f>
        <v>0</v>
      </c>
      <c r="C70" s="66"/>
      <c r="F70" s="64" t="s">
        <v>73</v>
      </c>
      <c r="G70" s="32">
        <f>+C72</f>
        <v>2.215112142857143</v>
      </c>
      <c r="H70" s="65">
        <f>+G70*C46</f>
        <v>1993.6009285714288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3"/>
      <c r="B71" s="54"/>
      <c r="C71" s="66"/>
      <c r="F71" s="67" t="s">
        <v>74</v>
      </c>
      <c r="G71" s="68">
        <f>+G70-G69</f>
        <v>0.51306214285714313</v>
      </c>
      <c r="H71" s="65">
        <f>+G71*C46</f>
        <v>461.7559285714288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x14ac:dyDescent="0.3">
      <c r="A72" s="52" t="s">
        <v>57</v>
      </c>
      <c r="B72" s="57">
        <f>SUM(B65:B71)</f>
        <v>1550.5785000000001</v>
      </c>
      <c r="C72" s="68">
        <f>+B72/B48</f>
        <v>2.215112142857143</v>
      </c>
      <c r="D72" s="5" t="s">
        <v>166</v>
      </c>
    </row>
    <row r="75" spans="1:23" x14ac:dyDescent="0.3">
      <c r="A75" s="5"/>
    </row>
    <row r="76" spans="1:23" x14ac:dyDescent="0.3">
      <c r="B76" s="70"/>
      <c r="C76" s="71"/>
    </row>
    <row r="80" spans="1:23" x14ac:dyDescent="0.3">
      <c r="J80" s="72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topLeftCell="A45" zoomScale="80" zoomScaleNormal="80" workbookViewId="0">
      <selection activeCell="B58" sqref="B5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3" ht="15.75" x14ac:dyDescent="0.3"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ht="15.75" x14ac:dyDescent="0.3"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ht="15.75" x14ac:dyDescent="0.3"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ht="15.75" x14ac:dyDescent="0.3"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x14ac:dyDescent="0.3">
      <c r="A5" s="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ht="18.75" x14ac:dyDescent="0.3">
      <c r="A6" s="2" t="s">
        <v>2</v>
      </c>
      <c r="E6" s="5" t="s">
        <v>3</v>
      </c>
      <c r="F6" s="1" t="s">
        <v>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ht="15.75" x14ac:dyDescent="0.3"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ht="15.75" x14ac:dyDescent="0.3"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s="5" customFormat="1" ht="15" x14ac:dyDescent="0.25">
      <c r="A9" s="5" t="s">
        <v>6</v>
      </c>
      <c r="C9" s="5" t="str">
        <f>+'cartón limon circ'!C9</f>
        <v>05 de abril de 2017</v>
      </c>
      <c r="H9" s="5" t="s">
        <v>7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ht="15.75" x14ac:dyDescent="0.3"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ht="16.5" thickBot="1" x14ac:dyDescent="0.35">
      <c r="A11" s="5" t="s">
        <v>8</v>
      </c>
      <c r="C11" s="1" t="str">
        <f>+'cartón limon circ'!C11</f>
        <v>PRM</v>
      </c>
      <c r="F11" s="5" t="s">
        <v>0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ht="15.75" x14ac:dyDescent="0.3">
      <c r="A12" s="5"/>
      <c r="F12" s="11"/>
      <c r="G12" s="12"/>
      <c r="H12" s="13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ht="15.75" x14ac:dyDescent="0.3">
      <c r="A13" s="5" t="s">
        <v>10</v>
      </c>
      <c r="C13" s="1" t="str">
        <f>+'cartón limon circ'!C13</f>
        <v>Absolut Empaque Premium</v>
      </c>
      <c r="F13" s="6"/>
      <c r="G13" s="7"/>
      <c r="H13" s="8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ht="15.75" x14ac:dyDescent="0.3">
      <c r="A14" s="5"/>
      <c r="F14" s="6"/>
      <c r="G14" s="7"/>
      <c r="H14" s="8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ht="15.75" x14ac:dyDescent="0.3">
      <c r="A15" s="5" t="s">
        <v>11</v>
      </c>
      <c r="C15" s="19" t="s">
        <v>159</v>
      </c>
      <c r="D15" s="18"/>
      <c r="E15" s="18"/>
      <c r="F15" s="73" t="s">
        <v>87</v>
      </c>
      <c r="G15" s="7"/>
      <c r="H15" s="8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ht="15.75" x14ac:dyDescent="0.3">
      <c r="C16" s="17" t="s">
        <v>198</v>
      </c>
      <c r="D16" s="18"/>
      <c r="E16" s="18"/>
      <c r="F16" s="46">
        <f>+Desarrollo!C74</f>
        <v>10.5</v>
      </c>
      <c r="G16" s="74" t="s">
        <v>81</v>
      </c>
      <c r="H16" s="75">
        <f>+Desarrollo!E74</f>
        <v>39.6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ht="15.75" x14ac:dyDescent="0.3">
      <c r="C17" s="17" t="s">
        <v>92</v>
      </c>
      <c r="D17" s="18"/>
      <c r="E17" s="18"/>
      <c r="F17" s="73">
        <v>1</v>
      </c>
      <c r="G17" s="76" t="s">
        <v>82</v>
      </c>
      <c r="H17" s="8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ht="15.75" x14ac:dyDescent="0.3">
      <c r="C18" s="17"/>
      <c r="D18" s="18"/>
      <c r="E18" s="18"/>
      <c r="F18" s="73"/>
      <c r="G18" s="7"/>
      <c r="H18" s="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ht="15.75" x14ac:dyDescent="0.3">
      <c r="C19" s="20"/>
      <c r="D19" s="18"/>
      <c r="E19" s="18"/>
      <c r="F19" s="46"/>
      <c r="G19" s="74"/>
      <c r="H19" s="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ht="15.75" x14ac:dyDescent="0.3">
      <c r="C20" s="18"/>
      <c r="D20" s="18"/>
      <c r="E20" s="18"/>
      <c r="F20" s="73"/>
      <c r="G20" s="76"/>
      <c r="H20" s="8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ht="15.75" x14ac:dyDescent="0.3">
      <c r="C21" s="18"/>
      <c r="D21" s="18"/>
      <c r="E21" s="18"/>
      <c r="F21" s="6"/>
      <c r="G21" s="7"/>
      <c r="H21" s="8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ht="16.5" thickBot="1" x14ac:dyDescent="0.35">
      <c r="C22" s="18"/>
      <c r="D22" s="18"/>
      <c r="E22" s="18"/>
      <c r="F22" s="14"/>
      <c r="G22" s="15"/>
      <c r="H22" s="16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ht="15.75" x14ac:dyDescent="0.3">
      <c r="A23" s="4" t="s">
        <v>13</v>
      </c>
      <c r="C23" s="21" t="s">
        <v>103</v>
      </c>
      <c r="D23" s="5" t="s">
        <v>14</v>
      </c>
      <c r="E23" s="22" t="s">
        <v>93</v>
      </c>
      <c r="F23" s="1" t="str">
        <f>+Desarrollo!B73</f>
        <v>#2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ht="15.75" x14ac:dyDescent="0.3"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ht="15.75" x14ac:dyDescent="0.3">
      <c r="A25" s="4" t="s">
        <v>169</v>
      </c>
      <c r="C25" s="23">
        <v>90</v>
      </c>
      <c r="D25" s="22" t="s">
        <v>16</v>
      </c>
      <c r="E25" s="24">
        <v>130</v>
      </c>
      <c r="F25" s="25">
        <f>+C25</f>
        <v>90</v>
      </c>
      <c r="G25" s="26" t="s">
        <v>16</v>
      </c>
      <c r="H25" s="26">
        <f>+E25</f>
        <v>130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ht="15.75" x14ac:dyDescent="0.3">
      <c r="A26" s="4" t="s">
        <v>17</v>
      </c>
      <c r="B26" s="3"/>
      <c r="C26" s="27">
        <f>+Desarrollo!C74</f>
        <v>10.5</v>
      </c>
      <c r="D26" s="28" t="s">
        <v>16</v>
      </c>
      <c r="E26" s="27">
        <f>+Desarrollo!E74</f>
        <v>39.6</v>
      </c>
      <c r="F26" s="29">
        <f>+E26</f>
        <v>39.6</v>
      </c>
      <c r="G26" s="29" t="s">
        <v>16</v>
      </c>
      <c r="H26" s="29">
        <f>+C26</f>
        <v>10.5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ht="16.5" thickBot="1" x14ac:dyDescent="0.35">
      <c r="A27" s="3" t="s">
        <v>18</v>
      </c>
      <c r="B27" s="31"/>
      <c r="C27" s="32">
        <f>+C25/C26</f>
        <v>8.5714285714285712</v>
      </c>
      <c r="D27" s="33"/>
      <c r="E27" s="32">
        <f>+E25/E26</f>
        <v>3.2828282828282829</v>
      </c>
      <c r="F27" s="32">
        <f>+F25/F26</f>
        <v>2.2727272727272725</v>
      </c>
      <c r="G27" s="33"/>
      <c r="H27" s="32">
        <f>+H25/H26</f>
        <v>12.380952380952381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ht="16.5" thickBot="1" x14ac:dyDescent="0.35">
      <c r="A28" s="3" t="s">
        <v>19</v>
      </c>
      <c r="B28" s="34"/>
      <c r="C28" s="35"/>
      <c r="D28" s="36">
        <v>24</v>
      </c>
      <c r="E28" s="37"/>
      <c r="F28" s="38"/>
      <c r="G28" s="39">
        <v>24</v>
      </c>
      <c r="H28" s="40" t="s">
        <v>20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ht="15.75" x14ac:dyDescent="0.3">
      <c r="A29" s="3"/>
      <c r="B29" s="21"/>
      <c r="C29" s="30"/>
      <c r="G29" s="41"/>
      <c r="H29" s="30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ht="15.75" x14ac:dyDescent="0.3">
      <c r="A30" s="25" t="s">
        <v>21</v>
      </c>
      <c r="B30" s="25" t="s">
        <v>88</v>
      </c>
      <c r="D30" s="41" t="s">
        <v>22</v>
      </c>
      <c r="E30" s="42">
        <f>+F30/1000</f>
        <v>19.664000000000005</v>
      </c>
      <c r="F30" s="129">
        <f>+Desarrollo!G73</f>
        <v>19664.000000000004</v>
      </c>
      <c r="G30" s="1" t="s">
        <v>23</v>
      </c>
      <c r="H30" s="43">
        <v>0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ht="15.75" x14ac:dyDescent="0.3">
      <c r="D32" s="44" t="s">
        <v>25</v>
      </c>
      <c r="E32" s="45">
        <f>+E30-E31</f>
        <v>19.664000000000005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ht="15.75" x14ac:dyDescent="0.3">
      <c r="D34" s="41" t="s">
        <v>29</v>
      </c>
      <c r="E34" s="47">
        <f>+E32</f>
        <v>19.664000000000005</v>
      </c>
      <c r="F34" s="47">
        <v>0</v>
      </c>
      <c r="G34" s="47">
        <v>0</v>
      </c>
      <c r="H34" s="47"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ht="15.75" x14ac:dyDescent="0.3">
      <c r="D35" s="41" t="s">
        <v>30</v>
      </c>
      <c r="E35" s="47">
        <f>+E34*1.1</f>
        <v>21.630400000000009</v>
      </c>
      <c r="F35" s="47">
        <v>0</v>
      </c>
      <c r="G35" s="47">
        <v>0</v>
      </c>
      <c r="H35" s="47">
        <v>0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ht="16.5" thickBot="1" x14ac:dyDescent="0.35">
      <c r="A36" s="3"/>
      <c r="G36" s="41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ht="16.5" thickBot="1" x14ac:dyDescent="0.35">
      <c r="A38" s="4" t="s">
        <v>34</v>
      </c>
      <c r="C38" s="48">
        <v>24</v>
      </c>
      <c r="D38" s="49" t="s">
        <v>35</v>
      </c>
      <c r="E38" s="14"/>
      <c r="F38" s="15" t="s">
        <v>36</v>
      </c>
      <c r="G38" s="15"/>
      <c r="H38" s="16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ht="15.75" x14ac:dyDescent="0.3">
      <c r="A39" s="4"/>
      <c r="C39" s="21"/>
      <c r="D39" s="1" t="s">
        <v>37</v>
      </c>
      <c r="E39" s="3"/>
      <c r="F39" s="3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ht="15.75" x14ac:dyDescent="0.3">
      <c r="A40" s="4" t="s">
        <v>38</v>
      </c>
      <c r="B40" s="5"/>
      <c r="C40" s="50">
        <f>+B48/F17</f>
        <v>700</v>
      </c>
      <c r="D40" s="24">
        <f>+'cartón limon circ'!D40</f>
        <v>200</v>
      </c>
      <c r="F40" s="44" t="s">
        <v>39</v>
      </c>
      <c r="G40" s="23">
        <v>1</v>
      </c>
      <c r="H40" s="3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ht="15.75" x14ac:dyDescent="0.3">
      <c r="A41" s="4" t="s">
        <v>40</v>
      </c>
      <c r="C41" s="34">
        <f>+C40+D40</f>
        <v>900</v>
      </c>
      <c r="F41" s="44" t="s">
        <v>41</v>
      </c>
      <c r="G41" s="23">
        <v>1</v>
      </c>
      <c r="H41" s="3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ht="15.75" x14ac:dyDescent="0.3">
      <c r="A42" s="4" t="s">
        <v>42</v>
      </c>
      <c r="C42" s="34">
        <f>+C41/C38</f>
        <v>37.5</v>
      </c>
      <c r="F42" s="44" t="s">
        <v>43</v>
      </c>
      <c r="G42" s="23"/>
      <c r="H42" s="3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ht="15.75" x14ac:dyDescent="0.3">
      <c r="A43" s="4"/>
      <c r="C43" s="21"/>
      <c r="F43" s="41" t="s">
        <v>44</v>
      </c>
      <c r="G43" s="23">
        <f>+C40/1000</f>
        <v>0.7</v>
      </c>
      <c r="H43" s="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ht="15.75" x14ac:dyDescent="0.3">
      <c r="A44" s="4"/>
      <c r="C44" s="51"/>
      <c r="F44" s="44" t="s">
        <v>45</v>
      </c>
      <c r="G44" s="48">
        <f>+C41</f>
        <v>900</v>
      </c>
      <c r="H44" s="3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ht="15.75" x14ac:dyDescent="0.3">
      <c r="A45" s="4"/>
      <c r="C45" s="21"/>
      <c r="E45" s="44"/>
      <c r="F45" s="44"/>
      <c r="G45" s="30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ht="15.75" x14ac:dyDescent="0.3">
      <c r="A46" s="4" t="s">
        <v>46</v>
      </c>
      <c r="C46" s="25">
        <f>+C42*C38</f>
        <v>900</v>
      </c>
      <c r="F46" s="44"/>
      <c r="G46" s="30"/>
      <c r="H46" s="3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ht="15.75" x14ac:dyDescent="0.3">
      <c r="A47" s="3"/>
      <c r="B47" s="3"/>
      <c r="C47" s="3"/>
      <c r="D47" s="3"/>
      <c r="E47" s="3"/>
      <c r="H47" s="3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ht="15.75" x14ac:dyDescent="0.3">
      <c r="A48" s="4" t="s">
        <v>76</v>
      </c>
      <c r="B48" s="21">
        <f>+'cartón limon circ'!B48</f>
        <v>700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89</v>
      </c>
      <c r="G49" s="30">
        <v>7</v>
      </c>
      <c r="H49" s="30">
        <f>+(D49*E49)*G49</f>
        <v>0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ht="15.75" x14ac:dyDescent="0.3">
      <c r="A50" s="53" t="s">
        <v>54</v>
      </c>
      <c r="B50" s="54">
        <f>+E34*C42</f>
        <v>737.4000000000002</v>
      </c>
      <c r="C50" s="3"/>
      <c r="D50" s="21">
        <v>0</v>
      </c>
      <c r="E50" s="21">
        <v>0</v>
      </c>
      <c r="F50" s="21" t="s">
        <v>90</v>
      </c>
      <c r="G50" s="30">
        <v>250</v>
      </c>
      <c r="H50" s="30">
        <f>+(D50*E50)*G50</f>
        <v>0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ht="15.75" x14ac:dyDescent="0.3">
      <c r="A51" s="53" t="s">
        <v>12</v>
      </c>
      <c r="B51" s="54">
        <f>+H61</f>
        <v>600</v>
      </c>
      <c r="C51" s="3"/>
      <c r="D51" s="21">
        <v>0</v>
      </c>
      <c r="E51" s="21">
        <v>0</v>
      </c>
      <c r="F51" s="21" t="s">
        <v>83</v>
      </c>
      <c r="G51" s="30">
        <v>500</v>
      </c>
      <c r="H51" s="30">
        <f>+G51*E51*D51</f>
        <v>0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ht="15.75" x14ac:dyDescent="0.3">
      <c r="A52" s="53"/>
      <c r="B52" s="54"/>
      <c r="C52" s="3"/>
      <c r="D52" s="21">
        <v>1</v>
      </c>
      <c r="E52" s="21">
        <v>1</v>
      </c>
      <c r="F52" s="21" t="s">
        <v>96</v>
      </c>
      <c r="G52" s="30">
        <v>600</v>
      </c>
      <c r="H52" s="30">
        <f t="shared" ref="H52:H59" si="0">+G52*E52</f>
        <v>600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ht="15.75" x14ac:dyDescent="0.3">
      <c r="A53" s="53" t="s">
        <v>26</v>
      </c>
      <c r="B53" s="54">
        <v>0</v>
      </c>
      <c r="C53" s="3"/>
      <c r="D53" s="21">
        <v>1</v>
      </c>
      <c r="E53" s="21">
        <v>0</v>
      </c>
      <c r="F53" s="21" t="s">
        <v>78</v>
      </c>
      <c r="G53" s="30">
        <v>130</v>
      </c>
      <c r="H53" s="30">
        <f t="shared" si="0"/>
        <v>0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 ht="15.75" x14ac:dyDescent="0.3">
      <c r="A54" s="56" t="s">
        <v>84</v>
      </c>
      <c r="B54" s="54">
        <v>0</v>
      </c>
      <c r="C54" s="3"/>
      <c r="D54" s="21">
        <v>1</v>
      </c>
      <c r="E54" s="21">
        <v>0</v>
      </c>
      <c r="F54" s="21" t="s">
        <v>79</v>
      </c>
      <c r="G54" s="30">
        <v>130</v>
      </c>
      <c r="H54" s="30">
        <f t="shared" si="0"/>
        <v>0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ht="15.75" x14ac:dyDescent="0.3">
      <c r="A55" s="56" t="s">
        <v>85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0"/>
        <v>0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 ht="15.75" x14ac:dyDescent="0.3">
      <c r="A56" s="56" t="s">
        <v>86</v>
      </c>
      <c r="B56" s="54">
        <v>0</v>
      </c>
      <c r="D56" s="21">
        <v>1</v>
      </c>
      <c r="E56" s="21">
        <v>0</v>
      </c>
      <c r="F56" s="21" t="s">
        <v>55</v>
      </c>
      <c r="G56" s="30">
        <v>1.5</v>
      </c>
      <c r="H56" s="30">
        <f t="shared" si="0"/>
        <v>0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52" t="s">
        <v>57</v>
      </c>
      <c r="B58" s="57">
        <f>SUM(B50:B57)</f>
        <v>1337.4</v>
      </c>
      <c r="C58" s="3"/>
      <c r="D58" s="21">
        <v>0</v>
      </c>
      <c r="E58" s="21">
        <v>0</v>
      </c>
      <c r="F58" s="3" t="s">
        <v>58</v>
      </c>
      <c r="G58" s="30">
        <v>600</v>
      </c>
      <c r="H58" s="30">
        <f t="shared" si="0"/>
        <v>0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2">
        <f>+B58/B48</f>
        <v>1.9105714285714288</v>
      </c>
      <c r="C60" s="4" t="s">
        <v>60</v>
      </c>
      <c r="D60" s="3"/>
      <c r="E60" s="3"/>
      <c r="F60" s="3"/>
      <c r="G60" s="3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600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62</v>
      </c>
      <c r="H62" s="77">
        <v>1.5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64</v>
      </c>
      <c r="B63" s="3"/>
      <c r="C63" s="3"/>
      <c r="E63" s="32"/>
      <c r="G63" s="1" t="s">
        <v>65</v>
      </c>
      <c r="H63" s="62">
        <v>1.75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67</v>
      </c>
      <c r="C64" s="25"/>
      <c r="D64" s="3"/>
      <c r="E64" s="3"/>
      <c r="F64" s="3"/>
      <c r="G64" s="1" t="s">
        <v>65</v>
      </c>
      <c r="H64" s="62">
        <v>2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2" t="s">
        <v>70</v>
      </c>
      <c r="B65" s="53"/>
      <c r="C65" s="3"/>
      <c r="D65" s="3"/>
      <c r="E65" s="3"/>
      <c r="F65" s="3"/>
      <c r="G65" s="5" t="s">
        <v>80</v>
      </c>
      <c r="H65" s="62">
        <v>2.5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3" t="s">
        <v>54</v>
      </c>
      <c r="B66" s="54">
        <f>+E35*C42</f>
        <v>811.14000000000033</v>
      </c>
      <c r="C66" s="63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3" t="s">
        <v>12</v>
      </c>
      <c r="B67" s="54">
        <f>+H61*H62</f>
        <v>900</v>
      </c>
      <c r="C67" s="63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3" t="str">
        <f>+A53</f>
        <v>Tabla de suaje</v>
      </c>
      <c r="B68" s="54">
        <f>+B53*H62</f>
        <v>0</v>
      </c>
      <c r="C68" s="63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3" t="str">
        <f>+A54</f>
        <v>Placas</v>
      </c>
      <c r="B69" s="54">
        <f>+B54*H62</f>
        <v>0</v>
      </c>
      <c r="C69" s="63"/>
      <c r="F69" s="64" t="s">
        <v>71</v>
      </c>
      <c r="G69" s="32">
        <f>+B60</f>
        <v>1.9105714285714288</v>
      </c>
      <c r="H69" s="65">
        <f>+G69*C46</f>
        <v>1719.514285714286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3" t="str">
        <f>+A55</f>
        <v>Mensajeria</v>
      </c>
      <c r="B70" s="54">
        <f>+B55*H62</f>
        <v>0</v>
      </c>
      <c r="C70" s="66"/>
      <c r="F70" s="64" t="s">
        <v>73</v>
      </c>
      <c r="G70" s="32">
        <f>+C72</f>
        <v>2.4444857142857148</v>
      </c>
      <c r="H70" s="65">
        <f>+G70*C46</f>
        <v>2200.0371428571434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3"/>
      <c r="B71" s="54"/>
      <c r="C71" s="66"/>
      <c r="F71" s="67" t="s">
        <v>74</v>
      </c>
      <c r="G71" s="68">
        <f>+G70-G69</f>
        <v>0.53391428571428601</v>
      </c>
      <c r="H71" s="65">
        <f>+G71*C46</f>
        <v>480.52285714285739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x14ac:dyDescent="0.3">
      <c r="A72" s="52" t="s">
        <v>57</v>
      </c>
      <c r="B72" s="57">
        <f>SUM(B65:B71)</f>
        <v>1711.1400000000003</v>
      </c>
      <c r="C72" s="68">
        <f>+B72/B48</f>
        <v>2.4444857142857148</v>
      </c>
      <c r="D72" s="5" t="s">
        <v>167</v>
      </c>
    </row>
    <row r="75" spans="1:23" x14ac:dyDescent="0.3">
      <c r="A75" s="5"/>
    </row>
    <row r="76" spans="1:23" x14ac:dyDescent="0.3">
      <c r="B76" s="70"/>
      <c r="C76" s="71"/>
    </row>
    <row r="80" spans="1:23" x14ac:dyDescent="0.3">
      <c r="J80" s="72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topLeftCell="A33" zoomScale="80" zoomScaleNormal="80" workbookViewId="0">
      <selection activeCell="E30" sqref="E3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3" ht="15.75" x14ac:dyDescent="0.3"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ht="15.75" x14ac:dyDescent="0.3"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ht="15.75" x14ac:dyDescent="0.3"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ht="15.75" x14ac:dyDescent="0.3"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x14ac:dyDescent="0.3">
      <c r="A5" s="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ht="18.75" x14ac:dyDescent="0.3">
      <c r="A6" s="2" t="s">
        <v>2</v>
      </c>
      <c r="E6" s="5" t="s">
        <v>3</v>
      </c>
      <c r="F6" s="1" t="s">
        <v>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ht="15.75" x14ac:dyDescent="0.3"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ht="15.75" x14ac:dyDescent="0.3"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s="5" customFormat="1" ht="15" x14ac:dyDescent="0.25">
      <c r="A9" s="5" t="s">
        <v>6</v>
      </c>
      <c r="C9" s="5" t="str">
        <f>+'cartón limon circ'!C9</f>
        <v>05 de abril de 2017</v>
      </c>
      <c r="H9" s="5" t="s">
        <v>7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ht="15.75" x14ac:dyDescent="0.3"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ht="16.5" thickBot="1" x14ac:dyDescent="0.35">
      <c r="A11" s="5" t="s">
        <v>8</v>
      </c>
      <c r="C11" s="1" t="str">
        <f>+'cartón limon circ'!C11</f>
        <v>PRM</v>
      </c>
      <c r="F11" s="5" t="s">
        <v>0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ht="15.75" x14ac:dyDescent="0.3">
      <c r="A12" s="5"/>
      <c r="F12" s="11"/>
      <c r="G12" s="12"/>
      <c r="H12" s="13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ht="15.75" x14ac:dyDescent="0.3">
      <c r="A13" s="5" t="s">
        <v>10</v>
      </c>
      <c r="C13" s="1" t="str">
        <f>+'cartón limon circ'!C13</f>
        <v>Absolut Empaque Premium</v>
      </c>
      <c r="F13" s="6"/>
      <c r="G13" s="7"/>
      <c r="H13" s="8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ht="15.75" x14ac:dyDescent="0.3">
      <c r="A14" s="5"/>
      <c r="F14" s="6"/>
      <c r="G14" s="7"/>
      <c r="H14" s="8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ht="15.75" x14ac:dyDescent="0.3">
      <c r="A15" s="5" t="s">
        <v>11</v>
      </c>
      <c r="C15" s="19" t="s">
        <v>192</v>
      </c>
      <c r="D15" s="18"/>
      <c r="E15" s="18"/>
      <c r="F15" s="73" t="s">
        <v>87</v>
      </c>
      <c r="G15" s="7"/>
      <c r="H15" s="8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ht="15.75" x14ac:dyDescent="0.3">
      <c r="C16" s="17" t="s">
        <v>199</v>
      </c>
      <c r="D16" s="18"/>
      <c r="E16" s="18"/>
      <c r="F16" s="46">
        <f>+C26</f>
        <v>26.4</v>
      </c>
      <c r="G16" s="74" t="s">
        <v>81</v>
      </c>
      <c r="H16" s="75">
        <f>+E26</f>
        <v>20.399999999999999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ht="15.75" x14ac:dyDescent="0.3">
      <c r="C17" s="17" t="s">
        <v>92</v>
      </c>
      <c r="D17" s="18"/>
      <c r="E17" s="18"/>
      <c r="F17" s="73">
        <v>1</v>
      </c>
      <c r="G17" s="76" t="s">
        <v>82</v>
      </c>
      <c r="H17" s="8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ht="15.75" x14ac:dyDescent="0.3">
      <c r="C18" s="17"/>
      <c r="D18" s="18"/>
      <c r="E18" s="18"/>
      <c r="F18" s="73"/>
      <c r="G18" s="7"/>
      <c r="H18" s="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ht="15.75" x14ac:dyDescent="0.3">
      <c r="C19" s="20"/>
      <c r="D19" s="18"/>
      <c r="E19" s="18"/>
      <c r="F19" s="46"/>
      <c r="G19" s="74"/>
      <c r="H19" s="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ht="15.75" x14ac:dyDescent="0.3">
      <c r="C20" s="18"/>
      <c r="D20" s="18"/>
      <c r="E20" s="18"/>
      <c r="F20" s="73"/>
      <c r="G20" s="76"/>
      <c r="H20" s="8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ht="15.75" x14ac:dyDescent="0.3">
      <c r="C21" s="18"/>
      <c r="D21" s="18"/>
      <c r="E21" s="18"/>
      <c r="F21" s="6"/>
      <c r="G21" s="7"/>
      <c r="H21" s="8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ht="16.5" thickBot="1" x14ac:dyDescent="0.35">
      <c r="C22" s="18"/>
      <c r="D22" s="18"/>
      <c r="E22" s="18"/>
      <c r="F22" s="14"/>
      <c r="G22" s="15"/>
      <c r="H22" s="16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ht="15.75" x14ac:dyDescent="0.3">
      <c r="A23" s="4" t="s">
        <v>13</v>
      </c>
      <c r="C23" s="21" t="s">
        <v>103</v>
      </c>
      <c r="D23" s="5" t="s">
        <v>14</v>
      </c>
      <c r="E23" s="22" t="s">
        <v>93</v>
      </c>
      <c r="F23" s="1" t="str">
        <f>+'cartón limon circ'!F23</f>
        <v>#7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ht="15.75" x14ac:dyDescent="0.3"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ht="15.75" x14ac:dyDescent="0.3">
      <c r="A25" s="4" t="s">
        <v>169</v>
      </c>
      <c r="C25" s="23">
        <v>90</v>
      </c>
      <c r="D25" s="22" t="s">
        <v>16</v>
      </c>
      <c r="E25" s="24">
        <v>130</v>
      </c>
      <c r="F25" s="25">
        <f>+C25</f>
        <v>90</v>
      </c>
      <c r="G25" s="26" t="s">
        <v>16</v>
      </c>
      <c r="H25" s="26">
        <f>+E25</f>
        <v>130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ht="15.75" x14ac:dyDescent="0.3">
      <c r="A26" s="4" t="s">
        <v>17</v>
      </c>
      <c r="B26" s="3"/>
      <c r="C26" s="27">
        <f>+Desarrollo!C95</f>
        <v>26.4</v>
      </c>
      <c r="D26" s="28" t="s">
        <v>16</v>
      </c>
      <c r="E26" s="27">
        <f>+Desarrollo!E95</f>
        <v>20.399999999999999</v>
      </c>
      <c r="F26" s="29">
        <f>+E26</f>
        <v>20.399999999999999</v>
      </c>
      <c r="G26" s="29" t="s">
        <v>16</v>
      </c>
      <c r="H26" s="29">
        <f>+C26</f>
        <v>26.4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ht="16.5" thickBot="1" x14ac:dyDescent="0.35">
      <c r="A27" s="3" t="s">
        <v>18</v>
      </c>
      <c r="B27" s="31"/>
      <c r="C27" s="32">
        <f>+C25/C26</f>
        <v>3.4090909090909092</v>
      </c>
      <c r="D27" s="33"/>
      <c r="E27" s="32">
        <f>+E25/E26</f>
        <v>6.3725490196078436</v>
      </c>
      <c r="F27" s="32">
        <f>+F25/F26</f>
        <v>4.4117647058823533</v>
      </c>
      <c r="G27" s="33"/>
      <c r="H27" s="32">
        <f>+H25/H26</f>
        <v>4.9242424242424248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ht="16.5" thickBot="1" x14ac:dyDescent="0.35">
      <c r="A28" s="3" t="s">
        <v>19</v>
      </c>
      <c r="B28" s="34"/>
      <c r="C28" s="35"/>
      <c r="D28" s="36">
        <v>18</v>
      </c>
      <c r="E28" s="37"/>
      <c r="F28" s="38"/>
      <c r="G28" s="39">
        <v>16</v>
      </c>
      <c r="H28" s="40" t="s">
        <v>20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ht="15.75" x14ac:dyDescent="0.3">
      <c r="A29" s="3"/>
      <c r="B29" s="21"/>
      <c r="C29" s="30"/>
      <c r="G29" s="41"/>
      <c r="H29" s="30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ht="15.75" x14ac:dyDescent="0.3">
      <c r="A30" s="25" t="s">
        <v>21</v>
      </c>
      <c r="B30" s="25" t="s">
        <v>88</v>
      </c>
      <c r="D30" s="41" t="s">
        <v>22</v>
      </c>
      <c r="E30" s="42">
        <f>+F30/1000</f>
        <v>70.966999999999999</v>
      </c>
      <c r="F30" s="129">
        <f>+Desarrollo!G94</f>
        <v>70967</v>
      </c>
      <c r="G30" s="1" t="s">
        <v>23</v>
      </c>
      <c r="H30" s="43">
        <v>0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ht="15.75" x14ac:dyDescent="0.3">
      <c r="D32" s="44" t="s">
        <v>25</v>
      </c>
      <c r="E32" s="45">
        <f>+E30-E31</f>
        <v>70.966999999999999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ht="15.75" x14ac:dyDescent="0.3">
      <c r="D34" s="41" t="s">
        <v>29</v>
      </c>
      <c r="E34" s="47">
        <f>+E32</f>
        <v>70.966999999999999</v>
      </c>
      <c r="F34" s="47">
        <v>0</v>
      </c>
      <c r="G34" s="47">
        <v>0</v>
      </c>
      <c r="H34" s="47"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ht="15.75" x14ac:dyDescent="0.3">
      <c r="D35" s="41" t="s">
        <v>30</v>
      </c>
      <c r="E35" s="47">
        <f>+E34*1.1</f>
        <v>78.063700000000011</v>
      </c>
      <c r="F35" s="47">
        <v>0</v>
      </c>
      <c r="G35" s="47">
        <v>0</v>
      </c>
      <c r="H35" s="47">
        <v>0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ht="16.5" thickBot="1" x14ac:dyDescent="0.35">
      <c r="A36" s="3"/>
      <c r="G36" s="41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ht="16.5" thickBot="1" x14ac:dyDescent="0.35">
      <c r="A38" s="4" t="s">
        <v>34</v>
      </c>
      <c r="C38" s="48">
        <v>18</v>
      </c>
      <c r="D38" s="49" t="s">
        <v>35</v>
      </c>
      <c r="E38" s="14"/>
      <c r="F38" s="15" t="s">
        <v>36</v>
      </c>
      <c r="G38" s="15"/>
      <c r="H38" s="16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ht="15.75" x14ac:dyDescent="0.3">
      <c r="A39" s="4"/>
      <c r="C39" s="21"/>
      <c r="D39" s="1" t="s">
        <v>37</v>
      </c>
      <c r="E39" s="3"/>
      <c r="F39" s="3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ht="15.75" x14ac:dyDescent="0.3">
      <c r="A40" s="4" t="s">
        <v>38</v>
      </c>
      <c r="B40" s="5"/>
      <c r="C40" s="50">
        <f>+B48/F17</f>
        <v>700</v>
      </c>
      <c r="D40" s="24">
        <f>+'cartón limon circ'!D40</f>
        <v>200</v>
      </c>
      <c r="F40" s="44" t="s">
        <v>39</v>
      </c>
      <c r="G40" s="23">
        <v>1</v>
      </c>
      <c r="H40" s="3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ht="15.75" x14ac:dyDescent="0.3">
      <c r="A41" s="4" t="s">
        <v>40</v>
      </c>
      <c r="C41" s="34">
        <f>+C40+D40</f>
        <v>900</v>
      </c>
      <c r="F41" s="44" t="s">
        <v>41</v>
      </c>
      <c r="G41" s="23">
        <v>1</v>
      </c>
      <c r="H41" s="3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ht="15.75" x14ac:dyDescent="0.3">
      <c r="A42" s="4" t="s">
        <v>42</v>
      </c>
      <c r="C42" s="34">
        <f>+C41/C38</f>
        <v>50</v>
      </c>
      <c r="F42" s="44" t="s">
        <v>43</v>
      </c>
      <c r="G42" s="23"/>
      <c r="H42" s="3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ht="15.75" x14ac:dyDescent="0.3">
      <c r="A43" s="4"/>
      <c r="C43" s="21"/>
      <c r="F43" s="41" t="s">
        <v>44</v>
      </c>
      <c r="G43" s="23">
        <f>+C40/1000</f>
        <v>0.7</v>
      </c>
      <c r="H43" s="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ht="15.75" x14ac:dyDescent="0.3">
      <c r="A44" s="4"/>
      <c r="C44" s="51"/>
      <c r="F44" s="44" t="s">
        <v>45</v>
      </c>
      <c r="G44" s="48">
        <f>+C41</f>
        <v>900</v>
      </c>
      <c r="H44" s="3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ht="15.75" x14ac:dyDescent="0.3">
      <c r="A45" s="4"/>
      <c r="C45" s="21"/>
      <c r="E45" s="44"/>
      <c r="F45" s="44"/>
      <c r="G45" s="30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ht="15.75" x14ac:dyDescent="0.3">
      <c r="A46" s="4" t="s">
        <v>46</v>
      </c>
      <c r="C46" s="25">
        <f>+C42*C38</f>
        <v>900</v>
      </c>
      <c r="F46" s="44"/>
      <c r="G46" s="30"/>
      <c r="H46" s="3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ht="15.75" x14ac:dyDescent="0.3">
      <c r="A47" s="3"/>
      <c r="B47" s="3"/>
      <c r="C47" s="3"/>
      <c r="D47" s="3"/>
      <c r="E47" s="3"/>
      <c r="H47" s="3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ht="15.75" x14ac:dyDescent="0.3">
      <c r="A48" s="4" t="s">
        <v>76</v>
      </c>
      <c r="B48" s="21">
        <f>+'cartón limon circ'!B48</f>
        <v>700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89</v>
      </c>
      <c r="G49" s="30">
        <v>7</v>
      </c>
      <c r="H49" s="30">
        <f>+(D49*E49)*G49</f>
        <v>0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ht="15.75" x14ac:dyDescent="0.3">
      <c r="A50" s="53" t="s">
        <v>54</v>
      </c>
      <c r="B50" s="54">
        <f>+E34*C42</f>
        <v>3548.35</v>
      </c>
      <c r="C50" s="3"/>
      <c r="D50" s="21">
        <v>0</v>
      </c>
      <c r="E50" s="21">
        <v>0</v>
      </c>
      <c r="F50" s="21" t="s">
        <v>90</v>
      </c>
      <c r="G50" s="30">
        <v>250</v>
      </c>
      <c r="H50" s="30">
        <f>+(D50*E50)*G50</f>
        <v>0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ht="15.75" x14ac:dyDescent="0.3">
      <c r="A51" s="53" t="s">
        <v>12</v>
      </c>
      <c r="B51" s="54">
        <f>+H61</f>
        <v>690</v>
      </c>
      <c r="C51" s="3"/>
      <c r="D51" s="21">
        <v>0</v>
      </c>
      <c r="E51" s="21">
        <v>0</v>
      </c>
      <c r="F51" s="21" t="s">
        <v>83</v>
      </c>
      <c r="G51" s="30">
        <v>500</v>
      </c>
      <c r="H51" s="30">
        <f>+G51*E51*D51</f>
        <v>0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ht="15.75" x14ac:dyDescent="0.3">
      <c r="A52" s="53"/>
      <c r="B52" s="54"/>
      <c r="C52" s="3"/>
      <c r="D52" s="21">
        <v>1</v>
      </c>
      <c r="E52" s="21">
        <v>1</v>
      </c>
      <c r="F52" s="21" t="s">
        <v>96</v>
      </c>
      <c r="G52" s="30">
        <v>400</v>
      </c>
      <c r="H52" s="30">
        <f t="shared" ref="H52:H59" si="0">+G52*E52</f>
        <v>400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ht="15.75" x14ac:dyDescent="0.3">
      <c r="A53" s="53" t="s">
        <v>26</v>
      </c>
      <c r="B53" s="54">
        <v>600</v>
      </c>
      <c r="C53" s="3"/>
      <c r="D53" s="21">
        <v>1</v>
      </c>
      <c r="E53" s="21">
        <v>1</v>
      </c>
      <c r="F53" s="21" t="s">
        <v>78</v>
      </c>
      <c r="G53" s="30">
        <v>145</v>
      </c>
      <c r="H53" s="30">
        <f t="shared" si="0"/>
        <v>145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 ht="15.75" x14ac:dyDescent="0.3">
      <c r="A54" s="56" t="s">
        <v>84</v>
      </c>
      <c r="B54" s="54">
        <v>0</v>
      </c>
      <c r="C54" s="3"/>
      <c r="D54" s="21">
        <v>1</v>
      </c>
      <c r="E54" s="21">
        <v>1</v>
      </c>
      <c r="F54" s="21" t="s">
        <v>79</v>
      </c>
      <c r="G54" s="30">
        <v>145</v>
      </c>
      <c r="H54" s="30">
        <f t="shared" si="0"/>
        <v>145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ht="15.75" x14ac:dyDescent="0.3">
      <c r="A55" s="56" t="s">
        <v>85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0"/>
        <v>0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 ht="15.75" x14ac:dyDescent="0.3">
      <c r="A56" s="56" t="s">
        <v>86</v>
      </c>
      <c r="B56" s="54">
        <v>0</v>
      </c>
      <c r="D56" s="21">
        <v>1</v>
      </c>
      <c r="E56" s="21">
        <v>0</v>
      </c>
      <c r="F56" s="21" t="s">
        <v>55</v>
      </c>
      <c r="G56" s="30">
        <v>1.5</v>
      </c>
      <c r="H56" s="30">
        <f t="shared" si="0"/>
        <v>0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52" t="s">
        <v>57</v>
      </c>
      <c r="B58" s="57">
        <f>SUM(B50:B57)</f>
        <v>4838.3500000000004</v>
      </c>
      <c r="C58" s="3"/>
      <c r="D58" s="21">
        <v>0</v>
      </c>
      <c r="E58" s="21">
        <v>0</v>
      </c>
      <c r="F58" s="3" t="s">
        <v>58</v>
      </c>
      <c r="G58" s="30">
        <v>600</v>
      </c>
      <c r="H58" s="30">
        <f t="shared" si="0"/>
        <v>0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2">
        <f>+B58/B48</f>
        <v>6.9119285714285716</v>
      </c>
      <c r="C60" s="4" t="s">
        <v>60</v>
      </c>
      <c r="D60" s="3"/>
      <c r="E60" s="3"/>
      <c r="F60" s="3"/>
      <c r="G60" s="3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690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62</v>
      </c>
      <c r="H62" s="77">
        <v>1.5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64</v>
      </c>
      <c r="B63" s="3"/>
      <c r="C63" s="3"/>
      <c r="E63" s="32"/>
      <c r="G63" s="1" t="s">
        <v>65</v>
      </c>
      <c r="H63" s="62">
        <v>1.75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67</v>
      </c>
      <c r="C64" s="25"/>
      <c r="D64" s="3"/>
      <c r="E64" s="3"/>
      <c r="F64" s="3"/>
      <c r="G64" s="1" t="s">
        <v>65</v>
      </c>
      <c r="H64" s="62">
        <v>2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2" t="s">
        <v>70</v>
      </c>
      <c r="B65" s="53"/>
      <c r="C65" s="3"/>
      <c r="D65" s="3"/>
      <c r="E65" s="3"/>
      <c r="F65" s="3"/>
      <c r="G65" s="5" t="s">
        <v>80</v>
      </c>
      <c r="H65" s="62">
        <v>2.5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3" t="s">
        <v>54</v>
      </c>
      <c r="B66" s="54">
        <f>+E35*C42</f>
        <v>3903.1850000000004</v>
      </c>
      <c r="C66" s="63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3" t="s">
        <v>12</v>
      </c>
      <c r="B67" s="54">
        <f>+H61*H62</f>
        <v>1035</v>
      </c>
      <c r="C67" s="63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3" t="str">
        <f>+A53</f>
        <v>Tabla de suaje</v>
      </c>
      <c r="B68" s="54">
        <f>+B53*H62</f>
        <v>900</v>
      </c>
      <c r="C68" s="63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3" t="str">
        <f>+A54</f>
        <v>Placas</v>
      </c>
      <c r="B69" s="54">
        <f>+B54*H62</f>
        <v>0</v>
      </c>
      <c r="C69" s="63"/>
      <c r="F69" s="64" t="s">
        <v>71</v>
      </c>
      <c r="G69" s="32">
        <f>+B60</f>
        <v>6.9119285714285716</v>
      </c>
      <c r="H69" s="65">
        <f>+G69*C46</f>
        <v>6220.7357142857145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3" t="str">
        <f>+A55</f>
        <v>Mensajeria</v>
      </c>
      <c r="B70" s="54">
        <f>+B55*H62</f>
        <v>0</v>
      </c>
      <c r="C70" s="66"/>
      <c r="F70" s="64" t="s">
        <v>73</v>
      </c>
      <c r="G70" s="32">
        <f>+C72</f>
        <v>8.3402642857142855</v>
      </c>
      <c r="H70" s="65">
        <f>+G70*C46</f>
        <v>7506.2378571428571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3"/>
      <c r="B71" s="54"/>
      <c r="C71" s="66"/>
      <c r="F71" s="67" t="s">
        <v>74</v>
      </c>
      <c r="G71" s="68">
        <f>+G70-G69</f>
        <v>1.4283357142857138</v>
      </c>
      <c r="H71" s="65">
        <f>+G71*C46</f>
        <v>1285.5021428571424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x14ac:dyDescent="0.3">
      <c r="A72" s="52" t="s">
        <v>57</v>
      </c>
      <c r="B72" s="57">
        <f>SUM(B65:B71)</f>
        <v>5838.1850000000004</v>
      </c>
      <c r="C72" s="68">
        <f>+B72/B48</f>
        <v>8.3402642857142855</v>
      </c>
      <c r="D72" s="5" t="s">
        <v>200</v>
      </c>
    </row>
    <row r="75" spans="1:23" x14ac:dyDescent="0.3">
      <c r="A75" s="5"/>
    </row>
    <row r="76" spans="1:23" x14ac:dyDescent="0.3">
      <c r="B76" s="70"/>
      <c r="C76" s="71"/>
    </row>
    <row r="80" spans="1:23" x14ac:dyDescent="0.3">
      <c r="J80" s="72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topLeftCell="A212" zoomScale="80" zoomScaleNormal="80" workbookViewId="0">
      <selection activeCell="D229" sqref="D229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3" ht="15.75" x14ac:dyDescent="0.3"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ht="15.75" x14ac:dyDescent="0.3"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ht="15.75" x14ac:dyDescent="0.3"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ht="15.75" x14ac:dyDescent="0.3"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x14ac:dyDescent="0.3">
      <c r="A5" s="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ht="18.75" x14ac:dyDescent="0.3">
      <c r="A6" s="2" t="s">
        <v>2</v>
      </c>
      <c r="E6" s="5" t="s">
        <v>3</v>
      </c>
      <c r="F6" s="1" t="s">
        <v>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ht="15.75" x14ac:dyDescent="0.3"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ht="15.75" x14ac:dyDescent="0.3"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s="5" customFormat="1" ht="15" x14ac:dyDescent="0.25">
      <c r="A9" s="5" t="s">
        <v>6</v>
      </c>
      <c r="C9" s="5" t="str">
        <f>+'cartón limon circ'!C9</f>
        <v>05 de abril de 2017</v>
      </c>
      <c r="H9" s="5" t="s">
        <v>7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ht="15.75" x14ac:dyDescent="0.3"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ht="16.5" thickBot="1" x14ac:dyDescent="0.35">
      <c r="A11" s="5" t="s">
        <v>8</v>
      </c>
      <c r="C11" s="1" t="str">
        <f>+'cartón limon circ'!C11</f>
        <v>PRM</v>
      </c>
      <c r="F11" s="5" t="s">
        <v>0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ht="15.75" x14ac:dyDescent="0.3">
      <c r="A12" s="5"/>
      <c r="F12" s="11"/>
      <c r="G12" s="12"/>
      <c r="H12" s="13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ht="15.75" x14ac:dyDescent="0.3">
      <c r="A13" s="5" t="s">
        <v>10</v>
      </c>
      <c r="C13" s="1" t="str">
        <f>+'cartón limon circ'!C13</f>
        <v>Absolut Empaque Premium</v>
      </c>
      <c r="F13" s="6"/>
      <c r="G13" s="7"/>
      <c r="H13" s="8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ht="15.75" x14ac:dyDescent="0.3">
      <c r="A14" s="5"/>
      <c r="F14" s="6"/>
      <c r="G14" s="7"/>
      <c r="H14" s="8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ht="15.75" x14ac:dyDescent="0.3">
      <c r="A15" s="5" t="s">
        <v>11</v>
      </c>
      <c r="C15" s="19" t="s">
        <v>201</v>
      </c>
      <c r="D15" s="18"/>
      <c r="E15" s="18"/>
      <c r="F15" s="73" t="s">
        <v>87</v>
      </c>
      <c r="G15" s="7"/>
      <c r="H15" s="8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ht="15.75" x14ac:dyDescent="0.3">
      <c r="C16" s="17" t="s">
        <v>171</v>
      </c>
      <c r="D16" s="18"/>
      <c r="E16" s="18"/>
      <c r="F16" s="46">
        <f>+C26</f>
        <v>18</v>
      </c>
      <c r="G16" s="74" t="s">
        <v>81</v>
      </c>
      <c r="H16" s="75">
        <f>+E26</f>
        <v>12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ht="15.75" x14ac:dyDescent="0.3">
      <c r="C17" s="17" t="s">
        <v>92</v>
      </c>
      <c r="D17" s="18"/>
      <c r="E17" s="18"/>
      <c r="F17" s="73">
        <v>1</v>
      </c>
      <c r="G17" s="76" t="s">
        <v>82</v>
      </c>
      <c r="H17" s="8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ht="15.75" x14ac:dyDescent="0.3">
      <c r="C18" s="17"/>
      <c r="D18" s="18"/>
      <c r="E18" s="18"/>
      <c r="F18" s="73"/>
      <c r="G18" s="7"/>
      <c r="H18" s="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ht="15.75" x14ac:dyDescent="0.3">
      <c r="C19" s="20"/>
      <c r="D19" s="18"/>
      <c r="E19" s="18"/>
      <c r="F19" s="46"/>
      <c r="G19" s="74"/>
      <c r="H19" s="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ht="15.75" x14ac:dyDescent="0.3">
      <c r="C20" s="18"/>
      <c r="D20" s="18"/>
      <c r="E20" s="18"/>
      <c r="F20" s="73"/>
      <c r="G20" s="76"/>
      <c r="H20" s="8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ht="15.75" x14ac:dyDescent="0.3">
      <c r="C21" s="18"/>
      <c r="D21" s="18"/>
      <c r="E21" s="18"/>
      <c r="F21" s="6"/>
      <c r="G21" s="7"/>
      <c r="H21" s="8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ht="16.5" thickBot="1" x14ac:dyDescent="0.35">
      <c r="C22" s="18"/>
      <c r="D22" s="18"/>
      <c r="E22" s="18"/>
      <c r="F22" s="14"/>
      <c r="G22" s="15"/>
      <c r="H22" s="16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ht="15.75" x14ac:dyDescent="0.3">
      <c r="A23" s="4" t="s">
        <v>13</v>
      </c>
      <c r="C23" s="21" t="s">
        <v>103</v>
      </c>
      <c r="D23" s="5" t="s">
        <v>14</v>
      </c>
      <c r="E23" s="22" t="s">
        <v>93</v>
      </c>
      <c r="F23" s="1" t="str">
        <f>+'cartón limon circ'!F23</f>
        <v>#7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ht="15.75" x14ac:dyDescent="0.3"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ht="15.75" x14ac:dyDescent="0.3">
      <c r="A25" s="4" t="s">
        <v>169</v>
      </c>
      <c r="C25" s="23">
        <v>90</v>
      </c>
      <c r="D25" s="22" t="s">
        <v>16</v>
      </c>
      <c r="E25" s="24">
        <v>130</v>
      </c>
      <c r="F25" s="25">
        <f>+C25</f>
        <v>90</v>
      </c>
      <c r="G25" s="26" t="s">
        <v>16</v>
      </c>
      <c r="H25" s="26">
        <f>+E25</f>
        <v>130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ht="15.75" x14ac:dyDescent="0.3">
      <c r="A26" s="4" t="s">
        <v>17</v>
      </c>
      <c r="B26" s="3"/>
      <c r="C26" s="27">
        <f>+Desarrollo!C123</f>
        <v>18</v>
      </c>
      <c r="D26" s="28" t="s">
        <v>16</v>
      </c>
      <c r="E26" s="27">
        <f>+Desarrollo!E123</f>
        <v>12</v>
      </c>
      <c r="F26" s="29">
        <f>+E26</f>
        <v>12</v>
      </c>
      <c r="G26" s="29" t="s">
        <v>16</v>
      </c>
      <c r="H26" s="29">
        <f>+C26</f>
        <v>18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ht="16.5" thickBot="1" x14ac:dyDescent="0.35">
      <c r="A27" s="3" t="s">
        <v>18</v>
      </c>
      <c r="B27" s="31"/>
      <c r="C27" s="32">
        <f>+C25/C26</f>
        <v>5</v>
      </c>
      <c r="D27" s="33"/>
      <c r="E27" s="32">
        <f>+E25/E26</f>
        <v>10.833333333333334</v>
      </c>
      <c r="F27" s="32">
        <f>+F25/F26</f>
        <v>7.5</v>
      </c>
      <c r="G27" s="33"/>
      <c r="H27" s="32">
        <f>+H25/H26</f>
        <v>7.2222222222222223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ht="16.5" thickBot="1" x14ac:dyDescent="0.35">
      <c r="A28" s="3" t="s">
        <v>19</v>
      </c>
      <c r="B28" s="34"/>
      <c r="C28" s="35"/>
      <c r="D28" s="36">
        <v>50</v>
      </c>
      <c r="E28" s="37"/>
      <c r="F28" s="38"/>
      <c r="G28" s="39">
        <v>49</v>
      </c>
      <c r="H28" s="40" t="s">
        <v>20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ht="15.75" x14ac:dyDescent="0.3">
      <c r="A29" s="3"/>
      <c r="B29" s="21"/>
      <c r="C29" s="30"/>
      <c r="G29" s="41"/>
      <c r="H29" s="30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ht="15.75" x14ac:dyDescent="0.3">
      <c r="A30" s="25" t="s">
        <v>21</v>
      </c>
      <c r="B30" s="25" t="s">
        <v>88</v>
      </c>
      <c r="D30" s="41" t="s">
        <v>22</v>
      </c>
      <c r="E30" s="42">
        <f>+'cartón base cajón'!E30</f>
        <v>70.966999999999999</v>
      </c>
      <c r="F30" s="129"/>
      <c r="G30" s="1" t="s">
        <v>23</v>
      </c>
      <c r="H30" s="43">
        <v>0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ht="15.75" x14ac:dyDescent="0.3">
      <c r="D32" s="44" t="s">
        <v>25</v>
      </c>
      <c r="E32" s="45">
        <f>+E30-E31</f>
        <v>70.966999999999999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ht="15.75" x14ac:dyDescent="0.3">
      <c r="D34" s="41" t="s">
        <v>29</v>
      </c>
      <c r="E34" s="47">
        <f>+E32</f>
        <v>70.966999999999999</v>
      </c>
      <c r="F34" s="47">
        <v>0</v>
      </c>
      <c r="G34" s="47">
        <v>0</v>
      </c>
      <c r="H34" s="47"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ht="15.75" x14ac:dyDescent="0.3">
      <c r="D35" s="41" t="s">
        <v>30</v>
      </c>
      <c r="E35" s="47">
        <f>+E34*1.1</f>
        <v>78.063700000000011</v>
      </c>
      <c r="F35" s="47">
        <v>0</v>
      </c>
      <c r="G35" s="47">
        <v>0</v>
      </c>
      <c r="H35" s="47">
        <v>0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ht="16.5" thickBot="1" x14ac:dyDescent="0.35">
      <c r="A36" s="3"/>
      <c r="G36" s="41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ht="16.5" thickBot="1" x14ac:dyDescent="0.35">
      <c r="A38" s="4" t="s">
        <v>34</v>
      </c>
      <c r="C38" s="48">
        <v>50</v>
      </c>
      <c r="D38" s="49" t="s">
        <v>35</v>
      </c>
      <c r="E38" s="14"/>
      <c r="F38" s="15" t="s">
        <v>36</v>
      </c>
      <c r="G38" s="15"/>
      <c r="H38" s="16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ht="15.75" x14ac:dyDescent="0.3">
      <c r="A39" s="4"/>
      <c r="C39" s="21"/>
      <c r="D39" s="1" t="s">
        <v>37</v>
      </c>
      <c r="E39" s="3"/>
      <c r="F39" s="3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ht="15.75" x14ac:dyDescent="0.3">
      <c r="A40" s="4" t="s">
        <v>38</v>
      </c>
      <c r="B40" s="5"/>
      <c r="C40" s="50">
        <f>+B48/F17</f>
        <v>700</v>
      </c>
      <c r="D40" s="24">
        <f>+'cartón limon circ'!D40</f>
        <v>200</v>
      </c>
      <c r="F40" s="44" t="s">
        <v>39</v>
      </c>
      <c r="G40" s="23">
        <v>1</v>
      </c>
      <c r="H40" s="3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ht="15.75" x14ac:dyDescent="0.3">
      <c r="A41" s="4" t="s">
        <v>40</v>
      </c>
      <c r="C41" s="34">
        <f>+C40+D40</f>
        <v>900</v>
      </c>
      <c r="F41" s="44" t="s">
        <v>41</v>
      </c>
      <c r="G41" s="23">
        <v>1</v>
      </c>
      <c r="H41" s="3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ht="15.75" x14ac:dyDescent="0.3">
      <c r="A42" s="4" t="s">
        <v>42</v>
      </c>
      <c r="C42" s="34">
        <f>+C41/C38</f>
        <v>18</v>
      </c>
      <c r="F42" s="44" t="s">
        <v>43</v>
      </c>
      <c r="G42" s="23"/>
      <c r="H42" s="3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ht="15.75" x14ac:dyDescent="0.3">
      <c r="A43" s="4"/>
      <c r="C43" s="21"/>
      <c r="F43" s="41" t="s">
        <v>44</v>
      </c>
      <c r="G43" s="23">
        <f>+C40/1000</f>
        <v>0.7</v>
      </c>
      <c r="H43" s="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ht="15.75" x14ac:dyDescent="0.3">
      <c r="A44" s="4"/>
      <c r="C44" s="51"/>
      <c r="F44" s="44" t="s">
        <v>45</v>
      </c>
      <c r="G44" s="48">
        <f>+C41</f>
        <v>900</v>
      </c>
      <c r="H44" s="3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ht="15.75" x14ac:dyDescent="0.3">
      <c r="A45" s="4"/>
      <c r="C45" s="21"/>
      <c r="E45" s="44"/>
      <c r="F45" s="44"/>
      <c r="G45" s="30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ht="15.75" x14ac:dyDescent="0.3">
      <c r="A46" s="4" t="s">
        <v>46</v>
      </c>
      <c r="C46" s="25">
        <f>+C42*C38</f>
        <v>900</v>
      </c>
      <c r="F46" s="44"/>
      <c r="G46" s="30"/>
      <c r="H46" s="3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ht="15.75" x14ac:dyDescent="0.3">
      <c r="A47" s="3"/>
      <c r="B47" s="3"/>
      <c r="C47" s="3"/>
      <c r="D47" s="3"/>
      <c r="E47" s="3"/>
      <c r="H47" s="3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ht="15.75" x14ac:dyDescent="0.3">
      <c r="A48" s="4" t="s">
        <v>76</v>
      </c>
      <c r="B48" s="21">
        <f>+'cartón limon circ'!B48</f>
        <v>700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89</v>
      </c>
      <c r="G49" s="30">
        <v>7</v>
      </c>
      <c r="H49" s="30">
        <f>+(D49*E49)*G49</f>
        <v>0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ht="15.75" x14ac:dyDescent="0.3">
      <c r="A50" s="53" t="s">
        <v>54</v>
      </c>
      <c r="B50" s="54">
        <f>+E34*C42</f>
        <v>1277.4059999999999</v>
      </c>
      <c r="C50" s="3"/>
      <c r="D50" s="21">
        <v>0</v>
      </c>
      <c r="E50" s="21">
        <v>0</v>
      </c>
      <c r="F50" s="21" t="s">
        <v>90</v>
      </c>
      <c r="G50" s="30">
        <v>250</v>
      </c>
      <c r="H50" s="30">
        <f>+(D50*E50)*G50</f>
        <v>0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ht="15.75" x14ac:dyDescent="0.3">
      <c r="A51" s="53" t="s">
        <v>12</v>
      </c>
      <c r="B51" s="54">
        <f>+H61</f>
        <v>690</v>
      </c>
      <c r="C51" s="3"/>
      <c r="D51" s="21">
        <v>0</v>
      </c>
      <c r="E51" s="21">
        <v>0</v>
      </c>
      <c r="F51" s="21" t="s">
        <v>83</v>
      </c>
      <c r="G51" s="30">
        <v>500</v>
      </c>
      <c r="H51" s="30">
        <f>+G51*E51*D51</f>
        <v>0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ht="15.75" x14ac:dyDescent="0.3">
      <c r="A52" s="53"/>
      <c r="B52" s="54"/>
      <c r="C52" s="3"/>
      <c r="D52" s="21">
        <v>1</v>
      </c>
      <c r="E52" s="21">
        <v>1</v>
      </c>
      <c r="F52" s="21" t="s">
        <v>96</v>
      </c>
      <c r="G52" s="30">
        <v>400</v>
      </c>
      <c r="H52" s="30">
        <f t="shared" ref="H52:H59" si="0">+G52*E52</f>
        <v>400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ht="15.75" x14ac:dyDescent="0.3">
      <c r="A53" s="53" t="s">
        <v>26</v>
      </c>
      <c r="B53" s="54">
        <v>600</v>
      </c>
      <c r="C53" s="3"/>
      <c r="D53" s="21">
        <v>1</v>
      </c>
      <c r="E53" s="21">
        <v>1</v>
      </c>
      <c r="F53" s="21" t="s">
        <v>78</v>
      </c>
      <c r="G53" s="30">
        <v>145</v>
      </c>
      <c r="H53" s="30">
        <f t="shared" si="0"/>
        <v>145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 ht="15.75" x14ac:dyDescent="0.3">
      <c r="A54" s="56" t="s">
        <v>84</v>
      </c>
      <c r="B54" s="54">
        <v>0</v>
      </c>
      <c r="C54" s="3"/>
      <c r="D54" s="21">
        <v>1</v>
      </c>
      <c r="E54" s="21">
        <v>1</v>
      </c>
      <c r="F54" s="21" t="s">
        <v>79</v>
      </c>
      <c r="G54" s="30">
        <v>145</v>
      </c>
      <c r="H54" s="30">
        <f t="shared" si="0"/>
        <v>145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ht="15.75" x14ac:dyDescent="0.3">
      <c r="A55" s="56" t="s">
        <v>85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0"/>
        <v>0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 ht="15.75" x14ac:dyDescent="0.3">
      <c r="A56" s="56" t="s">
        <v>86</v>
      </c>
      <c r="B56" s="54">
        <v>0</v>
      </c>
      <c r="D56" s="21">
        <v>1</v>
      </c>
      <c r="E56" s="21">
        <v>0</v>
      </c>
      <c r="F56" s="21" t="s">
        <v>55</v>
      </c>
      <c r="G56" s="30">
        <v>1.5</v>
      </c>
      <c r="H56" s="30">
        <f t="shared" si="0"/>
        <v>0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52" t="s">
        <v>57</v>
      </c>
      <c r="B58" s="57">
        <f>SUM(B50:B57)</f>
        <v>2567.4059999999999</v>
      </c>
      <c r="C58" s="3"/>
      <c r="D58" s="21">
        <v>0</v>
      </c>
      <c r="E58" s="21">
        <v>0</v>
      </c>
      <c r="F58" s="3" t="s">
        <v>58</v>
      </c>
      <c r="G58" s="30">
        <v>600</v>
      </c>
      <c r="H58" s="30">
        <f t="shared" si="0"/>
        <v>0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2">
        <f>+B58/B48</f>
        <v>3.6677228571428571</v>
      </c>
      <c r="C60" s="4" t="s">
        <v>60</v>
      </c>
      <c r="D60" s="3"/>
      <c r="E60" s="3"/>
      <c r="F60" s="3"/>
      <c r="G60" s="3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690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62</v>
      </c>
      <c r="H62" s="77">
        <v>1.5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64</v>
      </c>
      <c r="B63" s="3"/>
      <c r="C63" s="3"/>
      <c r="E63" s="32"/>
      <c r="G63" s="1" t="s">
        <v>65</v>
      </c>
      <c r="H63" s="62">
        <v>1.75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67</v>
      </c>
      <c r="C64" s="25"/>
      <c r="D64" s="3"/>
      <c r="E64" s="3"/>
      <c r="F64" s="3"/>
      <c r="G64" s="1" t="s">
        <v>65</v>
      </c>
      <c r="H64" s="62">
        <v>2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2" t="s">
        <v>70</v>
      </c>
      <c r="B65" s="53"/>
      <c r="C65" s="3"/>
      <c r="D65" s="3"/>
      <c r="E65" s="3"/>
      <c r="F65" s="3"/>
      <c r="G65" s="5" t="s">
        <v>80</v>
      </c>
      <c r="H65" s="62">
        <v>2.5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3" t="s">
        <v>54</v>
      </c>
      <c r="B66" s="54">
        <f>+E35*C42</f>
        <v>1405.1466000000003</v>
      </c>
      <c r="C66" s="63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3" t="s">
        <v>12</v>
      </c>
      <c r="B67" s="54">
        <f>+H61*H62</f>
        <v>1035</v>
      </c>
      <c r="C67" s="63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3" t="str">
        <f>+A53</f>
        <v>Tabla de suaje</v>
      </c>
      <c r="B68" s="54">
        <f>+B53*H62</f>
        <v>900</v>
      </c>
      <c r="C68" s="63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3" t="str">
        <f>+A54</f>
        <v>Placas</v>
      </c>
      <c r="B69" s="54">
        <f>+B54*H62</f>
        <v>0</v>
      </c>
      <c r="C69" s="63"/>
      <c r="F69" s="64" t="s">
        <v>71</v>
      </c>
      <c r="G69" s="32">
        <f>+B60</f>
        <v>3.6677228571428571</v>
      </c>
      <c r="H69" s="65">
        <f>+G69*C46</f>
        <v>3300.9505714285715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3" t="str">
        <f>+A55</f>
        <v>Mensajeria</v>
      </c>
      <c r="B70" s="54">
        <f>+B55*H62</f>
        <v>0</v>
      </c>
      <c r="C70" s="66"/>
      <c r="F70" s="64" t="s">
        <v>73</v>
      </c>
      <c r="G70" s="32">
        <f>+C72</f>
        <v>4.7716380000000003</v>
      </c>
      <c r="H70" s="65">
        <f>+G70*C46</f>
        <v>4294.4742000000006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3"/>
      <c r="B71" s="54"/>
      <c r="C71" s="66"/>
      <c r="F71" s="67" t="s">
        <v>74</v>
      </c>
      <c r="G71" s="68">
        <f>+G70-G69</f>
        <v>1.1039151428571432</v>
      </c>
      <c r="H71" s="65">
        <f>+G71*C46</f>
        <v>993.52362857142884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x14ac:dyDescent="0.3">
      <c r="A72" s="52" t="s">
        <v>57</v>
      </c>
      <c r="B72" s="57">
        <f>SUM(B65:B71)</f>
        <v>3340.1466</v>
      </c>
      <c r="C72" s="68">
        <f>+B72/B48</f>
        <v>4.7716380000000003</v>
      </c>
      <c r="D72" s="5" t="s">
        <v>170</v>
      </c>
    </row>
    <row r="75" spans="1:23" x14ac:dyDescent="0.3">
      <c r="A75" s="5"/>
    </row>
    <row r="76" spans="1:23" x14ac:dyDescent="0.3">
      <c r="B76" s="70"/>
      <c r="C76" s="71"/>
    </row>
    <row r="80" spans="1:23" x14ac:dyDescent="0.3">
      <c r="J80" s="72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topLeftCell="A57" zoomScale="80" zoomScaleNormal="80" workbookViewId="0">
      <selection activeCell="C85" sqref="C85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3" ht="15.75" x14ac:dyDescent="0.3"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ht="15.75" x14ac:dyDescent="0.3"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ht="15.75" x14ac:dyDescent="0.3"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ht="15.75" x14ac:dyDescent="0.3"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x14ac:dyDescent="0.3">
      <c r="A5" s="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ht="18.75" x14ac:dyDescent="0.3">
      <c r="A6" s="2" t="s">
        <v>2</v>
      </c>
      <c r="E6" s="5" t="s">
        <v>3</v>
      </c>
      <c r="F6" s="1" t="s">
        <v>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ht="15.75" x14ac:dyDescent="0.3"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ht="15.75" x14ac:dyDescent="0.3"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s="5" customFormat="1" ht="15" x14ac:dyDescent="0.25">
      <c r="A9" s="5" t="s">
        <v>6</v>
      </c>
      <c r="C9" s="5" t="str">
        <f>+'cartón limon circ'!C9</f>
        <v>05 de abril de 2017</v>
      </c>
      <c r="H9" s="5" t="s">
        <v>7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ht="15.75" x14ac:dyDescent="0.3"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ht="16.5" thickBot="1" x14ac:dyDescent="0.35">
      <c r="A11" s="5" t="s">
        <v>8</v>
      </c>
      <c r="C11" s="1" t="str">
        <f>+'cartón limon circ'!C11</f>
        <v>PRM</v>
      </c>
      <c r="F11" s="5" t="s">
        <v>0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ht="15.75" x14ac:dyDescent="0.3">
      <c r="A12" s="5"/>
      <c r="F12" s="11"/>
      <c r="G12" s="12"/>
      <c r="H12" s="13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ht="15.75" x14ac:dyDescent="0.3">
      <c r="A13" s="5" t="s">
        <v>10</v>
      </c>
      <c r="C13" s="1" t="str">
        <f>+'cartón limon circ'!C13</f>
        <v>Absolut Empaque Premium</v>
      </c>
      <c r="F13" s="6"/>
      <c r="G13" s="7"/>
      <c r="H13" s="8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ht="15.75" x14ac:dyDescent="0.3">
      <c r="A14" s="5"/>
      <c r="F14" s="6"/>
      <c r="G14" s="7"/>
      <c r="H14" s="8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ht="15.75" x14ac:dyDescent="0.3">
      <c r="A15" s="5" t="s">
        <v>11</v>
      </c>
      <c r="C15" s="19" t="s">
        <v>186</v>
      </c>
      <c r="D15" s="18"/>
      <c r="E15" s="18"/>
      <c r="F15" s="73" t="s">
        <v>87</v>
      </c>
      <c r="G15" s="7"/>
      <c r="H15" s="8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ht="15.75" x14ac:dyDescent="0.3">
      <c r="C16" s="17" t="s">
        <v>212</v>
      </c>
      <c r="D16" s="18"/>
      <c r="E16" s="18"/>
      <c r="F16" s="46">
        <v>10</v>
      </c>
      <c r="G16" s="74" t="s">
        <v>81</v>
      </c>
      <c r="H16" s="75">
        <v>10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ht="15.75" x14ac:dyDescent="0.3">
      <c r="C17" s="17" t="s">
        <v>92</v>
      </c>
      <c r="D17" s="18"/>
      <c r="E17" s="18"/>
      <c r="F17" s="73">
        <v>1</v>
      </c>
      <c r="G17" s="76" t="s">
        <v>82</v>
      </c>
      <c r="H17" s="8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ht="15.75" x14ac:dyDescent="0.3">
      <c r="C18" s="17"/>
      <c r="D18" s="18"/>
      <c r="E18" s="18"/>
      <c r="F18" s="73"/>
      <c r="G18" s="7"/>
      <c r="H18" s="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ht="15.75" x14ac:dyDescent="0.3">
      <c r="C19" s="20"/>
      <c r="D19" s="18"/>
      <c r="E19" s="18"/>
      <c r="F19" s="46"/>
      <c r="G19" s="74"/>
      <c r="H19" s="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ht="15.75" x14ac:dyDescent="0.3">
      <c r="C20" s="18"/>
      <c r="D20" s="18"/>
      <c r="E20" s="18"/>
      <c r="F20" s="73"/>
      <c r="G20" s="76"/>
      <c r="H20" s="8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ht="15.75" x14ac:dyDescent="0.3">
      <c r="C21" s="18"/>
      <c r="D21" s="18"/>
      <c r="E21" s="18"/>
      <c r="F21" s="6"/>
      <c r="G21" s="7"/>
      <c r="H21" s="8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ht="16.5" thickBot="1" x14ac:dyDescent="0.35">
      <c r="C22" s="18"/>
      <c r="D22" s="18"/>
      <c r="E22" s="18"/>
      <c r="F22" s="14"/>
      <c r="G22" s="15"/>
      <c r="H22" s="16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ht="15.75" x14ac:dyDescent="0.3">
      <c r="A23" s="4" t="s">
        <v>13</v>
      </c>
      <c r="C23" s="21" t="s">
        <v>186</v>
      </c>
      <c r="D23" s="5" t="s">
        <v>14</v>
      </c>
      <c r="E23" s="22" t="s">
        <v>187</v>
      </c>
      <c r="F23" s="1" t="s">
        <v>188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ht="15.75" x14ac:dyDescent="0.3"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ht="15.75" x14ac:dyDescent="0.3">
      <c r="A25" s="4" t="s">
        <v>169</v>
      </c>
      <c r="C25" s="23">
        <v>150</v>
      </c>
      <c r="D25" s="22" t="s">
        <v>16</v>
      </c>
      <c r="E25" s="24">
        <v>300</v>
      </c>
      <c r="F25" s="25">
        <f>+C25</f>
        <v>150</v>
      </c>
      <c r="G25" s="26" t="s">
        <v>16</v>
      </c>
      <c r="H25" s="26">
        <f>+E25</f>
        <v>300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ht="15.75" x14ac:dyDescent="0.3">
      <c r="A26" s="4" t="s">
        <v>17</v>
      </c>
      <c r="B26" s="3"/>
      <c r="C26" s="27">
        <f>+Desarrollo!C123</f>
        <v>18</v>
      </c>
      <c r="D26" s="28" t="s">
        <v>16</v>
      </c>
      <c r="E26" s="27">
        <f>+Desarrollo!E123</f>
        <v>12</v>
      </c>
      <c r="F26" s="29">
        <f>+E26</f>
        <v>12</v>
      </c>
      <c r="G26" s="29" t="s">
        <v>16</v>
      </c>
      <c r="H26" s="29">
        <f>+C26</f>
        <v>18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ht="16.5" thickBot="1" x14ac:dyDescent="0.35">
      <c r="A27" s="3" t="s">
        <v>18</v>
      </c>
      <c r="B27" s="31"/>
      <c r="C27" s="32">
        <f>+C25/C26</f>
        <v>8.3333333333333339</v>
      </c>
      <c r="D27" s="33"/>
      <c r="E27" s="32">
        <f>+E25/E26</f>
        <v>25</v>
      </c>
      <c r="F27" s="32">
        <f>+F25/F26</f>
        <v>12.5</v>
      </c>
      <c r="G27" s="33"/>
      <c r="H27" s="32">
        <f>+H25/H26</f>
        <v>16.666666666666668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ht="16.5" thickBot="1" x14ac:dyDescent="0.35">
      <c r="A28" s="3" t="s">
        <v>19</v>
      </c>
      <c r="B28" s="34"/>
      <c r="C28" s="35"/>
      <c r="D28" s="36">
        <v>200</v>
      </c>
      <c r="E28" s="37"/>
      <c r="F28" s="38"/>
      <c r="G28" s="39">
        <v>192</v>
      </c>
      <c r="H28" s="40" t="s">
        <v>20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ht="15.75" x14ac:dyDescent="0.3">
      <c r="A29" s="3"/>
      <c r="B29" s="21"/>
      <c r="C29" s="30"/>
      <c r="G29" s="41"/>
      <c r="H29" s="30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ht="15.75" x14ac:dyDescent="0.3">
      <c r="A30" s="25" t="s">
        <v>21</v>
      </c>
      <c r="B30" s="25" t="s">
        <v>88</v>
      </c>
      <c r="D30" s="41" t="s">
        <v>22</v>
      </c>
      <c r="E30" s="42">
        <v>400</v>
      </c>
      <c r="F30" s="129"/>
      <c r="G30" s="1" t="s">
        <v>23</v>
      </c>
      <c r="H30" s="43">
        <v>0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ht="15.75" x14ac:dyDescent="0.3">
      <c r="D32" s="44" t="s">
        <v>25</v>
      </c>
      <c r="E32" s="45">
        <f>+E30-E31</f>
        <v>400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ht="15.75" x14ac:dyDescent="0.3">
      <c r="D34" s="41" t="s">
        <v>29</v>
      </c>
      <c r="E34" s="47">
        <f>+E32</f>
        <v>400</v>
      </c>
      <c r="F34" s="47">
        <v>0</v>
      </c>
      <c r="G34" s="47">
        <v>0</v>
      </c>
      <c r="H34" s="47"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ht="15.75" x14ac:dyDescent="0.3">
      <c r="D35" s="41" t="s">
        <v>30</v>
      </c>
      <c r="E35" s="47">
        <f>+E34*1.1</f>
        <v>440.00000000000006</v>
      </c>
      <c r="F35" s="47">
        <v>0</v>
      </c>
      <c r="G35" s="47">
        <v>0</v>
      </c>
      <c r="H35" s="47">
        <v>0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ht="16.5" thickBot="1" x14ac:dyDescent="0.35">
      <c r="A36" s="3"/>
      <c r="G36" s="41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ht="16.5" thickBot="1" x14ac:dyDescent="0.35">
      <c r="A38" s="4" t="s">
        <v>34</v>
      </c>
      <c r="C38" s="48">
        <v>200</v>
      </c>
      <c r="D38" s="49" t="s">
        <v>35</v>
      </c>
      <c r="E38" s="14"/>
      <c r="F38" s="15" t="s">
        <v>36</v>
      </c>
      <c r="G38" s="15"/>
      <c r="H38" s="16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ht="15.75" x14ac:dyDescent="0.3">
      <c r="A39" s="4"/>
      <c r="C39" s="21"/>
      <c r="D39" s="1" t="s">
        <v>37</v>
      </c>
      <c r="E39" s="3"/>
      <c r="F39" s="3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ht="15.75" x14ac:dyDescent="0.3">
      <c r="A40" s="4" t="s">
        <v>38</v>
      </c>
      <c r="B40" s="5"/>
      <c r="C40" s="50">
        <f>+B48/F17</f>
        <v>700</v>
      </c>
      <c r="D40" s="24">
        <v>200</v>
      </c>
      <c r="F40" s="44" t="s">
        <v>39</v>
      </c>
      <c r="G40" s="23">
        <v>1</v>
      </c>
      <c r="H40" s="3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ht="15.75" x14ac:dyDescent="0.3">
      <c r="A41" s="4" t="s">
        <v>40</v>
      </c>
      <c r="C41" s="34">
        <f>+C40+D40</f>
        <v>900</v>
      </c>
      <c r="F41" s="44" t="s">
        <v>41</v>
      </c>
      <c r="G41" s="23">
        <v>1</v>
      </c>
      <c r="H41" s="3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ht="15.75" x14ac:dyDescent="0.3">
      <c r="A42" s="4" t="s">
        <v>42</v>
      </c>
      <c r="C42" s="34">
        <f>+C41/C38</f>
        <v>4.5</v>
      </c>
      <c r="F42" s="44" t="s">
        <v>43</v>
      </c>
      <c r="G42" s="23"/>
      <c r="H42" s="3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ht="15.75" x14ac:dyDescent="0.3">
      <c r="A43" s="4"/>
      <c r="C43" s="21"/>
      <c r="F43" s="41" t="s">
        <v>44</v>
      </c>
      <c r="G43" s="23">
        <f>+C40/1000</f>
        <v>0.7</v>
      </c>
      <c r="H43" s="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ht="15.75" x14ac:dyDescent="0.3">
      <c r="A44" s="4"/>
      <c r="C44" s="51"/>
      <c r="F44" s="44" t="s">
        <v>45</v>
      </c>
      <c r="G44" s="48">
        <f>+C41</f>
        <v>900</v>
      </c>
      <c r="H44" s="3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ht="15.75" x14ac:dyDescent="0.3">
      <c r="A45" s="4"/>
      <c r="C45" s="21"/>
      <c r="E45" s="44"/>
      <c r="F45" s="44"/>
      <c r="G45" s="30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ht="15.75" x14ac:dyDescent="0.3">
      <c r="A46" s="4" t="s">
        <v>46</v>
      </c>
      <c r="C46" s="25">
        <f>+C42*C38</f>
        <v>900</v>
      </c>
      <c r="F46" s="44"/>
      <c r="G46" s="30"/>
      <c r="H46" s="3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ht="15.75" x14ac:dyDescent="0.3">
      <c r="A47" s="3"/>
      <c r="B47" s="3"/>
      <c r="C47" s="3"/>
      <c r="D47" s="3"/>
      <c r="E47" s="3"/>
      <c r="H47" s="3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ht="15.75" x14ac:dyDescent="0.3">
      <c r="A48" s="4" t="s">
        <v>76</v>
      </c>
      <c r="B48" s="22">
        <f>+C48*1</f>
        <v>700</v>
      </c>
      <c r="C48" s="21">
        <f>+'cartón limon circ'!B48</f>
        <v>700</v>
      </c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ht="15.75" x14ac:dyDescent="0.3">
      <c r="A49" s="52" t="s">
        <v>52</v>
      </c>
      <c r="B49" s="53"/>
      <c r="C49" s="3"/>
      <c r="D49" s="21">
        <v>0</v>
      </c>
      <c r="E49" s="21">
        <v>0</v>
      </c>
      <c r="F49" s="21" t="s">
        <v>89</v>
      </c>
      <c r="G49" s="30">
        <v>7</v>
      </c>
      <c r="H49" s="30">
        <f>+(D49*E49)*G49</f>
        <v>0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ht="15.75" x14ac:dyDescent="0.3">
      <c r="A50" s="53" t="s">
        <v>54</v>
      </c>
      <c r="B50" s="54">
        <f>+E34*C42</f>
        <v>1800</v>
      </c>
      <c r="C50" s="3"/>
      <c r="D50" s="21">
        <v>0</v>
      </c>
      <c r="E50" s="21">
        <v>0</v>
      </c>
      <c r="F50" s="21" t="s">
        <v>90</v>
      </c>
      <c r="G50" s="30">
        <v>250</v>
      </c>
      <c r="H50" s="30">
        <f>+(D50*E50)*G50</f>
        <v>0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ht="15.75" x14ac:dyDescent="0.3">
      <c r="A51" s="53" t="s">
        <v>12</v>
      </c>
      <c r="B51" s="54">
        <f>+H61</f>
        <v>1390</v>
      </c>
      <c r="C51" s="3"/>
      <c r="D51" s="21">
        <v>0</v>
      </c>
      <c r="E51" s="21">
        <v>0</v>
      </c>
      <c r="F51" s="21" t="s">
        <v>83</v>
      </c>
      <c r="G51" s="30">
        <v>500</v>
      </c>
      <c r="H51" s="30">
        <f>+G51*E51*D51</f>
        <v>0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ht="15.75" x14ac:dyDescent="0.3">
      <c r="A52" s="53"/>
      <c r="B52" s="54"/>
      <c r="C52" s="3"/>
      <c r="D52" s="21">
        <v>1</v>
      </c>
      <c r="E52" s="21">
        <v>1</v>
      </c>
      <c r="F52" s="21" t="s">
        <v>96</v>
      </c>
      <c r="G52" s="30">
        <v>400</v>
      </c>
      <c r="H52" s="30">
        <f t="shared" ref="H52:H59" si="0">+G52*E52</f>
        <v>400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ht="15.75" x14ac:dyDescent="0.3">
      <c r="A53" s="53" t="s">
        <v>26</v>
      </c>
      <c r="B53" s="54">
        <v>400</v>
      </c>
      <c r="C53" s="3"/>
      <c r="D53" s="21">
        <v>1</v>
      </c>
      <c r="E53" s="21">
        <v>1</v>
      </c>
      <c r="F53" s="21" t="s">
        <v>78</v>
      </c>
      <c r="G53" s="30">
        <v>145</v>
      </c>
      <c r="H53" s="30">
        <f t="shared" si="0"/>
        <v>145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 ht="15.75" x14ac:dyDescent="0.3">
      <c r="A54" s="56" t="s">
        <v>84</v>
      </c>
      <c r="B54" s="54">
        <v>0</v>
      </c>
      <c r="C54" s="3"/>
      <c r="D54" s="21">
        <v>1</v>
      </c>
      <c r="E54" s="21">
        <v>1</v>
      </c>
      <c r="F54" s="21" t="s">
        <v>79</v>
      </c>
      <c r="G54" s="30">
        <v>145</v>
      </c>
      <c r="H54" s="30">
        <f t="shared" si="0"/>
        <v>145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ht="15.75" x14ac:dyDescent="0.3">
      <c r="A55" s="56" t="s">
        <v>85</v>
      </c>
      <c r="B55" s="54">
        <v>0</v>
      </c>
      <c r="D55" s="21">
        <v>1</v>
      </c>
      <c r="E55" s="21">
        <f>+B48</f>
        <v>700</v>
      </c>
      <c r="F55" s="21" t="s">
        <v>55</v>
      </c>
      <c r="G55" s="30">
        <v>1</v>
      </c>
      <c r="H55" s="30">
        <f t="shared" si="0"/>
        <v>700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 ht="15.75" x14ac:dyDescent="0.3">
      <c r="A56" s="56" t="s">
        <v>86</v>
      </c>
      <c r="B56" s="54">
        <v>0</v>
      </c>
      <c r="D56" s="21">
        <v>1</v>
      </c>
      <c r="E56" s="21">
        <v>0</v>
      </c>
      <c r="F56" s="21" t="s">
        <v>55</v>
      </c>
      <c r="G56" s="30">
        <v>1.5</v>
      </c>
      <c r="H56" s="30">
        <f t="shared" si="0"/>
        <v>0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52" t="s">
        <v>57</v>
      </c>
      <c r="B58" s="57">
        <f>SUM(B50:B57)</f>
        <v>3590</v>
      </c>
      <c r="C58" s="3"/>
      <c r="D58" s="21">
        <v>0</v>
      </c>
      <c r="E58" s="21">
        <v>0</v>
      </c>
      <c r="F58" s="3" t="s">
        <v>58</v>
      </c>
      <c r="G58" s="30">
        <v>600</v>
      </c>
      <c r="H58" s="30">
        <f t="shared" si="0"/>
        <v>0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2">
        <f>+B58/C48</f>
        <v>5.128571428571429</v>
      </c>
      <c r="C60" s="4" t="s">
        <v>60</v>
      </c>
      <c r="D60" s="3"/>
      <c r="E60" s="3"/>
      <c r="F60" s="3"/>
      <c r="G60" s="3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1390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62</v>
      </c>
      <c r="H62" s="77">
        <v>1.5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64</v>
      </c>
      <c r="B63" s="3"/>
      <c r="C63" s="3"/>
      <c r="E63" s="32"/>
      <c r="G63" s="1" t="s">
        <v>65</v>
      </c>
      <c r="H63" s="62">
        <v>1.75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67</v>
      </c>
      <c r="C64" s="25"/>
      <c r="D64" s="3"/>
      <c r="E64" s="3"/>
      <c r="F64" s="3"/>
      <c r="G64" s="1" t="s">
        <v>65</v>
      </c>
      <c r="H64" s="62">
        <v>2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2" t="s">
        <v>70</v>
      </c>
      <c r="B65" s="53"/>
      <c r="C65" s="3"/>
      <c r="D65" s="3"/>
      <c r="E65" s="3"/>
      <c r="F65" s="3"/>
      <c r="G65" s="5" t="s">
        <v>80</v>
      </c>
      <c r="H65" s="62">
        <v>2.5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3" t="s">
        <v>54</v>
      </c>
      <c r="B66" s="54">
        <f>+E35*C42</f>
        <v>1980.0000000000002</v>
      </c>
      <c r="C66" s="63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3" t="s">
        <v>12</v>
      </c>
      <c r="B67" s="54">
        <f>+H61*H62</f>
        <v>2085</v>
      </c>
      <c r="C67" s="63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3" t="str">
        <f>+A53</f>
        <v>Tabla de suaje</v>
      </c>
      <c r="B68" s="54">
        <f>+B53*H62</f>
        <v>600</v>
      </c>
      <c r="C68" s="63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3" t="str">
        <f>+A54</f>
        <v>Placas</v>
      </c>
      <c r="B69" s="54">
        <f>+B54*H62</f>
        <v>0</v>
      </c>
      <c r="C69" s="63"/>
      <c r="F69" s="64" t="s">
        <v>71</v>
      </c>
      <c r="G69" s="32">
        <f>+B60</f>
        <v>5.128571428571429</v>
      </c>
      <c r="H69" s="65">
        <f>+G69*C46</f>
        <v>4615.7142857142862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3" t="str">
        <f>+A55</f>
        <v>Mensajeria</v>
      </c>
      <c r="B70" s="54">
        <f>+B55*H62</f>
        <v>0</v>
      </c>
      <c r="C70" s="66"/>
      <c r="F70" s="64" t="s">
        <v>73</v>
      </c>
      <c r="G70" s="32">
        <f>+C72</f>
        <v>6.6642857142857146</v>
      </c>
      <c r="H70" s="65">
        <f>+G70*C46</f>
        <v>5997.8571428571431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3"/>
      <c r="B71" s="54"/>
      <c r="C71" s="66"/>
      <c r="F71" s="67" t="s">
        <v>74</v>
      </c>
      <c r="G71" s="68">
        <f>+G70-G69</f>
        <v>1.5357142857142856</v>
      </c>
      <c r="H71" s="65">
        <f>+G71*C46</f>
        <v>1382.1428571428571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x14ac:dyDescent="0.3">
      <c r="A72" s="52" t="s">
        <v>57</v>
      </c>
      <c r="B72" s="57">
        <f>SUM(B65:B71)</f>
        <v>4665</v>
      </c>
      <c r="C72" s="68">
        <f>+B72/C48</f>
        <v>6.6642857142857146</v>
      </c>
      <c r="D72" s="5" t="s">
        <v>189</v>
      </c>
    </row>
    <row r="75" spans="1:23" x14ac:dyDescent="0.3">
      <c r="A75" s="5"/>
    </row>
    <row r="76" spans="1:23" x14ac:dyDescent="0.3">
      <c r="B76" s="70"/>
      <c r="C76" s="71"/>
    </row>
    <row r="80" spans="1:23" x14ac:dyDescent="0.3">
      <c r="J80" s="72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9"/>
  <sheetViews>
    <sheetView topLeftCell="A67" zoomScale="80" zoomScaleNormal="80" workbookViewId="0">
      <selection activeCell="C85" sqref="C85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6</v>
      </c>
      <c r="C9" s="5" t="str">
        <f>+'cartón limon circ'!C9</f>
        <v>05 de abril de 2017</v>
      </c>
      <c r="H9" s="5" t="s">
        <v>7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8</v>
      </c>
      <c r="C11" s="1" t="str">
        <f>+'cartón limon circ'!C11</f>
        <v>PRM</v>
      </c>
      <c r="F11" s="5" t="s">
        <v>0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10</v>
      </c>
      <c r="C13" s="1" t="str">
        <f>+'cartón soporte'!C13</f>
        <v>Absolut Empaque Premium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11</v>
      </c>
      <c r="C15" s="19" t="s">
        <v>174</v>
      </c>
      <c r="D15" s="18"/>
      <c r="E15" s="18"/>
      <c r="F15" s="73" t="s">
        <v>5</v>
      </c>
      <c r="G15" s="7"/>
      <c r="H15" s="8"/>
      <c r="J15"/>
      <c r="K15"/>
      <c r="L15"/>
      <c r="M15"/>
      <c r="N15"/>
      <c r="O15"/>
      <c r="P15"/>
      <c r="Q15"/>
      <c r="R15"/>
    </row>
    <row r="16" spans="1:21" ht="15.75" x14ac:dyDescent="0.3">
      <c r="C16" s="17" t="s">
        <v>175</v>
      </c>
      <c r="D16" s="18"/>
      <c r="E16" s="18"/>
      <c r="F16" s="46">
        <v>70</v>
      </c>
      <c r="G16" s="74" t="s">
        <v>81</v>
      </c>
      <c r="H16" s="75">
        <v>47.5</v>
      </c>
      <c r="J16"/>
      <c r="K16"/>
      <c r="L16"/>
      <c r="M16"/>
      <c r="N16"/>
      <c r="O16"/>
      <c r="P16"/>
      <c r="Q16"/>
      <c r="R16"/>
    </row>
    <row r="17" spans="1:19" ht="15.75" x14ac:dyDescent="0.3">
      <c r="C17" s="17" t="s">
        <v>176</v>
      </c>
      <c r="D17" s="18"/>
      <c r="E17" s="18"/>
      <c r="F17" s="73">
        <v>2</v>
      </c>
      <c r="G17" s="76" t="s">
        <v>82</v>
      </c>
      <c r="H17" s="8"/>
      <c r="J17"/>
      <c r="K17"/>
      <c r="L17"/>
      <c r="M17"/>
      <c r="N17"/>
      <c r="O17"/>
      <c r="P17"/>
      <c r="Q17"/>
      <c r="R17"/>
    </row>
    <row r="18" spans="1:19" ht="15.75" x14ac:dyDescent="0.3">
      <c r="C18" s="17" t="s">
        <v>177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9" ht="15.75" x14ac:dyDescent="0.3">
      <c r="C19" s="17" t="s">
        <v>178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9" ht="15.75" x14ac:dyDescent="0.3">
      <c r="C20" s="18" t="s">
        <v>179</v>
      </c>
      <c r="D20" s="18"/>
      <c r="E20" s="18"/>
      <c r="F20" s="46">
        <f>+Desarrollo!C43</f>
        <v>37.049999999999997</v>
      </c>
      <c r="G20" s="74" t="s">
        <v>81</v>
      </c>
      <c r="H20" s="75">
        <f>+Desarrollo!E43</f>
        <v>31</v>
      </c>
      <c r="J20"/>
      <c r="K20"/>
      <c r="L20"/>
      <c r="M20"/>
      <c r="N20"/>
      <c r="O20"/>
      <c r="P20"/>
      <c r="Q20"/>
      <c r="R20"/>
    </row>
    <row r="21" spans="1:19" ht="15.75" x14ac:dyDescent="0.3">
      <c r="C21" s="18" t="s">
        <v>180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9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</row>
    <row r="23" spans="1:19" ht="15.75" x14ac:dyDescent="0.3">
      <c r="A23" s="4" t="s">
        <v>13</v>
      </c>
      <c r="C23" s="81" t="s">
        <v>150</v>
      </c>
      <c r="D23" s="5" t="s">
        <v>14</v>
      </c>
      <c r="E23" s="22" t="s">
        <v>148</v>
      </c>
      <c r="F23" s="1" t="s">
        <v>151</v>
      </c>
      <c r="J23"/>
      <c r="K23"/>
      <c r="L23"/>
      <c r="M23"/>
      <c r="N23"/>
      <c r="O23"/>
      <c r="P23"/>
      <c r="Q23"/>
      <c r="R23"/>
    </row>
    <row r="24" spans="1:19" ht="15.75" x14ac:dyDescent="0.3">
      <c r="J24"/>
      <c r="K24"/>
      <c r="L24"/>
      <c r="M24"/>
      <c r="N24"/>
      <c r="O24"/>
      <c r="P24"/>
      <c r="Q24"/>
      <c r="R24"/>
    </row>
    <row r="25" spans="1:19" ht="15.75" x14ac:dyDescent="0.3">
      <c r="A25" s="4" t="s">
        <v>15</v>
      </c>
      <c r="C25" s="23">
        <v>70</v>
      </c>
      <c r="D25" s="22" t="s">
        <v>16</v>
      </c>
      <c r="E25" s="24">
        <v>95</v>
      </c>
      <c r="F25" s="25">
        <f>+C25</f>
        <v>70</v>
      </c>
      <c r="G25" s="26" t="s">
        <v>16</v>
      </c>
      <c r="H25" s="26">
        <f>+E25</f>
        <v>95</v>
      </c>
      <c r="J25"/>
      <c r="K25"/>
      <c r="L25"/>
      <c r="M25"/>
      <c r="N25"/>
      <c r="O25"/>
      <c r="P25"/>
      <c r="Q25"/>
      <c r="R25"/>
    </row>
    <row r="26" spans="1:19" ht="15.75" x14ac:dyDescent="0.3">
      <c r="A26" s="4" t="s">
        <v>17</v>
      </c>
      <c r="B26" s="3"/>
      <c r="C26" s="27">
        <f>+F16</f>
        <v>70</v>
      </c>
      <c r="D26" s="28" t="s">
        <v>16</v>
      </c>
      <c r="E26" s="27">
        <f>+H16</f>
        <v>47.5</v>
      </c>
      <c r="F26" s="29">
        <f>+E26</f>
        <v>47.5</v>
      </c>
      <c r="G26" s="29" t="s">
        <v>16</v>
      </c>
      <c r="H26" s="29">
        <f>+C26</f>
        <v>70</v>
      </c>
      <c r="I26" s="30"/>
      <c r="J26"/>
      <c r="K26"/>
      <c r="L26"/>
      <c r="M26"/>
      <c r="N26"/>
      <c r="O26"/>
      <c r="P26"/>
      <c r="Q26"/>
      <c r="R26"/>
    </row>
    <row r="27" spans="1:19" ht="16.5" thickBot="1" x14ac:dyDescent="0.35">
      <c r="A27" s="3" t="s">
        <v>18</v>
      </c>
      <c r="B27" s="31"/>
      <c r="C27" s="32">
        <f>+C25/C26</f>
        <v>1</v>
      </c>
      <c r="D27" s="33"/>
      <c r="E27" s="32">
        <f>+E25/E26</f>
        <v>2</v>
      </c>
      <c r="F27" s="32">
        <f>+F25/F26</f>
        <v>1.4736842105263157</v>
      </c>
      <c r="G27" s="33"/>
      <c r="H27" s="32">
        <f>+H25/H26</f>
        <v>1.3571428571428572</v>
      </c>
      <c r="I27" s="30"/>
      <c r="J27"/>
      <c r="K27"/>
      <c r="L27"/>
      <c r="M27"/>
      <c r="N27"/>
      <c r="O27"/>
      <c r="P27"/>
      <c r="Q27"/>
      <c r="R27"/>
    </row>
    <row r="28" spans="1:19" ht="16.5" thickBot="1" x14ac:dyDescent="0.35">
      <c r="A28" s="3" t="s">
        <v>19</v>
      </c>
      <c r="B28" s="34"/>
      <c r="C28" s="35"/>
      <c r="D28" s="36">
        <v>2</v>
      </c>
      <c r="E28" s="37"/>
      <c r="F28" s="38"/>
      <c r="G28" s="39">
        <v>1</v>
      </c>
      <c r="H28" s="40" t="s">
        <v>20</v>
      </c>
      <c r="J28"/>
      <c r="K28"/>
      <c r="L28"/>
      <c r="M28"/>
      <c r="N28"/>
      <c r="O28"/>
      <c r="P28"/>
      <c r="Q28"/>
      <c r="R28"/>
    </row>
    <row r="29" spans="1:19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</row>
    <row r="30" spans="1:19" ht="15.75" x14ac:dyDescent="0.3">
      <c r="A30" s="25" t="s">
        <v>21</v>
      </c>
      <c r="B30" s="25" t="s">
        <v>88</v>
      </c>
      <c r="D30" s="41" t="s">
        <v>22</v>
      </c>
      <c r="E30" s="42">
        <f>+F30/1000</f>
        <v>3.5850000000000004</v>
      </c>
      <c r="F30" s="130">
        <f>+Desarrollo!G42</f>
        <v>3585.0000000000005</v>
      </c>
      <c r="G30" s="1" t="s">
        <v>23</v>
      </c>
      <c r="H30" s="43">
        <v>0.5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4" t="s">
        <v>24</v>
      </c>
      <c r="E31" s="42">
        <f>+H30*E30</f>
        <v>1.7925000000000002</v>
      </c>
      <c r="H31" s="43"/>
      <c r="I31" s="30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4" t="s">
        <v>25</v>
      </c>
      <c r="E32" s="45">
        <f>+E30-E31</f>
        <v>1.7925000000000002</v>
      </c>
      <c r="I32" s="30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1" t="s">
        <v>29</v>
      </c>
      <c r="E34" s="47">
        <f>+E32</f>
        <v>1.7925000000000002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1" t="s">
        <v>30</v>
      </c>
      <c r="E35" s="47">
        <f>+E34*1.15</f>
        <v>2.061375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34</v>
      </c>
      <c r="C38" s="48">
        <v>2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38</v>
      </c>
      <c r="B40" s="5"/>
      <c r="C40" s="50">
        <f>+B48/F17</f>
        <v>350</v>
      </c>
      <c r="D40" s="24">
        <v>500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40</v>
      </c>
      <c r="C41" s="34">
        <f>+C40+D40</f>
        <v>850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42</v>
      </c>
      <c r="C42" s="34">
        <f>+C41/C38</f>
        <v>425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91</v>
      </c>
      <c r="C43" s="21">
        <f>+(C42*C38)*F17</f>
        <v>1700</v>
      </c>
      <c r="F43" s="41" t="s">
        <v>44</v>
      </c>
      <c r="G43" s="23">
        <f>+C40/1000</f>
        <v>0.35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1"/>
      <c r="F44" s="44" t="s">
        <v>45</v>
      </c>
      <c r="G44" s="48">
        <f>+C41</f>
        <v>850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46</v>
      </c>
      <c r="C46" s="25">
        <f>+C42*C38</f>
        <v>850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</row>
    <row r="48" spans="1:19" ht="15.75" x14ac:dyDescent="0.3">
      <c r="A48" s="4" t="s">
        <v>76</v>
      </c>
      <c r="B48" s="21">
        <f>+'cartón limon circ'!B48</f>
        <v>700</v>
      </c>
      <c r="C48" s="21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</row>
    <row r="49" spans="1:23" ht="15.75" x14ac:dyDescent="0.3">
      <c r="A49" s="52" t="s">
        <v>52</v>
      </c>
      <c r="B49" s="53"/>
      <c r="C49" s="3"/>
      <c r="D49" s="21">
        <v>4</v>
      </c>
      <c r="E49" s="21">
        <v>1</v>
      </c>
      <c r="F49" s="21" t="s">
        <v>53</v>
      </c>
      <c r="G49" s="30">
        <f>185+145</f>
        <v>330</v>
      </c>
      <c r="H49" s="30">
        <f>+(D49*E49)*G49</f>
        <v>1320</v>
      </c>
      <c r="J49"/>
      <c r="K49"/>
      <c r="L49"/>
      <c r="M49"/>
      <c r="N49"/>
      <c r="O49"/>
      <c r="P49"/>
      <c r="Q49"/>
      <c r="R49"/>
      <c r="S49"/>
    </row>
    <row r="50" spans="1:23" ht="15.75" x14ac:dyDescent="0.3">
      <c r="A50" s="53" t="s">
        <v>54</v>
      </c>
      <c r="B50" s="54">
        <f>+E34*C42</f>
        <v>761.81250000000011</v>
      </c>
      <c r="C50" s="3"/>
      <c r="D50" s="21">
        <v>4</v>
      </c>
      <c r="E50" s="21">
        <v>1</v>
      </c>
      <c r="F50" s="21" t="s">
        <v>77</v>
      </c>
      <c r="G50" s="30">
        <v>155</v>
      </c>
      <c r="H50" s="30">
        <f t="shared" ref="H50:H59" si="0">+(D50*E50)*G50</f>
        <v>620</v>
      </c>
      <c r="J50"/>
      <c r="K50"/>
      <c r="L50"/>
      <c r="M50"/>
      <c r="N50"/>
      <c r="O50"/>
      <c r="P50"/>
      <c r="Q50"/>
      <c r="R50"/>
      <c r="S50"/>
    </row>
    <row r="51" spans="1:23" ht="15.75" x14ac:dyDescent="0.3">
      <c r="A51" s="53" t="s">
        <v>12</v>
      </c>
      <c r="B51" s="54">
        <f>+H61</f>
        <v>11193.949999999999</v>
      </c>
      <c r="C51" s="3"/>
      <c r="D51" s="21">
        <v>0</v>
      </c>
      <c r="E51" s="21">
        <v>0</v>
      </c>
      <c r="F51" s="21" t="s">
        <v>83</v>
      </c>
      <c r="G51" s="30">
        <v>500</v>
      </c>
      <c r="H51" s="30">
        <f t="shared" si="0"/>
        <v>0</v>
      </c>
      <c r="J51"/>
      <c r="K51"/>
      <c r="L51"/>
      <c r="M51"/>
      <c r="N51"/>
      <c r="O51"/>
      <c r="P51"/>
      <c r="Q51"/>
      <c r="R51"/>
      <c r="S51"/>
    </row>
    <row r="52" spans="1:23" ht="15.75" x14ac:dyDescent="0.3">
      <c r="A52" s="53"/>
      <c r="B52" s="54"/>
      <c r="C52" s="3"/>
      <c r="D52" s="21">
        <v>1</v>
      </c>
      <c r="E52" s="21">
        <v>1</v>
      </c>
      <c r="F52" s="21" t="s">
        <v>96</v>
      </c>
      <c r="G52" s="30">
        <v>250</v>
      </c>
      <c r="H52" s="30">
        <f t="shared" si="0"/>
        <v>250</v>
      </c>
      <c r="I52" s="30">
        <f>+(B73/100)*2</f>
        <v>381.84018749999996</v>
      </c>
      <c r="J52"/>
      <c r="K52"/>
      <c r="L52"/>
      <c r="M52"/>
      <c r="N52"/>
      <c r="O52"/>
      <c r="P52"/>
      <c r="Q52"/>
      <c r="R52"/>
      <c r="S52"/>
    </row>
    <row r="53" spans="1:23" ht="16.5" x14ac:dyDescent="0.3">
      <c r="A53" s="53" t="s">
        <v>26</v>
      </c>
      <c r="B53" s="54">
        <v>700</v>
      </c>
      <c r="C53" s="3"/>
      <c r="D53" s="21">
        <v>1</v>
      </c>
      <c r="E53" s="21">
        <v>1</v>
      </c>
      <c r="F53" s="21" t="s">
        <v>104</v>
      </c>
      <c r="G53" s="30">
        <f>+E85</f>
        <v>2564.4749999999995</v>
      </c>
      <c r="H53" s="30">
        <f t="shared" si="0"/>
        <v>2564.4749999999995</v>
      </c>
      <c r="I53" s="55"/>
      <c r="Q53"/>
      <c r="R53"/>
      <c r="S53"/>
    </row>
    <row r="54" spans="1:23" ht="15.75" x14ac:dyDescent="0.3">
      <c r="A54" s="56" t="s">
        <v>152</v>
      </c>
      <c r="B54" s="54">
        <v>250</v>
      </c>
      <c r="C54" s="21">
        <f>+((F20*H20)*0.14)</f>
        <v>160.797</v>
      </c>
      <c r="D54" s="21">
        <v>1</v>
      </c>
      <c r="E54" s="21">
        <v>1</v>
      </c>
      <c r="F54" s="21" t="s">
        <v>58</v>
      </c>
      <c r="G54" s="30">
        <f>+E79</f>
        <v>2204.4749999999995</v>
      </c>
      <c r="H54" s="30">
        <f t="shared" si="0"/>
        <v>2204.4749999999995</v>
      </c>
      <c r="Q54"/>
      <c r="R54"/>
      <c r="S54"/>
    </row>
    <row r="55" spans="1:23" ht="15.75" x14ac:dyDescent="0.3">
      <c r="A55" s="56" t="s">
        <v>95</v>
      </c>
      <c r="B55" s="54">
        <v>0</v>
      </c>
      <c r="D55" s="21">
        <v>1</v>
      </c>
      <c r="E55" s="21">
        <v>1</v>
      </c>
      <c r="F55" s="21" t="s">
        <v>153</v>
      </c>
      <c r="G55" s="30">
        <v>145</v>
      </c>
      <c r="H55" s="30">
        <f t="shared" si="0"/>
        <v>145</v>
      </c>
      <c r="Q55"/>
      <c r="R55"/>
      <c r="S55"/>
    </row>
    <row r="56" spans="1:23" x14ac:dyDescent="0.3">
      <c r="A56" s="56" t="s">
        <v>94</v>
      </c>
      <c r="B56" s="54">
        <v>0</v>
      </c>
      <c r="D56" s="21">
        <v>1</v>
      </c>
      <c r="E56" s="21">
        <v>2</v>
      </c>
      <c r="F56" s="21" t="s">
        <v>107</v>
      </c>
      <c r="G56" s="30">
        <v>145</v>
      </c>
      <c r="H56" s="30">
        <f t="shared" si="0"/>
        <v>290</v>
      </c>
    </row>
    <row r="57" spans="1:23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Q57"/>
      <c r="R57"/>
      <c r="S57"/>
      <c r="T57"/>
      <c r="U57"/>
      <c r="V57"/>
      <c r="W57"/>
    </row>
    <row r="58" spans="1:23" ht="15.75" x14ac:dyDescent="0.3">
      <c r="A58" s="52" t="s">
        <v>57</v>
      </c>
      <c r="B58" s="57">
        <f>SUM(B50:B57)</f>
        <v>12905.762499999999</v>
      </c>
      <c r="C58" s="3"/>
      <c r="D58" s="21">
        <v>2</v>
      </c>
      <c r="E58" s="21">
        <v>1</v>
      </c>
      <c r="F58" s="3" t="s">
        <v>206</v>
      </c>
      <c r="G58" s="30">
        <f>+G82+D82</f>
        <v>1900</v>
      </c>
      <c r="H58" s="30">
        <f t="shared" si="0"/>
        <v>3800</v>
      </c>
      <c r="Q58"/>
      <c r="R58"/>
      <c r="S58"/>
      <c r="T58"/>
      <c r="U58"/>
      <c r="V58"/>
      <c r="W58"/>
    </row>
    <row r="59" spans="1:23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2">
        <f>+B58/B48</f>
        <v>18.43680357142857</v>
      </c>
      <c r="C60" s="4" t="s">
        <v>60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11193.949999999999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62</v>
      </c>
      <c r="H62" s="77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64</v>
      </c>
      <c r="B63" s="3"/>
      <c r="C63" s="3"/>
      <c r="E63" s="32"/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67</v>
      </c>
      <c r="C64" s="25"/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2" t="s">
        <v>70</v>
      </c>
      <c r="B65" s="53"/>
      <c r="C65" s="3"/>
      <c r="D65" s="3"/>
      <c r="E65" s="3"/>
      <c r="F65" s="3"/>
      <c r="G65" s="5" t="s">
        <v>80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3" t="s">
        <v>54</v>
      </c>
      <c r="B66" s="54">
        <f>+E35*C42</f>
        <v>876.08437500000002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3" t="s">
        <v>12</v>
      </c>
      <c r="B67" s="54">
        <f>+H61*H62</f>
        <v>16790.924999999999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3" t="str">
        <f>+A53</f>
        <v>Tabla de suaje</v>
      </c>
      <c r="B68" s="54">
        <f>+B53*H62</f>
        <v>1050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3" t="str">
        <f>+A54</f>
        <v xml:space="preserve">Prueba de Color </v>
      </c>
      <c r="B69" s="54">
        <f>+B54*H62</f>
        <v>375</v>
      </c>
      <c r="C69" s="63"/>
      <c r="G69" s="64" t="s">
        <v>71</v>
      </c>
      <c r="H69" s="32">
        <f>+B60</f>
        <v>18.43680357142857</v>
      </c>
      <c r="I69" s="65">
        <f>+H69*B48</f>
        <v>12905.762499999999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3" t="str">
        <f>+A55</f>
        <v>Imán</v>
      </c>
      <c r="B70" s="54">
        <f>+B55*H62</f>
        <v>0</v>
      </c>
      <c r="C70" s="63"/>
      <c r="G70" s="64" t="s">
        <v>73</v>
      </c>
      <c r="H70" s="32">
        <f>+C73</f>
        <v>27.274299107142856</v>
      </c>
      <c r="I70" s="65">
        <f>+H70*B48</f>
        <v>19092.009374999998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6.5" thickBot="1" x14ac:dyDescent="0.35">
      <c r="A71" s="53" t="str">
        <f>+A56</f>
        <v>Encuadernación</v>
      </c>
      <c r="B71" s="54">
        <f>+B56*1.2</f>
        <v>0</v>
      </c>
      <c r="C71" s="66"/>
      <c r="G71" s="67" t="s">
        <v>74</v>
      </c>
      <c r="H71" s="68">
        <f>+H70-H69</f>
        <v>8.8374955357142859</v>
      </c>
      <c r="I71" s="83">
        <f>+H71*B48</f>
        <v>6186.2468749999998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6.5" thickBot="1" x14ac:dyDescent="0.35">
      <c r="A72" s="53"/>
      <c r="B72" s="54"/>
      <c r="C72" s="66"/>
      <c r="G72" s="69" t="s">
        <v>75</v>
      </c>
      <c r="H72" s="43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x14ac:dyDescent="0.3">
      <c r="A73" s="52" t="s">
        <v>57</v>
      </c>
      <c r="B73" s="57">
        <f>SUM(B65:B72)</f>
        <v>19092.009374999998</v>
      </c>
      <c r="C73" s="68">
        <f>+B73/B48</f>
        <v>27.274299107142856</v>
      </c>
      <c r="D73" s="5" t="s">
        <v>181</v>
      </c>
    </row>
    <row r="74" spans="1:23" x14ac:dyDescent="0.3">
      <c r="C74" s="78"/>
      <c r="D74" s="5"/>
    </row>
    <row r="75" spans="1:23" x14ac:dyDescent="0.3">
      <c r="C75" s="78"/>
      <c r="D75" s="5"/>
    </row>
    <row r="76" spans="1:23" ht="15" thickBot="1" x14ac:dyDescent="0.35">
      <c r="A76" s="5" t="s">
        <v>9</v>
      </c>
    </row>
    <row r="77" spans="1:23" x14ac:dyDescent="0.3">
      <c r="A77" s="11" t="s">
        <v>99</v>
      </c>
      <c r="B77" s="12"/>
      <c r="C77" s="12"/>
      <c r="D77" s="12"/>
      <c r="E77" s="12"/>
      <c r="F77" s="12"/>
      <c r="G77" s="13"/>
    </row>
    <row r="78" spans="1:23" x14ac:dyDescent="0.3">
      <c r="A78" s="46">
        <f>+F16</f>
        <v>70</v>
      </c>
      <c r="B78" s="74">
        <f>+H16</f>
        <v>47.5</v>
      </c>
      <c r="C78" s="7" t="s">
        <v>98</v>
      </c>
      <c r="D78" s="74" t="s">
        <v>100</v>
      </c>
      <c r="E78" s="7" t="s">
        <v>101</v>
      </c>
      <c r="F78" s="76" t="s">
        <v>102</v>
      </c>
      <c r="G78" s="94"/>
    </row>
    <row r="79" spans="1:23" x14ac:dyDescent="0.3">
      <c r="A79" s="46">
        <f>0.7*0.475*C41</f>
        <v>282.62499999999994</v>
      </c>
      <c r="B79" s="79">
        <f>3.9*2</f>
        <v>7.8</v>
      </c>
      <c r="C79" s="79">
        <f>+A79*B79</f>
        <v>2204.4749999999995</v>
      </c>
      <c r="D79" s="79">
        <v>0</v>
      </c>
      <c r="E79" s="79">
        <f>+C79+D79</f>
        <v>2204.4749999999995</v>
      </c>
      <c r="F79" s="93" t="s">
        <v>117</v>
      </c>
      <c r="G79" s="94">
        <v>500</v>
      </c>
    </row>
    <row r="80" spans="1:23" x14ac:dyDescent="0.3">
      <c r="A80" s="6"/>
      <c r="B80" s="79"/>
      <c r="C80" s="79"/>
      <c r="D80" s="79"/>
      <c r="E80" s="79"/>
      <c r="G80" s="8"/>
    </row>
    <row r="81" spans="1:18" x14ac:dyDescent="0.3">
      <c r="A81" s="46">
        <f>+A78</f>
        <v>70</v>
      </c>
      <c r="B81" s="74">
        <f>+B78</f>
        <v>47.5</v>
      </c>
      <c r="C81" s="7" t="s">
        <v>98</v>
      </c>
      <c r="D81" s="74" t="s">
        <v>100</v>
      </c>
      <c r="E81" s="7" t="s">
        <v>101</v>
      </c>
      <c r="F81" s="76" t="s">
        <v>203</v>
      </c>
      <c r="G81" s="94"/>
      <c r="H81" s="1" t="s">
        <v>204</v>
      </c>
    </row>
    <row r="82" spans="1:18" x14ac:dyDescent="0.3">
      <c r="A82" s="46">
        <f>0.7*0.475*C41</f>
        <v>282.62499999999994</v>
      </c>
      <c r="B82" s="79">
        <v>4.9000000000000004</v>
      </c>
      <c r="C82" s="79">
        <f>+A82*B82</f>
        <v>1384.8624999999997</v>
      </c>
      <c r="D82" s="79">
        <v>400</v>
      </c>
      <c r="E82" s="79">
        <f>+C82+D82</f>
        <v>1784.8624999999997</v>
      </c>
      <c r="F82" s="93" t="s">
        <v>117</v>
      </c>
      <c r="G82" s="94">
        <v>1500</v>
      </c>
    </row>
    <row r="83" spans="1:18" x14ac:dyDescent="0.3">
      <c r="A83" s="6"/>
      <c r="B83" s="79"/>
      <c r="C83" s="79"/>
      <c r="D83" s="79"/>
      <c r="E83" s="79"/>
      <c r="G83" s="8"/>
    </row>
    <row r="84" spans="1:18" x14ac:dyDescent="0.3">
      <c r="A84" s="46">
        <f>+A78</f>
        <v>70</v>
      </c>
      <c r="B84" s="74">
        <f>+B78</f>
        <v>47.5</v>
      </c>
      <c r="C84" s="7" t="s">
        <v>98</v>
      </c>
      <c r="D84" s="74" t="s">
        <v>100</v>
      </c>
      <c r="E84" s="7" t="s">
        <v>101</v>
      </c>
      <c r="F84" s="76" t="s">
        <v>147</v>
      </c>
      <c r="G84" s="8"/>
      <c r="J84" s="72"/>
    </row>
    <row r="85" spans="1:18" x14ac:dyDescent="0.3">
      <c r="A85" s="46">
        <f>0.7*0.475*C41</f>
        <v>282.62499999999994</v>
      </c>
      <c r="B85" s="79">
        <f>3.9*2</f>
        <v>7.8</v>
      </c>
      <c r="C85" s="79">
        <f>+A85*B85</f>
        <v>2204.4749999999995</v>
      </c>
      <c r="D85" s="79">
        <v>360</v>
      </c>
      <c r="E85" s="126">
        <f>+C85+D85</f>
        <v>2564.4749999999995</v>
      </c>
      <c r="F85" s="93" t="s">
        <v>117</v>
      </c>
      <c r="G85" s="123">
        <v>1000</v>
      </c>
    </row>
    <row r="86" spans="1:18" x14ac:dyDescent="0.3">
      <c r="A86" s="6"/>
      <c r="B86" s="7"/>
      <c r="C86" s="79"/>
      <c r="D86" s="79"/>
      <c r="E86" s="79"/>
      <c r="F86" s="93"/>
      <c r="G86" s="94"/>
    </row>
    <row r="87" spans="1:18" ht="15" thickBot="1" x14ac:dyDescent="0.35">
      <c r="A87" s="14"/>
      <c r="B87" s="15"/>
      <c r="C87" s="15"/>
      <c r="D87" s="15"/>
      <c r="E87" s="15"/>
      <c r="F87" s="15"/>
      <c r="G87" s="16"/>
    </row>
    <row r="90" spans="1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  <row r="97" spans="10:18" ht="16.5" x14ac:dyDescent="0.3">
      <c r="J97" s="55"/>
      <c r="K97" s="55"/>
      <c r="L97" s="55"/>
      <c r="M97" s="55"/>
      <c r="N97" s="55"/>
      <c r="O97" s="55"/>
      <c r="P97" s="55"/>
      <c r="Q97" s="55"/>
      <c r="R97" s="55"/>
    </row>
    <row r="98" spans="10:18" ht="16.5" x14ac:dyDescent="0.3">
      <c r="J98" s="55"/>
      <c r="K98" s="55"/>
      <c r="L98" s="55"/>
      <c r="M98" s="55"/>
      <c r="N98" s="55"/>
      <c r="O98" s="55"/>
      <c r="P98" s="55"/>
      <c r="Q98" s="55"/>
      <c r="R98" s="55"/>
    </row>
    <row r="99" spans="10:18" ht="16.5" x14ac:dyDescent="0.3">
      <c r="J99" s="55"/>
      <c r="K99" s="55"/>
      <c r="L99" s="55"/>
      <c r="M99" s="55"/>
      <c r="N99" s="55"/>
      <c r="O99" s="55"/>
      <c r="P99" s="55"/>
      <c r="Q99" s="55"/>
      <c r="R99" s="55"/>
    </row>
  </sheetData>
  <pageMargins left="0.70866141732283472" right="0.70866141732283472" top="0.74803149606299213" bottom="0.74803149606299213" header="0.31496062992125984" footer="0.31496062992125984"/>
  <pageSetup scale="52" orientation="portrait" r:id="rId1"/>
  <headerFooter>
    <oddFooter>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6"/>
  <sheetViews>
    <sheetView topLeftCell="A60" zoomScale="80" zoomScaleNormal="80" workbookViewId="0">
      <selection activeCell="F84" sqref="F8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6</v>
      </c>
      <c r="C9" s="5" t="str">
        <f>+'cartón limon circ'!C9</f>
        <v>05 de abril de 2017</v>
      </c>
      <c r="H9" s="5" t="s">
        <v>7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8</v>
      </c>
      <c r="C11" s="1" t="str">
        <f>+'cartón limon circ'!C11</f>
        <v>PRM</v>
      </c>
      <c r="F11" s="5" t="s">
        <v>0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10</v>
      </c>
      <c r="C13" s="1" t="str">
        <f>+'cartón soporte'!C13</f>
        <v>Absolut Empaque Premium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11</v>
      </c>
      <c r="C15" s="19" t="s">
        <v>174</v>
      </c>
      <c r="D15" s="18"/>
      <c r="E15" s="18"/>
      <c r="F15" s="73" t="s">
        <v>5</v>
      </c>
      <c r="G15" s="7"/>
      <c r="H15" s="8"/>
      <c r="J15"/>
      <c r="K15"/>
      <c r="L15"/>
      <c r="M15"/>
      <c r="N15"/>
      <c r="O15"/>
      <c r="P15"/>
      <c r="Q15"/>
      <c r="R15"/>
    </row>
    <row r="16" spans="1:21" ht="15.75" x14ac:dyDescent="0.3">
      <c r="C16" s="17" t="s">
        <v>175</v>
      </c>
      <c r="D16" s="18"/>
      <c r="E16" s="18"/>
      <c r="F16" s="46">
        <v>70</v>
      </c>
      <c r="G16" s="74" t="s">
        <v>81</v>
      </c>
      <c r="H16" s="75">
        <v>47.5</v>
      </c>
      <c r="J16"/>
      <c r="K16"/>
      <c r="L16"/>
      <c r="M16"/>
      <c r="N16"/>
      <c r="O16"/>
      <c r="P16"/>
      <c r="Q16"/>
      <c r="R16"/>
    </row>
    <row r="17" spans="1:18" ht="15.75" x14ac:dyDescent="0.3">
      <c r="C17" s="17" t="s">
        <v>176</v>
      </c>
      <c r="D17" s="18"/>
      <c r="E17" s="18"/>
      <c r="F17" s="73">
        <v>4</v>
      </c>
      <c r="G17" s="76" t="s">
        <v>82</v>
      </c>
      <c r="H17" s="8"/>
      <c r="J17"/>
      <c r="K17"/>
      <c r="L17"/>
      <c r="M17"/>
      <c r="N17"/>
      <c r="O17"/>
      <c r="P17"/>
      <c r="Q17"/>
      <c r="R17"/>
    </row>
    <row r="18" spans="1:18" ht="15.75" x14ac:dyDescent="0.3">
      <c r="C18" s="17" t="s">
        <v>177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ht="15.75" x14ac:dyDescent="0.3">
      <c r="C19" s="17" t="s">
        <v>178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8" ht="15.75" x14ac:dyDescent="0.3">
      <c r="C20" s="18" t="s">
        <v>179</v>
      </c>
      <c r="D20" s="18"/>
      <c r="E20" s="18"/>
      <c r="F20" s="46">
        <v>64.3</v>
      </c>
      <c r="G20" s="74" t="s">
        <v>81</v>
      </c>
      <c r="H20" s="75">
        <v>10.3</v>
      </c>
      <c r="J20"/>
      <c r="K20"/>
      <c r="L20"/>
      <c r="M20"/>
      <c r="N20"/>
      <c r="O20"/>
      <c r="P20"/>
      <c r="Q20"/>
      <c r="R20"/>
    </row>
    <row r="21" spans="1:18" ht="15.75" x14ac:dyDescent="0.3">
      <c r="C21" s="18" t="s">
        <v>180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8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</row>
    <row r="23" spans="1:18" ht="15.75" x14ac:dyDescent="0.3">
      <c r="A23" s="4" t="s">
        <v>13</v>
      </c>
      <c r="C23" s="81" t="s">
        <v>150</v>
      </c>
      <c r="D23" s="5" t="s">
        <v>14</v>
      </c>
      <c r="E23" s="22" t="s">
        <v>148</v>
      </c>
      <c r="F23" s="1" t="s">
        <v>151</v>
      </c>
      <c r="J23"/>
      <c r="K23"/>
      <c r="L23"/>
      <c r="M23"/>
      <c r="N23"/>
      <c r="O23"/>
      <c r="P23"/>
      <c r="Q23"/>
      <c r="R23"/>
    </row>
    <row r="24" spans="1:18" ht="15.75" x14ac:dyDescent="0.3">
      <c r="J24"/>
      <c r="K24"/>
      <c r="L24"/>
      <c r="M24"/>
      <c r="N24"/>
      <c r="O24"/>
      <c r="P24"/>
      <c r="Q24"/>
      <c r="R24"/>
    </row>
    <row r="25" spans="1:18" ht="15.75" x14ac:dyDescent="0.3">
      <c r="A25" s="4" t="s">
        <v>15</v>
      </c>
      <c r="C25" s="23">
        <v>70</v>
      </c>
      <c r="D25" s="22" t="s">
        <v>16</v>
      </c>
      <c r="E25" s="24">
        <v>95</v>
      </c>
      <c r="F25" s="25">
        <f>+C25</f>
        <v>70</v>
      </c>
      <c r="G25" s="26" t="s">
        <v>16</v>
      </c>
      <c r="H25" s="26">
        <f>+E25</f>
        <v>95</v>
      </c>
      <c r="J25"/>
      <c r="K25"/>
      <c r="L25"/>
      <c r="M25"/>
      <c r="N25"/>
      <c r="O25"/>
      <c r="P25"/>
      <c r="Q25"/>
      <c r="R25"/>
    </row>
    <row r="26" spans="1:18" ht="15.75" x14ac:dyDescent="0.3">
      <c r="A26" s="4" t="s">
        <v>17</v>
      </c>
      <c r="B26" s="3"/>
      <c r="C26" s="27">
        <f>+F16</f>
        <v>70</v>
      </c>
      <c r="D26" s="28" t="s">
        <v>16</v>
      </c>
      <c r="E26" s="27">
        <f>+H16</f>
        <v>47.5</v>
      </c>
      <c r="F26" s="29">
        <f>+E26</f>
        <v>47.5</v>
      </c>
      <c r="G26" s="29" t="s">
        <v>16</v>
      </c>
      <c r="H26" s="29">
        <f>+C26</f>
        <v>70</v>
      </c>
      <c r="I26" s="30"/>
      <c r="J26"/>
      <c r="K26"/>
      <c r="L26"/>
      <c r="M26"/>
      <c r="N26"/>
      <c r="O26"/>
      <c r="P26"/>
      <c r="Q26"/>
      <c r="R26"/>
    </row>
    <row r="27" spans="1:18" ht="16.5" thickBot="1" x14ac:dyDescent="0.35">
      <c r="A27" s="3" t="s">
        <v>18</v>
      </c>
      <c r="B27" s="31"/>
      <c r="C27" s="32">
        <f>+C25/C26</f>
        <v>1</v>
      </c>
      <c r="D27" s="33"/>
      <c r="E27" s="32">
        <f>+E25/E26</f>
        <v>2</v>
      </c>
      <c r="F27" s="32">
        <f>+F25/F26</f>
        <v>1.4736842105263157</v>
      </c>
      <c r="G27" s="33"/>
      <c r="H27" s="32">
        <f>+H25/H26</f>
        <v>1.3571428571428572</v>
      </c>
      <c r="I27" s="30"/>
      <c r="J27"/>
      <c r="K27"/>
      <c r="L27"/>
      <c r="M27"/>
      <c r="N27"/>
      <c r="O27"/>
      <c r="P27"/>
      <c r="Q27"/>
      <c r="R27"/>
    </row>
    <row r="28" spans="1:18" ht="16.5" thickBot="1" x14ac:dyDescent="0.35">
      <c r="A28" s="3" t="s">
        <v>19</v>
      </c>
      <c r="B28" s="34"/>
      <c r="C28" s="35"/>
      <c r="D28" s="36">
        <v>2</v>
      </c>
      <c r="E28" s="37"/>
      <c r="F28" s="38"/>
      <c r="G28" s="39">
        <v>1</v>
      </c>
      <c r="H28" s="40" t="s">
        <v>20</v>
      </c>
      <c r="J28"/>
      <c r="K28"/>
      <c r="L28"/>
      <c r="M28"/>
      <c r="N28"/>
      <c r="O28"/>
      <c r="P28"/>
      <c r="Q28"/>
      <c r="R28"/>
    </row>
    <row r="29" spans="1:18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</row>
    <row r="30" spans="1:18" ht="15.75" x14ac:dyDescent="0.3">
      <c r="A30" s="25" t="s">
        <v>21</v>
      </c>
      <c r="B30" s="25" t="s">
        <v>88</v>
      </c>
      <c r="D30" s="41" t="s">
        <v>22</v>
      </c>
      <c r="E30" s="42">
        <f>+F30/1000</f>
        <v>3.5850000000000004</v>
      </c>
      <c r="F30" s="47">
        <f>+'forro Circulo '!F30</f>
        <v>3585.0000000000005</v>
      </c>
      <c r="G30" s="1" t="s">
        <v>23</v>
      </c>
      <c r="H30" s="43">
        <v>0.5</v>
      </c>
      <c r="J30"/>
      <c r="K30"/>
      <c r="L30"/>
      <c r="M30"/>
      <c r="N30"/>
      <c r="O30"/>
      <c r="P30"/>
      <c r="Q30"/>
      <c r="R30"/>
    </row>
    <row r="31" spans="1:18" ht="15.75" x14ac:dyDescent="0.3">
      <c r="A31" s="3"/>
      <c r="B31" s="3"/>
      <c r="C31" s="3"/>
      <c r="D31" s="44" t="s">
        <v>24</v>
      </c>
      <c r="E31" s="42">
        <f>+H30*E30</f>
        <v>1.7925000000000002</v>
      </c>
      <c r="H31" s="43"/>
      <c r="I31" s="30"/>
      <c r="J31"/>
      <c r="K31"/>
      <c r="L31"/>
      <c r="M31"/>
      <c r="N31"/>
      <c r="O31"/>
      <c r="P31"/>
      <c r="Q31"/>
      <c r="R31"/>
    </row>
    <row r="32" spans="1:18" ht="15.75" x14ac:dyDescent="0.3">
      <c r="D32" s="44" t="s">
        <v>25</v>
      </c>
      <c r="E32" s="45">
        <f>+E30-E31</f>
        <v>1.7925000000000002</v>
      </c>
      <c r="I32" s="30"/>
      <c r="J32"/>
      <c r="K32"/>
      <c r="L32"/>
      <c r="M32"/>
      <c r="N32"/>
      <c r="O32"/>
      <c r="P32"/>
      <c r="Q32"/>
      <c r="R32"/>
    </row>
    <row r="33" spans="1:18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</row>
    <row r="34" spans="1:18" ht="15.75" x14ac:dyDescent="0.3">
      <c r="D34" s="41" t="s">
        <v>29</v>
      </c>
      <c r="E34" s="47">
        <f>+E32</f>
        <v>1.7925000000000002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</row>
    <row r="35" spans="1:18" ht="15.75" x14ac:dyDescent="0.3">
      <c r="D35" s="41" t="s">
        <v>30</v>
      </c>
      <c r="E35" s="47">
        <f>+E34*1.1</f>
        <v>1.9717500000000003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</row>
    <row r="36" spans="1:18" ht="16.5" thickBot="1" x14ac:dyDescent="0.35">
      <c r="A36" s="3"/>
      <c r="G36" s="41"/>
      <c r="J36"/>
      <c r="K36"/>
      <c r="L36"/>
      <c r="M36"/>
      <c r="N36"/>
      <c r="O36"/>
      <c r="P36"/>
      <c r="Q36"/>
      <c r="R36"/>
    </row>
    <row r="37" spans="1:18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</row>
    <row r="38" spans="1:18" ht="16.5" thickBot="1" x14ac:dyDescent="0.35">
      <c r="A38" s="4" t="s">
        <v>34</v>
      </c>
      <c r="C38" s="48">
        <v>2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</row>
    <row r="39" spans="1:18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</row>
    <row r="40" spans="1:18" ht="15.75" x14ac:dyDescent="0.3">
      <c r="A40" s="4" t="s">
        <v>38</v>
      </c>
      <c r="B40" s="5"/>
      <c r="C40" s="50">
        <f>+B48/F17</f>
        <v>175</v>
      </c>
      <c r="D40" s="24">
        <f>+'forro Circulo '!D40</f>
        <v>500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</row>
    <row r="41" spans="1:18" ht="15.75" x14ac:dyDescent="0.3">
      <c r="A41" s="4" t="s">
        <v>40</v>
      </c>
      <c r="C41" s="34">
        <f>+C40+D40</f>
        <v>675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</row>
    <row r="42" spans="1:18" ht="15.75" x14ac:dyDescent="0.3">
      <c r="A42" s="4" t="s">
        <v>42</v>
      </c>
      <c r="C42" s="34">
        <f>+C41/C38</f>
        <v>337.5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</row>
    <row r="43" spans="1:18" ht="15.75" x14ac:dyDescent="0.3">
      <c r="A43" s="4" t="s">
        <v>91</v>
      </c>
      <c r="C43" s="21">
        <f>+(C42*C38)*F17</f>
        <v>2700</v>
      </c>
      <c r="F43" s="41" t="s">
        <v>44</v>
      </c>
      <c r="G43" s="23">
        <f>+C40/1000</f>
        <v>0.17499999999999999</v>
      </c>
      <c r="H43" s="3"/>
      <c r="J43"/>
      <c r="K43"/>
      <c r="L43"/>
      <c r="M43"/>
      <c r="N43"/>
      <c r="O43"/>
      <c r="P43"/>
      <c r="Q43"/>
      <c r="R43"/>
    </row>
    <row r="44" spans="1:18" ht="15.75" x14ac:dyDescent="0.3">
      <c r="A44" s="4"/>
      <c r="C44" s="51"/>
      <c r="F44" s="44" t="s">
        <v>45</v>
      </c>
      <c r="G44" s="48">
        <f>+C41</f>
        <v>675</v>
      </c>
      <c r="H44" s="3"/>
      <c r="K44"/>
      <c r="L44"/>
      <c r="M44"/>
      <c r="N44"/>
      <c r="O44"/>
      <c r="P44"/>
      <c r="Q44"/>
      <c r="R44"/>
    </row>
    <row r="45" spans="1:18" ht="15.75" x14ac:dyDescent="0.3">
      <c r="A45" s="4"/>
      <c r="C45" s="21"/>
      <c r="E45" s="44"/>
      <c r="F45" s="44"/>
      <c r="G45" s="30"/>
      <c r="I45" s="3"/>
      <c r="K45"/>
      <c r="L45"/>
      <c r="M45"/>
      <c r="N45"/>
      <c r="O45"/>
      <c r="P45"/>
      <c r="Q45"/>
      <c r="R45"/>
    </row>
    <row r="46" spans="1:18" ht="15.75" x14ac:dyDescent="0.3">
      <c r="A46" s="4" t="s">
        <v>46</v>
      </c>
      <c r="C46" s="25">
        <f>+C42*C38</f>
        <v>675</v>
      </c>
      <c r="F46" s="44"/>
      <c r="G46" s="30"/>
      <c r="H46" s="3"/>
      <c r="K46"/>
      <c r="L46"/>
      <c r="M46"/>
      <c r="N46"/>
      <c r="O46"/>
      <c r="P46"/>
      <c r="Q46"/>
      <c r="R46"/>
    </row>
    <row r="47" spans="1:18" x14ac:dyDescent="0.3">
      <c r="A47" s="3"/>
      <c r="B47" s="3"/>
      <c r="C47" s="3"/>
      <c r="D47" s="3"/>
      <c r="E47" s="3"/>
      <c r="H47" s="3"/>
    </row>
    <row r="48" spans="1:18" x14ac:dyDescent="0.3">
      <c r="A48" s="4" t="s">
        <v>76</v>
      </c>
      <c r="B48" s="21">
        <f>+'cartón limon circ'!B48</f>
        <v>700</v>
      </c>
      <c r="C48" s="21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</row>
    <row r="49" spans="1:24" x14ac:dyDescent="0.3">
      <c r="A49" s="52" t="s">
        <v>52</v>
      </c>
      <c r="B49" s="53"/>
      <c r="C49" s="3"/>
      <c r="D49" s="21">
        <v>4</v>
      </c>
      <c r="E49" s="21">
        <v>1</v>
      </c>
      <c r="F49" s="21" t="s">
        <v>53</v>
      </c>
      <c r="G49" s="30">
        <f>185+145</f>
        <v>330</v>
      </c>
      <c r="H49" s="30">
        <f>+(D49*E49)*G49</f>
        <v>1320</v>
      </c>
    </row>
    <row r="50" spans="1:24" x14ac:dyDescent="0.3">
      <c r="A50" s="53" t="s">
        <v>54</v>
      </c>
      <c r="B50" s="54">
        <f>+E34*C42</f>
        <v>604.96875000000011</v>
      </c>
      <c r="C50" s="3"/>
      <c r="D50" s="21">
        <v>4</v>
      </c>
      <c r="E50" s="21">
        <v>1</v>
      </c>
      <c r="F50" s="21" t="s">
        <v>77</v>
      </c>
      <c r="G50" s="30">
        <v>155</v>
      </c>
      <c r="H50" s="30">
        <f>+(D50*E50)*G50</f>
        <v>620</v>
      </c>
    </row>
    <row r="51" spans="1:24" x14ac:dyDescent="0.3">
      <c r="A51" s="53" t="s">
        <v>12</v>
      </c>
      <c r="B51" s="54">
        <f>+H61</f>
        <v>6180.6124999999993</v>
      </c>
      <c r="C51" s="3"/>
      <c r="D51" s="21">
        <v>0</v>
      </c>
      <c r="E51" s="21">
        <v>0</v>
      </c>
      <c r="F51" s="21" t="s">
        <v>83</v>
      </c>
      <c r="G51" s="30">
        <v>500</v>
      </c>
      <c r="H51" s="30">
        <f>+G51*E51*D51</f>
        <v>0</v>
      </c>
    </row>
    <row r="52" spans="1:24" x14ac:dyDescent="0.3">
      <c r="A52" s="53"/>
      <c r="B52" s="54"/>
      <c r="C52" s="3"/>
      <c r="D52" s="21">
        <v>1</v>
      </c>
      <c r="E52" s="21">
        <v>1</v>
      </c>
      <c r="F52" s="21" t="s">
        <v>96</v>
      </c>
      <c r="G52" s="30">
        <v>300</v>
      </c>
      <c r="H52" s="30">
        <f t="shared" ref="H52:H54" si="0">+G52*E52</f>
        <v>300</v>
      </c>
      <c r="I52" s="30">
        <f>+(B73/100)*2</f>
        <v>225.7276875</v>
      </c>
    </row>
    <row r="53" spans="1:24" ht="16.5" x14ac:dyDescent="0.3">
      <c r="A53" s="53" t="s">
        <v>26</v>
      </c>
      <c r="B53" s="54">
        <v>600</v>
      </c>
      <c r="C53" s="3"/>
      <c r="D53" s="21">
        <v>0</v>
      </c>
      <c r="E53" s="21">
        <v>0</v>
      </c>
      <c r="F53" s="21" t="s">
        <v>104</v>
      </c>
      <c r="G53" s="30">
        <f>+E82</f>
        <v>1499.7437499999999</v>
      </c>
      <c r="H53" s="30">
        <f t="shared" si="0"/>
        <v>0</v>
      </c>
      <c r="I53" s="55"/>
    </row>
    <row r="54" spans="1:24" x14ac:dyDescent="0.3">
      <c r="A54" s="56" t="s">
        <v>116</v>
      </c>
      <c r="B54" s="54">
        <v>300</v>
      </c>
      <c r="C54" s="3"/>
      <c r="D54" s="21">
        <v>1</v>
      </c>
      <c r="E54" s="21">
        <v>1</v>
      </c>
      <c r="F54" s="21" t="s">
        <v>58</v>
      </c>
      <c r="G54" s="30">
        <f>+E79</f>
        <v>1750.6124999999997</v>
      </c>
      <c r="H54" s="30">
        <f t="shared" si="0"/>
        <v>1750.6124999999997</v>
      </c>
    </row>
    <row r="55" spans="1:24" x14ac:dyDescent="0.3">
      <c r="A55" s="56" t="s">
        <v>95</v>
      </c>
      <c r="B55" s="54">
        <v>0</v>
      </c>
      <c r="D55" s="21">
        <v>1</v>
      </c>
      <c r="E55" s="21">
        <v>1</v>
      </c>
      <c r="F55" s="21" t="s">
        <v>153</v>
      </c>
      <c r="G55" s="30">
        <v>145</v>
      </c>
      <c r="H55" s="30">
        <f>+G55*E55</f>
        <v>145</v>
      </c>
    </row>
    <row r="56" spans="1:24" x14ac:dyDescent="0.3">
      <c r="A56" s="56" t="s">
        <v>94</v>
      </c>
      <c r="B56" s="54">
        <v>0</v>
      </c>
      <c r="D56" s="21">
        <v>1</v>
      </c>
      <c r="E56" s="21">
        <v>1</v>
      </c>
      <c r="F56" s="21" t="s">
        <v>107</v>
      </c>
      <c r="G56" s="30">
        <v>145</v>
      </c>
      <c r="H56" s="30">
        <f>+G56*E56</f>
        <v>145</v>
      </c>
    </row>
    <row r="57" spans="1:24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ref="H57:H59" si="1">+G57*E57</f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2" t="s">
        <v>57</v>
      </c>
      <c r="B58" s="57">
        <f>SUM(B50:B57)</f>
        <v>7685.5812499999993</v>
      </c>
      <c r="C58" s="3"/>
      <c r="D58" s="21">
        <v>1</v>
      </c>
      <c r="E58" s="21">
        <v>1</v>
      </c>
      <c r="F58" s="3" t="s">
        <v>202</v>
      </c>
      <c r="G58" s="30">
        <f>+G82+D82</f>
        <v>1900</v>
      </c>
      <c r="H58" s="30">
        <f t="shared" si="1"/>
        <v>1900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9"/>
      <c r="B59" s="58"/>
      <c r="C59" s="3"/>
      <c r="D59" s="21"/>
      <c r="E59" s="21"/>
      <c r="F59" s="3"/>
      <c r="G59" s="3"/>
      <c r="H59" s="30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32">
        <f>+B58/B48</f>
        <v>10.979401785714284</v>
      </c>
      <c r="C60" s="4"/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6180.6124999999993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D62" s="3"/>
      <c r="E62" s="3"/>
      <c r="G62" s="5" t="s">
        <v>62</v>
      </c>
      <c r="H62" s="77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A63" s="4" t="s">
        <v>64</v>
      </c>
      <c r="B63" s="3"/>
      <c r="C63" s="3"/>
      <c r="E63" s="32"/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3"/>
      <c r="B64" s="4" t="s">
        <v>67</v>
      </c>
      <c r="C64" s="25"/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52" t="s">
        <v>70</v>
      </c>
      <c r="B65" s="53"/>
      <c r="C65" s="3"/>
      <c r="D65" s="3"/>
      <c r="E65" s="3"/>
      <c r="F65" s="3"/>
      <c r="G65" s="5" t="s">
        <v>80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3" t="s">
        <v>54</v>
      </c>
      <c r="B66" s="54">
        <f>+E35*C42</f>
        <v>665.46562500000016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3" t="s">
        <v>12</v>
      </c>
      <c r="B67" s="54">
        <f>+H61*H62</f>
        <v>9270.9187499999989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3" t="str">
        <f>+A53</f>
        <v>Tabla de suaje</v>
      </c>
      <c r="B68" s="54">
        <f>+B53*H62</f>
        <v>900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3" t="str">
        <f>+A54</f>
        <v>Pruebas de color</v>
      </c>
      <c r="B69" s="54">
        <f>+B54*H62</f>
        <v>450</v>
      </c>
      <c r="C69" s="63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5.75" x14ac:dyDescent="0.3">
      <c r="A70" s="53" t="str">
        <f>+A55</f>
        <v>Imán</v>
      </c>
      <c r="B70" s="54">
        <f>+B55*H62</f>
        <v>0</v>
      </c>
      <c r="C70" s="63"/>
      <c r="F70" s="64" t="s">
        <v>71</v>
      </c>
      <c r="G70" s="32">
        <f>+B60</f>
        <v>10.979401785714284</v>
      </c>
      <c r="H70" s="65">
        <f>+G70*B48</f>
        <v>7685.5812499999993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5.75" x14ac:dyDescent="0.3">
      <c r="A71" s="53" t="str">
        <f>+A56</f>
        <v>Encuadernación</v>
      </c>
      <c r="B71" s="54">
        <f>+B56*H62</f>
        <v>0</v>
      </c>
      <c r="C71" s="66"/>
      <c r="F71" s="64" t="s">
        <v>73</v>
      </c>
      <c r="G71" s="32">
        <f>+C73</f>
        <v>16.123406249999999</v>
      </c>
      <c r="H71" s="65">
        <f>+G71*B48</f>
        <v>11286.384375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5.75" x14ac:dyDescent="0.3">
      <c r="A72" s="53"/>
      <c r="B72" s="54"/>
      <c r="C72" s="66"/>
      <c r="F72" s="67" t="s">
        <v>74</v>
      </c>
      <c r="G72" s="68">
        <f>+G71-G70</f>
        <v>5.1440044642857146</v>
      </c>
      <c r="H72" s="83">
        <f>+G72*B48</f>
        <v>3600.8031250000004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ht="15.75" x14ac:dyDescent="0.3">
      <c r="A73" s="52" t="s">
        <v>57</v>
      </c>
      <c r="B73" s="57">
        <f>SUM(B65:B72)</f>
        <v>11286.384375</v>
      </c>
      <c r="C73" s="68">
        <f>+B73/B48</f>
        <v>16.123406249999999</v>
      </c>
      <c r="D73" s="5" t="s">
        <v>182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ht="15.75" x14ac:dyDescent="0.3">
      <c r="C74" s="78"/>
      <c r="D74" s="5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ht="15.75" x14ac:dyDescent="0.3">
      <c r="C75" s="78"/>
      <c r="D75" s="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ht="16.5" thickBot="1" x14ac:dyDescent="0.35">
      <c r="A76" s="5" t="s">
        <v>146</v>
      </c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ht="15.75" x14ac:dyDescent="0.3">
      <c r="A77" s="11" t="s">
        <v>99</v>
      </c>
      <c r="B77" s="12"/>
      <c r="C77" s="12"/>
      <c r="D77" s="12"/>
      <c r="E77" s="12"/>
      <c r="F77" s="12"/>
      <c r="G77" s="13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ht="15.75" x14ac:dyDescent="0.3">
      <c r="A78" s="46">
        <f>+F16</f>
        <v>70</v>
      </c>
      <c r="B78" s="74">
        <f>+H16</f>
        <v>47.5</v>
      </c>
      <c r="C78" s="7" t="s">
        <v>98</v>
      </c>
      <c r="D78" s="74" t="s">
        <v>100</v>
      </c>
      <c r="E78" s="7" t="s">
        <v>101</v>
      </c>
      <c r="F78" s="76" t="s">
        <v>102</v>
      </c>
      <c r="G78" s="94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ht="15.75" x14ac:dyDescent="0.3">
      <c r="A79" s="46">
        <f>0.7*0.475*C41</f>
        <v>224.43749999999997</v>
      </c>
      <c r="B79" s="79">
        <f>3.9*2</f>
        <v>7.8</v>
      </c>
      <c r="C79" s="79">
        <f>+A79*B79</f>
        <v>1750.6124999999997</v>
      </c>
      <c r="D79" s="79">
        <v>0</v>
      </c>
      <c r="E79" s="79">
        <f>+C79+D79</f>
        <v>1750.6124999999997</v>
      </c>
      <c r="F79" s="93" t="s">
        <v>117</v>
      </c>
      <c r="G79" s="123">
        <v>500</v>
      </c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ht="15.75" x14ac:dyDescent="0.3">
      <c r="A80" s="6"/>
      <c r="B80" s="79"/>
      <c r="C80" s="79"/>
      <c r="D80" s="79"/>
      <c r="E80" s="79"/>
      <c r="G80" s="8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18" x14ac:dyDescent="0.3">
      <c r="A81" s="46">
        <f>+A78</f>
        <v>70</v>
      </c>
      <c r="B81" s="74">
        <f>+B78</f>
        <v>47.5</v>
      </c>
      <c r="C81" s="7" t="s">
        <v>98</v>
      </c>
      <c r="D81" s="74" t="s">
        <v>100</v>
      </c>
      <c r="E81" s="7" t="s">
        <v>101</v>
      </c>
      <c r="F81" s="76" t="s">
        <v>203</v>
      </c>
      <c r="G81" s="94"/>
      <c r="H81" s="1" t="s">
        <v>204</v>
      </c>
    </row>
    <row r="82" spans="1:18" x14ac:dyDescent="0.3">
      <c r="A82" s="46">
        <f>0.7*0.475*C41</f>
        <v>224.43749999999997</v>
      </c>
      <c r="B82" s="79">
        <v>4.9000000000000004</v>
      </c>
      <c r="C82" s="79">
        <f>+A82*B82</f>
        <v>1099.7437499999999</v>
      </c>
      <c r="D82" s="79">
        <v>400</v>
      </c>
      <c r="E82" s="79">
        <f>+C82+D82</f>
        <v>1499.7437499999999</v>
      </c>
      <c r="F82" s="93" t="s">
        <v>117</v>
      </c>
      <c r="G82" s="94">
        <v>1500</v>
      </c>
    </row>
    <row r="83" spans="1:18" x14ac:dyDescent="0.3">
      <c r="A83" s="6"/>
      <c r="B83" s="79"/>
      <c r="C83" s="79"/>
      <c r="D83" s="79"/>
      <c r="E83" s="79"/>
      <c r="G83" s="8"/>
    </row>
    <row r="84" spans="1:18" ht="16.5" thickBot="1" x14ac:dyDescent="0.35">
      <c r="A84" s="14"/>
      <c r="B84" s="15"/>
      <c r="C84" s="15"/>
      <c r="D84" s="15"/>
      <c r="E84" s="15"/>
      <c r="F84" s="15"/>
      <c r="G84" s="16"/>
      <c r="H84"/>
      <c r="I84"/>
    </row>
    <row r="85" spans="1:18" ht="15.75" x14ac:dyDescent="0.3">
      <c r="H85"/>
      <c r="I85"/>
    </row>
    <row r="87" spans="1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Desarrollo</vt:lpstr>
      <vt:lpstr>cartón limon circ</vt:lpstr>
      <vt:lpstr>cartón soporte</vt:lpstr>
      <vt:lpstr>cartón tira </vt:lpstr>
      <vt:lpstr>cartón base cajón</vt:lpstr>
      <vt:lpstr>cartón tapa base</vt:lpstr>
      <vt:lpstr>eva</vt:lpstr>
      <vt:lpstr>forro Circulo </vt:lpstr>
      <vt:lpstr>forro tira cir</vt:lpstr>
      <vt:lpstr>forro base caja</vt:lpstr>
      <vt:lpstr>forro tapa caja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2017-04-05T21:29:05Z</cp:lastPrinted>
  <dcterms:created xsi:type="dcterms:W3CDTF">2013-03-04T22:24:31Z</dcterms:created>
  <dcterms:modified xsi:type="dcterms:W3CDTF">2017-04-06T00:14:18Z</dcterms:modified>
</cp:coreProperties>
</file>