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0520" windowHeight="4065" firstSheet="1" activeTab="6"/>
  </bookViews>
  <sheets>
    <sheet name="Desarrollo" sheetId="45" r:id="rId1"/>
    <sheet name="cartón caja" sheetId="39" r:id="rId2"/>
    <sheet name="cartón cartera" sheetId="40" r:id="rId3"/>
    <sheet name="Empalme Caja INT" sheetId="34" r:id="rId4"/>
    <sheet name="Forro Caja EXT" sheetId="42" r:id="rId5"/>
    <sheet name="forro cartera guarda" sheetId="44" r:id="rId6"/>
    <sheet name="forro cartera ext" sheetId="38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H93" i="38" l="1"/>
  <c r="F93" i="38"/>
  <c r="I91" i="38"/>
  <c r="I90" i="38"/>
  <c r="H89" i="38"/>
  <c r="I89" i="38"/>
  <c r="H88" i="38"/>
  <c r="I88" i="38"/>
  <c r="H87" i="38"/>
  <c r="I86" i="38"/>
  <c r="C82" i="38" l="1"/>
  <c r="G99" i="45"/>
  <c r="G84" i="45"/>
  <c r="E25" i="44" l="1"/>
  <c r="C25" i="44"/>
  <c r="C66" i="45"/>
  <c r="G57" i="34" l="1"/>
  <c r="H50" i="44" l="1"/>
  <c r="G49" i="44"/>
  <c r="H49" i="44" s="1"/>
  <c r="G58" i="38" l="1"/>
  <c r="E25" i="38"/>
  <c r="C25" i="38"/>
  <c r="G58" i="44"/>
  <c r="C13" i="44"/>
  <c r="C13" i="38" s="1"/>
  <c r="C11" i="44"/>
  <c r="C9" i="44"/>
  <c r="B30" i="42"/>
  <c r="E30" i="42"/>
  <c r="E25" i="42"/>
  <c r="C25" i="42"/>
  <c r="C23" i="42"/>
  <c r="C13" i="42"/>
  <c r="C11" i="42"/>
  <c r="C9" i="42"/>
  <c r="E30" i="34"/>
  <c r="E25" i="34"/>
  <c r="C25" i="34"/>
  <c r="C23" i="34"/>
  <c r="C13" i="34"/>
  <c r="C9" i="39"/>
  <c r="C9" i="40"/>
  <c r="C9" i="34"/>
  <c r="C13" i="39"/>
  <c r="C13" i="40" s="1"/>
  <c r="C11" i="39"/>
  <c r="C11" i="40" s="1"/>
  <c r="G39" i="45"/>
  <c r="G32" i="45"/>
  <c r="B48" i="38" l="1"/>
  <c r="B55" i="38" s="1"/>
  <c r="D80" i="38"/>
  <c r="D79" i="38"/>
  <c r="A70" i="38"/>
  <c r="B48" i="44"/>
  <c r="B48" i="42"/>
  <c r="B56" i="42" s="1"/>
  <c r="B48" i="34"/>
  <c r="B54" i="38" l="1"/>
  <c r="D78" i="38"/>
  <c r="F89" i="38" s="1"/>
  <c r="D77" i="38"/>
  <c r="D76" i="38"/>
  <c r="F87" i="38" s="1"/>
  <c r="B109" i="38"/>
  <c r="A109" i="38"/>
  <c r="C109" i="38" s="1"/>
  <c r="E109" i="38" s="1"/>
  <c r="J93" i="38"/>
  <c r="J92" i="38"/>
  <c r="F92" i="38"/>
  <c r="D91" i="38"/>
  <c r="G89" i="38"/>
  <c r="G88" i="38"/>
  <c r="F88" i="38"/>
  <c r="G86" i="38"/>
  <c r="G87" i="38" s="1"/>
  <c r="F86" i="38"/>
  <c r="F91" i="38"/>
  <c r="F90" i="38"/>
  <c r="B74" i="38"/>
  <c r="A74" i="38"/>
  <c r="B73" i="38"/>
  <c r="A73" i="38"/>
  <c r="A72" i="38"/>
  <c r="B69" i="38"/>
  <c r="A69" i="38"/>
  <c r="H59" i="38"/>
  <c r="H57" i="38"/>
  <c r="H56" i="38"/>
  <c r="H55" i="38"/>
  <c r="H54" i="38"/>
  <c r="H53" i="38"/>
  <c r="H52" i="38"/>
  <c r="H51" i="38"/>
  <c r="H50" i="38"/>
  <c r="H49" i="38"/>
  <c r="G49" i="38"/>
  <c r="E30" i="38"/>
  <c r="C11" i="38"/>
  <c r="B83" i="44"/>
  <c r="B71" i="44"/>
  <c r="A71" i="44"/>
  <c r="B70" i="44"/>
  <c r="A70" i="44"/>
  <c r="A69" i="44"/>
  <c r="B68" i="44"/>
  <c r="A68" i="44"/>
  <c r="H59" i="44"/>
  <c r="H56" i="44"/>
  <c r="H55" i="44"/>
  <c r="H54" i="44"/>
  <c r="H53" i="44"/>
  <c r="H52" i="44"/>
  <c r="H51" i="44"/>
  <c r="E30" i="44"/>
  <c r="B83" i="42"/>
  <c r="A71" i="42"/>
  <c r="B70" i="42"/>
  <c r="A70" i="42"/>
  <c r="A69" i="42"/>
  <c r="B68" i="42"/>
  <c r="A68" i="42"/>
  <c r="H59" i="42"/>
  <c r="H56" i="42"/>
  <c r="H55" i="42"/>
  <c r="H54" i="42"/>
  <c r="H53" i="42"/>
  <c r="H52" i="42"/>
  <c r="H51" i="42"/>
  <c r="H50" i="42"/>
  <c r="G49" i="42"/>
  <c r="H49" i="42" s="1"/>
  <c r="B83" i="34"/>
  <c r="B71" i="34"/>
  <c r="A71" i="34"/>
  <c r="B70" i="34"/>
  <c r="A70" i="34"/>
  <c r="A69" i="34"/>
  <c r="B68" i="34"/>
  <c r="A68" i="34"/>
  <c r="H59" i="34"/>
  <c r="H56" i="34"/>
  <c r="H55" i="34"/>
  <c r="H54" i="34"/>
  <c r="H53" i="34"/>
  <c r="H52" i="34"/>
  <c r="H51" i="34"/>
  <c r="H50" i="34"/>
  <c r="G49" i="34"/>
  <c r="H49" i="34" s="1"/>
  <c r="C11" i="34"/>
  <c r="D40" i="40"/>
  <c r="F23" i="39"/>
  <c r="C23" i="39"/>
  <c r="E30" i="39"/>
  <c r="E30" i="40"/>
  <c r="B48" i="39"/>
  <c r="D40" i="39"/>
  <c r="F66" i="45"/>
  <c r="E66" i="45"/>
  <c r="D66" i="45"/>
  <c r="H96" i="45" l="1"/>
  <c r="G92" i="45"/>
  <c r="H89" i="45"/>
  <c r="F82" i="45"/>
  <c r="H82" i="45" s="1"/>
  <c r="F73" i="45"/>
  <c r="F80" i="45"/>
  <c r="E68" i="45"/>
  <c r="F70" i="45"/>
  <c r="G46" i="45"/>
  <c r="H43" i="45"/>
  <c r="H36" i="45"/>
  <c r="H29" i="45"/>
  <c r="E27" i="45"/>
  <c r="G26" i="45"/>
  <c r="D26" i="45"/>
  <c r="H19" i="45"/>
  <c r="C19" i="45"/>
  <c r="G14" i="45"/>
  <c r="H26" i="45" s="1"/>
  <c r="E30" i="45" s="1"/>
  <c r="D14" i="45"/>
  <c r="E13" i="45"/>
  <c r="B70" i="45" l="1"/>
  <c r="C94" i="45"/>
  <c r="C87" i="45"/>
  <c r="E94" i="45"/>
  <c r="E87" i="45"/>
  <c r="H16" i="39"/>
  <c r="H19" i="39"/>
  <c r="H79" i="45"/>
  <c r="E97" i="45"/>
  <c r="H16" i="38" s="1"/>
  <c r="B105" i="38" s="1"/>
  <c r="B108" i="38" s="1"/>
  <c r="H20" i="38"/>
  <c r="C41" i="45"/>
  <c r="E31" i="45"/>
  <c r="E32" i="45"/>
  <c r="E98" i="45"/>
  <c r="B15" i="45"/>
  <c r="C30" i="45" s="1"/>
  <c r="E34" i="45"/>
  <c r="E41" i="45"/>
  <c r="C83" i="45"/>
  <c r="E83" i="45"/>
  <c r="C34" i="45"/>
  <c r="E31" i="44"/>
  <c r="E32" i="44" s="1"/>
  <c r="E34" i="44" s="1"/>
  <c r="H25" i="44"/>
  <c r="F25" i="44"/>
  <c r="E31" i="38"/>
  <c r="E32" i="38" s="1"/>
  <c r="H25" i="38"/>
  <c r="F25" i="38"/>
  <c r="H25" i="42"/>
  <c r="F25" i="42"/>
  <c r="E99" i="45" l="1"/>
  <c r="E26" i="38"/>
  <c r="E27" i="38" s="1"/>
  <c r="F16" i="39"/>
  <c r="F19" i="39"/>
  <c r="H16" i="40"/>
  <c r="H19" i="40"/>
  <c r="F16" i="40"/>
  <c r="F19" i="40"/>
  <c r="E90" i="45"/>
  <c r="H16" i="44" s="1"/>
  <c r="H20" i="44"/>
  <c r="E37" i="45"/>
  <c r="H16" i="34" s="1"/>
  <c r="B79" i="34" s="1"/>
  <c r="B82" i="34" s="1"/>
  <c r="H20" i="34"/>
  <c r="E44" i="45"/>
  <c r="H16" i="42" s="1"/>
  <c r="H20" i="42"/>
  <c r="C90" i="45"/>
  <c r="F16" i="44" s="1"/>
  <c r="F20" i="44"/>
  <c r="C44" i="45"/>
  <c r="F20" i="42"/>
  <c r="C37" i="45"/>
  <c r="F16" i="34" s="1"/>
  <c r="F20" i="34"/>
  <c r="C97" i="45"/>
  <c r="F20" i="38"/>
  <c r="C9" i="38"/>
  <c r="E92" i="45"/>
  <c r="C84" i="45"/>
  <c r="C85" i="45"/>
  <c r="E38" i="45"/>
  <c r="E39" i="45"/>
  <c r="C39" i="45"/>
  <c r="E85" i="45"/>
  <c r="E84" i="45"/>
  <c r="E45" i="45"/>
  <c r="C32" i="45"/>
  <c r="C31" i="45"/>
  <c r="E35" i="44"/>
  <c r="F26" i="38"/>
  <c r="F27" i="38" s="1"/>
  <c r="E46" i="45" l="1"/>
  <c r="E91" i="45"/>
  <c r="B54" i="44"/>
  <c r="B69" i="44" s="1"/>
  <c r="B53" i="38"/>
  <c r="B70" i="38" s="1"/>
  <c r="B79" i="44"/>
  <c r="B82" i="44" s="1"/>
  <c r="E26" i="44"/>
  <c r="B79" i="42"/>
  <c r="B82" i="42" s="1"/>
  <c r="E26" i="42"/>
  <c r="C92" i="45"/>
  <c r="C38" i="45"/>
  <c r="C91" i="45"/>
  <c r="C99" i="45"/>
  <c r="F16" i="38"/>
  <c r="C98" i="45"/>
  <c r="A79" i="34"/>
  <c r="A82" i="34" s="1"/>
  <c r="B69" i="34"/>
  <c r="C46" i="45"/>
  <c r="F16" i="42"/>
  <c r="C45" i="45"/>
  <c r="A79" i="44"/>
  <c r="A82" i="44" s="1"/>
  <c r="C26" i="44"/>
  <c r="E31" i="42"/>
  <c r="E32" i="42" s="1"/>
  <c r="E34" i="42" s="1"/>
  <c r="E27" i="42" l="1"/>
  <c r="F26" i="42"/>
  <c r="F27" i="42" s="1"/>
  <c r="F26" i="44"/>
  <c r="F27" i="44" s="1"/>
  <c r="E27" i="44"/>
  <c r="C27" i="44"/>
  <c r="H26" i="44"/>
  <c r="H27" i="44" s="1"/>
  <c r="A105" i="38"/>
  <c r="A108" i="38" s="1"/>
  <c r="C26" i="38"/>
  <c r="B69" i="42"/>
  <c r="A79" i="42"/>
  <c r="A82" i="42" s="1"/>
  <c r="C26" i="42"/>
  <c r="E35" i="42"/>
  <c r="H26" i="42" l="1"/>
  <c r="H27" i="42" s="1"/>
  <c r="C27" i="42"/>
  <c r="H26" i="38"/>
  <c r="H27" i="38" s="1"/>
  <c r="C27" i="38"/>
  <c r="B48" i="40"/>
  <c r="C40" i="40" s="1"/>
  <c r="C41" i="40" s="1"/>
  <c r="C42" i="40" s="1"/>
  <c r="E31" i="34"/>
  <c r="E32" i="34" s="1"/>
  <c r="E34" i="34" s="1"/>
  <c r="E35" i="34" s="1"/>
  <c r="C40" i="39"/>
  <c r="C41" i="39" s="1"/>
  <c r="G44" i="39" s="1"/>
  <c r="H52" i="40"/>
  <c r="E34" i="38"/>
  <c r="H86" i="38" s="1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E35" i="39" s="1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 s="1"/>
  <c r="F25" i="39"/>
  <c r="E26" i="39"/>
  <c r="F26" i="39" s="1"/>
  <c r="F27" i="39" s="1"/>
  <c r="H25" i="34"/>
  <c r="C26" i="34"/>
  <c r="H26" i="34" s="1"/>
  <c r="F25" i="34"/>
  <c r="E26" i="34"/>
  <c r="E27" i="34" s="1"/>
  <c r="J86" i="38" l="1"/>
  <c r="J87" i="38" s="1"/>
  <c r="J88" i="38" s="1"/>
  <c r="J89" i="38" s="1"/>
  <c r="C27" i="40"/>
  <c r="H61" i="39"/>
  <c r="B51" i="39" s="1"/>
  <c r="E27" i="39"/>
  <c r="H61" i="40"/>
  <c r="B67" i="40" s="1"/>
  <c r="G43" i="39"/>
  <c r="G44" i="40"/>
  <c r="G43" i="40"/>
  <c r="C27" i="34"/>
  <c r="F26" i="40"/>
  <c r="F27" i="40" s="1"/>
  <c r="H26" i="39"/>
  <c r="H27" i="39" s="1"/>
  <c r="F26" i="34"/>
  <c r="F27" i="34" s="1"/>
  <c r="H27" i="34"/>
  <c r="E35" i="38"/>
  <c r="C42" i="39"/>
  <c r="B51" i="40" l="1"/>
  <c r="B67" i="39"/>
  <c r="B66" i="40"/>
  <c r="B72" i="40" s="1"/>
  <c r="C72" i="40" s="1"/>
  <c r="B50" i="40"/>
  <c r="C46" i="40"/>
  <c r="B50" i="39"/>
  <c r="B58" i="39" s="1"/>
  <c r="B60" i="39" s="1"/>
  <c r="F80" i="38" s="1"/>
  <c r="C46" i="39"/>
  <c r="B66" i="39"/>
  <c r="G70" i="40" l="1"/>
  <c r="H70" i="40" s="1"/>
  <c r="C79" i="38"/>
  <c r="B58" i="40"/>
  <c r="B60" i="40" s="1"/>
  <c r="B72" i="39"/>
  <c r="C72" i="39" s="1"/>
  <c r="C80" i="38" s="1"/>
  <c r="G70" i="39"/>
  <c r="H70" i="39" s="1"/>
  <c r="E63" i="40"/>
  <c r="D65" i="40"/>
  <c r="E63" i="39" l="1"/>
  <c r="G69" i="40"/>
  <c r="H69" i="40" s="1"/>
  <c r="F79" i="38"/>
  <c r="G71" i="40"/>
  <c r="H71" i="40" s="1"/>
  <c r="D65" i="39"/>
  <c r="G71" i="39"/>
  <c r="H71" i="39" s="1"/>
  <c r="G72" i="39" l="1"/>
  <c r="H72" i="39" s="1"/>
  <c r="C40" i="44" l="1"/>
  <c r="C40" i="34"/>
  <c r="C41" i="34" l="1"/>
  <c r="G43" i="34"/>
  <c r="G44" i="44"/>
  <c r="C41" i="44"/>
  <c r="B71" i="42"/>
  <c r="C40" i="42"/>
  <c r="C91" i="38"/>
  <c r="C94" i="38" s="1"/>
  <c r="C98" i="38" s="1"/>
  <c r="B72" i="38"/>
  <c r="C40" i="38"/>
  <c r="C41" i="38" l="1"/>
  <c r="G44" i="38"/>
  <c r="C41" i="42"/>
  <c r="G43" i="42"/>
  <c r="A83" i="44"/>
  <c r="C83" i="44" s="1"/>
  <c r="E83" i="44" s="1"/>
  <c r="G57" i="44" s="1"/>
  <c r="H57" i="44" s="1"/>
  <c r="A80" i="44"/>
  <c r="C80" i="44" s="1"/>
  <c r="E80" i="44" s="1"/>
  <c r="H58" i="44" s="1"/>
  <c r="G45" i="44"/>
  <c r="C42" i="44"/>
  <c r="I87" i="38" s="1"/>
  <c r="C99" i="38"/>
  <c r="D98" i="38"/>
  <c r="A83" i="34"/>
  <c r="C83" i="34" s="1"/>
  <c r="E83" i="34" s="1"/>
  <c r="H57" i="34" s="1"/>
  <c r="C42" i="34"/>
  <c r="A80" i="34"/>
  <c r="C80" i="34" s="1"/>
  <c r="E80" i="34" s="1"/>
  <c r="G58" i="34" s="1"/>
  <c r="H58" i="34" s="1"/>
  <c r="G44" i="34"/>
  <c r="H61" i="44" l="1"/>
  <c r="B51" i="44" s="1"/>
  <c r="H91" i="38"/>
  <c r="J91" i="38" s="1"/>
  <c r="B66" i="34"/>
  <c r="C43" i="34"/>
  <c r="B50" i="34"/>
  <c r="C46" i="34"/>
  <c r="B50" i="44"/>
  <c r="C43" i="44"/>
  <c r="B66" i="44"/>
  <c r="C46" i="44"/>
  <c r="H90" i="38"/>
  <c r="J90" i="38" s="1"/>
  <c r="H61" i="34"/>
  <c r="D99" i="38"/>
  <c r="B71" i="38"/>
  <c r="A80" i="42"/>
  <c r="C80" i="42" s="1"/>
  <c r="E80" i="42" s="1"/>
  <c r="G58" i="42" s="1"/>
  <c r="H58" i="42" s="1"/>
  <c r="C42" i="42"/>
  <c r="A83" i="42"/>
  <c r="C83" i="42" s="1"/>
  <c r="E83" i="42" s="1"/>
  <c r="G57" i="42" s="1"/>
  <c r="H57" i="42" s="1"/>
  <c r="H61" i="42" s="1"/>
  <c r="G44" i="42"/>
  <c r="A106" i="38"/>
  <c r="C106" i="38" s="1"/>
  <c r="E106" i="38" s="1"/>
  <c r="H58" i="38" s="1"/>
  <c r="H64" i="38" s="1"/>
  <c r="C42" i="38"/>
  <c r="G45" i="38"/>
  <c r="J96" i="38" l="1"/>
  <c r="B67" i="44"/>
  <c r="B51" i="38"/>
  <c r="B68" i="38"/>
  <c r="B51" i="42"/>
  <c r="B67" i="42"/>
  <c r="C43" i="38"/>
  <c r="B67" i="38"/>
  <c r="B50" i="38"/>
  <c r="B58" i="38" s="1"/>
  <c r="B60" i="38" s="1"/>
  <c r="C46" i="38"/>
  <c r="B66" i="42"/>
  <c r="C43" i="42"/>
  <c r="B50" i="42"/>
  <c r="B58" i="42" s="1"/>
  <c r="B60" i="42" s="1"/>
  <c r="C46" i="42"/>
  <c r="B67" i="34"/>
  <c r="B73" i="34" s="1"/>
  <c r="B51" i="34"/>
  <c r="B58" i="34" s="1"/>
  <c r="B60" i="34" s="1"/>
  <c r="B73" i="44"/>
  <c r="B58" i="44"/>
  <c r="B60" i="44" s="1"/>
  <c r="B75" i="38" l="1"/>
  <c r="C75" i="38" s="1"/>
  <c r="B73" i="42"/>
  <c r="C73" i="42" s="1"/>
  <c r="E63" i="34"/>
  <c r="I52" i="34"/>
  <c r="D65" i="34"/>
  <c r="C73" i="34"/>
  <c r="F76" i="38"/>
  <c r="G70" i="44"/>
  <c r="H70" i="44" s="1"/>
  <c r="G70" i="34"/>
  <c r="H70" i="34" s="1"/>
  <c r="F78" i="38"/>
  <c r="D65" i="44"/>
  <c r="E63" i="44"/>
  <c r="C73" i="44"/>
  <c r="I52" i="44"/>
  <c r="G70" i="42"/>
  <c r="H70" i="42" s="1"/>
  <c r="F77" i="38"/>
  <c r="F75" i="38"/>
  <c r="H71" i="38"/>
  <c r="I71" i="38" s="1"/>
  <c r="I52" i="38" l="1"/>
  <c r="E63" i="42"/>
  <c r="D65" i="42"/>
  <c r="I52" i="42"/>
  <c r="H72" i="38"/>
  <c r="G71" i="34"/>
  <c r="C78" i="38"/>
  <c r="F81" i="38"/>
  <c r="G81" i="38" s="1"/>
  <c r="G71" i="42"/>
  <c r="C77" i="38"/>
  <c r="G71" i="44"/>
  <c r="C76" i="38"/>
  <c r="C81" i="38" l="1"/>
  <c r="A81" i="38" s="1"/>
  <c r="A82" i="38" s="1"/>
  <c r="E82" i="38" s="1"/>
  <c r="H71" i="44"/>
  <c r="G72" i="44"/>
  <c r="H72" i="44" s="1"/>
  <c r="H71" i="42"/>
  <c r="G72" i="42"/>
  <c r="H72" i="42" s="1"/>
  <c r="G72" i="34"/>
  <c r="H72" i="34" s="1"/>
  <c r="H71" i="34"/>
  <c r="I72" i="38"/>
  <c r="H73" i="38"/>
  <c r="I73" i="38" s="1"/>
  <c r="I74" i="38" l="1"/>
  <c r="I81" i="38"/>
</calcChain>
</file>

<file path=xl/sharedStrings.xml><?xml version="1.0" encoding="utf-8"?>
<sst xmlns="http://schemas.openxmlformats.org/spreadsheetml/2006/main" count="750" uniqueCount="189">
  <si>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</si>
  <si>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</si>
  <si>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</si>
  <si>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</si>
  <si>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</si>
  <si>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</si>
  <si>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</si>
  <si>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</si>
  <si>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</si>
  <si>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</si>
  <si>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</si>
  <si>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</si>
  <si>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</si>
  <si>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</si>
  <si>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</si>
  <si>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</si>
  <si>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</si>
  <si>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</si>
  <si>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</si>
  <si>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</si>
  <si>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</si>
  <si>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</si>
  <si>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</si>
  <si>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</si>
  <si>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</si>
  <si>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</si>
  <si>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</si>
  <si>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</si>
  <si>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</si>
  <si>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</si>
  <si>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</si>
  <si>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</si>
  <si>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</si>
  <si>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</si>
  <si>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</si>
  <si>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</si>
  <si>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</si>
  <si>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</si>
  <si>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</si>
  <si>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</si>
  <si>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</si>
  <si>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</si>
  <si>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</si>
  <si>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</si>
  <si>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</si>
  <si>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</si>
  <si>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</si>
  <si>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</si>
  <si>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</si>
  <si>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</si>
  <si>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</si>
  <si>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</si>
  <si>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</si>
  <si>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</si>
  <si>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</si>
  <si>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</si>
  <si>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</si>
  <si>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</si>
  <si>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</si>
  <si>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</si>
  <si>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</si>
  <si>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</si>
  <si>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</si>
  <si>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</si>
  <si>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</si>
  <si>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</si>
  <si>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</si>
  <si>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</si>
  <si>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</si>
  <si>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</si>
  <si>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</si>
  <si>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</si>
  <si>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</si>
  <si>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</si>
  <si>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</si>
  <si>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</si>
  <si>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</si>
  <si>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</si>
  <si>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</si>
  <si>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</si>
  <si>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</si>
  <si>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</si>
  <si>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</si>
  <si>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</si>
  <si>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</si>
  <si>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</si>
  <si>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</si>
  <si>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</si>
  <si>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Couche</t>
  </si>
  <si>
    <t>Blanco</t>
  </si>
  <si>
    <t>150 grs.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</si>
  <si>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</si>
  <si>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</si>
  <si>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</si>
  <si>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</si>
  <si>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</si>
  <si>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</si>
  <si>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</si>
  <si>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Tapa</t>
  </si>
  <si>
    <t>Area</t>
  </si>
  <si>
    <t>area + cantidad de hojas</t>
  </si>
  <si>
    <t>arreglo</t>
  </si>
  <si>
    <t>total a pagar</t>
  </si>
  <si>
    <t>#4</t>
  </si>
  <si>
    <t>cartón caja</t>
  </si>
  <si>
    <t>cartón cartera</t>
  </si>
  <si>
    <t>150 gr.</t>
  </si>
  <si>
    <t>Fecha:</t>
  </si>
  <si>
    <t>Cliente:</t>
  </si>
  <si>
    <t>Marca</t>
  </si>
  <si>
    <t>Proyecto:</t>
  </si>
  <si>
    <t>Cantidad:</t>
  </si>
  <si>
    <t>piezas</t>
  </si>
  <si>
    <t>merma</t>
  </si>
  <si>
    <t>CAJA</t>
  </si>
  <si>
    <t>Medida Caja</t>
  </si>
  <si>
    <t>Base(frente)</t>
  </si>
  <si>
    <t>Profundidad</t>
  </si>
  <si>
    <t>Altura</t>
  </si>
  <si>
    <t>TT Horizontal</t>
  </si>
  <si>
    <t>TT Vertical</t>
  </si>
  <si>
    <t>TT Pliegos</t>
  </si>
  <si>
    <t>Empalme Interior</t>
  </si>
  <si>
    <t>Couche Blanco mate</t>
  </si>
  <si>
    <t>Forro Exterior</t>
  </si>
  <si>
    <t>falta  merma</t>
  </si>
  <si>
    <t>Cartera</t>
  </si>
  <si>
    <t>Lado 1</t>
  </si>
  <si>
    <t>Lado 2</t>
  </si>
  <si>
    <t>Medida Tapa</t>
  </si>
  <si>
    <t>Guarda Interior Cartera</t>
  </si>
  <si>
    <t>Forro Exterior Cartera</t>
  </si>
  <si>
    <t xml:space="preserve">Cartón Gris </t>
  </si>
  <si>
    <t>EMPALME caja INT</t>
  </si>
  <si>
    <t>Pruebas de color</t>
  </si>
  <si>
    <t>empalme</t>
  </si>
  <si>
    <t>LAMINADOS7 BARNIZ UV/ EMPALMES</t>
  </si>
  <si>
    <t xml:space="preserve">minimo </t>
  </si>
  <si>
    <t>LAMINADO MATE</t>
  </si>
  <si>
    <t>EMPALME</t>
  </si>
  <si>
    <t>forro caja EXT</t>
  </si>
  <si>
    <t>forro cartera guarda</t>
  </si>
  <si>
    <t>Tabla de suaje + Placa</t>
  </si>
  <si>
    <t>Iman</t>
  </si>
  <si>
    <t>Arreglo Grabado</t>
  </si>
  <si>
    <t>Empaque</t>
  </si>
  <si>
    <t>Grabado</t>
  </si>
  <si>
    <t>Envio</t>
  </si>
  <si>
    <t>Venta</t>
  </si>
  <si>
    <t>Comisiones</t>
  </si>
  <si>
    <t>Partes Adiconales</t>
  </si>
  <si>
    <t xml:space="preserve">Costo Basicos </t>
  </si>
  <si>
    <t>Material</t>
  </si>
  <si>
    <t>$ compra dcto</t>
  </si>
  <si>
    <t>Pliegos</t>
  </si>
  <si>
    <t>TT</t>
  </si>
  <si>
    <t xml:space="preserve">Producto </t>
  </si>
  <si>
    <t>Imanes</t>
  </si>
  <si>
    <t xml:space="preserve">Material </t>
  </si>
  <si>
    <t>plata</t>
  </si>
  <si>
    <t>Tamaño Final</t>
  </si>
  <si>
    <t>mt</t>
  </si>
  <si>
    <t xml:space="preserve">Presentación </t>
  </si>
  <si>
    <t>Cantidad a comprar</t>
  </si>
  <si>
    <t>Gris #4</t>
  </si>
  <si>
    <t xml:space="preserve">Precio por pza. </t>
  </si>
  <si>
    <t>Precio por Paquete</t>
  </si>
  <si>
    <t>* MT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</si>
  <si>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</si>
  <si>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</si>
  <si>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</si>
  <si>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</si>
  <si>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</si>
  <si>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</si>
  <si>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</si>
  <si>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forro cartera EXT.</t>
  </si>
  <si>
    <t>Prueba de Color</t>
  </si>
  <si>
    <t>Braya</t>
  </si>
  <si>
    <t>Magnum</t>
  </si>
  <si>
    <t>Rainbow Café</t>
  </si>
  <si>
    <t>cajón forrado en papel importación café</t>
  </si>
  <si>
    <t>tapa: forrada en papel couche 150 gr.</t>
  </si>
  <si>
    <t>impresa a 4 X 0 tintas offset +</t>
  </si>
  <si>
    <t xml:space="preserve">laminado mate </t>
  </si>
  <si>
    <t>White House</t>
  </si>
  <si>
    <t>tamaño final 42.7 X 45 X 5.25 cm.</t>
  </si>
  <si>
    <t>tamaño 52.5 X 54.5 cm.</t>
  </si>
  <si>
    <t>tamaño 43 X 55.5 cm.</t>
  </si>
  <si>
    <t>23 de junio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</si>
</sst>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4"/>
      <name val="Century Gothic"/>
      <family val="2"/>
    </font>
    <font>
      <sz val="9"/>
      <name val="Arial"/>
      <family val="2"/>
    </font>
    <font>
      <b/>
      <sz val="9"/>
      <color theme="0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  <xf numFmtId="44" fontId="20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2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44" fontId="9" fillId="0" borderId="0" xfId="1" applyFont="1"/>
    <xf numFmtId="44" fontId="22" fillId="0" borderId="0" xfId="1" applyFo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24" fillId="0" borderId="0" xfId="0" applyFont="1"/>
    <xf numFmtId="44" fontId="25" fillId="0" borderId="5" xfId="13" applyFont="1" applyFill="1" applyBorder="1" applyAlignment="1">
      <alignment vertical="center"/>
    </xf>
    <xf numFmtId="44" fontId="2" fillId="0" borderId="0" xfId="1" applyFont="1" applyAlignment="1">
      <alignment horizontal="center"/>
    </xf>
    <xf numFmtId="0" fontId="6" fillId="0" borderId="0" xfId="0" applyFont="1" applyBorder="1" applyAlignment="1">
      <alignment horizontal="right"/>
    </xf>
    <xf numFmtId="44" fontId="26" fillId="8" borderId="0" xfId="1" applyFont="1" applyFill="1"/>
    <xf numFmtId="2" fontId="27" fillId="0" borderId="0" xfId="0" applyNumberFormat="1" applyFont="1" applyAlignment="1">
      <alignment horizontal="center"/>
    </xf>
    <xf numFmtId="44" fontId="28" fillId="0" borderId="0" xfId="1" applyFont="1"/>
    <xf numFmtId="0" fontId="30" fillId="0" borderId="21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30" fillId="0" borderId="21" xfId="0" applyFont="1" applyBorder="1" applyAlignment="1">
      <alignment horizontal="right"/>
    </xf>
    <xf numFmtId="0" fontId="30" fillId="0" borderId="11" xfId="0" applyFont="1" applyBorder="1" applyAlignment="1">
      <alignment horizontal="left"/>
    </xf>
    <xf numFmtId="44" fontId="30" fillId="0" borderId="11" xfId="0" applyNumberFormat="1" applyFont="1" applyBorder="1" applyAlignment="1">
      <alignment horizontal="center"/>
    </xf>
    <xf numFmtId="1" fontId="30" fillId="0" borderId="11" xfId="0" applyNumberFormat="1" applyFont="1" applyBorder="1" applyAlignment="1">
      <alignment horizontal="center"/>
    </xf>
    <xf numFmtId="44" fontId="30" fillId="0" borderId="22" xfId="0" applyNumberFormat="1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44" fontId="2" fillId="0" borderId="23" xfId="1" applyFont="1" applyBorder="1" applyAlignment="1">
      <alignment horizontal="left"/>
    </xf>
    <xf numFmtId="0" fontId="6" fillId="0" borderId="24" xfId="0" applyFont="1" applyBorder="1"/>
    <xf numFmtId="0" fontId="0" fillId="0" borderId="25" xfId="0" applyBorder="1"/>
    <xf numFmtId="0" fontId="0" fillId="0" borderId="26" xfId="0" applyBorder="1"/>
    <xf numFmtId="0" fontId="2" fillId="0" borderId="26" xfId="0" applyFont="1" applyBorder="1"/>
    <xf numFmtId="0" fontId="2" fillId="0" borderId="27" xfId="0" applyFont="1" applyBorder="1"/>
    <xf numFmtId="0" fontId="21" fillId="0" borderId="28" xfId="0" applyFont="1" applyBorder="1"/>
    <xf numFmtId="44" fontId="21" fillId="0" borderId="29" xfId="0" applyNumberFormat="1" applyFont="1" applyBorder="1"/>
    <xf numFmtId="44" fontId="2" fillId="0" borderId="23" xfId="0" applyNumberFormat="1" applyFont="1" applyBorder="1"/>
    <xf numFmtId="44" fontId="2" fillId="0" borderId="24" xfId="1" applyFont="1" applyBorder="1" applyAlignment="1">
      <alignment horizontal="right"/>
    </xf>
    <xf numFmtId="44" fontId="6" fillId="0" borderId="5" xfId="1" applyFont="1" applyBorder="1" applyAlignment="1">
      <alignment horizontal="center"/>
    </xf>
    <xf numFmtId="44" fontId="6" fillId="0" borderId="0" xfId="1" applyFont="1"/>
    <xf numFmtId="0" fontId="0" fillId="0" borderId="5" xfId="0" applyBorder="1"/>
    <xf numFmtId="2" fontId="26" fillId="8" borderId="0" xfId="0" applyNumberFormat="1" applyFont="1" applyFill="1" applyBorder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15</xdr:row>
      <xdr:rowOff>89297</xdr:rowOff>
    </xdr:from>
    <xdr:to>
      <xdr:col>5</xdr:col>
      <xdr:colOff>277812</xdr:colOff>
      <xdr:row>23</xdr:row>
      <xdr:rowOff>198437</xdr:rowOff>
    </xdr:to>
    <xdr:sp macro="" textlink="">
      <xdr:nvSpPr>
        <xdr:cNvPr id="2" name="1 Rectángulo"/>
        <xdr:cNvSpPr/>
      </xdr:nvSpPr>
      <xdr:spPr>
        <a:xfrm>
          <a:off x="3710781" y="3294063"/>
          <a:ext cx="1121172" cy="1776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29765</xdr:colOff>
      <xdr:row>69</xdr:row>
      <xdr:rowOff>178593</xdr:rowOff>
    </xdr:from>
    <xdr:to>
      <xdr:col>5</xdr:col>
      <xdr:colOff>9922</xdr:colOff>
      <xdr:row>78</xdr:row>
      <xdr:rowOff>69453</xdr:rowOff>
    </xdr:to>
    <xdr:sp macro="" textlink="">
      <xdr:nvSpPr>
        <xdr:cNvPr id="5" name="4 Rectángulo"/>
        <xdr:cNvSpPr/>
      </xdr:nvSpPr>
      <xdr:spPr>
        <a:xfrm>
          <a:off x="3780234" y="14426406"/>
          <a:ext cx="783829" cy="17660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29767</xdr:colOff>
      <xdr:row>68</xdr:row>
      <xdr:rowOff>83439</xdr:rowOff>
    </xdr:from>
    <xdr:to>
      <xdr:col>5</xdr:col>
      <xdr:colOff>19844</xdr:colOff>
      <xdr:row>69</xdr:row>
      <xdr:rowOff>154694</xdr:rowOff>
    </xdr:to>
    <xdr:sp macro="" textlink="">
      <xdr:nvSpPr>
        <xdr:cNvPr id="6" name="5 Rectángulo"/>
        <xdr:cNvSpPr/>
      </xdr:nvSpPr>
      <xdr:spPr>
        <a:xfrm>
          <a:off x="3780236" y="14122892"/>
          <a:ext cx="793749" cy="27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287736</xdr:colOff>
      <xdr:row>15</xdr:row>
      <xdr:rowOff>89296</xdr:rowOff>
    </xdr:from>
    <xdr:to>
      <xdr:col>6</xdr:col>
      <xdr:colOff>158750</xdr:colOff>
      <xdr:row>23</xdr:row>
      <xdr:rowOff>178593</xdr:rowOff>
    </xdr:to>
    <xdr:sp macro="" textlink="">
      <xdr:nvSpPr>
        <xdr:cNvPr id="7" name="6 Rectángulo"/>
        <xdr:cNvSpPr/>
      </xdr:nvSpPr>
      <xdr:spPr>
        <a:xfrm>
          <a:off x="4841877" y="3294062"/>
          <a:ext cx="634998" cy="1756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734218</xdr:colOff>
      <xdr:row>24</xdr:row>
      <xdr:rowOff>9923</xdr:rowOff>
    </xdr:from>
    <xdr:to>
      <xdr:col>5</xdr:col>
      <xdr:colOff>238124</xdr:colOff>
      <xdr:row>26</xdr:row>
      <xdr:rowOff>0</xdr:rowOff>
    </xdr:to>
    <xdr:sp macro="" textlink="">
      <xdr:nvSpPr>
        <xdr:cNvPr id="9" name="8 Rectángulo"/>
        <xdr:cNvSpPr/>
      </xdr:nvSpPr>
      <xdr:spPr>
        <a:xfrm>
          <a:off x="3720702" y="4673204"/>
          <a:ext cx="1071563" cy="4067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734220</xdr:colOff>
      <xdr:row>13</xdr:row>
      <xdr:rowOff>69453</xdr:rowOff>
    </xdr:from>
    <xdr:to>
      <xdr:col>5</xdr:col>
      <xdr:colOff>238126</xdr:colOff>
      <xdr:row>15</xdr:row>
      <xdr:rowOff>59530</xdr:rowOff>
    </xdr:to>
    <xdr:sp macro="" textlink="">
      <xdr:nvSpPr>
        <xdr:cNvPr id="11" name="10 Rectángulo"/>
        <xdr:cNvSpPr/>
      </xdr:nvSpPr>
      <xdr:spPr>
        <a:xfrm>
          <a:off x="3720704" y="2857500"/>
          <a:ext cx="1071563" cy="4067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59531</xdr:colOff>
      <xdr:row>15</xdr:row>
      <xdr:rowOff>99218</xdr:rowOff>
    </xdr:from>
    <xdr:to>
      <xdr:col>3</xdr:col>
      <xdr:colOff>694529</xdr:colOff>
      <xdr:row>23</xdr:row>
      <xdr:rowOff>188515</xdr:rowOff>
    </xdr:to>
    <xdr:sp macro="" textlink="">
      <xdr:nvSpPr>
        <xdr:cNvPr id="12" name="11 Rectángulo"/>
        <xdr:cNvSpPr/>
      </xdr:nvSpPr>
      <xdr:spPr>
        <a:xfrm>
          <a:off x="3046015" y="3303984"/>
          <a:ext cx="634998" cy="1756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29766</xdr:colOff>
      <xdr:row>78</xdr:row>
      <xdr:rowOff>99217</xdr:rowOff>
    </xdr:from>
    <xdr:to>
      <xdr:col>5</xdr:col>
      <xdr:colOff>19843</xdr:colOff>
      <xdr:row>79</xdr:row>
      <xdr:rowOff>170473</xdr:rowOff>
    </xdr:to>
    <xdr:sp macro="" textlink="">
      <xdr:nvSpPr>
        <xdr:cNvPr id="10" name="9 Rectángulo"/>
        <xdr:cNvSpPr/>
      </xdr:nvSpPr>
      <xdr:spPr>
        <a:xfrm>
          <a:off x="3780235" y="16222264"/>
          <a:ext cx="793749" cy="279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ntas-Empresarial/Documents/Empresarial/Fundaci&#243;n%20Dibujando/Presupuestos/Presupuesto%20Dibujando%20caja%20corbata%20may%2020,%2017%20(50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"/>
      <sheetName val="cartón caja"/>
      <sheetName val="cartón cartera"/>
      <sheetName val="eva base"/>
      <sheetName val="empalme caja INT"/>
      <sheetName val="forro caja EXT"/>
      <sheetName val="forro cartera guarda"/>
      <sheetName val="forro cartera final"/>
    </sheetNames>
    <sheetDataSet>
      <sheetData sheetId="0"/>
      <sheetData sheetId="1">
        <row r="34">
          <cell r="E34">
            <v>41.072000000000003</v>
          </cell>
        </row>
      </sheetData>
      <sheetData sheetId="2">
        <row r="34">
          <cell r="E34">
            <v>41.072000000000003</v>
          </cell>
        </row>
      </sheetData>
      <sheetData sheetId="3">
        <row r="34">
          <cell r="E34">
            <v>500</v>
          </cell>
        </row>
      </sheetData>
      <sheetData sheetId="4"/>
      <sheetData sheetId="5">
        <row r="53">
          <cell r="B53">
            <v>0</v>
          </cell>
        </row>
      </sheetData>
      <sheetData sheetId="6">
        <row r="23">
          <cell r="C23" t="str">
            <v>Couche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zoomScale="96" zoomScaleNormal="96" workbookViewId="0">
      <selection activeCell="B1" sqref="B1"/>
    </sheetView>
  </sheetViews>
  <sheetFormatPr baseColWidth="10" defaultRowHeight="16.5" x14ac:dyDescent="0.3"/>
  <cols>
    <col min="1" max="1" width="19.7109375" style="54" customWidth="1"/>
    <col min="2" max="2" width="13.7109375" style="54" customWidth="1"/>
    <col min="3" max="4" width="11.42578125" style="54"/>
    <col min="5" max="5" width="12" style="54" customWidth="1"/>
    <col min="6" max="7" width="11.42578125" style="54"/>
    <col min="8" max="8" width="14.28515625" style="54" customWidth="1"/>
    <col min="9" max="9" width="14.42578125" style="54" bestFit="1" customWidth="1"/>
    <col min="10" max="16384" width="11.42578125" style="54"/>
  </cols>
  <sheetData>
    <row r="1" spans="1:8" x14ac:dyDescent="0.3">
      <c r="A1" s="81" t="s">
        <v>107</v>
      </c>
      <c r="B1" s="54" t="s">
        <v>188</v>
      </c>
    </row>
    <row r="3" spans="1:8" x14ac:dyDescent="0.3">
      <c r="A3" s="81" t="s">
        <v>108</v>
      </c>
      <c r="B3" s="54" t="s">
        <v>177</v>
      </c>
    </row>
    <row r="4" spans="1:8" x14ac:dyDescent="0.3">
      <c r="A4" s="81" t="s">
        <v>109</v>
      </c>
      <c r="B4" s="54" t="s">
        <v>178</v>
      </c>
    </row>
    <row r="5" spans="1:8" x14ac:dyDescent="0.3">
      <c r="A5" s="81" t="s">
        <v>110</v>
      </c>
    </row>
    <row r="6" spans="1:8" x14ac:dyDescent="0.3">
      <c r="A6" s="81"/>
    </row>
    <row r="7" spans="1:8" x14ac:dyDescent="0.3">
      <c r="A7" s="81" t="s">
        <v>111</v>
      </c>
      <c r="B7" s="82">
        <v>20</v>
      </c>
      <c r="C7" s="54" t="s">
        <v>112</v>
      </c>
      <c r="D7" s="82">
        <v>20</v>
      </c>
      <c r="E7" s="54" t="s">
        <v>113</v>
      </c>
    </row>
    <row r="8" spans="1:8" ht="18.75" x14ac:dyDescent="0.3">
      <c r="C8" s="82"/>
      <c r="F8" s="92"/>
    </row>
    <row r="9" spans="1:8" ht="20.25" x14ac:dyDescent="0.3">
      <c r="A9" s="83" t="s">
        <v>114</v>
      </c>
    </row>
    <row r="10" spans="1:8" x14ac:dyDescent="0.3">
      <c r="A10" s="84" t="s">
        <v>115</v>
      </c>
      <c r="C10" s="85" t="s">
        <v>116</v>
      </c>
      <c r="D10" s="85" t="s">
        <v>117</v>
      </c>
      <c r="E10" s="85" t="s">
        <v>118</v>
      </c>
    </row>
    <row r="11" spans="1:8" x14ac:dyDescent="0.3">
      <c r="A11" s="84"/>
      <c r="C11" s="82">
        <v>42.5</v>
      </c>
      <c r="D11" s="82">
        <v>44.5</v>
      </c>
      <c r="E11" s="82">
        <v>5</v>
      </c>
    </row>
    <row r="12" spans="1:8" x14ac:dyDescent="0.3">
      <c r="A12" s="84"/>
    </row>
    <row r="13" spans="1:8" x14ac:dyDescent="0.3">
      <c r="E13" s="54">
        <f>+C11</f>
        <v>42.5</v>
      </c>
    </row>
    <row r="14" spans="1:8" x14ac:dyDescent="0.3">
      <c r="D14" s="86">
        <f>+E11</f>
        <v>5</v>
      </c>
      <c r="G14" s="86">
        <f>+E11</f>
        <v>5</v>
      </c>
    </row>
    <row r="15" spans="1:8" x14ac:dyDescent="0.3">
      <c r="A15" s="87" t="s">
        <v>119</v>
      </c>
      <c r="B15" s="87">
        <f>+G14+E13+D14</f>
        <v>52.5</v>
      </c>
      <c r="H15" s="86"/>
    </row>
    <row r="16" spans="1:8" x14ac:dyDescent="0.3">
      <c r="G16" s="86"/>
      <c r="H16" s="86"/>
    </row>
    <row r="17" spans="1:9" x14ac:dyDescent="0.3">
      <c r="G17" s="86"/>
      <c r="H17" s="86"/>
    </row>
    <row r="18" spans="1:9" x14ac:dyDescent="0.3">
      <c r="G18" s="86"/>
      <c r="H18" s="86"/>
    </row>
    <row r="19" spans="1:9" x14ac:dyDescent="0.3">
      <c r="C19" s="86">
        <f>+D11</f>
        <v>44.5</v>
      </c>
      <c r="H19" s="86">
        <f>+D11</f>
        <v>44.5</v>
      </c>
    </row>
    <row r="20" spans="1:9" x14ac:dyDescent="0.3">
      <c r="G20" s="86"/>
      <c r="H20" s="86"/>
    </row>
    <row r="21" spans="1:9" x14ac:dyDescent="0.3">
      <c r="G21" s="86"/>
      <c r="H21" s="86"/>
    </row>
    <row r="22" spans="1:9" x14ac:dyDescent="0.3">
      <c r="G22" s="86"/>
      <c r="H22" s="86"/>
    </row>
    <row r="23" spans="1:9" x14ac:dyDescent="0.3">
      <c r="G23" s="86"/>
      <c r="H23" s="86"/>
    </row>
    <row r="24" spans="1:9" x14ac:dyDescent="0.3">
      <c r="G24" s="86"/>
      <c r="H24" s="86"/>
    </row>
    <row r="25" spans="1:9" x14ac:dyDescent="0.3">
      <c r="H25" s="86"/>
    </row>
    <row r="26" spans="1:9" x14ac:dyDescent="0.3">
      <c r="D26" s="86">
        <f>+E11</f>
        <v>5</v>
      </c>
      <c r="G26" s="86">
        <f>+E11</f>
        <v>5</v>
      </c>
      <c r="H26" s="84">
        <f>+G14+H19+G26</f>
        <v>54.5</v>
      </c>
      <c r="I26" s="87" t="s">
        <v>120</v>
      </c>
    </row>
    <row r="27" spans="1:9" x14ac:dyDescent="0.3">
      <c r="E27" s="54">
        <f>+C11</f>
        <v>42.5</v>
      </c>
    </row>
    <row r="29" spans="1:9" s="84" customFormat="1" x14ac:dyDescent="0.3">
      <c r="A29" s="84" t="s">
        <v>132</v>
      </c>
      <c r="B29" s="84" t="s">
        <v>103</v>
      </c>
      <c r="C29" s="85">
        <v>90</v>
      </c>
      <c r="D29" s="85" t="s">
        <v>73</v>
      </c>
      <c r="E29" s="85">
        <v>130</v>
      </c>
      <c r="F29" s="88">
        <v>41.072000000000003</v>
      </c>
      <c r="H29" s="89">
        <f>+F29*H30</f>
        <v>4394.7040000000006</v>
      </c>
    </row>
    <row r="30" spans="1:9" x14ac:dyDescent="0.3">
      <c r="C30" s="82">
        <f>+B15</f>
        <v>52.5</v>
      </c>
      <c r="D30" s="82" t="s">
        <v>73</v>
      </c>
      <c r="E30" s="82">
        <f>+H26</f>
        <v>54.5</v>
      </c>
      <c r="G30" s="84" t="s">
        <v>121</v>
      </c>
      <c r="H30" s="84">
        <v>107</v>
      </c>
    </row>
    <row r="31" spans="1:9" x14ac:dyDescent="0.3">
      <c r="C31" s="90">
        <f>+C29/C30</f>
        <v>1.7142857142857142</v>
      </c>
      <c r="D31" s="90"/>
      <c r="E31" s="90">
        <f>+E29/E30</f>
        <v>2.3853211009174311</v>
      </c>
      <c r="F31" s="54">
        <v>2</v>
      </c>
    </row>
    <row r="32" spans="1:9" x14ac:dyDescent="0.3">
      <c r="C32" s="90">
        <f>+E29/C30</f>
        <v>2.4761904761904763</v>
      </c>
      <c r="D32" s="90"/>
      <c r="E32" s="90">
        <f>+C29/E30</f>
        <v>1.6513761467889909</v>
      </c>
      <c r="F32" s="84">
        <v>2</v>
      </c>
      <c r="G32" s="84">
        <f>+((B7+D7)/F32)</f>
        <v>20</v>
      </c>
    </row>
    <row r="33" spans="1:8" x14ac:dyDescent="0.3">
      <c r="C33" s="82"/>
      <c r="D33" s="82"/>
      <c r="E33" s="82"/>
    </row>
    <row r="34" spans="1:8" x14ac:dyDescent="0.3">
      <c r="A34" s="84" t="s">
        <v>122</v>
      </c>
      <c r="C34" s="82">
        <f>0.25+D26+E27+0.25+G26</f>
        <v>53</v>
      </c>
      <c r="D34" s="82" t="s">
        <v>73</v>
      </c>
      <c r="E34" s="82">
        <f>+G14+0.25+H19+0.25+G26</f>
        <v>55</v>
      </c>
    </row>
    <row r="35" spans="1:8" ht="6" customHeight="1" x14ac:dyDescent="0.3">
      <c r="A35" s="84"/>
      <c r="C35" s="82"/>
      <c r="D35" s="82"/>
      <c r="E35" s="82"/>
    </row>
    <row r="36" spans="1:8" s="84" customFormat="1" x14ac:dyDescent="0.3">
      <c r="A36" s="84" t="s">
        <v>179</v>
      </c>
      <c r="C36" s="85">
        <v>100</v>
      </c>
      <c r="D36" s="85" t="s">
        <v>73</v>
      </c>
      <c r="E36" s="85">
        <v>130</v>
      </c>
      <c r="F36" s="88">
        <v>58</v>
      </c>
      <c r="H36" s="89">
        <f>+F36*H37</f>
        <v>1160</v>
      </c>
    </row>
    <row r="37" spans="1:8" x14ac:dyDescent="0.3">
      <c r="C37" s="82">
        <f>1+C34+1</f>
        <v>55</v>
      </c>
      <c r="D37" s="82" t="s">
        <v>73</v>
      </c>
      <c r="E37" s="82">
        <f>1+E34+1</f>
        <v>57</v>
      </c>
      <c r="G37" s="84" t="s">
        <v>121</v>
      </c>
      <c r="H37" s="84">
        <v>20</v>
      </c>
    </row>
    <row r="38" spans="1:8" x14ac:dyDescent="0.3">
      <c r="C38" s="90">
        <f>+C36/C37</f>
        <v>1.8181818181818181</v>
      </c>
      <c r="D38" s="90"/>
      <c r="E38" s="90">
        <f>+E36/E37</f>
        <v>2.2807017543859649</v>
      </c>
      <c r="F38" s="54">
        <v>2</v>
      </c>
    </row>
    <row r="39" spans="1:8" x14ac:dyDescent="0.3">
      <c r="C39" s="90">
        <f>+E36/C37</f>
        <v>2.3636363636363638</v>
      </c>
      <c r="D39" s="90"/>
      <c r="E39" s="90">
        <f>+C36/E37</f>
        <v>1.7543859649122806</v>
      </c>
      <c r="F39" s="84">
        <v>2</v>
      </c>
      <c r="G39" s="84">
        <f>+((B7+D7)/F39)</f>
        <v>20</v>
      </c>
    </row>
    <row r="41" spans="1:8" x14ac:dyDescent="0.3">
      <c r="A41" s="84" t="s">
        <v>124</v>
      </c>
      <c r="C41" s="82">
        <f>1.5+0.25+D26+0.25+E27+0.25+G26+0.25+1.5</f>
        <v>56.5</v>
      </c>
      <c r="D41" s="82" t="s">
        <v>73</v>
      </c>
      <c r="E41" s="82">
        <f>1.5+0.25+G14+0.25+H19+0.25+G26+0.25+1.5</f>
        <v>58.5</v>
      </c>
    </row>
    <row r="42" spans="1:8" ht="6" customHeight="1" x14ac:dyDescent="0.3">
      <c r="A42" s="84"/>
      <c r="C42" s="82"/>
      <c r="D42" s="82"/>
      <c r="E42" s="82"/>
    </row>
    <row r="43" spans="1:8" s="84" customFormat="1" x14ac:dyDescent="0.3">
      <c r="A43" s="84" t="s">
        <v>179</v>
      </c>
      <c r="C43" s="85">
        <v>100</v>
      </c>
      <c r="D43" s="85" t="s">
        <v>73</v>
      </c>
      <c r="E43" s="85">
        <v>130</v>
      </c>
      <c r="F43" s="88">
        <v>58</v>
      </c>
      <c r="H43" s="89">
        <f>+F43*H44</f>
        <v>1160</v>
      </c>
    </row>
    <row r="44" spans="1:8" x14ac:dyDescent="0.3">
      <c r="C44" s="82">
        <f>2+C41+2</f>
        <v>60.5</v>
      </c>
      <c r="D44" s="82" t="s">
        <v>73</v>
      </c>
      <c r="E44" s="82">
        <f>2+E41+2</f>
        <v>62.5</v>
      </c>
      <c r="G44" s="84" t="s">
        <v>121</v>
      </c>
      <c r="H44" s="84">
        <v>20</v>
      </c>
    </row>
    <row r="45" spans="1:8" x14ac:dyDescent="0.3">
      <c r="C45" s="90">
        <f>+C43/C44</f>
        <v>1.6528925619834711</v>
      </c>
      <c r="D45" s="90"/>
      <c r="E45" s="90">
        <f>+E43/E44</f>
        <v>2.08</v>
      </c>
      <c r="F45" s="54">
        <v>2</v>
      </c>
    </row>
    <row r="46" spans="1:8" x14ac:dyDescent="0.3">
      <c r="C46" s="90">
        <f>+E43/C44</f>
        <v>2.1487603305785123</v>
      </c>
      <c r="D46" s="90"/>
      <c r="E46" s="90">
        <f>+C43/E44</f>
        <v>1.6</v>
      </c>
      <c r="F46" s="84">
        <v>2</v>
      </c>
      <c r="G46" s="84">
        <f>+((B7+D7)/F46)</f>
        <v>20</v>
      </c>
    </row>
    <row r="65" spans="1:9" ht="20.25" x14ac:dyDescent="0.3">
      <c r="A65" s="83" t="s">
        <v>126</v>
      </c>
      <c r="C65" s="85" t="s">
        <v>127</v>
      </c>
      <c r="D65" s="85" t="s">
        <v>116</v>
      </c>
      <c r="E65" s="85" t="s">
        <v>128</v>
      </c>
      <c r="F65" s="85" t="s">
        <v>118</v>
      </c>
    </row>
    <row r="66" spans="1:9" x14ac:dyDescent="0.3">
      <c r="A66" s="84" t="s">
        <v>129</v>
      </c>
      <c r="C66" s="82">
        <f>+E11+0.25</f>
        <v>5.25</v>
      </c>
      <c r="D66" s="82">
        <f>0.25+C11+0.25</f>
        <v>43</v>
      </c>
      <c r="E66" s="82">
        <f>+C66</f>
        <v>5.25</v>
      </c>
      <c r="F66" s="82">
        <f>0.25+D11+0.25</f>
        <v>45</v>
      </c>
    </row>
    <row r="67" spans="1:9" x14ac:dyDescent="0.3">
      <c r="A67" s="84"/>
    </row>
    <row r="68" spans="1:9" x14ac:dyDescent="0.3">
      <c r="E68" s="82">
        <f>+D66</f>
        <v>43</v>
      </c>
    </row>
    <row r="70" spans="1:9" x14ac:dyDescent="0.3">
      <c r="A70" s="87" t="s">
        <v>119</v>
      </c>
      <c r="B70" s="87">
        <f>+E68</f>
        <v>43</v>
      </c>
      <c r="F70" s="82">
        <f>+C66</f>
        <v>5.25</v>
      </c>
      <c r="G70" s="86"/>
      <c r="H70" s="86"/>
    </row>
    <row r="71" spans="1:9" x14ac:dyDescent="0.3">
      <c r="G71" s="86"/>
      <c r="H71" s="86"/>
    </row>
    <row r="72" spans="1:9" x14ac:dyDescent="0.3">
      <c r="G72" s="86"/>
      <c r="H72" s="86"/>
    </row>
    <row r="73" spans="1:9" x14ac:dyDescent="0.3">
      <c r="F73" s="91">
        <f>+F66</f>
        <v>45</v>
      </c>
      <c r="H73" s="86"/>
    </row>
    <row r="74" spans="1:9" x14ac:dyDescent="0.3">
      <c r="C74" s="86"/>
      <c r="G74" s="86"/>
      <c r="H74" s="86"/>
    </row>
    <row r="75" spans="1:9" x14ac:dyDescent="0.3">
      <c r="G75" s="86"/>
      <c r="H75" s="86"/>
    </row>
    <row r="76" spans="1:9" x14ac:dyDescent="0.3">
      <c r="G76" s="86"/>
      <c r="H76" s="86"/>
    </row>
    <row r="77" spans="1:9" x14ac:dyDescent="0.3">
      <c r="G77" s="86"/>
      <c r="H77" s="86"/>
    </row>
    <row r="78" spans="1:9" x14ac:dyDescent="0.3">
      <c r="G78" s="86"/>
      <c r="H78" s="86"/>
    </row>
    <row r="79" spans="1:9" x14ac:dyDescent="0.3">
      <c r="H79" s="84">
        <f>SUM(F70:F80)</f>
        <v>55.5</v>
      </c>
      <c r="I79" s="87" t="s">
        <v>120</v>
      </c>
    </row>
    <row r="80" spans="1:9" x14ac:dyDescent="0.3">
      <c r="F80" s="54">
        <f>+E66</f>
        <v>5.25</v>
      </c>
    </row>
    <row r="82" spans="1:9" s="84" customFormat="1" x14ac:dyDescent="0.3">
      <c r="A82" s="84" t="s">
        <v>132</v>
      </c>
      <c r="B82" s="84" t="s">
        <v>103</v>
      </c>
      <c r="C82" s="85">
        <v>90</v>
      </c>
      <c r="D82" s="85" t="s">
        <v>73</v>
      </c>
      <c r="E82" s="85">
        <v>130</v>
      </c>
      <c r="F82" s="88">
        <f>+F29</f>
        <v>41.072000000000003</v>
      </c>
      <c r="H82" s="89">
        <f>+F82*H83</f>
        <v>410.72</v>
      </c>
    </row>
    <row r="83" spans="1:9" x14ac:dyDescent="0.3">
      <c r="C83" s="82">
        <f>+B70</f>
        <v>43</v>
      </c>
      <c r="D83" s="82" t="s">
        <v>73</v>
      </c>
      <c r="E83" s="82">
        <f>+H79</f>
        <v>55.5</v>
      </c>
      <c r="G83" s="84" t="s">
        <v>121</v>
      </c>
      <c r="H83" s="84">
        <v>10</v>
      </c>
    </row>
    <row r="84" spans="1:9" x14ac:dyDescent="0.3">
      <c r="C84" s="90">
        <f>+C82/C83</f>
        <v>2.0930232558139537</v>
      </c>
      <c r="D84" s="90"/>
      <c r="E84" s="90">
        <f>+E82/E83</f>
        <v>2.3423423423423424</v>
      </c>
      <c r="F84" s="84">
        <v>4</v>
      </c>
      <c r="G84" s="84">
        <f>+((B7+D7)/F84)</f>
        <v>10</v>
      </c>
    </row>
    <row r="85" spans="1:9" x14ac:dyDescent="0.3">
      <c r="C85" s="90">
        <f>+E82/C83</f>
        <v>3.0232558139534884</v>
      </c>
      <c r="D85" s="90"/>
      <c r="E85" s="90">
        <f>+C82/E83</f>
        <v>1.6216216216216217</v>
      </c>
      <c r="F85" s="54">
        <v>3</v>
      </c>
    </row>
    <row r="86" spans="1:9" x14ac:dyDescent="0.3">
      <c r="C86" s="82"/>
      <c r="D86" s="82"/>
      <c r="E86" s="82"/>
    </row>
    <row r="87" spans="1:9" x14ac:dyDescent="0.3">
      <c r="A87" s="84" t="s">
        <v>130</v>
      </c>
      <c r="C87" s="82">
        <f>0.25+E68+0.25</f>
        <v>43.5</v>
      </c>
      <c r="D87" s="82" t="s">
        <v>73</v>
      </c>
      <c r="E87" s="82">
        <f>0.25+F70+0.25+F73+0.25+F80+0.25</f>
        <v>56.5</v>
      </c>
    </row>
    <row r="88" spans="1:9" ht="6" customHeight="1" x14ac:dyDescent="0.3">
      <c r="A88" s="84"/>
      <c r="C88" s="82"/>
      <c r="D88" s="82"/>
      <c r="E88" s="82"/>
    </row>
    <row r="89" spans="1:9" s="84" customFormat="1" x14ac:dyDescent="0.3">
      <c r="A89" s="84" t="s">
        <v>123</v>
      </c>
      <c r="B89" s="84" t="s">
        <v>106</v>
      </c>
      <c r="C89" s="85">
        <v>70</v>
      </c>
      <c r="D89" s="85" t="s">
        <v>73</v>
      </c>
      <c r="E89" s="85">
        <v>95</v>
      </c>
      <c r="F89" s="88">
        <v>0</v>
      </c>
      <c r="H89" s="89">
        <f>+F89*H90</f>
        <v>0</v>
      </c>
    </row>
    <row r="90" spans="1:9" x14ac:dyDescent="0.3">
      <c r="C90" s="82">
        <f>1+C87+1</f>
        <v>45.5</v>
      </c>
      <c r="D90" s="82" t="s">
        <v>73</v>
      </c>
      <c r="E90" s="82">
        <f>1+E87+1</f>
        <v>58.5</v>
      </c>
      <c r="G90" s="84" t="s">
        <v>121</v>
      </c>
      <c r="H90" s="84">
        <v>20</v>
      </c>
      <c r="I90" s="54" t="s">
        <v>125</v>
      </c>
    </row>
    <row r="91" spans="1:9" x14ac:dyDescent="0.3">
      <c r="C91" s="90">
        <f>+C89/C90</f>
        <v>1.5384615384615385</v>
      </c>
      <c r="D91" s="90"/>
      <c r="E91" s="90">
        <f>+E89/E90</f>
        <v>1.6239316239316239</v>
      </c>
      <c r="F91" s="54">
        <v>1</v>
      </c>
    </row>
    <row r="92" spans="1:9" x14ac:dyDescent="0.3">
      <c r="C92" s="90">
        <f>+E89/C90</f>
        <v>2.087912087912088</v>
      </c>
      <c r="D92" s="90"/>
      <c r="E92" s="90">
        <f>+C89/E90</f>
        <v>1.1965811965811965</v>
      </c>
      <c r="F92" s="84">
        <v>2</v>
      </c>
      <c r="G92" s="84">
        <f>+((B7+D7)/F92)</f>
        <v>20</v>
      </c>
    </row>
    <row r="94" spans="1:9" x14ac:dyDescent="0.3">
      <c r="A94" s="84" t="s">
        <v>131</v>
      </c>
      <c r="C94" s="82">
        <f>1.5+0.25+E68+0.25+1.5</f>
        <v>46.5</v>
      </c>
      <c r="D94" s="82" t="s">
        <v>73</v>
      </c>
      <c r="E94" s="82">
        <f>1.5+0.25+F70+0.25+F73+0.25+F80+0.25+1.5</f>
        <v>59.5</v>
      </c>
    </row>
    <row r="95" spans="1:9" ht="6" customHeight="1" x14ac:dyDescent="0.3">
      <c r="A95" s="84"/>
      <c r="C95" s="82"/>
      <c r="D95" s="82"/>
      <c r="E95" s="82"/>
    </row>
    <row r="96" spans="1:9" s="84" customFormat="1" x14ac:dyDescent="0.3">
      <c r="A96" s="84" t="s">
        <v>123</v>
      </c>
      <c r="B96" s="84" t="s">
        <v>106</v>
      </c>
      <c r="C96" s="85">
        <v>72</v>
      </c>
      <c r="D96" s="85" t="s">
        <v>73</v>
      </c>
      <c r="E96" s="85">
        <v>102</v>
      </c>
      <c r="F96" s="88">
        <v>0</v>
      </c>
      <c r="H96" s="89">
        <f>+F96*H97</f>
        <v>0</v>
      </c>
    </row>
    <row r="97" spans="3:9" x14ac:dyDescent="0.3">
      <c r="C97" s="82">
        <f>2+C94+2</f>
        <v>50.5</v>
      </c>
      <c r="D97" s="82" t="s">
        <v>73</v>
      </c>
      <c r="E97" s="82">
        <f>2+E94+2</f>
        <v>63.5</v>
      </c>
      <c r="G97" s="84" t="s">
        <v>121</v>
      </c>
      <c r="H97" s="84">
        <v>40</v>
      </c>
      <c r="I97" s="54" t="s">
        <v>125</v>
      </c>
    </row>
    <row r="98" spans="3:9" x14ac:dyDescent="0.3">
      <c r="C98" s="90">
        <f>+C96/C97</f>
        <v>1.4257425742574257</v>
      </c>
      <c r="D98" s="90"/>
      <c r="E98" s="90">
        <f>+E96/E97</f>
        <v>1.6062992125984252</v>
      </c>
      <c r="F98" s="54">
        <v>1</v>
      </c>
    </row>
    <row r="99" spans="3:9" x14ac:dyDescent="0.3">
      <c r="C99" s="90">
        <f>+E96/C97</f>
        <v>2.0198019801980198</v>
      </c>
      <c r="D99" s="90"/>
      <c r="E99" s="90">
        <f>+C96/E97</f>
        <v>1.1338582677165354</v>
      </c>
      <c r="F99" s="84">
        <v>2</v>
      </c>
      <c r="G99" s="84">
        <f>+((B7+D7)/F99)</f>
        <v>20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0"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+Desarrollo!B1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+Desarrollo!B3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+Desarrollo!B4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84</v>
      </c>
      <c r="D15" s="17"/>
      <c r="E15" s="17"/>
      <c r="F15" s="69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186</v>
      </c>
      <c r="D16" s="17"/>
      <c r="E16" s="17"/>
      <c r="F16" s="45">
        <f>+Desarrollo!C30</f>
        <v>52.5</v>
      </c>
      <c r="G16" s="70" t="s">
        <v>73</v>
      </c>
      <c r="H16" s="71">
        <f>+Desarrollo!E30</f>
        <v>54.5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69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>
        <f>+Desarrollo!C30</f>
        <v>52.5</v>
      </c>
      <c r="G19" s="70" t="s">
        <v>73</v>
      </c>
      <c r="H19" s="71">
        <f>+Desarrollo!E30</f>
        <v>54.5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69"/>
      <c r="G20" s="72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tr">
        <f>+Desarrollo!A29</f>
        <v xml:space="preserve">Cartón Gris </v>
      </c>
      <c r="D23" s="5" t="s">
        <v>12</v>
      </c>
      <c r="E23" s="21" t="s">
        <v>87</v>
      </c>
      <c r="F23" s="1" t="str">
        <f>+Desarrollo!B29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52.5</v>
      </c>
      <c r="D26" s="27" t="s">
        <v>14</v>
      </c>
      <c r="E26" s="26">
        <f>+H16</f>
        <v>54.5</v>
      </c>
      <c r="F26" s="28">
        <f>+E26</f>
        <v>54.5</v>
      </c>
      <c r="G26" s="28" t="s">
        <v>14</v>
      </c>
      <c r="H26" s="28">
        <f>+C26</f>
        <v>52.5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1.7142857142857142</v>
      </c>
      <c r="D27" s="32"/>
      <c r="E27" s="31">
        <f>+E25/E26</f>
        <v>2.3853211009174311</v>
      </c>
      <c r="F27" s="31">
        <f>+F25/F26</f>
        <v>1.6513761467889909</v>
      </c>
      <c r="G27" s="32"/>
      <c r="H27" s="31">
        <f>+H25/H26</f>
        <v>2.4761904761904763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2</v>
      </c>
      <c r="E28" s="36"/>
      <c r="F28" s="37"/>
      <c r="G28" s="38">
        <v>2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80</v>
      </c>
      <c r="D30" s="40" t="s">
        <v>20</v>
      </c>
      <c r="E30" s="41">
        <f>+Desarrollo!F29</f>
        <v>41.072000000000003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41.072000000000003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41.072000000000003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+E34*1.15</f>
        <v>47.232799999999997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20</v>
      </c>
      <c r="D40" s="23">
        <f>+Desarrollo!D7</f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0.02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68</v>
      </c>
      <c r="B48" s="20">
        <f>+Desarrollo!B7</f>
        <v>20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1</v>
      </c>
      <c r="E49" s="20">
        <v>0</v>
      </c>
      <c r="F49" s="20" t="s">
        <v>81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821.44</v>
      </c>
      <c r="C50" s="3"/>
      <c r="D50" s="20">
        <v>0</v>
      </c>
      <c r="E50" s="20">
        <v>0</v>
      </c>
      <c r="F50" s="20" t="s">
        <v>82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6.5" x14ac:dyDescent="0.3">
      <c r="A52" s="52"/>
      <c r="B52" s="53"/>
      <c r="C52" s="3"/>
      <c r="D52" s="20">
        <v>1</v>
      </c>
      <c r="E52" s="20">
        <v>1</v>
      </c>
      <c r="F52" s="20" t="s">
        <v>96</v>
      </c>
      <c r="G52" s="29">
        <v>100</v>
      </c>
      <c r="H52" s="29">
        <f t="shared" ref="H52:H59" si="0">+G52*E52</f>
        <v>100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77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78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1211.44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60.572000000000003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76.482799999999997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944.65599999999995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585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+A56</f>
        <v>Listón</v>
      </c>
      <c r="B70" s="53">
        <f>+B56*H63</f>
        <v>0</v>
      </c>
      <c r="C70" s="63"/>
      <c r="F70" s="61" t="s">
        <v>65</v>
      </c>
      <c r="G70" s="31">
        <f>+B60</f>
        <v>60.572000000000003</v>
      </c>
      <c r="H70" s="62">
        <f>+G70*B48</f>
        <v>1211.44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/>
      <c r="B71" s="53"/>
      <c r="C71" s="63"/>
      <c r="F71" s="61" t="s">
        <v>66</v>
      </c>
      <c r="G71" s="31">
        <f>+C72</f>
        <v>76.482799999999997</v>
      </c>
      <c r="H71" s="62">
        <f>+G71*B48</f>
        <v>1529.6559999999999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1529.6559999999999</v>
      </c>
      <c r="C72" s="65">
        <f>+B72/B48</f>
        <v>76.482799999999997</v>
      </c>
      <c r="D72" s="5" t="s">
        <v>104</v>
      </c>
      <c r="F72" s="64" t="s">
        <v>67</v>
      </c>
      <c r="G72" s="65">
        <f>+G71-G70</f>
        <v>15.910799999999995</v>
      </c>
      <c r="H72" s="62">
        <f>+G72*B48</f>
        <v>318.21599999999989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5" spans="1:24" x14ac:dyDescent="0.3">
      <c r="A75" s="5"/>
    </row>
    <row r="76" spans="1:24" x14ac:dyDescent="0.3">
      <c r="B76" s="66"/>
      <c r="C76" s="67"/>
    </row>
    <row r="80" spans="1:24" x14ac:dyDescent="0.3">
      <c r="J80" s="68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8" zoomScale="80" zoomScaleNormal="80" workbookViewId="0">
      <selection activeCell="C44" sqref="C4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tr">
        <f>+Desarrollo!B1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tr">
        <f>+'cartón caja'!C11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tr">
        <f>+'cartón caja'!C13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8" t="s">
        <v>98</v>
      </c>
      <c r="D15" s="17"/>
      <c r="E15" s="17"/>
      <c r="F15" s="69" t="s">
        <v>79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6" t="s">
        <v>187</v>
      </c>
      <c r="D16" s="17"/>
      <c r="E16" s="17"/>
      <c r="F16" s="45">
        <f>+Desarrollo!C83</f>
        <v>43</v>
      </c>
      <c r="G16" s="70" t="s">
        <v>73</v>
      </c>
      <c r="H16" s="71">
        <f>+Desarrollo!E83</f>
        <v>55.5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6"/>
      <c r="D18" s="17"/>
      <c r="E18" s="17"/>
      <c r="F18" s="69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9"/>
      <c r="D19" s="17"/>
      <c r="E19" s="17"/>
      <c r="F19" s="45">
        <f>+Desarrollo!C83</f>
        <v>43</v>
      </c>
      <c r="G19" s="70" t="s">
        <v>73</v>
      </c>
      <c r="H19" s="71">
        <f>+Desarrollo!E83</f>
        <v>55.5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7"/>
      <c r="D20" s="17"/>
      <c r="E20" s="17"/>
      <c r="F20" s="69"/>
      <c r="G20" s="72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11</v>
      </c>
      <c r="C23" s="20" t="s">
        <v>86</v>
      </c>
      <c r="D23" s="5" t="s">
        <v>12</v>
      </c>
      <c r="E23" s="21" t="s">
        <v>87</v>
      </c>
      <c r="F23" s="1" t="s">
        <v>103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15</v>
      </c>
      <c r="B26" s="3"/>
      <c r="C26" s="26">
        <f>+F16</f>
        <v>43</v>
      </c>
      <c r="D26" s="27" t="s">
        <v>14</v>
      </c>
      <c r="E26" s="26">
        <f>+H16</f>
        <v>55.5</v>
      </c>
      <c r="F26" s="28">
        <f>+E26</f>
        <v>55.5</v>
      </c>
      <c r="G26" s="28" t="s">
        <v>14</v>
      </c>
      <c r="H26" s="28">
        <f>+C26</f>
        <v>43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16</v>
      </c>
      <c r="B27" s="30"/>
      <c r="C27" s="31">
        <f>+C25/C26</f>
        <v>2.0930232558139537</v>
      </c>
      <c r="D27" s="32"/>
      <c r="E27" s="31">
        <f>+E25/E26</f>
        <v>2.3423423423423424</v>
      </c>
      <c r="F27" s="31">
        <f>+F25/F26</f>
        <v>1.6216216216216217</v>
      </c>
      <c r="G27" s="32"/>
      <c r="H27" s="31">
        <f>+H25/H26</f>
        <v>3.0232558139534884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17</v>
      </c>
      <c r="B28" s="33"/>
      <c r="C28" s="34"/>
      <c r="D28" s="35">
        <v>4</v>
      </c>
      <c r="E28" s="36"/>
      <c r="F28" s="37"/>
      <c r="G28" s="38">
        <v>3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4" t="s">
        <v>19</v>
      </c>
      <c r="B30" s="24" t="s">
        <v>80</v>
      </c>
      <c r="D30" s="40" t="s">
        <v>20</v>
      </c>
      <c r="E30" s="41">
        <f>+Desarrollo!F82</f>
        <v>41.072000000000003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3" t="s">
        <v>23</v>
      </c>
      <c r="E32" s="44">
        <f>+E30-E31</f>
        <v>41.072000000000003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0" t="s">
        <v>27</v>
      </c>
      <c r="E34" s="46">
        <f>+E32</f>
        <v>41.072000000000003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0" t="s">
        <v>28</v>
      </c>
      <c r="E35" s="46">
        <f>+E34*1.15</f>
        <v>47.232799999999997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32</v>
      </c>
      <c r="C38" s="47">
        <v>4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36</v>
      </c>
      <c r="B40" s="5"/>
      <c r="C40" s="49">
        <f>+B48/F17</f>
        <v>20</v>
      </c>
      <c r="D40" s="23">
        <f>+Desarrollo!D7</f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38</v>
      </c>
      <c r="C41" s="33">
        <f>+C40+D40</f>
        <v>40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40</v>
      </c>
      <c r="C42" s="33">
        <f>+C41/C38</f>
        <v>10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0"/>
      <c r="F43" s="40" t="s">
        <v>42</v>
      </c>
      <c r="G43" s="22">
        <f>+C40/1000</f>
        <v>0.02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0"/>
      <c r="F44" s="43" t="s">
        <v>43</v>
      </c>
      <c r="G44" s="47">
        <f>+C41</f>
        <v>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44</v>
      </c>
      <c r="C46" s="24">
        <f>+C42*C38</f>
        <v>40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68</v>
      </c>
      <c r="B48" s="20">
        <f>+'cartón caja'!B48</f>
        <v>20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1" t="s">
        <v>50</v>
      </c>
      <c r="B49" s="52"/>
      <c r="C49" s="3"/>
      <c r="D49" s="20">
        <v>1</v>
      </c>
      <c r="E49" s="20">
        <v>0</v>
      </c>
      <c r="F49" s="20" t="s">
        <v>81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2" t="s">
        <v>52</v>
      </c>
      <c r="B50" s="53">
        <f>+E34*C42</f>
        <v>410.72</v>
      </c>
      <c r="C50" s="3"/>
      <c r="D50" s="20">
        <v>0</v>
      </c>
      <c r="E50" s="20">
        <v>0</v>
      </c>
      <c r="F50" s="20" t="s">
        <v>82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2" t="s">
        <v>10</v>
      </c>
      <c r="B51" s="53">
        <f>+H61</f>
        <v>390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2"/>
      <c r="B52" s="53"/>
      <c r="C52" s="3"/>
      <c r="D52" s="20">
        <v>1</v>
      </c>
      <c r="E52" s="20">
        <v>1</v>
      </c>
      <c r="F52" s="20" t="s">
        <v>96</v>
      </c>
      <c r="G52" s="29">
        <v>100</v>
      </c>
      <c r="H52" s="29">
        <f t="shared" ref="H52:H59" si="0">+G52*E52</f>
        <v>100</v>
      </c>
      <c r="I52" s="54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2" t="s">
        <v>24</v>
      </c>
      <c r="B53" s="53">
        <v>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5" t="s">
        <v>76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5" t="s">
        <v>77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5" t="s">
        <v>78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800.72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40.036000000000001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+B72/C40</f>
        <v>50.916399999999996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472.32799999999997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546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+A54</f>
        <v>Placas</v>
      </c>
      <c r="B68" s="53">
        <f>+B54*H63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+A55</f>
        <v>Mensajeria</v>
      </c>
      <c r="B69" s="53">
        <f>+B55*H62</f>
        <v>0</v>
      </c>
      <c r="C69" s="60"/>
      <c r="F69" s="61" t="s">
        <v>65</v>
      </c>
      <c r="G69" s="31">
        <f>+B60</f>
        <v>40.036000000000001</v>
      </c>
      <c r="H69" s="62">
        <f>+G69*C46</f>
        <v>1601.44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+A56</f>
        <v>Listón</v>
      </c>
      <c r="B70" s="53">
        <f>+B56*H63</f>
        <v>0</v>
      </c>
      <c r="C70" s="63"/>
      <c r="F70" s="61" t="s">
        <v>66</v>
      </c>
      <c r="G70" s="31">
        <f>+C72</f>
        <v>50.916399999999996</v>
      </c>
      <c r="H70" s="62">
        <f>+G70*C46</f>
        <v>2036.6559999999999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/>
      <c r="B71" s="53"/>
      <c r="C71" s="63"/>
      <c r="F71" s="64" t="s">
        <v>67</v>
      </c>
      <c r="G71" s="65">
        <f>+G70-G69</f>
        <v>10.880399999999995</v>
      </c>
      <c r="H71" s="62">
        <f>+G71*C46</f>
        <v>435.21599999999978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1" t="s">
        <v>55</v>
      </c>
      <c r="B72" s="56">
        <f>SUM(B65:B71)</f>
        <v>1018.328</v>
      </c>
      <c r="C72" s="65">
        <f>+B72/B48</f>
        <v>50.916399999999996</v>
      </c>
      <c r="D72" s="5" t="s">
        <v>105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B76" s="66"/>
      <c r="C76" s="67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5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8"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2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94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185</v>
      </c>
      <c r="D16" s="17"/>
      <c r="E16" s="17"/>
      <c r="F16" s="45">
        <f>+Desarrollo!C37</f>
        <v>55</v>
      </c>
      <c r="G16" s="70" t="s">
        <v>73</v>
      </c>
      <c r="H16" s="71">
        <f>+Desarrollo!E37</f>
        <v>57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180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181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182</v>
      </c>
      <c r="D20" s="17"/>
      <c r="E20" s="17"/>
      <c r="F20" s="45">
        <f>+Desarrollo!C34</f>
        <v>53</v>
      </c>
      <c r="G20" s="70" t="s">
        <v>73</v>
      </c>
      <c r="H20" s="71">
        <f>+Desarrollo!E34</f>
        <v>55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9" t="s">
        <v>183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 t="s">
        <v>95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77" t="str">
        <f>+Desarrollo!A36</f>
        <v>Rainbow Café</v>
      </c>
      <c r="D23" s="5" t="s">
        <v>12</v>
      </c>
      <c r="E23" s="21"/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+Desarrollo!C36</f>
        <v>100</v>
      </c>
      <c r="D25" s="21" t="s">
        <v>14</v>
      </c>
      <c r="E25" s="23">
        <f>+Desarrollo!E36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55</v>
      </c>
      <c r="D26" s="27" t="s">
        <v>14</v>
      </c>
      <c r="E26" s="26">
        <f>+H16</f>
        <v>57</v>
      </c>
      <c r="F26" s="28">
        <f>+E26</f>
        <v>57</v>
      </c>
      <c r="G26" s="28" t="s">
        <v>14</v>
      </c>
      <c r="H26" s="28">
        <f>+C26</f>
        <v>55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1.8181818181818181</v>
      </c>
      <c r="D27" s="32"/>
      <c r="E27" s="31">
        <f>+E25/E26</f>
        <v>2.2807017543859649</v>
      </c>
      <c r="F27" s="31">
        <f>+F25/F26</f>
        <v>1.7543859649122806</v>
      </c>
      <c r="G27" s="32"/>
      <c r="H27" s="31">
        <f>+H25/H26</f>
        <v>2.3636363636363638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2</v>
      </c>
      <c r="E28" s="36"/>
      <c r="F28" s="37"/>
      <c r="G28" s="38">
        <v>2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">
        <v>184</v>
      </c>
      <c r="D30" s="40" t="s">
        <v>20</v>
      </c>
      <c r="E30" s="41">
        <f>+Desarrollo!F36</f>
        <v>58</v>
      </c>
      <c r="F30" s="93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+E34*1.15</f>
        <v>60.03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20</v>
      </c>
      <c r="D40" s="23"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40</v>
      </c>
      <c r="F43" s="40" t="s">
        <v>42</v>
      </c>
      <c r="G43" s="22">
        <f>+C40/1000</f>
        <v>0.02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ht="15.75" x14ac:dyDescent="0.3">
      <c r="A48" s="4" t="s">
        <v>68</v>
      </c>
      <c r="B48" s="20">
        <f>+Desarrollo!B7</f>
        <v>20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f>185+145</f>
        <v>330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1044</v>
      </c>
      <c r="C50" s="3"/>
      <c r="D50" s="20">
        <v>0</v>
      </c>
      <c r="E50" s="20">
        <v>0</v>
      </c>
      <c r="F50" s="20" t="s">
        <v>69</v>
      </c>
      <c r="G50" s="29">
        <v>145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700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96</v>
      </c>
      <c r="G52" s="29">
        <v>100</v>
      </c>
      <c r="H52" s="29">
        <f t="shared" ref="H52:H59" si="0">+G52*E52</f>
        <v>100</v>
      </c>
      <c r="I52" s="60">
        <f>+(B73/100)*2</f>
        <v>45.012</v>
      </c>
      <c r="Q52"/>
      <c r="R52"/>
      <c r="S52"/>
    </row>
    <row r="53" spans="1:23" ht="16.5" x14ac:dyDescent="0.3">
      <c r="A53" s="52" t="s">
        <v>24</v>
      </c>
      <c r="B53" s="53">
        <v>0</v>
      </c>
      <c r="C53" s="3"/>
      <c r="D53" s="20">
        <v>0</v>
      </c>
      <c r="E53" s="20">
        <v>0</v>
      </c>
      <c r="F53" s="20" t="s">
        <v>70</v>
      </c>
      <c r="G53" s="29">
        <v>145</v>
      </c>
      <c r="H53" s="29">
        <f t="shared" si="0"/>
        <v>0</v>
      </c>
      <c r="I53" s="54"/>
      <c r="Q53"/>
      <c r="R53"/>
      <c r="S53"/>
    </row>
    <row r="54" spans="1:23" ht="15.75" x14ac:dyDescent="0.3">
      <c r="A54" s="55" t="s">
        <v>134</v>
      </c>
      <c r="B54" s="53">
        <v>0</v>
      </c>
      <c r="C54" s="3"/>
      <c r="D54" s="20">
        <v>0</v>
      </c>
      <c r="E54" s="20">
        <v>0</v>
      </c>
      <c r="F54" s="20" t="s">
        <v>71</v>
      </c>
      <c r="G54" s="29">
        <v>145</v>
      </c>
      <c r="H54" s="29">
        <f t="shared" si="0"/>
        <v>0</v>
      </c>
      <c r="Q54"/>
      <c r="R54"/>
      <c r="S54"/>
    </row>
    <row r="55" spans="1:23" ht="15.75" x14ac:dyDescent="0.3">
      <c r="A55" s="55" t="s">
        <v>93</v>
      </c>
      <c r="B55" s="53">
        <v>0</v>
      </c>
      <c r="D55" s="20">
        <v>0</v>
      </c>
      <c r="E55" s="20">
        <v>0</v>
      </c>
      <c r="F55" s="20" t="s">
        <v>91</v>
      </c>
      <c r="G55" s="29">
        <v>120</v>
      </c>
      <c r="H55" s="29">
        <f>+G55*E55</f>
        <v>0</v>
      </c>
      <c r="Q55"/>
      <c r="R55"/>
      <c r="S55"/>
    </row>
    <row r="56" spans="1:23" x14ac:dyDescent="0.3">
      <c r="A56" s="55" t="s">
        <v>92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1</v>
      </c>
      <c r="E57" s="20">
        <v>1</v>
      </c>
      <c r="F57" s="20" t="s">
        <v>135</v>
      </c>
      <c r="G57" s="29">
        <f>+G83</f>
        <v>600</v>
      </c>
      <c r="H57" s="29">
        <f t="shared" ref="H57" si="1">+G57*E57</f>
        <v>600</v>
      </c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1744</v>
      </c>
      <c r="C58" s="3"/>
      <c r="D58" s="20">
        <v>0</v>
      </c>
      <c r="E58" s="20">
        <v>0</v>
      </c>
      <c r="F58" s="3" t="s">
        <v>56</v>
      </c>
      <c r="G58" s="29">
        <f>+E80</f>
        <v>37.140160000000002</v>
      </c>
      <c r="H58" s="29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87.2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+B73/C40</f>
        <v>112.53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1200.5999999999999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1050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Pruebas de color</v>
      </c>
      <c r="B69" s="53">
        <f>+B54*H62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87.2</v>
      </c>
      <c r="H70" s="62">
        <f>+G70*B48</f>
        <v>1744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 t="str">
        <f>+A56</f>
        <v>Encuadernación</v>
      </c>
      <c r="B71" s="53">
        <f>+B56*1.2</f>
        <v>0</v>
      </c>
      <c r="C71" s="63"/>
      <c r="F71" s="61" t="s">
        <v>66</v>
      </c>
      <c r="G71" s="31">
        <f>+C73</f>
        <v>112.53</v>
      </c>
      <c r="H71" s="62">
        <f>+G71*B48</f>
        <v>2250.6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2"/>
      <c r="B72" s="53"/>
      <c r="C72" s="63"/>
      <c r="F72" s="64" t="s">
        <v>67</v>
      </c>
      <c r="G72" s="65">
        <f>+G71-G70</f>
        <v>25.33</v>
      </c>
      <c r="H72" s="94">
        <f>+G72*B48</f>
        <v>506.59999999999997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1" t="s">
        <v>55</v>
      </c>
      <c r="B73" s="56">
        <f>SUM(B65:B72)</f>
        <v>2250.6</v>
      </c>
      <c r="C73" s="65">
        <f>+B73/B48</f>
        <v>112.53</v>
      </c>
      <c r="D73" s="5" t="s">
        <v>133</v>
      </c>
    </row>
    <row r="74" spans="1:23" x14ac:dyDescent="0.3">
      <c r="C74" s="74"/>
      <c r="D74" s="5"/>
    </row>
    <row r="75" spans="1:23" x14ac:dyDescent="0.3">
      <c r="C75" s="74"/>
      <c r="D75" s="5"/>
    </row>
    <row r="76" spans="1:23" x14ac:dyDescent="0.3">
      <c r="A76" s="5"/>
      <c r="C76" s="62"/>
      <c r="D76" s="5"/>
    </row>
    <row r="77" spans="1:23" ht="15" thickBot="1" x14ac:dyDescent="0.35">
      <c r="A77" s="5" t="s">
        <v>136</v>
      </c>
    </row>
    <row r="78" spans="1:23" x14ac:dyDescent="0.3">
      <c r="A78" s="10" t="s">
        <v>100</v>
      </c>
      <c r="B78" s="11"/>
      <c r="C78" s="11"/>
      <c r="D78" s="11"/>
      <c r="E78" s="11"/>
      <c r="F78" s="11"/>
      <c r="G78" s="12"/>
    </row>
    <row r="79" spans="1:23" ht="15.75" x14ac:dyDescent="0.3">
      <c r="A79" s="45">
        <f>+F16</f>
        <v>55</v>
      </c>
      <c r="B79" s="70">
        <f>+H16</f>
        <v>57</v>
      </c>
      <c r="C79" s="7" t="s">
        <v>99</v>
      </c>
      <c r="D79" s="70" t="s">
        <v>101</v>
      </c>
      <c r="E79" s="7" t="s">
        <v>102</v>
      </c>
      <c r="F79" s="72" t="s">
        <v>138</v>
      </c>
      <c r="G79" s="125"/>
    </row>
    <row r="80" spans="1:23" x14ac:dyDescent="0.3">
      <c r="A80" s="45">
        <f>0.419*0.554*C41</f>
        <v>9.2850400000000004</v>
      </c>
      <c r="B80" s="75">
        <v>4</v>
      </c>
      <c r="C80" s="75">
        <f>+A80*B80</f>
        <v>37.140160000000002</v>
      </c>
      <c r="D80" s="75">
        <v>0</v>
      </c>
      <c r="E80" s="79">
        <f>+C80+D80</f>
        <v>37.140160000000002</v>
      </c>
      <c r="F80" s="95" t="s">
        <v>137</v>
      </c>
      <c r="G80" s="80">
        <v>550</v>
      </c>
    </row>
    <row r="81" spans="1:18" x14ac:dyDescent="0.3">
      <c r="A81" s="6"/>
      <c r="B81" s="75"/>
      <c r="C81" s="75"/>
      <c r="D81" s="75"/>
      <c r="E81" s="75"/>
      <c r="F81" s="7"/>
      <c r="G81" s="8"/>
      <c r="J81" s="68"/>
    </row>
    <row r="82" spans="1:18" x14ac:dyDescent="0.3">
      <c r="A82" s="45">
        <f>+A79</f>
        <v>55</v>
      </c>
      <c r="B82" s="70">
        <f>+B79</f>
        <v>57</v>
      </c>
      <c r="C82" s="7" t="s">
        <v>99</v>
      </c>
      <c r="D82" s="70" t="s">
        <v>101</v>
      </c>
      <c r="E82" s="7" t="s">
        <v>102</v>
      </c>
      <c r="F82" s="72" t="s">
        <v>139</v>
      </c>
      <c r="G82" s="8"/>
    </row>
    <row r="83" spans="1:18" x14ac:dyDescent="0.3">
      <c r="A83" s="45">
        <f>0.419*0.554*C41</f>
        <v>9.2850400000000004</v>
      </c>
      <c r="B83" s="75">
        <f>4.1*1.5</f>
        <v>6.1499999999999995</v>
      </c>
      <c r="C83" s="75">
        <f>+A83*B83</f>
        <v>57.102995999999997</v>
      </c>
      <c r="D83" s="75">
        <v>0</v>
      </c>
      <c r="E83" s="75">
        <f>+C83+D83</f>
        <v>57.102995999999997</v>
      </c>
      <c r="F83" s="95" t="s">
        <v>137</v>
      </c>
      <c r="G83" s="123">
        <v>600</v>
      </c>
    </row>
    <row r="84" spans="1:18" x14ac:dyDescent="0.3">
      <c r="A84" s="6"/>
      <c r="B84" s="7"/>
      <c r="C84" s="75"/>
      <c r="D84" s="75"/>
      <c r="E84" s="75"/>
      <c r="F84" s="75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28"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6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94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185</v>
      </c>
      <c r="D16" s="17"/>
      <c r="E16" s="17"/>
      <c r="F16" s="45">
        <f>+Desarrollo!C44</f>
        <v>60.5</v>
      </c>
      <c r="G16" s="70" t="s">
        <v>73</v>
      </c>
      <c r="H16" s="71">
        <f>+Desarrollo!E44</f>
        <v>62.5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180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181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182</v>
      </c>
      <c r="D20" s="17"/>
      <c r="E20" s="17"/>
      <c r="F20" s="45">
        <f>+Desarrollo!C41</f>
        <v>56.5</v>
      </c>
      <c r="G20" s="70" t="s">
        <v>73</v>
      </c>
      <c r="H20" s="71">
        <f>+Desarrollo!E41</f>
        <v>58.5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9" t="s">
        <v>183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 t="s">
        <v>95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77" t="str">
        <f>+Desarrollo!A36</f>
        <v>Rainbow Café</v>
      </c>
      <c r="D23" s="5" t="s">
        <v>12</v>
      </c>
      <c r="E23" s="21"/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+Desarrollo!C43</f>
        <v>100</v>
      </c>
      <c r="D25" s="21" t="s">
        <v>14</v>
      </c>
      <c r="E25" s="23">
        <f>+Desarrollo!E43</f>
        <v>130</v>
      </c>
      <c r="F25" s="24">
        <f>+C25</f>
        <v>100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60.5</v>
      </c>
      <c r="D26" s="27" t="s">
        <v>14</v>
      </c>
      <c r="E26" s="26">
        <f>+H16</f>
        <v>62.5</v>
      </c>
      <c r="F26" s="28">
        <f>+E26</f>
        <v>62.5</v>
      </c>
      <c r="G26" s="28" t="s">
        <v>14</v>
      </c>
      <c r="H26" s="28">
        <f>+C26</f>
        <v>60.5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1.6528925619834711</v>
      </c>
      <c r="D27" s="32"/>
      <c r="E27" s="31">
        <f>+E25/E26</f>
        <v>2.08</v>
      </c>
      <c r="F27" s="31">
        <f>+F25/F26</f>
        <v>1.6</v>
      </c>
      <c r="G27" s="32"/>
      <c r="H27" s="31">
        <f>+H25/H26</f>
        <v>2.1487603305785123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2</v>
      </c>
      <c r="E28" s="36"/>
      <c r="F28" s="37"/>
      <c r="G28" s="38">
        <v>2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tr">
        <f>+'Empalme Caja INT'!B30</f>
        <v>White House</v>
      </c>
      <c r="D30" s="40" t="s">
        <v>20</v>
      </c>
      <c r="E30" s="41">
        <f>+Desarrollo!F36</f>
        <v>58</v>
      </c>
      <c r="F30" s="93"/>
      <c r="G30" s="1" t="s">
        <v>21</v>
      </c>
      <c r="H30" s="42">
        <v>0.1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5.8000000000000007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52.2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52.2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62.64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20</v>
      </c>
      <c r="D40" s="23">
        <v>20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40</v>
      </c>
      <c r="F43" s="40" t="s">
        <v>42</v>
      </c>
      <c r="G43" s="22">
        <f>+C40/1000</f>
        <v>0.02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68</v>
      </c>
      <c r="B48" s="20">
        <f>+Desarrollo!B7</f>
        <v>20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</row>
    <row r="49" spans="1:23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f>185+145</f>
        <v>330</v>
      </c>
      <c r="H49" s="29">
        <f>+(D49*E49)*G49</f>
        <v>0</v>
      </c>
    </row>
    <row r="50" spans="1:23" x14ac:dyDescent="0.3">
      <c r="A50" s="52" t="s">
        <v>52</v>
      </c>
      <c r="B50" s="53">
        <f>+E34*C42</f>
        <v>1044</v>
      </c>
      <c r="C50" s="3"/>
      <c r="D50" s="20">
        <v>0</v>
      </c>
      <c r="E50" s="20">
        <v>0</v>
      </c>
      <c r="F50" s="20" t="s">
        <v>69</v>
      </c>
      <c r="G50" s="29">
        <v>145</v>
      </c>
      <c r="H50" s="29">
        <f>+(D50*E50)*G50</f>
        <v>0</v>
      </c>
    </row>
    <row r="51" spans="1:23" x14ac:dyDescent="0.3">
      <c r="A51" s="52" t="s">
        <v>10</v>
      </c>
      <c r="B51" s="53">
        <f>+H61</f>
        <v>390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</row>
    <row r="52" spans="1:23" x14ac:dyDescent="0.3">
      <c r="A52" s="52"/>
      <c r="B52" s="53"/>
      <c r="C52" s="3"/>
      <c r="D52" s="20">
        <v>1</v>
      </c>
      <c r="E52" s="20">
        <v>1</v>
      </c>
      <c r="F52" s="20" t="s">
        <v>96</v>
      </c>
      <c r="G52" s="29">
        <v>100</v>
      </c>
      <c r="H52" s="29">
        <f t="shared" ref="H52:H59" si="0">+G52*E52</f>
        <v>100</v>
      </c>
      <c r="I52" s="60">
        <f>+(B73/100)*2</f>
        <v>76.356000000000009</v>
      </c>
    </row>
    <row r="53" spans="1:23" ht="16.5" x14ac:dyDescent="0.3">
      <c r="A53" s="52" t="s">
        <v>24</v>
      </c>
      <c r="B53" s="53">
        <v>0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</row>
    <row r="54" spans="1:23" x14ac:dyDescent="0.3">
      <c r="A54" s="55" t="s">
        <v>134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</row>
    <row r="55" spans="1:23" x14ac:dyDescent="0.3">
      <c r="A55" s="55" t="s">
        <v>93</v>
      </c>
      <c r="B55" s="53">
        <v>0</v>
      </c>
      <c r="D55" s="20">
        <v>0</v>
      </c>
      <c r="E55" s="20">
        <v>0</v>
      </c>
      <c r="F55" s="20" t="s">
        <v>91</v>
      </c>
      <c r="G55" s="29">
        <v>120</v>
      </c>
      <c r="H55" s="29">
        <f>+G55*E55</f>
        <v>0</v>
      </c>
    </row>
    <row r="56" spans="1:23" x14ac:dyDescent="0.3">
      <c r="A56" s="55" t="s">
        <v>92</v>
      </c>
      <c r="B56" s="53">
        <f>+((60*B48)*1.1)</f>
        <v>1320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0</v>
      </c>
      <c r="E57" s="20">
        <v>0</v>
      </c>
      <c r="F57" s="20" t="s">
        <v>135</v>
      </c>
      <c r="G57" s="29">
        <f>+E83</f>
        <v>76.387591999999998</v>
      </c>
      <c r="H57" s="29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2754</v>
      </c>
      <c r="C58" s="3"/>
      <c r="D58" s="20">
        <v>0</v>
      </c>
      <c r="E58" s="20">
        <v>0</v>
      </c>
      <c r="F58" s="3" t="s">
        <v>56</v>
      </c>
      <c r="G58" s="29">
        <f>+E80</f>
        <v>47.703359999999996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137.69999999999999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>
        <f>+B73/C40</f>
        <v>190.89000000000001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1252.8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585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Pruebas de color</v>
      </c>
      <c r="B69" s="53">
        <f>+B54*H62</f>
        <v>0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137.69999999999999</v>
      </c>
      <c r="H70" s="62">
        <f>+G70*B48</f>
        <v>2754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2" t="str">
        <f>+A56</f>
        <v>Encuadernación</v>
      </c>
      <c r="B71" s="53">
        <f>+B56*H62</f>
        <v>1980</v>
      </c>
      <c r="C71" s="63"/>
      <c r="F71" s="61" t="s">
        <v>66</v>
      </c>
      <c r="G71" s="31">
        <f>+C73</f>
        <v>190.89000000000001</v>
      </c>
      <c r="H71" s="62">
        <f>+G71*B48</f>
        <v>3817.8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2"/>
      <c r="B72" s="53"/>
      <c r="C72" s="63"/>
      <c r="F72" s="64" t="s">
        <v>67</v>
      </c>
      <c r="G72" s="65">
        <f>+G71-G70</f>
        <v>53.190000000000026</v>
      </c>
      <c r="H72" s="94">
        <f>+G72*B48</f>
        <v>1063.8000000000006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3817.8</v>
      </c>
      <c r="C73" s="65">
        <f>+B73/B48</f>
        <v>190.89000000000001</v>
      </c>
      <c r="D73" s="5" t="s">
        <v>140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C74" s="74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C75" s="74"/>
      <c r="D75" s="5"/>
    </row>
    <row r="76" spans="1:23" x14ac:dyDescent="0.3">
      <c r="A76" s="5"/>
      <c r="C76" s="62"/>
      <c r="D76" s="5"/>
    </row>
    <row r="77" spans="1:23" ht="15" thickBot="1" x14ac:dyDescent="0.35">
      <c r="A77" s="5" t="s">
        <v>136</v>
      </c>
    </row>
    <row r="78" spans="1:23" x14ac:dyDescent="0.3">
      <c r="A78" s="10" t="s">
        <v>100</v>
      </c>
      <c r="B78" s="11"/>
      <c r="C78" s="11"/>
      <c r="D78" s="11"/>
      <c r="E78" s="11"/>
      <c r="F78" s="11"/>
      <c r="G78" s="12"/>
    </row>
    <row r="79" spans="1:23" x14ac:dyDescent="0.3">
      <c r="A79" s="45">
        <f>+F16</f>
        <v>60.5</v>
      </c>
      <c r="B79" s="70">
        <f>+H16</f>
        <v>62.5</v>
      </c>
      <c r="C79" s="7" t="s">
        <v>99</v>
      </c>
      <c r="D79" s="70" t="s">
        <v>101</v>
      </c>
      <c r="E79" s="7" t="s">
        <v>102</v>
      </c>
      <c r="F79" s="95" t="s">
        <v>137</v>
      </c>
      <c r="G79" s="80">
        <v>550</v>
      </c>
    </row>
    <row r="80" spans="1:23" x14ac:dyDescent="0.3">
      <c r="A80" s="45">
        <f>0.474*0.629*C41</f>
        <v>11.925839999999999</v>
      </c>
      <c r="B80" s="75">
        <v>4</v>
      </c>
      <c r="C80" s="75">
        <f>+A80*B80</f>
        <v>47.703359999999996</v>
      </c>
      <c r="D80" s="75">
        <v>0</v>
      </c>
      <c r="E80" s="79">
        <f>+C80+D80</f>
        <v>47.703359999999996</v>
      </c>
      <c r="F80" s="72" t="s">
        <v>138</v>
      </c>
      <c r="G80" s="8"/>
    </row>
    <row r="81" spans="1:18" x14ac:dyDescent="0.3">
      <c r="A81" s="6"/>
      <c r="B81" s="75"/>
      <c r="C81" s="75"/>
      <c r="D81" s="75"/>
      <c r="E81" s="75"/>
      <c r="F81" s="7"/>
      <c r="G81" s="8"/>
      <c r="J81" s="68"/>
    </row>
    <row r="82" spans="1:18" x14ac:dyDescent="0.3">
      <c r="A82" s="45">
        <f>+A79</f>
        <v>60.5</v>
      </c>
      <c r="B82" s="70">
        <f>+B79</f>
        <v>62.5</v>
      </c>
      <c r="C82" s="7" t="s">
        <v>99</v>
      </c>
      <c r="D82" s="70" t="s">
        <v>101</v>
      </c>
      <c r="E82" s="7" t="s">
        <v>102</v>
      </c>
      <c r="F82" s="95" t="s">
        <v>137</v>
      </c>
      <c r="G82" s="80">
        <v>550</v>
      </c>
    </row>
    <row r="83" spans="1:18" x14ac:dyDescent="0.3">
      <c r="A83" s="45">
        <f>0.463*0.503*C41</f>
        <v>9.3155600000000014</v>
      </c>
      <c r="B83" s="75">
        <f>4.1*2</f>
        <v>8.1999999999999993</v>
      </c>
      <c r="C83" s="75">
        <f>+A83*B83</f>
        <v>76.387591999999998</v>
      </c>
      <c r="D83" s="75">
        <v>0</v>
      </c>
      <c r="E83" s="79">
        <f>+C83+D83</f>
        <v>76.387591999999998</v>
      </c>
      <c r="F83" s="72" t="s">
        <v>139</v>
      </c>
      <c r="G83" s="8"/>
    </row>
    <row r="84" spans="1:18" x14ac:dyDescent="0.3">
      <c r="A84" s="6"/>
      <c r="B84" s="7"/>
      <c r="C84" s="75"/>
      <c r="D84" s="75"/>
      <c r="E84" s="75"/>
      <c r="F84" s="75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0"/>
  <sheetViews>
    <sheetView topLeftCell="A38" zoomScale="80" zoomScaleNormal="80" workbookViewId="0">
      <selection activeCell="E52" sqref="E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1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+Desarrollo!B1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+Desarrollo!B4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94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185</v>
      </c>
      <c r="D16" s="17"/>
      <c r="E16" s="17"/>
      <c r="F16" s="45">
        <f>+Desarrollo!C90</f>
        <v>45.5</v>
      </c>
      <c r="G16" s="70" t="s">
        <v>73</v>
      </c>
      <c r="H16" s="71">
        <f>+Desarrollo!E90</f>
        <v>58.5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180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181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182</v>
      </c>
      <c r="D20" s="17"/>
      <c r="E20" s="17"/>
      <c r="F20" s="45">
        <f>+Desarrollo!C87</f>
        <v>43.5</v>
      </c>
      <c r="G20" s="70" t="s">
        <v>73</v>
      </c>
      <c r="H20" s="71">
        <f>+Desarrollo!E87</f>
        <v>56.5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9" t="s">
        <v>183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 t="s">
        <v>95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20" t="s">
        <v>88</v>
      </c>
      <c r="D23" s="5" t="s">
        <v>12</v>
      </c>
      <c r="E23" s="21" t="s">
        <v>89</v>
      </c>
      <c r="F23" s="1" t="s">
        <v>90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+Desarrollo!C89</f>
        <v>70</v>
      </c>
      <c r="D25" s="21" t="s">
        <v>14</v>
      </c>
      <c r="E25" s="23">
        <f>+Desarrollo!E89</f>
        <v>95</v>
      </c>
      <c r="F25" s="24">
        <f>+C25</f>
        <v>70</v>
      </c>
      <c r="G25" s="25" t="s">
        <v>14</v>
      </c>
      <c r="H25" s="25">
        <f>+E25</f>
        <v>95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45.5</v>
      </c>
      <c r="D26" s="27" t="s">
        <v>14</v>
      </c>
      <c r="E26" s="26">
        <f>+H16</f>
        <v>58.5</v>
      </c>
      <c r="F26" s="28">
        <f>+E26</f>
        <v>58.5</v>
      </c>
      <c r="G26" s="28" t="s">
        <v>14</v>
      </c>
      <c r="H26" s="28">
        <f>+C26</f>
        <v>45.5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1.5384615384615385</v>
      </c>
      <c r="D27" s="32"/>
      <c r="E27" s="31">
        <f>+E25/E26</f>
        <v>1.6239316239316239</v>
      </c>
      <c r="F27" s="31">
        <f>+F25/F26</f>
        <v>1.1965811965811965</v>
      </c>
      <c r="G27" s="32"/>
      <c r="H27" s="31">
        <f>+H25/H26</f>
        <v>2.087912087912088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1</v>
      </c>
      <c r="E28" s="36"/>
      <c r="F28" s="37"/>
      <c r="G28" s="38">
        <v>2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">
        <v>80</v>
      </c>
      <c r="D30" s="40" t="s">
        <v>20</v>
      </c>
      <c r="E30" s="41">
        <f>+F30/1000</f>
        <v>3.0860000000000003</v>
      </c>
      <c r="F30" s="93">
        <v>3086.0000000000005</v>
      </c>
      <c r="G30" s="1" t="s">
        <v>21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1.5430000000000001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1.5430000000000001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1.5430000000000001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1.8516000000000001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32</v>
      </c>
      <c r="C38" s="47">
        <v>2</v>
      </c>
      <c r="D38" s="48" t="s">
        <v>33</v>
      </c>
      <c r="E38" s="10" t="s">
        <v>30</v>
      </c>
      <c r="F38" s="11" t="s">
        <v>31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35</v>
      </c>
      <c r="E39" s="13"/>
      <c r="F39" s="14" t="s">
        <v>34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20</v>
      </c>
      <c r="D40" s="23">
        <v>300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320</v>
      </c>
      <c r="F41" s="43" t="s">
        <v>37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160</v>
      </c>
      <c r="F42" s="43" t="s">
        <v>39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320</v>
      </c>
      <c r="F43" s="43" t="s">
        <v>41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42</v>
      </c>
      <c r="G44" s="22">
        <f>+C40/1000</f>
        <v>0.02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43</v>
      </c>
      <c r="G45" s="47">
        <f>+C41</f>
        <v>320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320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68</v>
      </c>
      <c r="B48" s="20">
        <f>+Desarrollo!B7</f>
        <v>20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</row>
    <row r="49" spans="1:24" x14ac:dyDescent="0.3">
      <c r="A49" s="51" t="s">
        <v>50</v>
      </c>
      <c r="B49" s="52"/>
      <c r="C49" s="3"/>
      <c r="D49" s="20">
        <v>4</v>
      </c>
      <c r="E49" s="20">
        <v>1</v>
      </c>
      <c r="F49" s="20" t="s">
        <v>51</v>
      </c>
      <c r="G49" s="29">
        <f>185+145</f>
        <v>330</v>
      </c>
      <c r="H49" s="29">
        <f>+(D49*E49)*G49</f>
        <v>1320</v>
      </c>
    </row>
    <row r="50" spans="1:24" x14ac:dyDescent="0.3">
      <c r="A50" s="52" t="s">
        <v>52</v>
      </c>
      <c r="B50" s="53">
        <f>+E34*C42</f>
        <v>246.88000000000002</v>
      </c>
      <c r="C50" s="3"/>
      <c r="D50" s="20">
        <v>4</v>
      </c>
      <c r="E50" s="20">
        <v>1</v>
      </c>
      <c r="F50" s="20" t="s">
        <v>69</v>
      </c>
      <c r="G50" s="29">
        <v>145</v>
      </c>
      <c r="H50" s="29">
        <f>+(D50*E50)*G50</f>
        <v>580</v>
      </c>
    </row>
    <row r="51" spans="1:24" x14ac:dyDescent="0.3">
      <c r="A51" s="52" t="s">
        <v>10</v>
      </c>
      <c r="B51" s="53">
        <f>+H61</f>
        <v>2550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</row>
    <row r="52" spans="1:24" x14ac:dyDescent="0.3">
      <c r="A52" s="52"/>
      <c r="B52" s="53"/>
      <c r="C52" s="3"/>
      <c r="D52" s="20">
        <v>1</v>
      </c>
      <c r="E52" s="20">
        <v>1</v>
      </c>
      <c r="F52" s="20" t="s">
        <v>96</v>
      </c>
      <c r="G52" s="29">
        <v>100</v>
      </c>
      <c r="H52" s="29">
        <f t="shared" ref="H52:H59" si="0">+G52*E52</f>
        <v>100</v>
      </c>
      <c r="I52" s="60">
        <f>+(B73/100)*2</f>
        <v>92.747669999999999</v>
      </c>
    </row>
    <row r="53" spans="1:24" ht="16.5" x14ac:dyDescent="0.3">
      <c r="A53" s="52" t="s">
        <v>24</v>
      </c>
      <c r="B53" s="53">
        <v>0</v>
      </c>
      <c r="C53" s="3"/>
      <c r="D53" s="20">
        <v>0</v>
      </c>
      <c r="E53" s="20">
        <v>0</v>
      </c>
      <c r="F53" s="20" t="s">
        <v>70</v>
      </c>
      <c r="G53" s="29">
        <v>145</v>
      </c>
      <c r="H53" s="29">
        <f t="shared" si="0"/>
        <v>0</v>
      </c>
      <c r="I53" s="54"/>
    </row>
    <row r="54" spans="1:24" x14ac:dyDescent="0.3">
      <c r="A54" s="55" t="s">
        <v>134</v>
      </c>
      <c r="B54" s="53">
        <f>+((F20*H20)*0.14)</f>
        <v>344.08500000000004</v>
      </c>
      <c r="C54" s="3"/>
      <c r="D54" s="20">
        <v>0</v>
      </c>
      <c r="E54" s="20">
        <v>0</v>
      </c>
      <c r="F54" s="20" t="s">
        <v>71</v>
      </c>
      <c r="G54" s="29">
        <v>145</v>
      </c>
      <c r="H54" s="29">
        <f t="shared" si="0"/>
        <v>0</v>
      </c>
    </row>
    <row r="55" spans="1:24" x14ac:dyDescent="0.3">
      <c r="A55" s="55" t="s">
        <v>93</v>
      </c>
      <c r="B55" s="53">
        <v>0</v>
      </c>
      <c r="D55" s="20">
        <v>0</v>
      </c>
      <c r="E55" s="20">
        <v>0</v>
      </c>
      <c r="F55" s="20" t="s">
        <v>91</v>
      </c>
      <c r="G55" s="29">
        <v>120</v>
      </c>
      <c r="H55" s="29">
        <f>+G55*E55</f>
        <v>0</v>
      </c>
    </row>
    <row r="56" spans="1:24" x14ac:dyDescent="0.3">
      <c r="A56" s="55" t="s">
        <v>92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</row>
    <row r="57" spans="1:24" ht="15.75" x14ac:dyDescent="0.3">
      <c r="A57" s="55"/>
      <c r="B57" s="55"/>
      <c r="D57" s="20">
        <v>0</v>
      </c>
      <c r="E57" s="20">
        <v>0</v>
      </c>
      <c r="F57" s="20" t="s">
        <v>135</v>
      </c>
      <c r="G57" s="29">
        <f>+E83</f>
        <v>341.64479999999998</v>
      </c>
      <c r="H57" s="29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3140.9650000000001</v>
      </c>
      <c r="C58" s="3"/>
      <c r="D58" s="20">
        <v>1</v>
      </c>
      <c r="E58" s="20">
        <v>1</v>
      </c>
      <c r="F58" s="3" t="s">
        <v>56</v>
      </c>
      <c r="G58" s="29">
        <f>+G80</f>
        <v>550</v>
      </c>
      <c r="H58" s="29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157.04825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2550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3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+B73/C40</f>
        <v>231.86917499999998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72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296.25600000000003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3825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Tabla de suaje</v>
      </c>
      <c r="B68" s="53">
        <f>+B53*H62</f>
        <v>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Pruebas de color</v>
      </c>
      <c r="B69" s="53">
        <f>+B54*H62</f>
        <v>516.12750000000005</v>
      </c>
      <c r="C69" s="60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0</v>
      </c>
      <c r="C70" s="60"/>
      <c r="F70" s="61" t="s">
        <v>65</v>
      </c>
      <c r="G70" s="31">
        <f>+B60</f>
        <v>157.04825</v>
      </c>
      <c r="H70" s="62">
        <f>+G70*B48</f>
        <v>3140.9650000000001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2" t="str">
        <f>+A56</f>
        <v>Encuadernación</v>
      </c>
      <c r="B71" s="53">
        <f>+B56*H62</f>
        <v>0</v>
      </c>
      <c r="C71" s="63"/>
      <c r="F71" s="61" t="s">
        <v>66</v>
      </c>
      <c r="G71" s="31">
        <f>+C73</f>
        <v>231.86917499999998</v>
      </c>
      <c r="H71" s="62">
        <f>+G71*B48</f>
        <v>4637.3834999999999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/>
      <c r="B72" s="53"/>
      <c r="C72" s="63"/>
      <c r="F72" s="64" t="s">
        <v>67</v>
      </c>
      <c r="G72" s="65">
        <f>+G71-G70</f>
        <v>74.820924999999988</v>
      </c>
      <c r="H72" s="94">
        <f>+G72*B48</f>
        <v>1496.4184999999998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1" t="s">
        <v>55</v>
      </c>
      <c r="B73" s="56">
        <f>SUM(B65:B72)</f>
        <v>4637.3834999999999</v>
      </c>
      <c r="C73" s="65">
        <f>+B73/B48</f>
        <v>231.86917499999998</v>
      </c>
      <c r="D73" s="5" t="s">
        <v>141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C74" s="74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C75" s="74"/>
      <c r="D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A76" s="5"/>
      <c r="C76" s="62"/>
      <c r="D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6.5" thickBot="1" x14ac:dyDescent="0.35">
      <c r="A77" s="5" t="s">
        <v>136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100</v>
      </c>
      <c r="B78" s="11"/>
      <c r="C78" s="11"/>
      <c r="D78" s="11"/>
      <c r="E78" s="11"/>
      <c r="F78" s="11"/>
      <c r="G78" s="12"/>
      <c r="J78"/>
    </row>
    <row r="79" spans="1:24" ht="15.75" x14ac:dyDescent="0.3">
      <c r="A79" s="45">
        <f>+F16</f>
        <v>45.5</v>
      </c>
      <c r="B79" s="70">
        <f>+H16</f>
        <v>58.5</v>
      </c>
      <c r="C79" s="7" t="s">
        <v>99</v>
      </c>
      <c r="D79" s="70" t="s">
        <v>101</v>
      </c>
      <c r="E79" s="7" t="s">
        <v>102</v>
      </c>
      <c r="F79" s="72" t="s">
        <v>138</v>
      </c>
      <c r="G79" s="8"/>
      <c r="J79"/>
    </row>
    <row r="80" spans="1:24" ht="15.75" x14ac:dyDescent="0.3">
      <c r="A80" s="45">
        <f>0.434*0.4*C41</f>
        <v>55.552</v>
      </c>
      <c r="B80" s="75">
        <v>4</v>
      </c>
      <c r="C80" s="75">
        <f>+A80*B80</f>
        <v>222.208</v>
      </c>
      <c r="D80" s="75">
        <v>0</v>
      </c>
      <c r="E80" s="79">
        <f>+C80+D80</f>
        <v>222.208</v>
      </c>
      <c r="F80" s="95" t="s">
        <v>137</v>
      </c>
      <c r="G80" s="123">
        <v>550</v>
      </c>
      <c r="J80"/>
    </row>
    <row r="81" spans="1:18" ht="15.75" x14ac:dyDescent="0.3">
      <c r="A81" s="6"/>
      <c r="B81" s="75"/>
      <c r="C81" s="75"/>
      <c r="D81" s="75"/>
      <c r="E81" s="75"/>
      <c r="G81" s="8"/>
      <c r="J81"/>
    </row>
    <row r="82" spans="1:18" ht="16.5" x14ac:dyDescent="0.3">
      <c r="A82" s="45">
        <f>+A79</f>
        <v>45.5</v>
      </c>
      <c r="B82" s="70">
        <f>+B79</f>
        <v>58.5</v>
      </c>
      <c r="C82" s="7" t="s">
        <v>99</v>
      </c>
      <c r="D82" s="70" t="s">
        <v>101</v>
      </c>
      <c r="E82" s="7" t="s">
        <v>102</v>
      </c>
      <c r="F82" s="95" t="s">
        <v>137</v>
      </c>
      <c r="G82" s="80">
        <v>550</v>
      </c>
      <c r="J82"/>
      <c r="K82" s="54"/>
      <c r="L82" s="54"/>
      <c r="M82" s="54"/>
      <c r="N82" s="54"/>
      <c r="O82" s="54"/>
      <c r="P82" s="54"/>
      <c r="Q82" s="54"/>
      <c r="R82" s="54"/>
    </row>
    <row r="83" spans="1:18" ht="16.5" x14ac:dyDescent="0.3">
      <c r="A83" s="45">
        <f>0.434*0.4*C41</f>
        <v>55.552</v>
      </c>
      <c r="B83" s="75">
        <f>4.1*1.5</f>
        <v>6.1499999999999995</v>
      </c>
      <c r="C83" s="75">
        <f>+A83*B83</f>
        <v>341.64479999999998</v>
      </c>
      <c r="D83" s="75">
        <v>0</v>
      </c>
      <c r="E83" s="79">
        <f>+C83+D83</f>
        <v>341.64479999999998</v>
      </c>
      <c r="F83" s="72" t="s">
        <v>139</v>
      </c>
      <c r="G83" s="8"/>
      <c r="J83"/>
      <c r="K83" s="54"/>
      <c r="L83" s="54"/>
      <c r="M83" s="54"/>
      <c r="N83" s="54"/>
      <c r="O83" s="54"/>
      <c r="P83" s="54"/>
      <c r="Q83" s="54"/>
      <c r="R83" s="54"/>
    </row>
    <row r="84" spans="1:18" ht="16.5" x14ac:dyDescent="0.3">
      <c r="A84" s="6"/>
      <c r="B84" s="7"/>
      <c r="C84" s="75"/>
      <c r="D84" s="75"/>
      <c r="E84" s="75"/>
      <c r="F84" s="75"/>
      <c r="G84" s="8"/>
      <c r="J84"/>
      <c r="K84" s="54"/>
      <c r="L84" s="54"/>
      <c r="M84" s="54"/>
      <c r="N84" s="54"/>
      <c r="O84" s="54"/>
      <c r="P84" s="54"/>
      <c r="Q84" s="54"/>
      <c r="R84" s="54"/>
    </row>
    <row r="85" spans="1:18" ht="17.25" thickBot="1" x14ac:dyDescent="0.35">
      <c r="A85" s="13"/>
      <c r="B85" s="14"/>
      <c r="C85" s="14"/>
      <c r="D85" s="14"/>
      <c r="E85" s="14"/>
      <c r="F85" s="14"/>
      <c r="G85" s="15"/>
      <c r="J85"/>
      <c r="K85" s="54"/>
      <c r="L85" s="54"/>
      <c r="M85" s="54"/>
      <c r="N85" s="54"/>
      <c r="O85" s="54"/>
      <c r="P85" s="54"/>
      <c r="Q85" s="54"/>
      <c r="R85" s="54"/>
    </row>
    <row r="86" spans="1:18" ht="16.5" x14ac:dyDescent="0.3">
      <c r="J86"/>
      <c r="K86" s="54"/>
      <c r="L86" s="54"/>
      <c r="M86" s="54"/>
      <c r="N86" s="54"/>
      <c r="O86" s="54"/>
      <c r="P86" s="54"/>
      <c r="Q86" s="54"/>
      <c r="R86" s="54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</sheetData>
  <pageMargins left="0.70866141732283472" right="0.70866141732283472" top="0.74803149606299213" bottom="0.74803149606299213" header="0.31496062992125984" footer="0.31496062992125984"/>
  <pageSetup scale="43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zoomScale="80" zoomScaleNormal="80" workbookViewId="0">
      <selection activeCell="A28" sqref="A2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2.28515625" style="1" customWidth="1"/>
    <col min="4" max="4" width="9.7109375" style="1" customWidth="1"/>
    <col min="5" max="5" width="14.28515625" style="1" customWidth="1"/>
    <col min="6" max="6" width="15.42578125" style="1" customWidth="1"/>
    <col min="7" max="7" width="13.42578125" style="1" customWidth="1"/>
    <col min="8" max="8" width="10.42578125" style="1" customWidth="1"/>
    <col min="9" max="9" width="14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tr">
        <f>+'Forro Caja EXT'!C9</f>
        <v>23 de junio de 2017.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tr">
        <f>+Desarrollo!B3</f>
        <v>Braya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tr">
        <f>+'forro cartera guarda'!C13</f>
        <v>Magnum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8" t="s">
        <v>94</v>
      </c>
      <c r="D15" s="17"/>
      <c r="E15" s="17"/>
      <c r="F15" s="69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6" t="s">
        <v>185</v>
      </c>
      <c r="D16" s="17"/>
      <c r="E16" s="17"/>
      <c r="F16" s="45">
        <f>+Desarrollo!C97</f>
        <v>50.5</v>
      </c>
      <c r="G16" s="70" t="s">
        <v>73</v>
      </c>
      <c r="H16" s="71">
        <f>+Desarrollo!E97</f>
        <v>63.5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6" t="s">
        <v>85</v>
      </c>
      <c r="D17" s="17"/>
      <c r="E17" s="17"/>
      <c r="F17" s="69">
        <v>1</v>
      </c>
      <c r="G17" s="72" t="s">
        <v>74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6" t="s">
        <v>180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6" t="s">
        <v>181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19" t="s">
        <v>182</v>
      </c>
      <c r="D20" s="17"/>
      <c r="E20" s="17"/>
      <c r="F20" s="45">
        <f>+Desarrollo!C94</f>
        <v>46.5</v>
      </c>
      <c r="G20" s="70" t="s">
        <v>73</v>
      </c>
      <c r="H20" s="71">
        <f>+Desarrollo!E94</f>
        <v>59.5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9" t="s">
        <v>183</v>
      </c>
      <c r="D21" s="17"/>
      <c r="E21" s="17"/>
      <c r="F21" s="45"/>
      <c r="G21" s="70"/>
      <c r="H21" s="71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 t="s">
        <v>95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11</v>
      </c>
      <c r="C23" s="20" t="s">
        <v>88</v>
      </c>
      <c r="D23" s="5" t="s">
        <v>12</v>
      </c>
      <c r="E23" s="21" t="s">
        <v>89</v>
      </c>
      <c r="F23" s="1" t="s">
        <v>90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13</v>
      </c>
      <c r="C25" s="22">
        <f>+Desarrollo!C96</f>
        <v>72</v>
      </c>
      <c r="D25" s="21" t="s">
        <v>14</v>
      </c>
      <c r="E25" s="23">
        <f>+Desarrollo!E96</f>
        <v>102</v>
      </c>
      <c r="F25" s="24">
        <f>+C25</f>
        <v>72</v>
      </c>
      <c r="G25" s="25" t="s">
        <v>14</v>
      </c>
      <c r="H25" s="25">
        <f>+E25</f>
        <v>102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</v>
      </c>
      <c r="B26" s="3"/>
      <c r="C26" s="26">
        <f>+F16</f>
        <v>50.5</v>
      </c>
      <c r="D26" s="27" t="s">
        <v>14</v>
      </c>
      <c r="E26" s="26">
        <f>+H16</f>
        <v>63.5</v>
      </c>
      <c r="F26" s="28">
        <f>+E26</f>
        <v>63.5</v>
      </c>
      <c r="G26" s="28" t="s">
        <v>14</v>
      </c>
      <c r="H26" s="28">
        <f>+C26</f>
        <v>50.5</v>
      </c>
      <c r="I26" s="29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16</v>
      </c>
      <c r="B27" s="30"/>
      <c r="C27" s="31">
        <f>+C25/C26</f>
        <v>1.4257425742574257</v>
      </c>
      <c r="D27" s="32"/>
      <c r="E27" s="31">
        <f>+E25/E26</f>
        <v>1.6062992125984252</v>
      </c>
      <c r="F27" s="31">
        <f>+F25/F26</f>
        <v>1.1338582677165354</v>
      </c>
      <c r="G27" s="32"/>
      <c r="H27" s="31">
        <f>+H25/H26</f>
        <v>2.0198019801980198</v>
      </c>
      <c r="I27" s="29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17</v>
      </c>
      <c r="B28" s="33"/>
      <c r="C28" s="34"/>
      <c r="D28" s="35">
        <v>1</v>
      </c>
      <c r="E28" s="36"/>
      <c r="F28" s="37"/>
      <c r="G28" s="38">
        <v>2</v>
      </c>
      <c r="H28" s="39" t="s">
        <v>18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4" t="s">
        <v>19</v>
      </c>
      <c r="B30" s="24" t="s">
        <v>80</v>
      </c>
      <c r="D30" s="40" t="s">
        <v>20</v>
      </c>
      <c r="E30" s="41">
        <f>+F30/1000</f>
        <v>4.1390000000000002</v>
      </c>
      <c r="F30" s="93">
        <v>4139</v>
      </c>
      <c r="G30" s="1" t="s">
        <v>21</v>
      </c>
      <c r="H30" s="42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2.0695000000000001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2.0695000000000001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2.0695000000000001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+E34*1.2</f>
        <v>2.4834000000000001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B37" s="20"/>
      <c r="C37" s="29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32</v>
      </c>
      <c r="C38" s="47">
        <v>2</v>
      </c>
      <c r="D38" s="48" t="s">
        <v>33</v>
      </c>
      <c r="E38" s="10" t="s">
        <v>30</v>
      </c>
      <c r="F38" s="11" t="s">
        <v>31</v>
      </c>
      <c r="G38" s="11"/>
      <c r="H38" s="12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/>
      <c r="C39" s="20"/>
      <c r="D39" s="1" t="s">
        <v>35</v>
      </c>
      <c r="E39" s="13"/>
      <c r="F39" s="14" t="s">
        <v>34</v>
      </c>
      <c r="G39" s="14"/>
      <c r="H39" s="15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20</v>
      </c>
      <c r="D40" s="23">
        <v>500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520</v>
      </c>
      <c r="F41" s="43" t="s">
        <v>37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260</v>
      </c>
      <c r="F42" s="43" t="s">
        <v>39</v>
      </c>
      <c r="G42" s="22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83</v>
      </c>
      <c r="C43" s="20">
        <f>+(C42*C38)*F17</f>
        <v>520</v>
      </c>
      <c r="F43" s="43" t="s">
        <v>41</v>
      </c>
      <c r="G43" s="22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0" t="s">
        <v>42</v>
      </c>
      <c r="G44" s="22">
        <f>+C40/1000</f>
        <v>0.02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 t="s">
        <v>43</v>
      </c>
      <c r="G45" s="47">
        <f>+C41</f>
        <v>520</v>
      </c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520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x14ac:dyDescent="0.3">
      <c r="A47" s="3"/>
      <c r="B47" s="3"/>
      <c r="C47" s="3"/>
      <c r="D47" s="3"/>
      <c r="E47" s="3"/>
      <c r="H47" s="3"/>
    </row>
    <row r="48" spans="1:19" ht="15.75" x14ac:dyDescent="0.3">
      <c r="A48" s="4" t="s">
        <v>68</v>
      </c>
      <c r="B48" s="20">
        <f>+Desarrollo!B7</f>
        <v>20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4</v>
      </c>
      <c r="E49" s="20">
        <v>1</v>
      </c>
      <c r="F49" s="20" t="s">
        <v>51</v>
      </c>
      <c r="G49" s="29">
        <f>185+145</f>
        <v>330</v>
      </c>
      <c r="H49" s="29">
        <f>+(D49*E49)*G49</f>
        <v>1320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538.07000000000005</v>
      </c>
      <c r="C50" s="3"/>
      <c r="D50" s="20">
        <v>4</v>
      </c>
      <c r="E50" s="20">
        <v>1</v>
      </c>
      <c r="F50" s="20" t="s">
        <v>69</v>
      </c>
      <c r="G50" s="29">
        <v>145</v>
      </c>
      <c r="H50" s="29">
        <f>+(D50*E50)*G50</f>
        <v>580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+H64</f>
        <v>2890</v>
      </c>
      <c r="C51" s="3"/>
      <c r="D51" s="20">
        <v>0</v>
      </c>
      <c r="E51" s="20">
        <v>0</v>
      </c>
      <c r="F51" s="20" t="s">
        <v>75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142</v>
      </c>
      <c r="B52" s="53">
        <v>0</v>
      </c>
      <c r="C52" s="3"/>
      <c r="D52" s="20">
        <v>1</v>
      </c>
      <c r="E52" s="20">
        <v>1</v>
      </c>
      <c r="F52" s="20" t="s">
        <v>96</v>
      </c>
      <c r="G52" s="29">
        <v>150</v>
      </c>
      <c r="H52" s="29">
        <f t="shared" ref="H52:H54" si="0">+G52*E52</f>
        <v>150</v>
      </c>
      <c r="I52" s="29">
        <f>+(B75/100)*2</f>
        <v>151.31403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2" t="s">
        <v>176</v>
      </c>
      <c r="B53" s="53">
        <f>+((F20*H20)*0.14)</f>
        <v>387.34500000000003</v>
      </c>
      <c r="C53" s="3"/>
      <c r="D53" s="20">
        <v>1</v>
      </c>
      <c r="E53" s="20">
        <v>1</v>
      </c>
      <c r="F53" s="20" t="s">
        <v>70</v>
      </c>
      <c r="G53" s="29">
        <v>145</v>
      </c>
      <c r="H53" s="29">
        <f t="shared" si="0"/>
        <v>145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143</v>
      </c>
      <c r="B54" s="53">
        <f>+((8+8)*B48)*1.1</f>
        <v>352</v>
      </c>
      <c r="C54" s="3"/>
      <c r="D54" s="20">
        <v>1</v>
      </c>
      <c r="E54" s="20">
        <v>1</v>
      </c>
      <c r="F54" s="20" t="s">
        <v>71</v>
      </c>
      <c r="G54" s="29">
        <v>145</v>
      </c>
      <c r="H54" s="29">
        <f t="shared" si="0"/>
        <v>145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92</v>
      </c>
      <c r="B55" s="53">
        <f>(40*B48)*1.1</f>
        <v>880.00000000000011</v>
      </c>
      <c r="D55" s="20">
        <v>0</v>
      </c>
      <c r="E55" s="20">
        <v>0</v>
      </c>
      <c r="F55" s="20" t="s">
        <v>144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145</v>
      </c>
      <c r="B56" s="53">
        <v>100</v>
      </c>
      <c r="D56" s="20">
        <v>0</v>
      </c>
      <c r="E56" s="20">
        <v>0</v>
      </c>
      <c r="F56" s="20" t="s">
        <v>146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147</v>
      </c>
      <c r="B57" s="53">
        <v>180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9" si="1">+G57*E57</f>
        <v>0</v>
      </c>
      <c r="O57"/>
      <c r="P57"/>
      <c r="Q57"/>
    </row>
    <row r="58" spans="1:21" ht="15.75" x14ac:dyDescent="0.3">
      <c r="A58" s="51" t="s">
        <v>55</v>
      </c>
      <c r="B58" s="56">
        <f>SUM(B50:B56)</f>
        <v>5147.415</v>
      </c>
      <c r="C58" s="3"/>
      <c r="D58" s="20">
        <v>1</v>
      </c>
      <c r="E58" s="20">
        <v>1</v>
      </c>
      <c r="F58" s="3" t="s">
        <v>56</v>
      </c>
      <c r="G58" s="29">
        <f>+G106</f>
        <v>550</v>
      </c>
      <c r="H58" s="29">
        <f t="shared" si="1"/>
        <v>550</v>
      </c>
      <c r="O58"/>
      <c r="P58"/>
      <c r="Q58"/>
    </row>
    <row r="59" spans="1:21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O59"/>
      <c r="P59"/>
      <c r="Q59"/>
      <c r="S59"/>
      <c r="T59"/>
      <c r="U59"/>
    </row>
    <row r="60" spans="1:21" ht="15.75" x14ac:dyDescent="0.3">
      <c r="A60" s="9"/>
      <c r="B60" s="31">
        <f>+B58/B48</f>
        <v>257.37074999999999</v>
      </c>
      <c r="C60" s="4" t="s">
        <v>57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60</v>
      </c>
      <c r="B64" s="3"/>
      <c r="C64" s="3"/>
      <c r="E64" s="31"/>
      <c r="F64" s="3"/>
      <c r="G64" s="58" t="s">
        <v>58</v>
      </c>
      <c r="H64" s="29">
        <f>SUM(H49:H60)</f>
        <v>2890</v>
      </c>
      <c r="O64"/>
      <c r="P64"/>
      <c r="Q64"/>
      <c r="S64"/>
      <c r="T64"/>
      <c r="U64"/>
    </row>
    <row r="65" spans="1:21" ht="15.75" x14ac:dyDescent="0.3">
      <c r="A65" s="3"/>
      <c r="B65" s="4" t="s">
        <v>62</v>
      </c>
      <c r="C65" s="24" t="s">
        <v>63</v>
      </c>
      <c r="D65" s="3"/>
      <c r="E65" s="3"/>
      <c r="G65" s="5" t="s">
        <v>59</v>
      </c>
      <c r="H65" s="73">
        <v>1.5</v>
      </c>
      <c r="O65"/>
      <c r="P65"/>
      <c r="Q65"/>
      <c r="S65"/>
      <c r="T65"/>
      <c r="U65"/>
    </row>
    <row r="66" spans="1:21" ht="15.75" x14ac:dyDescent="0.3">
      <c r="A66" s="51" t="s">
        <v>64</v>
      </c>
      <c r="B66" s="52"/>
      <c r="C66" s="3"/>
      <c r="D66" s="3"/>
      <c r="E66" s="3"/>
      <c r="G66" s="1" t="s">
        <v>61</v>
      </c>
      <c r="H66" s="59">
        <v>1.75</v>
      </c>
      <c r="O66"/>
      <c r="P66"/>
      <c r="Q66"/>
      <c r="S66"/>
      <c r="T66"/>
      <c r="U66"/>
    </row>
    <row r="67" spans="1:21" ht="15.75" x14ac:dyDescent="0.3">
      <c r="A67" s="52" t="s">
        <v>52</v>
      </c>
      <c r="B67" s="53">
        <f>+E35*C42</f>
        <v>645.68399999999997</v>
      </c>
      <c r="C67" s="60"/>
      <c r="F67" s="3"/>
      <c r="G67" s="1" t="s">
        <v>61</v>
      </c>
      <c r="H67" s="59">
        <v>2</v>
      </c>
      <c r="O67"/>
      <c r="P67"/>
      <c r="Q67"/>
      <c r="S67"/>
      <c r="T67"/>
      <c r="U67"/>
    </row>
    <row r="68" spans="1:21" ht="15.75" x14ac:dyDescent="0.3">
      <c r="A68" s="52" t="s">
        <v>10</v>
      </c>
      <c r="B68" s="53">
        <f>+H64*H65</f>
        <v>4335</v>
      </c>
      <c r="C68" s="60"/>
      <c r="F68" s="3"/>
      <c r="G68" s="5" t="s">
        <v>72</v>
      </c>
      <c r="H68" s="59">
        <v>2.5</v>
      </c>
      <c r="O68"/>
      <c r="P68"/>
      <c r="Q68"/>
      <c r="S68"/>
      <c r="T68"/>
      <c r="U68"/>
    </row>
    <row r="69" spans="1:21" ht="15.75" x14ac:dyDescent="0.3">
      <c r="A69" s="52" t="str">
        <f>+A52</f>
        <v>Tabla de suaje + Placa</v>
      </c>
      <c r="B69" s="53">
        <f>+B52*H65</f>
        <v>0</v>
      </c>
      <c r="C69" s="60"/>
      <c r="O69"/>
      <c r="P69"/>
      <c r="Q69"/>
      <c r="S69"/>
      <c r="T69"/>
      <c r="U69"/>
    </row>
    <row r="70" spans="1:21" ht="15.75" x14ac:dyDescent="0.3">
      <c r="A70" s="52" t="str">
        <f>+A53</f>
        <v>Prueba de Color</v>
      </c>
      <c r="B70" s="53">
        <f>+B53*H65</f>
        <v>581.01750000000004</v>
      </c>
      <c r="C70" s="60"/>
      <c r="O70"/>
      <c r="P70"/>
      <c r="Q70"/>
      <c r="S70"/>
      <c r="T70"/>
      <c r="U70"/>
    </row>
    <row r="71" spans="1:21" ht="15.75" x14ac:dyDescent="0.3">
      <c r="A71" s="52" t="s">
        <v>143</v>
      </c>
      <c r="B71" s="53">
        <f>+C99</f>
        <v>264</v>
      </c>
      <c r="C71" s="63"/>
      <c r="G71" s="61" t="s">
        <v>65</v>
      </c>
      <c r="H71" s="31">
        <f>+B60</f>
        <v>257.37074999999999</v>
      </c>
      <c r="I71" s="62">
        <f>+H71*B48</f>
        <v>5147.415</v>
      </c>
      <c r="O71"/>
      <c r="P71"/>
      <c r="Q71"/>
      <c r="S71"/>
      <c r="T71"/>
      <c r="U71"/>
    </row>
    <row r="72" spans="1:21" ht="15.75" x14ac:dyDescent="0.3">
      <c r="A72" s="52" t="str">
        <f>+A55</f>
        <v>Encuadernación</v>
      </c>
      <c r="B72" s="53">
        <f>+B55*H65</f>
        <v>1320.0000000000002</v>
      </c>
      <c r="C72" s="63"/>
      <c r="G72" s="61" t="s">
        <v>66</v>
      </c>
      <c r="H72" s="31">
        <f>+C75</f>
        <v>378.28507500000001</v>
      </c>
      <c r="I72" s="62">
        <f>+H72*B48</f>
        <v>7565.7015000000001</v>
      </c>
      <c r="O72"/>
      <c r="P72"/>
      <c r="Q72"/>
      <c r="S72"/>
      <c r="T72"/>
      <c r="U72"/>
    </row>
    <row r="73" spans="1:21" ht="15.75" x14ac:dyDescent="0.3">
      <c r="A73" s="52" t="str">
        <f>+A56</f>
        <v>Empaque</v>
      </c>
      <c r="B73" s="53">
        <f>+B56*H65</f>
        <v>150</v>
      </c>
      <c r="C73" s="63"/>
      <c r="G73" s="64" t="s">
        <v>67</v>
      </c>
      <c r="H73" s="65">
        <f>+H72-H71</f>
        <v>120.91432500000002</v>
      </c>
      <c r="I73" s="94">
        <f>+H73*B48</f>
        <v>2418.2865000000002</v>
      </c>
      <c r="O73"/>
      <c r="P73"/>
      <c r="Q73"/>
      <c r="S73"/>
      <c r="T73"/>
      <c r="U73"/>
    </row>
    <row r="74" spans="1:21" ht="15.75" x14ac:dyDescent="0.3">
      <c r="A74" s="52" t="str">
        <f>+A57</f>
        <v>Envio</v>
      </c>
      <c r="B74" s="53">
        <f>+B57*H65</f>
        <v>270</v>
      </c>
      <c r="C74" s="65" t="s">
        <v>148</v>
      </c>
      <c r="D74" s="25"/>
      <c r="E74" s="25"/>
      <c r="F74" s="25" t="s">
        <v>65</v>
      </c>
      <c r="G74" s="126" t="s">
        <v>149</v>
      </c>
      <c r="H74" s="126"/>
      <c r="I74" s="96">
        <f>+(A81/100)*2.5</f>
        <v>520.48672499999998</v>
      </c>
      <c r="O74"/>
      <c r="P74"/>
      <c r="Q74"/>
      <c r="S74"/>
      <c r="T74"/>
      <c r="U74"/>
    </row>
    <row r="75" spans="1:21" ht="15.75" x14ac:dyDescent="0.3">
      <c r="A75" s="51" t="s">
        <v>55</v>
      </c>
      <c r="B75" s="56">
        <f>SUM(B66:B74)</f>
        <v>7565.7015000000001</v>
      </c>
      <c r="C75" s="65">
        <f>+B75/B48</f>
        <v>378.28507500000001</v>
      </c>
      <c r="D75" s="5" t="s">
        <v>175</v>
      </c>
      <c r="F75" s="74">
        <f>+B60</f>
        <v>257.37074999999999</v>
      </c>
      <c r="G75" s="7"/>
      <c r="O75"/>
      <c r="P75"/>
      <c r="Q75"/>
      <c r="S75"/>
      <c r="T75"/>
      <c r="U75"/>
    </row>
    <row r="76" spans="1:21" ht="15.75" x14ac:dyDescent="0.3">
      <c r="C76" s="74">
        <f>+'forro cartera guarda'!C73</f>
        <v>231.86917499999998</v>
      </c>
      <c r="D76" s="5" t="str">
        <f>+'forro cartera guarda'!D73</f>
        <v>forro cartera guarda</v>
      </c>
      <c r="F76" s="74">
        <f>+'forro cartera guarda'!B60</f>
        <v>157.04825</v>
      </c>
      <c r="O76"/>
      <c r="P76"/>
      <c r="Q76"/>
    </row>
    <row r="77" spans="1:21" ht="15.75" x14ac:dyDescent="0.3">
      <c r="C77" s="74">
        <f>+'Forro Caja EXT'!C73</f>
        <v>190.89000000000001</v>
      </c>
      <c r="D77" s="5" t="str">
        <f>+'Forro Caja EXT'!D73</f>
        <v>forro caja EXT</v>
      </c>
      <c r="E77" s="5"/>
      <c r="F77" s="74">
        <f>+'Forro Caja EXT'!B60</f>
        <v>137.69999999999999</v>
      </c>
      <c r="O77"/>
      <c r="P77"/>
      <c r="Q77"/>
    </row>
    <row r="78" spans="1:21" x14ac:dyDescent="0.3">
      <c r="A78" s="5"/>
      <c r="C78" s="74">
        <f>+'Empalme Caja INT'!C73</f>
        <v>112.53</v>
      </c>
      <c r="D78" s="5" t="str">
        <f>+'Empalme Caja INT'!D73</f>
        <v>EMPALME caja INT</v>
      </c>
      <c r="E78" s="5"/>
      <c r="F78" s="74">
        <f>+'Empalme Caja INT'!B60</f>
        <v>87.2</v>
      </c>
      <c r="J78" s="7"/>
    </row>
    <row r="79" spans="1:21" x14ac:dyDescent="0.3">
      <c r="B79" s="66"/>
      <c r="C79" s="74">
        <f>+'cartón cartera'!C72</f>
        <v>50.916399999999996</v>
      </c>
      <c r="D79" s="5" t="str">
        <f>+'cartón cartera'!D72</f>
        <v>cartón cartera</v>
      </c>
      <c r="E79" s="5"/>
      <c r="F79" s="74">
        <f>+'cartón cartera'!B60</f>
        <v>40.036000000000001</v>
      </c>
    </row>
    <row r="80" spans="1:21" x14ac:dyDescent="0.3">
      <c r="C80" s="76">
        <f>+'cartón caja'!C72</f>
        <v>76.482799999999997</v>
      </c>
      <c r="D80" s="5" t="str">
        <f>+'cartón caja'!D72</f>
        <v>cartón caja</v>
      </c>
      <c r="E80" s="5"/>
      <c r="F80" s="76">
        <f>+'cartón caja'!B60</f>
        <v>60.572000000000003</v>
      </c>
    </row>
    <row r="81" spans="1:18" ht="15.75" customHeight="1" x14ac:dyDescent="0.3">
      <c r="A81" s="127">
        <f>+C81*B48</f>
        <v>20819.468999999997</v>
      </c>
      <c r="B81" s="127"/>
      <c r="C81" s="78">
        <f>SUM(C75:C80)</f>
        <v>1040.97345</v>
      </c>
      <c r="D81" s="5" t="s">
        <v>97</v>
      </c>
      <c r="F81" s="97">
        <f>SUM(F75:F80)</f>
        <v>739.92700000000002</v>
      </c>
      <c r="G81" s="98">
        <f>+F81*B48</f>
        <v>14798.54</v>
      </c>
      <c r="I81" s="128">
        <f>+A81-G81</f>
        <v>6020.9289999999964</v>
      </c>
      <c r="J81" s="128"/>
    </row>
    <row r="82" spans="1:18" ht="15.75" customHeight="1" x14ac:dyDescent="0.3">
      <c r="A82" s="127">
        <f>+A81+C82</f>
        <v>22051.468999999997</v>
      </c>
      <c r="B82" s="127"/>
      <c r="C82" s="62">
        <f>+(100+300+240+240)*1.4</f>
        <v>1232</v>
      </c>
      <c r="E82" s="124">
        <f>+A82/B48</f>
        <v>1102.5734499999999</v>
      </c>
    </row>
    <row r="83" spans="1:18" ht="15" thickBot="1" x14ac:dyDescent="0.35"/>
    <row r="84" spans="1:18" ht="16.5" x14ac:dyDescent="0.3">
      <c r="A84" s="5" t="s">
        <v>150</v>
      </c>
      <c r="F84" s="129" t="s">
        <v>151</v>
      </c>
      <c r="G84" s="130"/>
      <c r="H84" s="130"/>
      <c r="I84" s="130"/>
      <c r="J84" s="131"/>
    </row>
    <row r="85" spans="1:18" x14ac:dyDescent="0.3">
      <c r="C85" s="5"/>
      <c r="F85" s="99"/>
      <c r="G85" s="100" t="s">
        <v>152</v>
      </c>
      <c r="H85" s="100" t="s">
        <v>153</v>
      </c>
      <c r="I85" s="100" t="s">
        <v>154</v>
      </c>
      <c r="J85" s="101" t="s">
        <v>155</v>
      </c>
    </row>
    <row r="86" spans="1:18" ht="16.5" x14ac:dyDescent="0.3">
      <c r="B86" s="58" t="s">
        <v>156</v>
      </c>
      <c r="C86" s="102" t="s">
        <v>157</v>
      </c>
      <c r="D86" s="103"/>
      <c r="F86" s="104" t="str">
        <f>+D75</f>
        <v>forro cartera EXT.</v>
      </c>
      <c r="G86" s="105" t="str">
        <f>+'[1]forro cartera guarda'!C23</f>
        <v>Couche</v>
      </c>
      <c r="H86" s="106">
        <f>+E34</f>
        <v>2.0695000000000001</v>
      </c>
      <c r="I86" s="107">
        <f>+C42</f>
        <v>260</v>
      </c>
      <c r="J86" s="108">
        <f>+H86*I86</f>
        <v>538.07000000000005</v>
      </c>
      <c r="M86" s="54"/>
      <c r="N86" s="54"/>
      <c r="O86" s="54"/>
      <c r="P86" s="54"/>
      <c r="Q86" s="54"/>
      <c r="R86" s="54"/>
    </row>
    <row r="87" spans="1:18" ht="16.5" x14ac:dyDescent="0.3">
      <c r="B87" s="40" t="s">
        <v>158</v>
      </c>
      <c r="C87" s="109"/>
      <c r="D87" s="110"/>
      <c r="F87" s="104" t="str">
        <f>+D76</f>
        <v>forro cartera guarda</v>
      </c>
      <c r="G87" s="105" t="str">
        <f>+G86</f>
        <v>Couche</v>
      </c>
      <c r="H87" s="106">
        <f>+'forro cartera guarda'!E34</f>
        <v>1.5430000000000001</v>
      </c>
      <c r="I87" s="107">
        <f>+'forro cartera guarda'!C42</f>
        <v>160</v>
      </c>
      <c r="J87" s="108">
        <f>+J86</f>
        <v>538.07000000000005</v>
      </c>
      <c r="M87" s="54"/>
      <c r="N87" s="54"/>
      <c r="O87" s="54"/>
      <c r="P87" s="54"/>
      <c r="Q87" s="54"/>
      <c r="R87" s="54"/>
    </row>
    <row r="88" spans="1:18" ht="16.5" x14ac:dyDescent="0.3">
      <c r="B88" s="40" t="s">
        <v>12</v>
      </c>
      <c r="C88" s="111" t="s">
        <v>159</v>
      </c>
      <c r="D88" s="110"/>
      <c r="F88" s="104" t="str">
        <f>+D77</f>
        <v>forro caja EXT</v>
      </c>
      <c r="G88" s="105" t="str">
        <f>+C23</f>
        <v>Couche</v>
      </c>
      <c r="H88" s="106">
        <f>+'Forro Caja EXT'!E34</f>
        <v>52.2</v>
      </c>
      <c r="I88" s="107">
        <f>+'Forro Caja EXT'!C42</f>
        <v>20</v>
      </c>
      <c r="J88" s="108">
        <f>+J87</f>
        <v>538.07000000000005</v>
      </c>
      <c r="M88" s="54"/>
      <c r="N88" s="54"/>
      <c r="O88" s="54"/>
      <c r="P88" s="54"/>
      <c r="Q88" s="54"/>
      <c r="R88" s="54"/>
    </row>
    <row r="89" spans="1:18" ht="16.5" x14ac:dyDescent="0.3">
      <c r="B89" s="40" t="s">
        <v>160</v>
      </c>
      <c r="C89" s="111"/>
      <c r="D89" s="110" t="s">
        <v>161</v>
      </c>
      <c r="F89" s="104" t="str">
        <f>+D78</f>
        <v>EMPALME caja INT</v>
      </c>
      <c r="G89" s="105" t="str">
        <f>+C23</f>
        <v>Couche</v>
      </c>
      <c r="H89" s="106">
        <f>+'Empalme Caja INT'!E34</f>
        <v>52.2</v>
      </c>
      <c r="I89" s="107">
        <f>+'Empalme Caja INT'!C42</f>
        <v>20</v>
      </c>
      <c r="J89" s="108">
        <f>+J88</f>
        <v>538.07000000000005</v>
      </c>
      <c r="K89" s="63"/>
      <c r="M89" s="54"/>
      <c r="N89" s="54"/>
      <c r="O89" s="54"/>
      <c r="P89" s="54"/>
      <c r="Q89" s="54"/>
      <c r="R89" s="54"/>
    </row>
    <row r="90" spans="1:18" ht="16.5" x14ac:dyDescent="0.3">
      <c r="B90" s="40" t="s">
        <v>162</v>
      </c>
      <c r="C90" s="111"/>
      <c r="D90" s="110"/>
      <c r="F90" s="104" t="str">
        <f>+D79</f>
        <v>cartón cartera</v>
      </c>
      <c r="G90" s="105" t="s">
        <v>164</v>
      </c>
      <c r="H90" s="106">
        <f>+'[1]cartón cartera'!E34</f>
        <v>41.072000000000003</v>
      </c>
      <c r="I90" s="107">
        <f>+'cartón cartera'!C42</f>
        <v>10</v>
      </c>
      <c r="J90" s="108">
        <f>+H90*I90</f>
        <v>410.72</v>
      </c>
      <c r="M90" s="54"/>
      <c r="N90" s="54"/>
      <c r="O90" s="54"/>
      <c r="P90" s="54"/>
      <c r="Q90" s="54"/>
      <c r="R90" s="54"/>
    </row>
    <row r="91" spans="1:18" ht="16.5" x14ac:dyDescent="0.3">
      <c r="B91" s="40" t="s">
        <v>163</v>
      </c>
      <c r="C91" s="111">
        <f>+(B48*2)*1.1</f>
        <v>44</v>
      </c>
      <c r="D91" s="112">
        <f>+((B47*60)*2)</f>
        <v>0</v>
      </c>
      <c r="F91" s="104" t="str">
        <f>+D80</f>
        <v>cartón caja</v>
      </c>
      <c r="G91" s="105" t="s">
        <v>164</v>
      </c>
      <c r="H91" s="106">
        <f>+'[1]cartón caja'!E34</f>
        <v>41.072000000000003</v>
      </c>
      <c r="I91" s="107">
        <f>+'cartón caja'!C42</f>
        <v>20</v>
      </c>
      <c r="J91" s="108">
        <f>+H91*I91</f>
        <v>821.44</v>
      </c>
      <c r="M91" s="54"/>
      <c r="N91" s="54"/>
      <c r="O91" s="54"/>
      <c r="P91" s="54"/>
      <c r="Q91" s="54"/>
      <c r="R91" s="54"/>
    </row>
    <row r="92" spans="1:18" ht="16.5" x14ac:dyDescent="0.3">
      <c r="B92" s="40" t="s">
        <v>165</v>
      </c>
      <c r="C92" s="113">
        <v>4</v>
      </c>
      <c r="D92" s="110"/>
      <c r="F92" s="104" t="str">
        <f>+A54</f>
        <v>Iman</v>
      </c>
      <c r="G92" s="105"/>
      <c r="H92" s="106">
        <v>4</v>
      </c>
      <c r="I92" s="107">
        <v>44</v>
      </c>
      <c r="J92" s="108">
        <f t="shared" ref="J92:J93" si="2">+H92*I92</f>
        <v>176</v>
      </c>
      <c r="M92" s="54"/>
      <c r="N92" s="54"/>
      <c r="O92" s="54"/>
      <c r="P92" s="54"/>
      <c r="Q92" s="54"/>
      <c r="R92" s="54"/>
    </row>
    <row r="93" spans="1:18" ht="16.5" x14ac:dyDescent="0.3">
      <c r="B93" s="40" t="s">
        <v>166</v>
      </c>
      <c r="C93" s="113">
        <v>0</v>
      </c>
      <c r="D93" s="114" t="s">
        <v>167</v>
      </c>
      <c r="F93" s="104" t="str">
        <f>+A70</f>
        <v>Prueba de Color</v>
      </c>
      <c r="G93" s="105"/>
      <c r="H93" s="106">
        <f>+B53+'forro cartera guarda'!B54</f>
        <v>731.43000000000006</v>
      </c>
      <c r="I93" s="107">
        <v>1</v>
      </c>
      <c r="J93" s="108">
        <f t="shared" si="2"/>
        <v>731.43000000000006</v>
      </c>
      <c r="M93" s="54"/>
      <c r="N93" s="54"/>
      <c r="O93" s="54"/>
      <c r="P93" s="54"/>
      <c r="Q93" s="54"/>
      <c r="R93" s="54"/>
    </row>
    <row r="94" spans="1:18" ht="16.5" x14ac:dyDescent="0.3">
      <c r="B94" s="40" t="s">
        <v>168</v>
      </c>
      <c r="C94" s="113">
        <f>+C92*C91</f>
        <v>176</v>
      </c>
      <c r="D94" s="110"/>
      <c r="F94" s="104"/>
      <c r="G94" s="105"/>
      <c r="H94" s="106"/>
      <c r="I94" s="107"/>
      <c r="J94" s="108"/>
      <c r="M94" s="54"/>
      <c r="N94" s="54"/>
      <c r="O94" s="54"/>
      <c r="P94" s="54"/>
      <c r="Q94" s="54"/>
      <c r="R94" s="54"/>
    </row>
    <row r="95" spans="1:18" ht="17.25" thickBot="1" x14ac:dyDescent="0.35">
      <c r="B95" s="40" t="s">
        <v>169</v>
      </c>
      <c r="C95" s="113">
        <v>0</v>
      </c>
      <c r="D95" s="110"/>
      <c r="F95" s="115"/>
      <c r="G95" s="116"/>
      <c r="H95" s="116"/>
      <c r="I95" s="117"/>
      <c r="J95" s="118"/>
      <c r="M95" s="54"/>
      <c r="N95" s="54"/>
      <c r="O95" s="54"/>
      <c r="P95" s="54"/>
      <c r="Q95" s="54"/>
      <c r="R95" s="54"/>
    </row>
    <row r="96" spans="1:18" ht="16.5" thickBot="1" x14ac:dyDescent="0.35">
      <c r="B96" s="40" t="s">
        <v>170</v>
      </c>
      <c r="C96" s="113">
        <v>0</v>
      </c>
      <c r="D96" s="110"/>
      <c r="F96"/>
      <c r="G96"/>
      <c r="H96"/>
      <c r="I96" s="119" t="s">
        <v>155</v>
      </c>
      <c r="J96" s="120">
        <f>SUM(J86:J95)</f>
        <v>4291.87</v>
      </c>
    </row>
    <row r="97" spans="1:10" x14ac:dyDescent="0.3">
      <c r="B97" s="1" t="s">
        <v>171</v>
      </c>
      <c r="C97" s="113">
        <v>0</v>
      </c>
      <c r="D97" s="110"/>
    </row>
    <row r="98" spans="1:10" x14ac:dyDescent="0.3">
      <c r="B98" s="40" t="s">
        <v>172</v>
      </c>
      <c r="C98" s="121">
        <f>+C94</f>
        <v>176</v>
      </c>
      <c r="D98" s="122">
        <f>+C98/B48</f>
        <v>8.8000000000000007</v>
      </c>
      <c r="E98" s="1" t="s">
        <v>173</v>
      </c>
    </row>
    <row r="99" spans="1:10" x14ac:dyDescent="0.3">
      <c r="B99" s="40" t="s">
        <v>174</v>
      </c>
      <c r="C99" s="121">
        <f>+C98*1.5</f>
        <v>264</v>
      </c>
      <c r="D99" s="122">
        <f>+C99/B48</f>
        <v>13.2</v>
      </c>
      <c r="E99" s="1" t="s">
        <v>173</v>
      </c>
    </row>
    <row r="100" spans="1:10" x14ac:dyDescent="0.3">
      <c r="C100" s="109"/>
      <c r="D100" s="110"/>
    </row>
    <row r="101" spans="1:10" x14ac:dyDescent="0.3">
      <c r="C101" s="109"/>
      <c r="D101" s="110"/>
    </row>
    <row r="103" spans="1:10" ht="15" thickBot="1" x14ac:dyDescent="0.35">
      <c r="A103" s="5" t="s">
        <v>136</v>
      </c>
    </row>
    <row r="104" spans="1:10" x14ac:dyDescent="0.3">
      <c r="A104" s="10" t="s">
        <v>100</v>
      </c>
      <c r="B104" s="11"/>
      <c r="C104" s="11"/>
      <c r="D104" s="11"/>
      <c r="E104" s="11"/>
      <c r="F104" s="11"/>
      <c r="G104" s="12"/>
    </row>
    <row r="105" spans="1:10" x14ac:dyDescent="0.3">
      <c r="A105" s="45">
        <f>+F16</f>
        <v>50.5</v>
      </c>
      <c r="B105" s="70">
        <f>+H16</f>
        <v>63.5</v>
      </c>
      <c r="C105" s="7" t="s">
        <v>99</v>
      </c>
      <c r="D105" s="70" t="s">
        <v>101</v>
      </c>
      <c r="E105" s="7" t="s">
        <v>102</v>
      </c>
      <c r="F105" s="72" t="s">
        <v>138</v>
      </c>
      <c r="G105" s="8"/>
    </row>
    <row r="106" spans="1:10" x14ac:dyDescent="0.3">
      <c r="A106" s="45">
        <f>0.489*0.455*C41</f>
        <v>115.6974</v>
      </c>
      <c r="B106" s="75">
        <v>4</v>
      </c>
      <c r="C106" s="75">
        <f>+A106*B106</f>
        <v>462.78960000000001</v>
      </c>
      <c r="D106" s="75">
        <v>0</v>
      </c>
      <c r="E106" s="75">
        <f>+C106+D106</f>
        <v>462.78960000000001</v>
      </c>
      <c r="F106" s="95" t="s">
        <v>137</v>
      </c>
      <c r="G106" s="123">
        <v>550</v>
      </c>
    </row>
    <row r="107" spans="1:10" x14ac:dyDescent="0.3">
      <c r="A107" s="6"/>
      <c r="B107" s="75"/>
      <c r="C107" s="75"/>
      <c r="D107" s="75"/>
      <c r="E107" s="75"/>
      <c r="G107" s="8"/>
      <c r="J107" s="68"/>
    </row>
    <row r="108" spans="1:10" x14ac:dyDescent="0.3">
      <c r="A108" s="45">
        <f>+A105</f>
        <v>50.5</v>
      </c>
      <c r="B108" s="70">
        <f>+B105</f>
        <v>63.5</v>
      </c>
      <c r="C108" s="7" t="s">
        <v>99</v>
      </c>
      <c r="D108" s="70" t="s">
        <v>101</v>
      </c>
      <c r="E108" s="7" t="s">
        <v>102</v>
      </c>
      <c r="F108" s="95" t="s">
        <v>137</v>
      </c>
      <c r="G108" s="80">
        <v>550</v>
      </c>
    </row>
    <row r="109" spans="1:10" x14ac:dyDescent="0.3">
      <c r="A109" s="45">
        <f>0.463*0.503*C71</f>
        <v>0</v>
      </c>
      <c r="B109" s="75">
        <f>4.1*1.5</f>
        <v>6.1499999999999995</v>
      </c>
      <c r="C109" s="75">
        <f>+A109*B109</f>
        <v>0</v>
      </c>
      <c r="D109" s="75">
        <v>0</v>
      </c>
      <c r="E109" s="79">
        <f>+C109+D109</f>
        <v>0</v>
      </c>
      <c r="F109" s="72" t="s">
        <v>139</v>
      </c>
      <c r="G109" s="8"/>
    </row>
    <row r="110" spans="1:10" x14ac:dyDescent="0.3">
      <c r="A110" s="6"/>
      <c r="B110" s="7"/>
      <c r="C110" s="75"/>
      <c r="D110" s="75"/>
      <c r="E110" s="75"/>
      <c r="F110" s="75"/>
      <c r="G110" s="8"/>
    </row>
    <row r="111" spans="1:10" ht="15" thickBot="1" x14ac:dyDescent="0.35">
      <c r="A111" s="13"/>
      <c r="B111" s="14"/>
      <c r="C111" s="14"/>
      <c r="D111" s="14"/>
      <c r="E111" s="14"/>
      <c r="F111" s="14"/>
      <c r="G111" s="15"/>
    </row>
  </sheetData>
  <mergeCells count="5">
    <mergeCell ref="G74:H74"/>
    <mergeCell ref="A81:B81"/>
    <mergeCell ref="I81:J81"/>
    <mergeCell ref="F84:J84"/>
    <mergeCell ref="A82:B82"/>
  </mergeCells>
  <pageMargins left="0.70866141732283472" right="0.70866141732283472" top="0.74803149606299213" bottom="0.74803149606299213" header="0.31496062992125984" footer="0.31496062992125984"/>
  <pageSetup scale="4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Desarrollo</vt:lpstr>
      <vt:lpstr>cartón caja</vt:lpstr>
      <vt:lpstr>cartón cartera</vt:lpstr>
      <vt:lpstr>Empalme Caja INT</vt:lpstr>
      <vt:lpstr>Forro Caja EXT</vt:lpstr>
      <vt:lpstr>forro cartera guarda</vt:lpstr>
      <vt:lpstr>forro cartera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2017-06-23T21:32:37Z</cp:lastPrinted>
  <dcterms:created xsi:type="dcterms:W3CDTF">2013-03-04T22:24:31Z</dcterms:created>
  <dcterms:modified xsi:type="dcterms:W3CDTF">2017-06-29T00:06:51Z</dcterms:modified>
</cp:coreProperties>
</file>