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535" windowHeight="4020" firstSheet="1" activeTab="7"/>
  </bookViews>
  <sheets>
    <sheet name="Desarrollo" sheetId="46" r:id="rId1"/>
    <sheet name="cartón caja" sheetId="39" r:id="rId2"/>
    <sheet name="cartón cartera" sheetId="40" r:id="rId3"/>
    <sheet name="eva base" sheetId="44" r:id="rId4"/>
    <sheet name="forro caja INT" sheetId="34" r:id="rId5"/>
    <sheet name="forro caja EXT" sheetId="42" r:id="rId6"/>
    <sheet name="forro cartera guarda" sheetId="43" r:id="rId7"/>
    <sheet name="forro cartera final" sheetId="38" r:id="rId8"/>
  </sheets>
  <calcPr calcId="145621"/>
</workbook>
</file>

<file path=xl/calcChain.xml><?xml version="1.0" encoding="utf-8"?>
<calcChain xmlns="http://schemas.openxmlformats.org/spreadsheetml/2006/main">
  <c r="H93" i="38" l="1"/>
  <c r="C101" i="38"/>
  <c r="C97" i="38"/>
  <c r="C94" i="38"/>
  <c r="B56" i="42"/>
  <c r="D40" i="38"/>
  <c r="C13" i="38"/>
  <c r="D40" i="43"/>
  <c r="E35" i="43"/>
  <c r="G86" i="46"/>
  <c r="E35" i="44"/>
  <c r="E35" i="34"/>
  <c r="E35" i="42"/>
  <c r="G53" i="34"/>
  <c r="A68" i="44"/>
  <c r="B48" i="44"/>
  <c r="E26" i="44"/>
  <c r="E27" i="44" s="1"/>
  <c r="C26" i="44"/>
  <c r="C27" i="44" s="1"/>
  <c r="H62" i="40"/>
  <c r="H62" i="44" s="1"/>
  <c r="B48" i="39"/>
  <c r="D40" i="39"/>
  <c r="E30" i="39"/>
  <c r="H16" i="39"/>
  <c r="F16" i="39"/>
  <c r="C13" i="39"/>
  <c r="C13" i="40" s="1"/>
  <c r="C13" i="44" s="1"/>
  <c r="C13" i="34" s="1"/>
  <c r="C11" i="39"/>
  <c r="G93" i="46"/>
  <c r="G30" i="46"/>
  <c r="G79" i="46"/>
  <c r="F76" i="46"/>
  <c r="G44" i="46"/>
  <c r="B68" i="44" l="1"/>
  <c r="H62" i="34"/>
  <c r="H62" i="42" s="1"/>
  <c r="H62" i="43" s="1"/>
  <c r="C13" i="42"/>
  <c r="C13" i="43"/>
  <c r="C9" i="39"/>
  <c r="G36" i="46"/>
  <c r="H90" i="46" l="1"/>
  <c r="H83" i="46"/>
  <c r="H76" i="46"/>
  <c r="G67" i="46"/>
  <c r="E88" i="46" s="1"/>
  <c r="E91" i="46" s="1"/>
  <c r="F63" i="46"/>
  <c r="E63" i="46"/>
  <c r="D63" i="46"/>
  <c r="H41" i="46"/>
  <c r="H34" i="46"/>
  <c r="H27" i="46"/>
  <c r="E25" i="46"/>
  <c r="G24" i="46"/>
  <c r="D24" i="46"/>
  <c r="C32" i="46" s="1"/>
  <c r="C35" i="46" s="1"/>
  <c r="H19" i="46"/>
  <c r="C19" i="46"/>
  <c r="G14" i="46"/>
  <c r="E39" i="46" s="1"/>
  <c r="E42" i="46" s="1"/>
  <c r="D14" i="46"/>
  <c r="E13" i="46"/>
  <c r="B64" i="46" l="1"/>
  <c r="C77" i="46" s="1"/>
  <c r="C78" i="46" s="1"/>
  <c r="E44" i="46"/>
  <c r="E43" i="46"/>
  <c r="C37" i="46"/>
  <c r="C36" i="46"/>
  <c r="E93" i="46"/>
  <c r="E92" i="46"/>
  <c r="H24" i="46"/>
  <c r="E28" i="46" s="1"/>
  <c r="E32" i="46"/>
  <c r="E35" i="46" s="1"/>
  <c r="C39" i="46"/>
  <c r="C42" i="46" s="1"/>
  <c r="C81" i="46"/>
  <c r="C84" i="46" s="1"/>
  <c r="C88" i="46"/>
  <c r="C91" i="46" s="1"/>
  <c r="B15" i="46"/>
  <c r="C28" i="46" s="1"/>
  <c r="H73" i="46"/>
  <c r="E77" i="46" s="1"/>
  <c r="E81" i="46"/>
  <c r="E84" i="46" s="1"/>
  <c r="J96" i="38"/>
  <c r="B83" i="34"/>
  <c r="D40" i="34"/>
  <c r="D40" i="42" s="1"/>
  <c r="D40" i="40"/>
  <c r="H97" i="38"/>
  <c r="J97" i="38" s="1"/>
  <c r="F96" i="38"/>
  <c r="E31" i="38"/>
  <c r="E32" i="38"/>
  <c r="E34" i="38" s="1"/>
  <c r="E31" i="43"/>
  <c r="E32" i="43"/>
  <c r="E34" i="43"/>
  <c r="E31" i="42"/>
  <c r="E32" i="42"/>
  <c r="E34" i="42"/>
  <c r="E31" i="34"/>
  <c r="E32" i="34"/>
  <c r="E34" i="34"/>
  <c r="H52" i="39"/>
  <c r="H61" i="39" s="1"/>
  <c r="B69" i="39"/>
  <c r="H52" i="40"/>
  <c r="H61" i="40" s="1"/>
  <c r="B69" i="40"/>
  <c r="H52" i="44"/>
  <c r="B69" i="44"/>
  <c r="G58" i="34"/>
  <c r="H58" i="34" s="1"/>
  <c r="B68" i="34"/>
  <c r="B69" i="34"/>
  <c r="B70" i="34"/>
  <c r="B68" i="42"/>
  <c r="B69" i="42"/>
  <c r="B70" i="42"/>
  <c r="B68" i="43"/>
  <c r="B69" i="43"/>
  <c r="B70" i="43"/>
  <c r="B71" i="43"/>
  <c r="G58" i="38"/>
  <c r="H58" i="38"/>
  <c r="B68" i="38"/>
  <c r="B72" i="38"/>
  <c r="B73" i="38"/>
  <c r="H25" i="38"/>
  <c r="F25" i="38"/>
  <c r="H25" i="43"/>
  <c r="F25" i="43"/>
  <c r="H25" i="42"/>
  <c r="F25" i="42"/>
  <c r="F23" i="40"/>
  <c r="E30" i="40"/>
  <c r="E31" i="39"/>
  <c r="E32" i="39" s="1"/>
  <c r="E34" i="39" s="1"/>
  <c r="E35" i="39" s="1"/>
  <c r="E31" i="40"/>
  <c r="E32" i="40" s="1"/>
  <c r="E34" i="40" s="1"/>
  <c r="E35" i="40" s="1"/>
  <c r="G89" i="38"/>
  <c r="G90" i="38" s="1"/>
  <c r="G92" i="38"/>
  <c r="G91" i="38"/>
  <c r="D77" i="38"/>
  <c r="F92" i="38" s="1"/>
  <c r="F89" i="38"/>
  <c r="H50" i="43"/>
  <c r="H49" i="43"/>
  <c r="D78" i="38"/>
  <c r="F93" i="38" s="1"/>
  <c r="E31" i="44"/>
  <c r="E32" i="44" s="1"/>
  <c r="E34" i="44" s="1"/>
  <c r="C40" i="44"/>
  <c r="H49" i="44"/>
  <c r="H50" i="44"/>
  <c r="H51" i="44"/>
  <c r="H53" i="44"/>
  <c r="H54" i="44"/>
  <c r="H55" i="44"/>
  <c r="H56" i="44"/>
  <c r="H57" i="44"/>
  <c r="H58" i="44"/>
  <c r="H59" i="44"/>
  <c r="B70" i="44"/>
  <c r="A70" i="44"/>
  <c r="A69" i="44"/>
  <c r="G43" i="44"/>
  <c r="H25" i="44"/>
  <c r="H26" i="44"/>
  <c r="F25" i="44"/>
  <c r="F26" i="44"/>
  <c r="F27" i="44" s="1"/>
  <c r="C11" i="44"/>
  <c r="C9" i="44"/>
  <c r="B48" i="38"/>
  <c r="C40" i="38"/>
  <c r="C41" i="38" s="1"/>
  <c r="H49" i="38"/>
  <c r="H50" i="38"/>
  <c r="H51" i="38"/>
  <c r="H52" i="38"/>
  <c r="H55" i="38"/>
  <c r="H56" i="38"/>
  <c r="F16" i="38"/>
  <c r="C26" i="38" s="1"/>
  <c r="H16" i="38"/>
  <c r="E26" i="38" s="1"/>
  <c r="F16" i="43"/>
  <c r="C26" i="43" s="1"/>
  <c r="H16" i="43"/>
  <c r="E26" i="43" s="1"/>
  <c r="F16" i="42"/>
  <c r="C26" i="42" s="1"/>
  <c r="H16" i="42"/>
  <c r="E26" i="42" s="1"/>
  <c r="B48" i="34"/>
  <c r="C40" i="34"/>
  <c r="C41" i="34" s="1"/>
  <c r="A80" i="34" s="1"/>
  <c r="H49" i="34"/>
  <c r="H50" i="34"/>
  <c r="B48" i="42"/>
  <c r="B71" i="42" s="1"/>
  <c r="C40" i="42"/>
  <c r="H49" i="42"/>
  <c r="H50" i="42"/>
  <c r="B48" i="43"/>
  <c r="C40" i="43" s="1"/>
  <c r="H58" i="43"/>
  <c r="C40" i="39"/>
  <c r="C41" i="39" s="1"/>
  <c r="B48" i="40"/>
  <c r="C40" i="40" s="1"/>
  <c r="H55" i="42"/>
  <c r="H54" i="42"/>
  <c r="C11" i="38"/>
  <c r="G58" i="42"/>
  <c r="H58" i="42" s="1"/>
  <c r="G58" i="43"/>
  <c r="C11" i="43"/>
  <c r="C11" i="42"/>
  <c r="H16" i="34"/>
  <c r="F16" i="34"/>
  <c r="C26" i="34" s="1"/>
  <c r="C11" i="34"/>
  <c r="C11" i="40"/>
  <c r="E26" i="39"/>
  <c r="C26" i="39"/>
  <c r="H26" i="39" s="1"/>
  <c r="H27" i="39" s="1"/>
  <c r="E26" i="34"/>
  <c r="E27" i="34" s="1"/>
  <c r="C9" i="38"/>
  <c r="C9" i="43"/>
  <c r="C9" i="42"/>
  <c r="C9" i="34"/>
  <c r="C9" i="40"/>
  <c r="D94" i="38"/>
  <c r="D80" i="38"/>
  <c r="F95" i="38" s="1"/>
  <c r="D79" i="38"/>
  <c r="F94" i="38" s="1"/>
  <c r="D76" i="38"/>
  <c r="F91" i="38" s="1"/>
  <c r="D75" i="38"/>
  <c r="F90" i="38" s="1"/>
  <c r="A71" i="43"/>
  <c r="A70" i="43"/>
  <c r="A69" i="43"/>
  <c r="A68" i="43"/>
  <c r="H59" i="43"/>
  <c r="H57" i="43"/>
  <c r="H56" i="43"/>
  <c r="H55" i="43"/>
  <c r="H54" i="43"/>
  <c r="H52" i="43"/>
  <c r="H51" i="43"/>
  <c r="H59" i="42"/>
  <c r="H57" i="42"/>
  <c r="H56" i="42"/>
  <c r="H52" i="42"/>
  <c r="H51" i="42"/>
  <c r="G43" i="38"/>
  <c r="A71" i="42"/>
  <c r="A70" i="42"/>
  <c r="A69" i="42"/>
  <c r="A68" i="42"/>
  <c r="G43" i="42"/>
  <c r="B71" i="34"/>
  <c r="B79" i="34"/>
  <c r="B82" i="34" s="1"/>
  <c r="A79" i="34"/>
  <c r="A82" i="34" s="1"/>
  <c r="G43" i="34"/>
  <c r="H52" i="34"/>
  <c r="H53" i="38"/>
  <c r="H54" i="38"/>
  <c r="H57" i="38"/>
  <c r="H59" i="38"/>
  <c r="A72" i="38"/>
  <c r="A70" i="38"/>
  <c r="A73" i="38"/>
  <c r="A68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70" i="40"/>
  <c r="A70" i="40"/>
  <c r="A69" i="40"/>
  <c r="A68" i="40"/>
  <c r="H25" i="40"/>
  <c r="C26" i="40"/>
  <c r="H26" i="40" s="1"/>
  <c r="H27" i="40" s="1"/>
  <c r="F25" i="40"/>
  <c r="E26" i="40"/>
  <c r="E27" i="40" s="1"/>
  <c r="H49" i="39"/>
  <c r="H50" i="39"/>
  <c r="H51" i="39"/>
  <c r="H53" i="39"/>
  <c r="H54" i="39"/>
  <c r="H55" i="39"/>
  <c r="H56" i="39"/>
  <c r="H57" i="39"/>
  <c r="H58" i="39"/>
  <c r="H59" i="39"/>
  <c r="B68" i="39"/>
  <c r="B70" i="39"/>
  <c r="A70" i="39"/>
  <c r="A69" i="39"/>
  <c r="A68" i="39"/>
  <c r="H25" i="39"/>
  <c r="F25" i="39"/>
  <c r="F26" i="39"/>
  <c r="F27" i="39" s="1"/>
  <c r="H51" i="34"/>
  <c r="H54" i="34"/>
  <c r="H55" i="34"/>
  <c r="H56" i="34"/>
  <c r="H57" i="34"/>
  <c r="H59" i="34"/>
  <c r="A71" i="34"/>
  <c r="A70" i="34"/>
  <c r="A69" i="34"/>
  <c r="H25" i="34"/>
  <c r="F25" i="34"/>
  <c r="E27" i="39"/>
  <c r="G43" i="39"/>
  <c r="C27" i="40"/>
  <c r="F26" i="34"/>
  <c r="F27" i="34" s="1"/>
  <c r="E35" i="38" l="1"/>
  <c r="H89" i="38"/>
  <c r="H90" i="38" s="1"/>
  <c r="H91" i="38" s="1"/>
  <c r="H92" i="38" s="1"/>
  <c r="C102" i="38"/>
  <c r="B54" i="38"/>
  <c r="B55" i="38"/>
  <c r="B70" i="38" s="1"/>
  <c r="H61" i="38"/>
  <c r="B67" i="38" s="1"/>
  <c r="C42" i="38"/>
  <c r="C43" i="38" s="1"/>
  <c r="G44" i="38"/>
  <c r="H61" i="44"/>
  <c r="H27" i="44"/>
  <c r="F26" i="40"/>
  <c r="F27" i="40" s="1"/>
  <c r="B67" i="39"/>
  <c r="B51" i="39"/>
  <c r="C42" i="39"/>
  <c r="C46" i="39" s="1"/>
  <c r="G44" i="39"/>
  <c r="C27" i="39"/>
  <c r="C79" i="46"/>
  <c r="F26" i="38"/>
  <c r="F27" i="38" s="1"/>
  <c r="E27" i="38"/>
  <c r="H26" i="38"/>
  <c r="H27" i="38" s="1"/>
  <c r="C27" i="38"/>
  <c r="F26" i="43"/>
  <c r="F27" i="43" s="1"/>
  <c r="E27" i="43"/>
  <c r="H26" i="43"/>
  <c r="H27" i="43" s="1"/>
  <c r="C27" i="43"/>
  <c r="F26" i="42"/>
  <c r="F27" i="42" s="1"/>
  <c r="E27" i="42"/>
  <c r="H26" i="42"/>
  <c r="H27" i="42" s="1"/>
  <c r="C27" i="42"/>
  <c r="C27" i="34"/>
  <c r="H26" i="34"/>
  <c r="H27" i="34" s="1"/>
  <c r="C41" i="43"/>
  <c r="G43" i="43"/>
  <c r="C42" i="34"/>
  <c r="G44" i="34"/>
  <c r="A83" i="34"/>
  <c r="C83" i="34" s="1"/>
  <c r="E83" i="34" s="1"/>
  <c r="H53" i="34" s="1"/>
  <c r="C80" i="34"/>
  <c r="E80" i="34" s="1"/>
  <c r="C46" i="38"/>
  <c r="B66" i="38"/>
  <c r="J89" i="38"/>
  <c r="J90" i="38" s="1"/>
  <c r="J91" i="38" s="1"/>
  <c r="J92" i="38" s="1"/>
  <c r="B50" i="38"/>
  <c r="G43" i="40"/>
  <c r="C41" i="40"/>
  <c r="D101" i="38"/>
  <c r="C41" i="44"/>
  <c r="C42" i="44" s="1"/>
  <c r="C41" i="42"/>
  <c r="C85" i="46"/>
  <c r="C86" i="46"/>
  <c r="E86" i="46"/>
  <c r="E85" i="46"/>
  <c r="C30" i="46"/>
  <c r="C29" i="46"/>
  <c r="E37" i="46"/>
  <c r="E36" i="46"/>
  <c r="E79" i="46"/>
  <c r="E78" i="46"/>
  <c r="C93" i="46"/>
  <c r="C92" i="46"/>
  <c r="C43" i="46"/>
  <c r="C44" i="46"/>
  <c r="E30" i="46"/>
  <c r="E29" i="46"/>
  <c r="B51" i="38"/>
  <c r="H61" i="34"/>
  <c r="B67" i="34" s="1"/>
  <c r="B67" i="44"/>
  <c r="B51" i="44"/>
  <c r="B67" i="40"/>
  <c r="B51" i="40"/>
  <c r="J93" i="38"/>
  <c r="C42" i="42"/>
  <c r="G53" i="42"/>
  <c r="H53" i="42" s="1"/>
  <c r="H61" i="42" s="1"/>
  <c r="G44" i="42"/>
  <c r="H94" i="38"/>
  <c r="B50" i="39"/>
  <c r="B58" i="39" s="1"/>
  <c r="B60" i="39" s="1"/>
  <c r="B66" i="39"/>
  <c r="B72" i="39" s="1"/>
  <c r="H95" i="38"/>
  <c r="J95" i="38" s="1"/>
  <c r="B58" i="38" l="1"/>
  <c r="B60" i="38" s="1"/>
  <c r="F74" i="38" s="1"/>
  <c r="G44" i="44"/>
  <c r="B51" i="34"/>
  <c r="B69" i="38"/>
  <c r="B74" i="38" s="1"/>
  <c r="D102" i="38"/>
  <c r="C42" i="40"/>
  <c r="G44" i="40"/>
  <c r="B66" i="34"/>
  <c r="B73" i="34" s="1"/>
  <c r="C46" i="34"/>
  <c r="C43" i="34"/>
  <c r="B50" i="34"/>
  <c r="C50" i="34" s="1"/>
  <c r="G53" i="43"/>
  <c r="H53" i="43" s="1"/>
  <c r="H61" i="43" s="1"/>
  <c r="G44" i="43"/>
  <c r="C42" i="43"/>
  <c r="B66" i="44"/>
  <c r="B72" i="44" s="1"/>
  <c r="C72" i="44" s="1"/>
  <c r="B50" i="44"/>
  <c r="B58" i="44" s="1"/>
  <c r="B60" i="44" s="1"/>
  <c r="C46" i="44"/>
  <c r="B67" i="42"/>
  <c r="B51" i="42"/>
  <c r="B50" i="42"/>
  <c r="C46" i="42"/>
  <c r="C43" i="42"/>
  <c r="B66" i="42"/>
  <c r="F80" i="38"/>
  <c r="G69" i="39"/>
  <c r="H69" i="39" s="1"/>
  <c r="C72" i="39"/>
  <c r="E63" i="39"/>
  <c r="I52" i="39"/>
  <c r="D65" i="39"/>
  <c r="B73" i="42" l="1"/>
  <c r="H70" i="38"/>
  <c r="I70" i="38" s="1"/>
  <c r="B58" i="42"/>
  <c r="B60" i="42" s="1"/>
  <c r="I52" i="38"/>
  <c r="E63" i="38"/>
  <c r="C74" i="38"/>
  <c r="H71" i="38" s="1"/>
  <c r="I71" i="38" s="1"/>
  <c r="D65" i="38"/>
  <c r="I52" i="34"/>
  <c r="D65" i="34"/>
  <c r="E63" i="34"/>
  <c r="C73" i="34"/>
  <c r="G71" i="34" s="1"/>
  <c r="B51" i="43"/>
  <c r="B67" i="43"/>
  <c r="B58" i="34"/>
  <c r="B60" i="34" s="1"/>
  <c r="B66" i="43"/>
  <c r="C43" i="43"/>
  <c r="C46" i="43"/>
  <c r="B50" i="43"/>
  <c r="C46" i="40"/>
  <c r="J94" i="38"/>
  <c r="J99" i="38" s="1"/>
  <c r="B50" i="40"/>
  <c r="B58" i="40" s="1"/>
  <c r="B60" i="40" s="1"/>
  <c r="B66" i="40"/>
  <c r="B72" i="40" s="1"/>
  <c r="H72" i="38"/>
  <c r="I72" i="38" s="1"/>
  <c r="D65" i="44"/>
  <c r="I52" i="44"/>
  <c r="E63" i="44"/>
  <c r="F78" i="38"/>
  <c r="G69" i="44"/>
  <c r="H69" i="44" s="1"/>
  <c r="C73" i="42"/>
  <c r="D65" i="42"/>
  <c r="I52" i="42"/>
  <c r="E63" i="42"/>
  <c r="G70" i="42"/>
  <c r="H70" i="42" s="1"/>
  <c r="F76" i="38"/>
  <c r="C77" i="38"/>
  <c r="C80" i="38"/>
  <c r="G70" i="39"/>
  <c r="G69" i="40" l="1"/>
  <c r="H69" i="40" s="1"/>
  <c r="F79" i="38"/>
  <c r="G70" i="34"/>
  <c r="H70" i="34" s="1"/>
  <c r="F77" i="38"/>
  <c r="B73" i="43"/>
  <c r="C72" i="40"/>
  <c r="D65" i="40"/>
  <c r="E63" i="40"/>
  <c r="I52" i="40"/>
  <c r="B58" i="43"/>
  <c r="B60" i="43" s="1"/>
  <c r="C78" i="38"/>
  <c r="G70" i="44"/>
  <c r="H70" i="44" s="1"/>
  <c r="G72" i="34"/>
  <c r="H72" i="34" s="1"/>
  <c r="H71" i="34"/>
  <c r="G71" i="42"/>
  <c r="C76" i="38"/>
  <c r="H70" i="39"/>
  <c r="G71" i="39"/>
  <c r="H71" i="39" s="1"/>
  <c r="F75" i="38" l="1"/>
  <c r="F81" i="38" s="1"/>
  <c r="G81" i="38" s="1"/>
  <c r="G70" i="43"/>
  <c r="H70" i="43" s="1"/>
  <c r="C79" i="38"/>
  <c r="G70" i="40"/>
  <c r="H70" i="40" s="1"/>
  <c r="I52" i="43"/>
  <c r="E63" i="43"/>
  <c r="C73" i="43"/>
  <c r="D65" i="43"/>
  <c r="G71" i="44"/>
  <c r="H71" i="44" s="1"/>
  <c r="G72" i="42"/>
  <c r="H72" i="42" s="1"/>
  <c r="H71" i="42"/>
  <c r="G71" i="40" l="1"/>
  <c r="H71" i="40" s="1"/>
  <c r="G71" i="43"/>
  <c r="C75" i="38"/>
  <c r="C81" i="38" s="1"/>
  <c r="A81" i="38" l="1"/>
  <c r="I81" i="38" s="1"/>
  <c r="I73" i="38"/>
  <c r="G72" i="43"/>
  <c r="H72" i="43" s="1"/>
  <c r="H71" i="43"/>
</calcChain>
</file>

<file path=xl/sharedStrings.xml><?xml version="1.0" encoding="utf-8"?>
<sst xmlns="http://schemas.openxmlformats.org/spreadsheetml/2006/main" count="813" uniqueCount="195">
  <si>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</si>
  <si>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</si>
  <si>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</si>
  <si>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</si>
  <si>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</si>
  <si>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</si>
  <si>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</si>
  <si>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</si>
  <si>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</si>
  <si>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</si>
  <si>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</si>
  <si>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</si>
  <si>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</si>
  <si>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</si>
  <si>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</si>
  <si>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</si>
  <si>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</si>
  <si>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</si>
  <si>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</si>
  <si>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</si>
  <si>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</si>
  <si>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</si>
  <si>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</si>
  <si>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</si>
  <si>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</si>
  <si>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</si>
  <si>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</si>
  <si>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</si>
  <si>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</si>
  <si>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</si>
  <si>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</si>
  <si>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</si>
  <si>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</si>
  <si>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</si>
  <si>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</si>
  <si>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</si>
  <si>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</si>
  <si>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</si>
  <si>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</si>
  <si>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</si>
  <si>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</si>
  <si>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</si>
  <si>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</si>
  <si>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</si>
  <si>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</si>
  <si>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</si>
  <si>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</si>
  <si>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</si>
  <si>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</si>
  <si>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</si>
  <si>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</si>
  <si>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</si>
  <si>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</si>
  <si>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</si>
  <si>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</si>
  <si>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</si>
  <si>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</si>
  <si>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</si>
  <si>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</si>
  <si>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</si>
  <si>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</si>
  <si>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</si>
  <si>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</si>
  <si>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</si>
  <si>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</si>
  <si>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</si>
  <si>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</si>
  <si>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</si>
  <si>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</si>
  <si>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</si>
  <si>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</si>
  <si>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</si>
  <si>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</si>
  <si>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</si>
  <si>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</si>
  <si>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</si>
  <si>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</si>
  <si>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</si>
  <si>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</si>
  <si>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</si>
  <si>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</si>
  <si>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</si>
  <si>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</si>
  <si>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</si>
  <si>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</si>
  <si>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</si>
  <si>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</si>
  <si>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</si>
  <si>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</si>
  <si>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</si>
  <si>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</si>
  <si>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</si>
  <si>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</si>
  <si>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</si>
  <si>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</si>
  <si>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</si>
  <si>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Placas HS</t>
  </si>
  <si>
    <t>Arreglo HS</t>
  </si>
  <si>
    <t>Encuadernación</t>
  </si>
  <si>
    <t>Imán</t>
  </si>
  <si>
    <t xml:space="preserve">tapa con imán para cierre </t>
  </si>
  <si>
    <t>corte</t>
  </si>
  <si>
    <t>TOTAL</t>
  </si>
  <si>
    <t>Area</t>
  </si>
  <si>
    <t>area + cantidad de hojas</t>
  </si>
  <si>
    <t>arreglo</t>
  </si>
  <si>
    <t>total a pagar</t>
  </si>
  <si>
    <t>uv brillante a registro</t>
  </si>
  <si>
    <t>Cartón Gris</t>
  </si>
  <si>
    <t>empalme</t>
  </si>
  <si>
    <t>forro guarda</t>
  </si>
  <si>
    <t>Arreglo</t>
  </si>
  <si>
    <t>Empaque</t>
  </si>
  <si>
    <t>Comisiones</t>
  </si>
  <si>
    <t>Suajado</t>
  </si>
  <si>
    <t>Negro</t>
  </si>
  <si>
    <t>mt</t>
  </si>
  <si>
    <t>Precio por Paquete</t>
  </si>
  <si>
    <t>* MT</t>
  </si>
  <si>
    <t>Colocado</t>
  </si>
  <si>
    <t>Maquila Armado</t>
  </si>
  <si>
    <t>TT Costo</t>
  </si>
  <si>
    <t>TT Utilidad</t>
  </si>
  <si>
    <t>Unitario</t>
  </si>
  <si>
    <t>Venta</t>
  </si>
  <si>
    <t>Cartera</t>
  </si>
  <si>
    <t>Envio</t>
  </si>
  <si>
    <t>Pruebas de color</t>
  </si>
  <si>
    <t xml:space="preserve">minimo </t>
  </si>
  <si>
    <t>cartón caja</t>
  </si>
  <si>
    <t>cartón cartera</t>
  </si>
  <si>
    <t>forro caja INT</t>
  </si>
  <si>
    <t>forro caja EXT</t>
  </si>
  <si>
    <t>forro cartera</t>
  </si>
  <si>
    <t>Arreglo Grabado</t>
  </si>
  <si>
    <t>Grabado</t>
  </si>
  <si>
    <t>Tabla de suaje + Placa</t>
  </si>
  <si>
    <t>Tinta V</t>
  </si>
  <si>
    <t>Eva</t>
  </si>
  <si>
    <t>Negra</t>
  </si>
  <si>
    <t>Material</t>
  </si>
  <si>
    <t>$ compra dcto</t>
  </si>
  <si>
    <t>Gris #4</t>
  </si>
  <si>
    <t>negra .12</t>
  </si>
  <si>
    <t>TT</t>
  </si>
  <si>
    <t>Pliegos</t>
  </si>
  <si>
    <t>#4</t>
  </si>
  <si>
    <t>Villatoro</t>
  </si>
  <si>
    <t xml:space="preserve"> Negro</t>
  </si>
  <si>
    <t>según muestra entregada</t>
  </si>
  <si>
    <t>papel importación negro</t>
  </si>
  <si>
    <t>Tablas</t>
  </si>
  <si>
    <t xml:space="preserve">Costo Basicos </t>
  </si>
  <si>
    <t>Fecha:</t>
  </si>
  <si>
    <t>Cliente:</t>
  </si>
  <si>
    <t>Proyecto:</t>
  </si>
  <si>
    <t>Cantidad:</t>
  </si>
  <si>
    <t>piezas</t>
  </si>
  <si>
    <t>merma</t>
  </si>
  <si>
    <t>Base(frente)</t>
  </si>
  <si>
    <t>Profundidad</t>
  </si>
  <si>
    <t>Altura</t>
  </si>
  <si>
    <t>TT Horizontal</t>
  </si>
  <si>
    <t>TT Vertical</t>
  </si>
  <si>
    <t>CARTÓN</t>
  </si>
  <si>
    <t>TT Pliegos</t>
  </si>
  <si>
    <t>Empalme Interior</t>
  </si>
  <si>
    <t>Rainbow/ Villatoro</t>
  </si>
  <si>
    <t>Forro Exterior</t>
  </si>
  <si>
    <t>Lado 1</t>
  </si>
  <si>
    <t>Lado 2</t>
  </si>
  <si>
    <t>Medida Tapa</t>
  </si>
  <si>
    <t xml:space="preserve">Cartón </t>
  </si>
  <si>
    <t>Guarda Interior Cartera</t>
  </si>
  <si>
    <t>Forro Exterior Cartera</t>
  </si>
  <si>
    <t>13 de enero de 2017.</t>
  </si>
  <si>
    <t>Pernod Ricard</t>
  </si>
  <si>
    <t>Caja Invitación</t>
  </si>
  <si>
    <t>Marca</t>
  </si>
  <si>
    <t xml:space="preserve">Chivas </t>
  </si>
  <si>
    <t>tamaño extendido 18.4 X 24 cm.</t>
  </si>
  <si>
    <t>tamaño extendido 18.4  X 14  cm.</t>
  </si>
  <si>
    <t>tamaño extendido 8.4 X 14 cm.</t>
  </si>
  <si>
    <t>.12 mm</t>
  </si>
  <si>
    <t>CAJA</t>
  </si>
  <si>
    <t>Medida Caja</t>
  </si>
  <si>
    <t>Caja Almeja Suajada</t>
  </si>
  <si>
    <t>tamaño 8.4 X 14 X 5 cm.</t>
  </si>
  <si>
    <t>cartera hot stamping exterior + 1 tinta serigrafía</t>
  </si>
  <si>
    <t>con eva para sujetar botella}</t>
  </si>
  <si>
    <t>HS</t>
  </si>
  <si>
    <t>Imanes</t>
  </si>
  <si>
    <t>plata</t>
  </si>
  <si>
    <t>Iman</t>
  </si>
  <si>
    <t>eva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</si>
</sst>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19" applyNumberFormat="0" applyAlignment="0" applyProtection="0"/>
    <xf numFmtId="0" fontId="15" fillId="5" borderId="20" applyNumberFormat="0" applyAlignment="0" applyProtection="0"/>
    <xf numFmtId="0" fontId="16" fillId="6" borderId="0" applyNumberFormat="0" applyBorder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7" borderId="24" applyNumberFormat="0" applyFont="0" applyAlignment="0" applyProtection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8" borderId="0" xfId="1" applyFont="1" applyFill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44" fontId="2" fillId="0" borderId="17" xfId="1" applyFont="1" applyBorder="1" applyAlignment="1">
      <alignment horizontal="left"/>
    </xf>
    <xf numFmtId="0" fontId="6" fillId="0" borderId="18" xfId="0" applyFont="1" applyBorder="1"/>
    <xf numFmtId="44" fontId="2" fillId="0" borderId="17" xfId="0" applyNumberFormat="1" applyFont="1" applyBorder="1"/>
    <xf numFmtId="44" fontId="2" fillId="0" borderId="18" xfId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4" fontId="6" fillId="0" borderId="5" xfId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25" fillId="0" borderId="25" xfId="0" applyFont="1" applyBorder="1"/>
    <xf numFmtId="44" fontId="25" fillId="0" borderId="26" xfId="0" applyNumberFormat="1" applyFont="1" applyBorder="1"/>
    <xf numFmtId="0" fontId="26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44" fontId="10" fillId="0" borderId="0" xfId="1" applyFont="1"/>
    <xf numFmtId="44" fontId="28" fillId="0" borderId="0" xfId="1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8" borderId="0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724297</xdr:colOff>
      <xdr:row>16</xdr:row>
      <xdr:rowOff>9923</xdr:rowOff>
    </xdr:from>
    <xdr:to>
      <xdr:col>5</xdr:col>
      <xdr:colOff>228203</xdr:colOff>
      <xdr:row>20</xdr:row>
      <xdr:rowOff>158750</xdr:rowOff>
    </xdr:to>
    <xdr:sp macro="" textlink="">
      <xdr:nvSpPr>
        <xdr:cNvPr id="2" name="1 Rectángulo"/>
        <xdr:cNvSpPr/>
      </xdr:nvSpPr>
      <xdr:spPr>
        <a:xfrm>
          <a:off x="3238897" y="3410348"/>
          <a:ext cx="1066006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714375</xdr:colOff>
      <xdr:row>13</xdr:row>
      <xdr:rowOff>19845</xdr:rowOff>
    </xdr:from>
    <xdr:to>
      <xdr:col>5</xdr:col>
      <xdr:colOff>248047</xdr:colOff>
      <xdr:row>16</xdr:row>
      <xdr:rowOff>9923</xdr:rowOff>
    </xdr:to>
    <xdr:sp macro="" textlink="">
      <xdr:nvSpPr>
        <xdr:cNvPr id="3" name="2 Rectángulo"/>
        <xdr:cNvSpPr/>
      </xdr:nvSpPr>
      <xdr:spPr>
        <a:xfrm>
          <a:off x="3228975" y="2791620"/>
          <a:ext cx="1095772" cy="6187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754064</xdr:colOff>
      <xdr:row>62</xdr:row>
      <xdr:rowOff>198437</xdr:rowOff>
    </xdr:from>
    <xdr:to>
      <xdr:col>3</xdr:col>
      <xdr:colOff>744142</xdr:colOff>
      <xdr:row>71</xdr:row>
      <xdr:rowOff>198437</xdr:rowOff>
    </xdr:to>
    <xdr:sp macro="" textlink="">
      <xdr:nvSpPr>
        <xdr:cNvPr id="4" name="3 Rectángulo"/>
        <xdr:cNvSpPr/>
      </xdr:nvSpPr>
      <xdr:spPr>
        <a:xfrm>
          <a:off x="2506664" y="12390437"/>
          <a:ext cx="752078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9922</xdr:colOff>
      <xdr:row>63</xdr:row>
      <xdr:rowOff>9922</xdr:rowOff>
    </xdr:from>
    <xdr:to>
      <xdr:col>5</xdr:col>
      <xdr:colOff>9922</xdr:colOff>
      <xdr:row>71</xdr:row>
      <xdr:rowOff>198438</xdr:rowOff>
    </xdr:to>
    <xdr:sp macro="" textlink="">
      <xdr:nvSpPr>
        <xdr:cNvPr id="5" name="4 Rectángulo"/>
        <xdr:cNvSpPr/>
      </xdr:nvSpPr>
      <xdr:spPr>
        <a:xfrm>
          <a:off x="3286522" y="12411472"/>
          <a:ext cx="800100" cy="18649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29766</xdr:colOff>
      <xdr:row>62</xdr:row>
      <xdr:rowOff>198440</xdr:rowOff>
    </xdr:from>
    <xdr:to>
      <xdr:col>6</xdr:col>
      <xdr:colOff>19843</xdr:colOff>
      <xdr:row>71</xdr:row>
      <xdr:rowOff>198440</xdr:rowOff>
    </xdr:to>
    <xdr:sp macro="" textlink="">
      <xdr:nvSpPr>
        <xdr:cNvPr id="6" name="5 Rectángulo"/>
        <xdr:cNvSpPr/>
      </xdr:nvSpPr>
      <xdr:spPr>
        <a:xfrm>
          <a:off x="4106466" y="12390440"/>
          <a:ext cx="752077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257969</xdr:colOff>
      <xdr:row>16</xdr:row>
      <xdr:rowOff>9923</xdr:rowOff>
    </xdr:from>
    <xdr:to>
      <xdr:col>6</xdr:col>
      <xdr:colOff>565548</xdr:colOff>
      <xdr:row>20</xdr:row>
      <xdr:rowOff>158750</xdr:rowOff>
    </xdr:to>
    <xdr:sp macro="" textlink="">
      <xdr:nvSpPr>
        <xdr:cNvPr id="7" name="6 Rectángulo"/>
        <xdr:cNvSpPr/>
      </xdr:nvSpPr>
      <xdr:spPr>
        <a:xfrm>
          <a:off x="4334669" y="3410348"/>
          <a:ext cx="1069579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386953</xdr:colOff>
      <xdr:row>16</xdr:row>
      <xdr:rowOff>9923</xdr:rowOff>
    </xdr:from>
    <xdr:to>
      <xdr:col>3</xdr:col>
      <xdr:colOff>694532</xdr:colOff>
      <xdr:row>20</xdr:row>
      <xdr:rowOff>158750</xdr:rowOff>
    </xdr:to>
    <xdr:sp macro="" textlink="">
      <xdr:nvSpPr>
        <xdr:cNvPr id="8" name="7 Rectángulo"/>
        <xdr:cNvSpPr/>
      </xdr:nvSpPr>
      <xdr:spPr>
        <a:xfrm>
          <a:off x="2139553" y="3410348"/>
          <a:ext cx="1069579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724297</xdr:colOff>
      <xdr:row>20</xdr:row>
      <xdr:rowOff>158750</xdr:rowOff>
    </xdr:from>
    <xdr:to>
      <xdr:col>5</xdr:col>
      <xdr:colOff>257969</xdr:colOff>
      <xdr:row>23</xdr:row>
      <xdr:rowOff>148828</xdr:rowOff>
    </xdr:to>
    <xdr:sp macro="" textlink="">
      <xdr:nvSpPr>
        <xdr:cNvPr id="9" name="8 Rectángulo"/>
        <xdr:cNvSpPr/>
      </xdr:nvSpPr>
      <xdr:spPr>
        <a:xfrm>
          <a:off x="3238897" y="4397375"/>
          <a:ext cx="1095772" cy="6187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3"/>
  <sheetViews>
    <sheetView topLeftCell="A71" zoomScale="96" zoomScaleNormal="96" workbookViewId="0">
      <selection activeCell="H84" sqref="H84"/>
    </sheetView>
  </sheetViews>
  <sheetFormatPr baseColWidth="10" defaultRowHeight="16.5" x14ac:dyDescent="0.3"/>
  <cols>
    <col min="1" max="1" width="19.7109375" style="55" customWidth="1"/>
    <col min="2" max="2" width="13.7109375" style="55" customWidth="1"/>
    <col min="3" max="4" width="11.42578125" style="55"/>
    <col min="5" max="5" width="12" style="55" customWidth="1"/>
    <col min="6" max="7" width="11.42578125" style="55"/>
    <col min="8" max="8" width="14.28515625" style="55" customWidth="1"/>
    <col min="9" max="16384" width="11.42578125" style="55"/>
  </cols>
  <sheetData>
    <row r="1" spans="1:8" x14ac:dyDescent="0.3">
      <c r="A1" s="110" t="s">
        <v>153</v>
      </c>
      <c r="B1" s="55" t="s">
        <v>175</v>
      </c>
    </row>
    <row r="3" spans="1:8" x14ac:dyDescent="0.3">
      <c r="A3" s="110" t="s">
        <v>154</v>
      </c>
      <c r="B3" s="55" t="s">
        <v>176</v>
      </c>
    </row>
    <row r="4" spans="1:8" x14ac:dyDescent="0.3">
      <c r="A4" s="110" t="s">
        <v>178</v>
      </c>
      <c r="B4" s="55" t="s">
        <v>179</v>
      </c>
    </row>
    <row r="5" spans="1:8" x14ac:dyDescent="0.3">
      <c r="A5" s="110" t="s">
        <v>155</v>
      </c>
      <c r="B5" s="55" t="s">
        <v>177</v>
      </c>
    </row>
    <row r="6" spans="1:8" x14ac:dyDescent="0.3">
      <c r="A6" s="110"/>
    </row>
    <row r="7" spans="1:8" x14ac:dyDescent="0.3">
      <c r="A7" s="110" t="s">
        <v>156</v>
      </c>
      <c r="B7" s="111">
        <v>100</v>
      </c>
      <c r="C7" s="55" t="s">
        <v>157</v>
      </c>
      <c r="D7" s="111">
        <v>40</v>
      </c>
      <c r="E7" s="55" t="s">
        <v>158</v>
      </c>
    </row>
    <row r="8" spans="1:8" x14ac:dyDescent="0.3">
      <c r="C8" s="111"/>
    </row>
    <row r="9" spans="1:8" ht="20.25" x14ac:dyDescent="0.3">
      <c r="A9" s="112" t="s">
        <v>184</v>
      </c>
    </row>
    <row r="10" spans="1:8" x14ac:dyDescent="0.3">
      <c r="A10" s="113" t="s">
        <v>185</v>
      </c>
      <c r="C10" s="114" t="s">
        <v>159</v>
      </c>
      <c r="D10" s="114" t="s">
        <v>160</v>
      </c>
      <c r="E10" s="114" t="s">
        <v>161</v>
      </c>
    </row>
    <row r="11" spans="1:8" x14ac:dyDescent="0.3">
      <c r="A11" s="113"/>
      <c r="C11" s="111">
        <v>8.4</v>
      </c>
      <c r="D11" s="111">
        <v>14</v>
      </c>
      <c r="E11" s="111">
        <v>5</v>
      </c>
    </row>
    <row r="12" spans="1:8" x14ac:dyDescent="0.3">
      <c r="A12" s="113"/>
    </row>
    <row r="13" spans="1:8" x14ac:dyDescent="0.3">
      <c r="E13" s="55">
        <f>+C11</f>
        <v>8.4</v>
      </c>
    </row>
    <row r="14" spans="1:8" x14ac:dyDescent="0.3">
      <c r="D14" s="115">
        <f>+E11</f>
        <v>5</v>
      </c>
      <c r="G14" s="115">
        <f>+E11</f>
        <v>5</v>
      </c>
    </row>
    <row r="15" spans="1:8" x14ac:dyDescent="0.3">
      <c r="A15" s="116" t="s">
        <v>162</v>
      </c>
      <c r="B15" s="116">
        <f>+G14+E13+D14</f>
        <v>18.399999999999999</v>
      </c>
      <c r="H15" s="115"/>
    </row>
    <row r="16" spans="1:8" x14ac:dyDescent="0.3">
      <c r="G16" s="115"/>
      <c r="H16" s="115"/>
    </row>
    <row r="17" spans="1:9" x14ac:dyDescent="0.3">
      <c r="G17" s="115"/>
      <c r="H17" s="115"/>
    </row>
    <row r="18" spans="1:9" x14ac:dyDescent="0.3">
      <c r="G18" s="115"/>
      <c r="H18" s="115"/>
    </row>
    <row r="19" spans="1:9" x14ac:dyDescent="0.3">
      <c r="C19" s="115">
        <f>+D11</f>
        <v>14</v>
      </c>
      <c r="H19" s="115">
        <f>+D11</f>
        <v>14</v>
      </c>
    </row>
    <row r="20" spans="1:9" x14ac:dyDescent="0.3">
      <c r="G20" s="115"/>
      <c r="H20" s="115"/>
    </row>
    <row r="21" spans="1:9" x14ac:dyDescent="0.3">
      <c r="G21" s="115"/>
      <c r="H21" s="115"/>
    </row>
    <row r="22" spans="1:9" x14ac:dyDescent="0.3">
      <c r="G22" s="115"/>
      <c r="H22" s="115"/>
    </row>
    <row r="23" spans="1:9" x14ac:dyDescent="0.3">
      <c r="H23" s="115"/>
    </row>
    <row r="24" spans="1:9" x14ac:dyDescent="0.3">
      <c r="D24" s="115">
        <f>+E11</f>
        <v>5</v>
      </c>
      <c r="G24" s="115">
        <f>+E11</f>
        <v>5</v>
      </c>
      <c r="H24" s="113">
        <f>+G14+H19+G24</f>
        <v>24</v>
      </c>
      <c r="I24" s="116" t="s">
        <v>163</v>
      </c>
    </row>
    <row r="25" spans="1:9" x14ac:dyDescent="0.3">
      <c r="E25" s="55">
        <f>+C11</f>
        <v>8.4</v>
      </c>
    </row>
    <row r="27" spans="1:9" s="113" customFormat="1" x14ac:dyDescent="0.3">
      <c r="A27" s="113" t="s">
        <v>164</v>
      </c>
      <c r="B27" s="113" t="s">
        <v>146</v>
      </c>
      <c r="C27" s="114">
        <v>90</v>
      </c>
      <c r="D27" s="114" t="s">
        <v>82</v>
      </c>
      <c r="E27" s="114">
        <v>130</v>
      </c>
      <c r="F27" s="117">
        <v>41.072000000000003</v>
      </c>
      <c r="H27" s="118">
        <f>+F27*H28</f>
        <v>328.57600000000002</v>
      </c>
    </row>
    <row r="28" spans="1:9" x14ac:dyDescent="0.3">
      <c r="C28" s="111">
        <f>+B15</f>
        <v>18.399999999999999</v>
      </c>
      <c r="D28" s="111" t="s">
        <v>82</v>
      </c>
      <c r="E28" s="111">
        <f>+H24</f>
        <v>24</v>
      </c>
      <c r="G28" s="113" t="s">
        <v>165</v>
      </c>
      <c r="H28" s="113">
        <v>8</v>
      </c>
    </row>
    <row r="29" spans="1:9" x14ac:dyDescent="0.3">
      <c r="C29" s="119">
        <f>+C27/C28</f>
        <v>4.8913043478260869</v>
      </c>
      <c r="D29" s="119"/>
      <c r="E29" s="119">
        <f>+E27/E28</f>
        <v>5.416666666666667</v>
      </c>
      <c r="F29" s="55">
        <v>20</v>
      </c>
    </row>
    <row r="30" spans="1:9" x14ac:dyDescent="0.3">
      <c r="C30" s="119">
        <f>+E27/C28</f>
        <v>7.0652173913043486</v>
      </c>
      <c r="D30" s="119"/>
      <c r="E30" s="119">
        <f>+C27/E28</f>
        <v>3.75</v>
      </c>
      <c r="F30" s="113">
        <v>21</v>
      </c>
      <c r="G30" s="55">
        <f>+((B7+D7)/F30)</f>
        <v>6.666666666666667</v>
      </c>
    </row>
    <row r="31" spans="1:9" x14ac:dyDescent="0.3">
      <c r="C31" s="111"/>
      <c r="D31" s="111"/>
      <c r="E31" s="111"/>
    </row>
    <row r="32" spans="1:9" x14ac:dyDescent="0.3">
      <c r="A32" s="113" t="s">
        <v>166</v>
      </c>
      <c r="C32" s="111">
        <f>0.25+D24+E25+0.25+G24</f>
        <v>18.899999999999999</v>
      </c>
      <c r="D32" s="111" t="s">
        <v>82</v>
      </c>
      <c r="E32" s="111">
        <f>+G14+0.25+H19+0.25+G24</f>
        <v>24.5</v>
      </c>
    </row>
    <row r="33" spans="1:8" ht="6" customHeight="1" x14ac:dyDescent="0.3">
      <c r="A33" s="113"/>
      <c r="C33" s="111"/>
      <c r="D33" s="111"/>
      <c r="E33" s="111"/>
    </row>
    <row r="34" spans="1:8" s="113" customFormat="1" x14ac:dyDescent="0.3">
      <c r="A34" s="113" t="s">
        <v>167</v>
      </c>
      <c r="B34" s="113" t="s">
        <v>115</v>
      </c>
      <c r="C34" s="114">
        <v>100</v>
      </c>
      <c r="D34" s="114" t="s">
        <v>82</v>
      </c>
      <c r="E34" s="114">
        <v>135</v>
      </c>
      <c r="F34" s="117">
        <v>35</v>
      </c>
      <c r="H34" s="118">
        <f>+F34*H35</f>
        <v>280</v>
      </c>
    </row>
    <row r="35" spans="1:8" x14ac:dyDescent="0.3">
      <c r="C35" s="111">
        <f>1+C32+1</f>
        <v>20.9</v>
      </c>
      <c r="D35" s="111" t="s">
        <v>82</v>
      </c>
      <c r="E35" s="111">
        <f>1+E32+1</f>
        <v>26.5</v>
      </c>
      <c r="G35" s="113" t="s">
        <v>165</v>
      </c>
      <c r="H35" s="113">
        <v>8</v>
      </c>
    </row>
    <row r="36" spans="1:8" x14ac:dyDescent="0.3">
      <c r="C36" s="119">
        <f>+C34/C35</f>
        <v>4.7846889952153111</v>
      </c>
      <c r="D36" s="119"/>
      <c r="E36" s="119">
        <f>+E34/E35</f>
        <v>5.0943396226415096</v>
      </c>
      <c r="F36" s="113">
        <v>20</v>
      </c>
      <c r="G36" s="55">
        <f>+((B7+D7)/F36)</f>
        <v>7</v>
      </c>
    </row>
    <row r="37" spans="1:8" x14ac:dyDescent="0.3">
      <c r="C37" s="119">
        <f>+E34/C35</f>
        <v>6.4593301435406705</v>
      </c>
      <c r="D37" s="119"/>
      <c r="E37" s="119">
        <f>+C34/E35</f>
        <v>3.7735849056603774</v>
      </c>
      <c r="F37" s="55">
        <v>18</v>
      </c>
    </row>
    <row r="39" spans="1:8" x14ac:dyDescent="0.3">
      <c r="A39" s="113" t="s">
        <v>168</v>
      </c>
      <c r="C39" s="111">
        <f>1.5+0.25+D24+0.25+E25+0.25+G24+0.25+1.5</f>
        <v>22.4</v>
      </c>
      <c r="D39" s="111" t="s">
        <v>82</v>
      </c>
      <c r="E39" s="111">
        <f>1.5+0.25+G14+0.25+H19+0.25+G24+0.25+1.5</f>
        <v>28</v>
      </c>
    </row>
    <row r="40" spans="1:8" ht="6" customHeight="1" x14ac:dyDescent="0.3">
      <c r="A40" s="113"/>
      <c r="C40" s="111"/>
      <c r="D40" s="111"/>
      <c r="E40" s="111"/>
    </row>
    <row r="41" spans="1:8" s="113" customFormat="1" x14ac:dyDescent="0.3">
      <c r="A41" s="113" t="s">
        <v>167</v>
      </c>
      <c r="B41" s="113" t="s">
        <v>115</v>
      </c>
      <c r="C41" s="114">
        <v>100</v>
      </c>
      <c r="D41" s="114" t="s">
        <v>82</v>
      </c>
      <c r="E41" s="114">
        <v>135</v>
      </c>
      <c r="F41" s="117">
        <v>35</v>
      </c>
      <c r="H41" s="118">
        <f>+F41*H42</f>
        <v>350</v>
      </c>
    </row>
    <row r="42" spans="1:8" x14ac:dyDescent="0.3">
      <c r="C42" s="111">
        <f>2+C39+2</f>
        <v>26.4</v>
      </c>
      <c r="D42" s="111" t="s">
        <v>82</v>
      </c>
      <c r="E42" s="111">
        <f>2+E39+2</f>
        <v>32</v>
      </c>
      <c r="G42" s="113" t="s">
        <v>165</v>
      </c>
      <c r="H42" s="113">
        <v>10</v>
      </c>
    </row>
    <row r="43" spans="1:8" x14ac:dyDescent="0.3">
      <c r="C43" s="119">
        <f>+C41/C42</f>
        <v>3.7878787878787881</v>
      </c>
      <c r="D43" s="119"/>
      <c r="E43" s="119">
        <f>+E41/E42</f>
        <v>4.21875</v>
      </c>
      <c r="F43" s="55">
        <v>12</v>
      </c>
    </row>
    <row r="44" spans="1:8" x14ac:dyDescent="0.3">
      <c r="C44" s="119">
        <f>+E41/C42</f>
        <v>5.1136363636363642</v>
      </c>
      <c r="D44" s="119"/>
      <c r="E44" s="119">
        <f>+C41/E42</f>
        <v>3.125</v>
      </c>
      <c r="F44" s="113">
        <v>15</v>
      </c>
      <c r="G44" s="55">
        <f>+((B7+D7)/F44)</f>
        <v>9.3333333333333339</v>
      </c>
    </row>
    <row r="59" spans="1:8" ht="20.25" x14ac:dyDescent="0.3">
      <c r="A59" s="112" t="s">
        <v>125</v>
      </c>
      <c r="C59" s="114" t="s">
        <v>169</v>
      </c>
      <c r="D59" s="114" t="s">
        <v>159</v>
      </c>
      <c r="E59" s="114" t="s">
        <v>170</v>
      </c>
      <c r="F59" s="114" t="s">
        <v>161</v>
      </c>
    </row>
    <row r="60" spans="1:8" x14ac:dyDescent="0.3">
      <c r="A60" s="113" t="s">
        <v>171</v>
      </c>
      <c r="C60" s="111">
        <v>5</v>
      </c>
      <c r="D60" s="111">
        <v>8.4</v>
      </c>
      <c r="E60" s="111">
        <v>5</v>
      </c>
      <c r="F60" s="111">
        <v>14</v>
      </c>
    </row>
    <row r="61" spans="1:8" x14ac:dyDescent="0.3">
      <c r="A61" s="113"/>
    </row>
    <row r="63" spans="1:8" x14ac:dyDescent="0.3">
      <c r="D63" s="111">
        <f>+C60</f>
        <v>5</v>
      </c>
      <c r="E63" s="111">
        <f>+D60</f>
        <v>8.4</v>
      </c>
      <c r="F63" s="55">
        <f>+E60</f>
        <v>5</v>
      </c>
    </row>
    <row r="64" spans="1:8" x14ac:dyDescent="0.3">
      <c r="A64" s="116" t="s">
        <v>162</v>
      </c>
      <c r="B64" s="116">
        <f>+D63+E63+F63</f>
        <v>18.399999999999999</v>
      </c>
      <c r="G64" s="115"/>
      <c r="H64" s="115"/>
    </row>
    <row r="65" spans="1:9" x14ac:dyDescent="0.3">
      <c r="G65" s="115"/>
      <c r="H65" s="115"/>
    </row>
    <row r="66" spans="1:9" x14ac:dyDescent="0.3">
      <c r="G66" s="115"/>
      <c r="H66" s="115"/>
    </row>
    <row r="67" spans="1:9" x14ac:dyDescent="0.3">
      <c r="G67" s="120">
        <f>+F60</f>
        <v>14</v>
      </c>
      <c r="H67" s="115"/>
    </row>
    <row r="68" spans="1:9" x14ac:dyDescent="0.3">
      <c r="C68" s="115"/>
      <c r="G68" s="115"/>
      <c r="H68" s="115"/>
    </row>
    <row r="69" spans="1:9" x14ac:dyDescent="0.3">
      <c r="G69" s="115"/>
      <c r="H69" s="115"/>
    </row>
    <row r="70" spans="1:9" x14ac:dyDescent="0.3">
      <c r="G70" s="115"/>
      <c r="H70" s="115"/>
    </row>
    <row r="71" spans="1:9" x14ac:dyDescent="0.3">
      <c r="G71" s="115"/>
      <c r="H71" s="115"/>
    </row>
    <row r="72" spans="1:9" x14ac:dyDescent="0.3">
      <c r="G72" s="115"/>
      <c r="H72" s="115"/>
    </row>
    <row r="73" spans="1:9" x14ac:dyDescent="0.3">
      <c r="H73" s="113">
        <f>+G67+0</f>
        <v>14</v>
      </c>
      <c r="I73" s="116" t="s">
        <v>163</v>
      </c>
    </row>
    <row r="76" spans="1:9" s="113" customFormat="1" x14ac:dyDescent="0.3">
      <c r="A76" s="113" t="s">
        <v>172</v>
      </c>
      <c r="B76" s="113" t="s">
        <v>146</v>
      </c>
      <c r="C76" s="114">
        <v>90</v>
      </c>
      <c r="D76" s="114" t="s">
        <v>82</v>
      </c>
      <c r="E76" s="114">
        <v>130</v>
      </c>
      <c r="F76" s="117">
        <f>+F27</f>
        <v>41.072000000000003</v>
      </c>
      <c r="H76" s="118">
        <f>+F76*H77</f>
        <v>164.28800000000001</v>
      </c>
    </row>
    <row r="77" spans="1:9" x14ac:dyDescent="0.3">
      <c r="C77" s="111">
        <f>+B64</f>
        <v>18.399999999999999</v>
      </c>
      <c r="D77" s="111" t="s">
        <v>82</v>
      </c>
      <c r="E77" s="111">
        <f>+H73</f>
        <v>14</v>
      </c>
      <c r="G77" s="113" t="s">
        <v>165</v>
      </c>
      <c r="H77" s="113">
        <v>4</v>
      </c>
    </row>
    <row r="78" spans="1:9" x14ac:dyDescent="0.3">
      <c r="C78" s="119">
        <f>+C76/C77</f>
        <v>4.8913043478260869</v>
      </c>
      <c r="D78" s="119"/>
      <c r="E78" s="119">
        <f>+E76/E77</f>
        <v>9.2857142857142865</v>
      </c>
      <c r="F78" s="55">
        <v>36</v>
      </c>
    </row>
    <row r="79" spans="1:9" x14ac:dyDescent="0.3">
      <c r="C79" s="119">
        <f>+E76/C77</f>
        <v>7.0652173913043486</v>
      </c>
      <c r="D79" s="119"/>
      <c r="E79" s="119">
        <f>+C76/E77</f>
        <v>6.4285714285714288</v>
      </c>
      <c r="F79" s="113">
        <v>42</v>
      </c>
      <c r="G79" s="55">
        <f>+((B7+D7)/F79)</f>
        <v>3.3333333333333335</v>
      </c>
    </row>
    <row r="80" spans="1:9" x14ac:dyDescent="0.3">
      <c r="C80" s="111"/>
      <c r="D80" s="111"/>
      <c r="E80" s="111"/>
    </row>
    <row r="81" spans="1:8" x14ac:dyDescent="0.3">
      <c r="A81" s="113" t="s">
        <v>173</v>
      </c>
      <c r="C81" s="111">
        <f>0.25+D63+E63+0.25+F63</f>
        <v>18.899999999999999</v>
      </c>
      <c r="D81" s="111" t="s">
        <v>82</v>
      </c>
      <c r="E81" s="111">
        <f>+G67</f>
        <v>14</v>
      </c>
    </row>
    <row r="82" spans="1:8" ht="6" customHeight="1" x14ac:dyDescent="0.3">
      <c r="A82" s="113"/>
      <c r="C82" s="111"/>
      <c r="D82" s="111"/>
      <c r="E82" s="111"/>
    </row>
    <row r="83" spans="1:8" s="113" customFormat="1" x14ac:dyDescent="0.3">
      <c r="A83" s="113" t="s">
        <v>167</v>
      </c>
      <c r="B83" s="113" t="s">
        <v>115</v>
      </c>
      <c r="C83" s="114">
        <v>100</v>
      </c>
      <c r="D83" s="114" t="s">
        <v>82</v>
      </c>
      <c r="E83" s="114">
        <v>135</v>
      </c>
      <c r="F83" s="117">
        <v>35</v>
      </c>
      <c r="H83" s="118">
        <f>+F83*H84</f>
        <v>175</v>
      </c>
    </row>
    <row r="84" spans="1:8" x14ac:dyDescent="0.3">
      <c r="C84" s="111">
        <f>1+C81+1</f>
        <v>20.9</v>
      </c>
      <c r="D84" s="111" t="s">
        <v>82</v>
      </c>
      <c r="E84" s="111">
        <f>1+E81+1</f>
        <v>16</v>
      </c>
      <c r="G84" s="113" t="s">
        <v>165</v>
      </c>
      <c r="H84" s="113">
        <v>5</v>
      </c>
    </row>
    <row r="85" spans="1:8" x14ac:dyDescent="0.3">
      <c r="C85" s="119">
        <f>+C83/C84</f>
        <v>4.7846889952153111</v>
      </c>
      <c r="D85" s="119"/>
      <c r="E85" s="119">
        <f>+E83/E84</f>
        <v>8.4375</v>
      </c>
      <c r="F85" s="55">
        <v>32</v>
      </c>
    </row>
    <row r="86" spans="1:8" x14ac:dyDescent="0.3">
      <c r="C86" s="119">
        <f>+E83/C84</f>
        <v>6.4593301435406705</v>
      </c>
      <c r="D86" s="119"/>
      <c r="E86" s="119">
        <f>+C83/E84</f>
        <v>6.25</v>
      </c>
      <c r="F86" s="113">
        <v>36</v>
      </c>
      <c r="G86" s="55">
        <f>+((B7+D7)/F86)</f>
        <v>3.8888888888888888</v>
      </c>
    </row>
    <row r="88" spans="1:8" x14ac:dyDescent="0.3">
      <c r="A88" s="113" t="s">
        <v>174</v>
      </c>
      <c r="C88" s="111">
        <f>1.5+0.25+D63+0.25+E63+0.25+F63+0.25+1.5</f>
        <v>22.4</v>
      </c>
      <c r="D88" s="111" t="s">
        <v>82</v>
      </c>
      <c r="E88" s="111">
        <f>1.5+0.25+G67+0.25+1.5</f>
        <v>17.5</v>
      </c>
    </row>
    <row r="89" spans="1:8" ht="6" customHeight="1" x14ac:dyDescent="0.3">
      <c r="A89" s="113"/>
      <c r="C89" s="111"/>
      <c r="D89" s="111"/>
      <c r="E89" s="111"/>
    </row>
    <row r="90" spans="1:8" s="113" customFormat="1" x14ac:dyDescent="0.3">
      <c r="A90" s="113" t="s">
        <v>167</v>
      </c>
      <c r="B90" s="113" t="s">
        <v>115</v>
      </c>
      <c r="C90" s="114">
        <v>100</v>
      </c>
      <c r="D90" s="114" t="s">
        <v>82</v>
      </c>
      <c r="E90" s="114">
        <v>135</v>
      </c>
      <c r="F90" s="117">
        <v>35</v>
      </c>
      <c r="H90" s="118">
        <f>+F90*H91</f>
        <v>280</v>
      </c>
    </row>
    <row r="91" spans="1:8" x14ac:dyDescent="0.3">
      <c r="C91" s="111">
        <f>2+C88+2</f>
        <v>26.4</v>
      </c>
      <c r="D91" s="111" t="s">
        <v>82</v>
      </c>
      <c r="E91" s="111">
        <f>2+E88+2</f>
        <v>21.5</v>
      </c>
      <c r="G91" s="113" t="s">
        <v>165</v>
      </c>
      <c r="H91" s="113">
        <v>8</v>
      </c>
    </row>
    <row r="92" spans="1:8" x14ac:dyDescent="0.3">
      <c r="C92" s="119">
        <f>+C90/C91</f>
        <v>3.7878787878787881</v>
      </c>
      <c r="D92" s="119"/>
      <c r="E92" s="119">
        <f>+E90/E91</f>
        <v>6.2790697674418601</v>
      </c>
      <c r="F92" s="55">
        <v>18</v>
      </c>
    </row>
    <row r="93" spans="1:8" x14ac:dyDescent="0.3">
      <c r="C93" s="119">
        <f>+E90/C91</f>
        <v>5.1136363636363642</v>
      </c>
      <c r="D93" s="119"/>
      <c r="E93" s="119">
        <f>+C90/E91</f>
        <v>4.6511627906976747</v>
      </c>
      <c r="F93" s="113">
        <v>20</v>
      </c>
      <c r="G93" s="55">
        <f>+((B7+D7)/F93)</f>
        <v>7</v>
      </c>
    </row>
  </sheetData>
  <pageMargins left="0.70866141732283472" right="0.70866141732283472" top="0.74803149606299213" bottom="0.74803149606299213" header="0.31496062992125984" footer="0.31496062992125984"/>
  <pageSetup scale="7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58" zoomScale="80" zoomScaleNormal="80" workbookViewId="0">
      <selection activeCell="H63" sqref="H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+Desarrollo!B1</f>
        <v>13 de enero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+Desarrollo!B3</f>
        <v>Pernod Ricard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+CONCATENATE(Desarrollo!B4,  Desarrollo!B5)</f>
        <v>Chivas Caja Invitación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93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180</v>
      </c>
      <c r="D16" s="18"/>
      <c r="E16" s="18"/>
      <c r="F16" s="46">
        <f>+Desarrollo!C28</f>
        <v>18.399999999999999</v>
      </c>
      <c r="G16" s="73" t="s">
        <v>82</v>
      </c>
      <c r="H16" s="74">
        <f>+Desarrollo!E28</f>
        <v>24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/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108</v>
      </c>
      <c r="D23" s="5" t="s">
        <v>14</v>
      </c>
      <c r="E23" s="22" t="s">
        <v>95</v>
      </c>
      <c r="F23" s="1" t="s">
        <v>146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18.399999999999999</v>
      </c>
      <c r="D26" s="28" t="s">
        <v>16</v>
      </c>
      <c r="E26" s="27">
        <f>+H16</f>
        <v>24</v>
      </c>
      <c r="F26" s="29">
        <f>+E26</f>
        <v>24</v>
      </c>
      <c r="G26" s="29" t="s">
        <v>16</v>
      </c>
      <c r="H26" s="29">
        <f>+C26</f>
        <v>18.399999999999999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4.8913043478260869</v>
      </c>
      <c r="D27" s="33"/>
      <c r="E27" s="32">
        <f>+E25/E26</f>
        <v>5.416666666666667</v>
      </c>
      <c r="F27" s="32">
        <f>+F25/F26</f>
        <v>3.75</v>
      </c>
      <c r="G27" s="33"/>
      <c r="H27" s="32">
        <f>+H25/H26</f>
        <v>7.0652173913043486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20</v>
      </c>
      <c r="E28" s="37"/>
      <c r="F28" s="38"/>
      <c r="G28" s="39">
        <v>21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89</v>
      </c>
      <c r="D30" s="41" t="s">
        <v>22</v>
      </c>
      <c r="E30" s="42">
        <f>+Desarrollo!F27</f>
        <v>41.072000000000003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41.072000000000003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41.072000000000003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+E34*1.15</f>
        <v>47.232799999999997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21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100</v>
      </c>
      <c r="D40" s="24">
        <f>+Desarrollo!D7</f>
        <v>40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140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6.666666666666667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140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140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+Desarrollo!B7</f>
        <v>100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273.81333333333339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200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200</v>
      </c>
      <c r="H52" s="30">
        <f t="shared" ref="H52:H59" si="0">+G52*E52</f>
        <v>200</v>
      </c>
      <c r="I52" s="30">
        <f>+(B72/100)*2</f>
        <v>12.697706666666669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120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120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473.81333333333339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4.7381333333333338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200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v>1.6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+B72/C40</f>
        <v>6.3488533333333343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314.88533333333334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320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4.7381333333333338</v>
      </c>
      <c r="H69" s="65">
        <f>+G69*B48</f>
        <v>473.81333333333339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6.3488533333333343</v>
      </c>
      <c r="H70" s="65">
        <f>+G70*B48</f>
        <v>634.88533333333339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/>
      <c r="B71" s="54"/>
      <c r="C71" s="66"/>
      <c r="F71" s="67" t="s">
        <v>76</v>
      </c>
      <c r="G71" s="68">
        <f>+G70-G69</f>
        <v>1.6107200000000006</v>
      </c>
      <c r="H71" s="65">
        <f>+G71*B48</f>
        <v>161.07200000000006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58</v>
      </c>
      <c r="B72" s="57">
        <f>SUM(B65:B71)</f>
        <v>634.88533333333339</v>
      </c>
      <c r="C72" s="68">
        <f>+B72/B48</f>
        <v>6.3488533333333343</v>
      </c>
      <c r="D72" s="5" t="s">
        <v>129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9"/>
      <c r="C76" s="70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0:22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</row>
    <row r="86" spans="10:22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22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22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22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22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22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22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22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22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22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18" zoomScale="80" zoomScaleNormal="80" workbookViewId="0">
      <selection activeCell="H43" sqref="H4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13 de enero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C13" s="1" t="str">
        <f>+'cartón caja'!C13</f>
        <v>Chivas Caja Invitación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125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181</v>
      </c>
      <c r="D16" s="18"/>
      <c r="E16" s="18"/>
      <c r="F16" s="46">
        <v>18.399999999999999</v>
      </c>
      <c r="G16" s="73" t="s">
        <v>82</v>
      </c>
      <c r="H16" s="74">
        <v>14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">
        <v>108</v>
      </c>
      <c r="D23" s="5" t="s">
        <v>14</v>
      </c>
      <c r="E23" s="22" t="s">
        <v>95</v>
      </c>
      <c r="F23" s="1" t="str">
        <f>+'cartón caja'!F23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17</v>
      </c>
      <c r="B26" s="3"/>
      <c r="C26" s="27">
        <f>+F16</f>
        <v>18.399999999999999</v>
      </c>
      <c r="D26" s="28" t="s">
        <v>16</v>
      </c>
      <c r="E26" s="27">
        <f>+H16</f>
        <v>14</v>
      </c>
      <c r="F26" s="29">
        <f>+E26</f>
        <v>14</v>
      </c>
      <c r="G26" s="29" t="s">
        <v>16</v>
      </c>
      <c r="H26" s="29">
        <f>+C26</f>
        <v>18.399999999999999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18</v>
      </c>
      <c r="B27" s="31"/>
      <c r="C27" s="32">
        <f>+C25/C26</f>
        <v>4.8913043478260869</v>
      </c>
      <c r="D27" s="33"/>
      <c r="E27" s="32">
        <f>+E25/E26</f>
        <v>9.2857142857142865</v>
      </c>
      <c r="F27" s="32">
        <f>+F25/F26</f>
        <v>6.4285714285714288</v>
      </c>
      <c r="G27" s="33"/>
      <c r="H27" s="32">
        <f>+H25/H26</f>
        <v>7.0652173913043486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19</v>
      </c>
      <c r="B28" s="34"/>
      <c r="C28" s="35"/>
      <c r="D28" s="36">
        <v>36</v>
      </c>
      <c r="E28" s="37"/>
      <c r="F28" s="38"/>
      <c r="G28" s="39">
        <v>42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5" t="s">
        <v>21</v>
      </c>
      <c r="B30" s="25" t="s">
        <v>89</v>
      </c>
      <c r="D30" s="41" t="s">
        <v>22</v>
      </c>
      <c r="E30" s="42">
        <f>+'cartón caja'!E30</f>
        <v>41.072000000000003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4" t="s">
        <v>25</v>
      </c>
      <c r="E32" s="45">
        <f>+E30-E31</f>
        <v>41.072000000000003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1" t="s">
        <v>29</v>
      </c>
      <c r="E34" s="47">
        <f>+E32</f>
        <v>41.072000000000003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30</v>
      </c>
      <c r="E35" s="47">
        <f>+E34*1.15</f>
        <v>47.232799999999997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34</v>
      </c>
      <c r="C38" s="48">
        <v>42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38</v>
      </c>
      <c r="B40" s="5"/>
      <c r="C40" s="50">
        <f>+B48/F17</f>
        <v>100</v>
      </c>
      <c r="D40" s="24">
        <f>+'cartón caja'!D40</f>
        <v>40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40</v>
      </c>
      <c r="C41" s="34">
        <f>+C40+D40</f>
        <v>140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42</v>
      </c>
      <c r="C42" s="34">
        <f>+C41/C38</f>
        <v>3.3333333333333335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1"/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1"/>
      <c r="F44" s="44" t="s">
        <v>45</v>
      </c>
      <c r="G44" s="48">
        <f>+C41</f>
        <v>140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46</v>
      </c>
      <c r="C46" s="25">
        <f>+C42*C38</f>
        <v>140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77</v>
      </c>
      <c r="B48" s="21">
        <f>+'cartón caja'!B48</f>
        <v>100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3" t="s">
        <v>54</v>
      </c>
      <c r="B50" s="54">
        <f>+E34*C42</f>
        <v>136.90666666666669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12</v>
      </c>
      <c r="B51" s="54">
        <f>+H61</f>
        <v>200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200</v>
      </c>
      <c r="H52" s="30">
        <f t="shared" ref="H52" si="0">+G52*E52</f>
        <v>200</v>
      </c>
      <c r="I52" s="30">
        <f>+(B72/100)*2</f>
        <v>9.5488533333333336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130</v>
      </c>
      <c r="H53" s="30">
        <f t="shared" ref="H53:H59" si="1">+G53*E53</f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130</v>
      </c>
      <c r="H54" s="30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58</v>
      </c>
      <c r="B58" s="57">
        <f>SUM(B50:B57)</f>
        <v>336.90666666666669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+B58/B48</f>
        <v>3.3690666666666669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200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63</v>
      </c>
      <c r="H62" s="76">
        <f>+'cartón caja'!H62</f>
        <v>1.6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65</v>
      </c>
      <c r="B63" s="3"/>
      <c r="C63" s="3"/>
      <c r="E63" s="32">
        <f>+B72/C40</f>
        <v>4.7744266666666668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54</v>
      </c>
      <c r="B66" s="54">
        <f>+E35*C42</f>
        <v>157.44266666666667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320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3.3690666666666669</v>
      </c>
      <c r="H69" s="65">
        <f>+G69*B48</f>
        <v>336.90666666666669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4.7744266666666668</v>
      </c>
      <c r="H70" s="65">
        <f>+G70*B48</f>
        <v>477.4426666666667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/>
      <c r="B71" s="54"/>
      <c r="C71" s="66"/>
      <c r="F71" s="67" t="s">
        <v>76</v>
      </c>
      <c r="G71" s="68">
        <f>+G70-G69</f>
        <v>1.4053599999999999</v>
      </c>
      <c r="H71" s="65">
        <f>+G71*B48</f>
        <v>140.536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">
        <v>58</v>
      </c>
      <c r="B72" s="57">
        <f>SUM(B65:B71)</f>
        <v>477.4426666666667</v>
      </c>
      <c r="C72" s="68">
        <f>+B72/B48</f>
        <v>4.7744266666666668</v>
      </c>
      <c r="D72" s="5" t="s">
        <v>130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3">
      <c r="B76" s="69"/>
      <c r="C76" s="70"/>
    </row>
    <row r="80" spans="1:24" x14ac:dyDescent="0.3">
      <c r="J80" s="71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54" zoomScale="80" zoomScaleNormal="80" workbookViewId="0">
      <selection activeCell="D54" sqref="D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13 de enero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C13" s="1" t="str">
        <f>+'cartón cartera'!C13</f>
        <v>Chivas Caja Invitación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138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182</v>
      </c>
      <c r="D16" s="18"/>
      <c r="E16" s="18"/>
      <c r="F16" s="46">
        <v>8.4</v>
      </c>
      <c r="G16" s="73" t="s">
        <v>82</v>
      </c>
      <c r="H16" s="74">
        <v>14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/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">
        <v>138</v>
      </c>
      <c r="D23" s="5" t="s">
        <v>14</v>
      </c>
      <c r="E23" s="22" t="s">
        <v>139</v>
      </c>
      <c r="F23" s="1" t="s">
        <v>183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15</v>
      </c>
      <c r="C25" s="23">
        <v>150</v>
      </c>
      <c r="D25" s="22" t="s">
        <v>16</v>
      </c>
      <c r="E25" s="24">
        <v>300</v>
      </c>
      <c r="F25" s="25">
        <f>+C25</f>
        <v>150</v>
      </c>
      <c r="G25" s="26" t="s">
        <v>16</v>
      </c>
      <c r="H25" s="26">
        <f>+E25</f>
        <v>300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17</v>
      </c>
      <c r="B26" s="3"/>
      <c r="C26" s="27">
        <f>+F16</f>
        <v>8.4</v>
      </c>
      <c r="D26" s="28" t="s">
        <v>16</v>
      </c>
      <c r="E26" s="27">
        <f>+H16</f>
        <v>14</v>
      </c>
      <c r="F26" s="29">
        <f>+E26</f>
        <v>14</v>
      </c>
      <c r="G26" s="29" t="s">
        <v>16</v>
      </c>
      <c r="H26" s="29">
        <f>+C26</f>
        <v>8.4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18</v>
      </c>
      <c r="B27" s="31"/>
      <c r="C27" s="32">
        <f>+C25/C26</f>
        <v>17.857142857142858</v>
      </c>
      <c r="D27" s="33"/>
      <c r="E27" s="32">
        <f>+E25/E26</f>
        <v>21.428571428571427</v>
      </c>
      <c r="F27" s="32">
        <f>+F25/F26</f>
        <v>10.714285714285714</v>
      </c>
      <c r="G27" s="33"/>
      <c r="H27" s="32">
        <f>+H25/H26</f>
        <v>35.714285714285715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19</v>
      </c>
      <c r="B28" s="34"/>
      <c r="C28" s="35"/>
      <c r="D28" s="36">
        <v>357</v>
      </c>
      <c r="E28" s="37"/>
      <c r="F28" s="38"/>
      <c r="G28" s="39">
        <v>350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5" t="s">
        <v>21</v>
      </c>
      <c r="B30" s="25"/>
      <c r="D30" s="41" t="s">
        <v>22</v>
      </c>
      <c r="E30" s="42">
        <v>500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4" t="s">
        <v>25</v>
      </c>
      <c r="E32" s="45">
        <f>+E30-E31</f>
        <v>500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1" t="s">
        <v>29</v>
      </c>
      <c r="E34" s="47">
        <f>+E32</f>
        <v>500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30</v>
      </c>
      <c r="E35" s="47">
        <f>+E34*1.15</f>
        <v>575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34</v>
      </c>
      <c r="C38" s="48">
        <v>350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38</v>
      </c>
      <c r="B40" s="5"/>
      <c r="C40" s="50">
        <f>+B48/F17</f>
        <v>300</v>
      </c>
      <c r="D40" s="24">
        <v>50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40</v>
      </c>
      <c r="C41" s="34">
        <f>+C40+D40</f>
        <v>350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42</v>
      </c>
      <c r="C42" s="34">
        <f>+C41/C38</f>
        <v>1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1"/>
      <c r="F43" s="41" t="s">
        <v>44</v>
      </c>
      <c r="G43" s="23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1"/>
      <c r="F44" s="44" t="s">
        <v>45</v>
      </c>
      <c r="G44" s="48">
        <f>+C41</f>
        <v>350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46</v>
      </c>
      <c r="C46" s="25">
        <f>+C42*C38</f>
        <v>350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77</v>
      </c>
      <c r="B48" s="21">
        <f>+C48*3</f>
        <v>300</v>
      </c>
      <c r="C48" s="21">
        <v>100</v>
      </c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3" t="s">
        <v>54</v>
      </c>
      <c r="B50" s="54">
        <f>+E34*C42</f>
        <v>500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12</v>
      </c>
      <c r="B51" s="54">
        <f>+H61</f>
        <v>520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250</v>
      </c>
      <c r="H52" s="30">
        <f t="shared" ref="H52:H59" si="0">+G52*E52</f>
        <v>250</v>
      </c>
      <c r="I52" s="30">
        <f>+(B72/100)*2</f>
        <v>37.74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3" t="s">
        <v>26</v>
      </c>
      <c r="B53" s="54">
        <v>300</v>
      </c>
      <c r="C53" s="3"/>
      <c r="D53" s="21">
        <v>1</v>
      </c>
      <c r="E53" s="21">
        <v>1</v>
      </c>
      <c r="F53" s="21" t="s">
        <v>79</v>
      </c>
      <c r="G53" s="30">
        <v>135</v>
      </c>
      <c r="H53" s="30">
        <f t="shared" si="0"/>
        <v>135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6" t="s">
        <v>85</v>
      </c>
      <c r="B54" s="54">
        <v>0</v>
      </c>
      <c r="C54" s="3"/>
      <c r="D54" s="21">
        <v>1</v>
      </c>
      <c r="E54" s="21">
        <v>1</v>
      </c>
      <c r="F54" s="21" t="s">
        <v>80</v>
      </c>
      <c r="G54" s="30">
        <v>135</v>
      </c>
      <c r="H54" s="30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58</v>
      </c>
      <c r="B58" s="57">
        <f>SUM(B50:B57)</f>
        <v>1320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+B58/C48</f>
        <v>13.2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520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63</v>
      </c>
      <c r="H62" s="76">
        <f>+'cartón cartera'!H62</f>
        <v>1.6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65</v>
      </c>
      <c r="B63" s="3"/>
      <c r="C63" s="3"/>
      <c r="E63" s="32">
        <f>+B72/C40</f>
        <v>6.29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54</v>
      </c>
      <c r="B66" s="54">
        <f>+E35*C42</f>
        <v>575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832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+A54</f>
        <v>Placas</v>
      </c>
      <c r="B68" s="54">
        <f>+B53*H62</f>
        <v>480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13.2</v>
      </c>
      <c r="H69" s="65">
        <f>+G69*C48</f>
        <v>1320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18.87</v>
      </c>
      <c r="H70" s="65">
        <f>+G70*C48</f>
        <v>1887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/>
      <c r="B71" s="54"/>
      <c r="C71" s="66"/>
      <c r="F71" s="67" t="s">
        <v>76</v>
      </c>
      <c r="G71" s="68">
        <f>+G70-G69</f>
        <v>5.6700000000000017</v>
      </c>
      <c r="H71" s="65">
        <f>+G71*C48</f>
        <v>567.00000000000023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">
        <v>58</v>
      </c>
      <c r="B72" s="57">
        <f>SUM(B65:B71)</f>
        <v>1887</v>
      </c>
      <c r="C72" s="68">
        <f>+B72/C48</f>
        <v>18.87</v>
      </c>
      <c r="D72" s="5" t="s">
        <v>194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.75" x14ac:dyDescent="0.3">
      <c r="B76" s="69"/>
      <c r="C76" s="70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80" spans="1:24" x14ac:dyDescent="0.3">
      <c r="J80" s="71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36" zoomScale="80" zoomScaleNormal="80" workbookViewId="0">
      <selection activeCell="E35" sqref="E3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13 de enero de 2017.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10</v>
      </c>
      <c r="C13" s="1" t="str">
        <f>+'eva base'!C13</f>
        <v>Chivas Caja Invitación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11</v>
      </c>
      <c r="C15" s="19" t="s">
        <v>186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187</v>
      </c>
      <c r="D16" s="18"/>
      <c r="E16" s="18"/>
      <c r="F16" s="46">
        <f>+F20</f>
        <v>20.9</v>
      </c>
      <c r="G16" s="73" t="s">
        <v>82</v>
      </c>
      <c r="H16" s="74">
        <f>+H20</f>
        <v>26.5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7" t="s">
        <v>150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7" t="s">
        <v>188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8" t="s">
        <v>100</v>
      </c>
      <c r="D20" s="18"/>
      <c r="E20" s="18"/>
      <c r="F20" s="46">
        <v>20.9</v>
      </c>
      <c r="G20" s="73" t="s">
        <v>82</v>
      </c>
      <c r="H20" s="74">
        <v>26.5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8" t="s">
        <v>189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8" t="s">
        <v>149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13</v>
      </c>
      <c r="C23" s="80" t="s">
        <v>147</v>
      </c>
      <c r="D23" s="5" t="s">
        <v>14</v>
      </c>
      <c r="E23" s="22" t="s">
        <v>148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15</v>
      </c>
      <c r="C25" s="23">
        <v>135</v>
      </c>
      <c r="D25" s="22" t="s">
        <v>16</v>
      </c>
      <c r="E25" s="24">
        <v>100</v>
      </c>
      <c r="F25" s="25">
        <f>+C25</f>
        <v>135</v>
      </c>
      <c r="G25" s="26" t="s">
        <v>16</v>
      </c>
      <c r="H25" s="26">
        <f>+E25</f>
        <v>100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17</v>
      </c>
      <c r="B26" s="3"/>
      <c r="C26" s="27">
        <f>+F16</f>
        <v>20.9</v>
      </c>
      <c r="D26" s="28" t="s">
        <v>16</v>
      </c>
      <c r="E26" s="27">
        <f>+H16</f>
        <v>26.5</v>
      </c>
      <c r="F26" s="29">
        <f>+E26</f>
        <v>26.5</v>
      </c>
      <c r="G26" s="29" t="s">
        <v>16</v>
      </c>
      <c r="H26" s="29">
        <f>+C26</f>
        <v>20.9</v>
      </c>
      <c r="I26" s="30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18</v>
      </c>
      <c r="B27" s="31"/>
      <c r="C27" s="32">
        <f>+C25/C26</f>
        <v>6.4593301435406705</v>
      </c>
      <c r="D27" s="33"/>
      <c r="E27" s="32">
        <f>+E25/E26</f>
        <v>3.7735849056603774</v>
      </c>
      <c r="F27" s="32">
        <f>+F25/F26</f>
        <v>5.0943396226415096</v>
      </c>
      <c r="G27" s="33"/>
      <c r="H27" s="32">
        <f>+H25/H26</f>
        <v>4.7846889952153111</v>
      </c>
      <c r="I27" s="30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19</v>
      </c>
      <c r="B28" s="34"/>
      <c r="C28" s="35"/>
      <c r="D28" s="36">
        <v>18</v>
      </c>
      <c r="E28" s="37"/>
      <c r="F28" s="38"/>
      <c r="G28" s="39">
        <v>20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9" ht="15.75" x14ac:dyDescent="0.3">
      <c r="A30" s="25" t="s">
        <v>21</v>
      </c>
      <c r="B30" s="25" t="s">
        <v>147</v>
      </c>
      <c r="D30" s="41" t="s">
        <v>22</v>
      </c>
      <c r="E30" s="42">
        <v>35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4" t="s">
        <v>25</v>
      </c>
      <c r="E32" s="45">
        <f>+E30-E31</f>
        <v>35</v>
      </c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1" t="s">
        <v>29</v>
      </c>
      <c r="E34" s="47">
        <f>+E32</f>
        <v>35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30</v>
      </c>
      <c r="E35" s="47">
        <f>+E34*1.15</f>
        <v>40.25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34</v>
      </c>
      <c r="C38" s="48">
        <v>20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38</v>
      </c>
      <c r="B40" s="5"/>
      <c r="C40" s="50">
        <f>+B48/F17</f>
        <v>100</v>
      </c>
      <c r="D40" s="24">
        <f>+'cartón caja'!D40</f>
        <v>40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40</v>
      </c>
      <c r="C41" s="34">
        <f>+C40+D40</f>
        <v>140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42</v>
      </c>
      <c r="C42" s="34">
        <f>+C41/C38</f>
        <v>7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92</v>
      </c>
      <c r="C43" s="21">
        <f>+(C42*C38)*F17</f>
        <v>140</v>
      </c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1"/>
      <c r="F44" s="44" t="s">
        <v>45</v>
      </c>
      <c r="G44" s="48">
        <f>+C41</f>
        <v>140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46</v>
      </c>
      <c r="C46" s="25">
        <f>+C42*C38</f>
        <v>140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77</v>
      </c>
      <c r="B48" s="21">
        <f>+'cartón caja'!B48</f>
        <v>100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53</v>
      </c>
      <c r="G49" s="30">
        <v>295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3" t="s">
        <v>54</v>
      </c>
      <c r="B50" s="54">
        <f>+E34*C42</f>
        <v>245</v>
      </c>
      <c r="C50" s="3">
        <f>+B50/2</f>
        <v>122.5</v>
      </c>
      <c r="D50" s="21">
        <v>0</v>
      </c>
      <c r="E50" s="21">
        <v>0</v>
      </c>
      <c r="F50" s="21" t="s">
        <v>78</v>
      </c>
      <c r="G50" s="30">
        <v>140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3" t="s">
        <v>12</v>
      </c>
      <c r="B51" s="54">
        <f>+H61</f>
        <v>700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200</v>
      </c>
      <c r="H52" s="30">
        <f t="shared" ref="H52:H59" si="0">+G52*E52</f>
        <v>200</v>
      </c>
      <c r="I52" s="30">
        <f>+(B73/100)*2</f>
        <v>28.035</v>
      </c>
      <c r="Q52"/>
      <c r="R52"/>
      <c r="S52"/>
    </row>
    <row r="53" spans="1:23" ht="16.5" x14ac:dyDescent="0.3">
      <c r="A53" s="53" t="s">
        <v>26</v>
      </c>
      <c r="B53" s="54">
        <v>0</v>
      </c>
      <c r="C53" s="3"/>
      <c r="D53" s="21">
        <v>1</v>
      </c>
      <c r="E53" s="21">
        <v>1</v>
      </c>
      <c r="F53" s="21" t="s">
        <v>109</v>
      </c>
      <c r="G53" s="30">
        <f>+G79</f>
        <v>500</v>
      </c>
      <c r="H53" s="30">
        <f t="shared" si="0"/>
        <v>500</v>
      </c>
      <c r="I53" s="55"/>
      <c r="Q53"/>
      <c r="R53"/>
      <c r="S53"/>
    </row>
    <row r="54" spans="1:23" ht="15.75" x14ac:dyDescent="0.3">
      <c r="A54" s="56" t="s">
        <v>96</v>
      </c>
      <c r="B54" s="54">
        <v>0</v>
      </c>
      <c r="C54" s="3"/>
      <c r="D54" s="21">
        <v>0</v>
      </c>
      <c r="E54" s="21">
        <v>0</v>
      </c>
      <c r="F54" s="21" t="s">
        <v>80</v>
      </c>
      <c r="G54" s="30">
        <v>130</v>
      </c>
      <c r="H54" s="30">
        <f t="shared" si="0"/>
        <v>0</v>
      </c>
      <c r="Q54"/>
      <c r="R54"/>
      <c r="S54"/>
    </row>
    <row r="55" spans="1:23" ht="15.75" x14ac:dyDescent="0.3">
      <c r="A55" s="56" t="s">
        <v>99</v>
      </c>
      <c r="B55" s="54">
        <v>0</v>
      </c>
      <c r="D55" s="21">
        <v>0</v>
      </c>
      <c r="E55" s="21">
        <v>0</v>
      </c>
      <c r="F55" s="21" t="s">
        <v>97</v>
      </c>
      <c r="G55" s="30">
        <v>120</v>
      </c>
      <c r="H55" s="30">
        <f>+G55*E55</f>
        <v>0</v>
      </c>
      <c r="Q55"/>
      <c r="R55"/>
      <c r="S55"/>
    </row>
    <row r="56" spans="1:23" x14ac:dyDescent="0.3">
      <c r="A56" s="56" t="s">
        <v>98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</row>
    <row r="57" spans="1:23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Q57"/>
      <c r="R57"/>
      <c r="S57"/>
      <c r="T57"/>
      <c r="U57"/>
      <c r="V57"/>
      <c r="W57"/>
    </row>
    <row r="58" spans="1:23" ht="15.75" x14ac:dyDescent="0.3">
      <c r="A58" s="52" t="s">
        <v>58</v>
      </c>
      <c r="B58" s="57">
        <f>SUM(B50:B57)</f>
        <v>945</v>
      </c>
      <c r="C58" s="3"/>
      <c r="D58" s="21">
        <v>0</v>
      </c>
      <c r="E58" s="21">
        <v>0</v>
      </c>
      <c r="F58" s="3" t="s">
        <v>59</v>
      </c>
      <c r="G58" s="30">
        <f>+G79</f>
        <v>500</v>
      </c>
      <c r="H58" s="30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9.4499999999999993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700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63</v>
      </c>
      <c r="H62" s="76">
        <f>+'eva base'!H62</f>
        <v>1.6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65</v>
      </c>
      <c r="B63" s="3"/>
      <c r="C63" s="3"/>
      <c r="E63" s="32">
        <f>+B73/C40</f>
        <v>14.0175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54</v>
      </c>
      <c r="B66" s="54">
        <f>+E35*C42</f>
        <v>281.75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1120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Placas HS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9.4499999999999993</v>
      </c>
      <c r="H70" s="65">
        <f>+G70*B48</f>
        <v>944.99999999999989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 t="str">
        <f>+A56</f>
        <v>Encuadernación</v>
      </c>
      <c r="B71" s="54">
        <f>+B56*1.2</f>
        <v>0</v>
      </c>
      <c r="C71" s="66"/>
      <c r="F71" s="64" t="s">
        <v>75</v>
      </c>
      <c r="G71" s="32">
        <f>+C73</f>
        <v>14.0175</v>
      </c>
      <c r="H71" s="65">
        <f>+G71*B48</f>
        <v>1401.75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3"/>
      <c r="B72" s="54"/>
      <c r="C72" s="66"/>
      <c r="F72" s="67" t="s">
        <v>76</v>
      </c>
      <c r="G72" s="68">
        <f>+G71-G70</f>
        <v>4.5675000000000008</v>
      </c>
      <c r="H72" s="82">
        <f>+G72*B48</f>
        <v>456.75000000000006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52" t="s">
        <v>58</v>
      </c>
      <c r="B73" s="57">
        <f>SUM(B65:B72)</f>
        <v>1401.75</v>
      </c>
      <c r="C73" s="68">
        <f>+B73/B48</f>
        <v>14.0175</v>
      </c>
      <c r="D73" s="5" t="s">
        <v>131</v>
      </c>
    </row>
    <row r="74" spans="1:23" x14ac:dyDescent="0.3">
      <c r="C74" s="77"/>
      <c r="D74" s="5"/>
    </row>
    <row r="75" spans="1:23" x14ac:dyDescent="0.3">
      <c r="C75" s="77"/>
      <c r="D75" s="5"/>
    </row>
    <row r="76" spans="1:23" x14ac:dyDescent="0.3">
      <c r="A76" s="5"/>
      <c r="C76" s="65"/>
      <c r="D76" s="5"/>
    </row>
    <row r="77" spans="1:23" ht="15" thickBot="1" x14ac:dyDescent="0.35">
      <c r="A77" s="5" t="s">
        <v>9</v>
      </c>
    </row>
    <row r="78" spans="1:23" x14ac:dyDescent="0.3">
      <c r="A78" s="11" t="s">
        <v>104</v>
      </c>
      <c r="B78" s="12"/>
      <c r="C78" s="12"/>
      <c r="D78" s="12"/>
      <c r="E78" s="12"/>
      <c r="F78" s="12"/>
      <c r="G78" s="13"/>
    </row>
    <row r="79" spans="1:23" x14ac:dyDescent="0.3">
      <c r="A79" s="46">
        <f>+F16</f>
        <v>20.9</v>
      </c>
      <c r="B79" s="73">
        <f>+H16</f>
        <v>26.5</v>
      </c>
      <c r="C79" s="7" t="s">
        <v>103</v>
      </c>
      <c r="D79" s="73" t="s">
        <v>105</v>
      </c>
      <c r="E79" s="7" t="s">
        <v>106</v>
      </c>
      <c r="F79" s="92" t="s">
        <v>128</v>
      </c>
      <c r="G79" s="93">
        <v>500</v>
      </c>
    </row>
    <row r="80" spans="1:23" x14ac:dyDescent="0.3">
      <c r="A80" s="46">
        <f>0.209*0.265*C41</f>
        <v>7.7539000000000007</v>
      </c>
      <c r="B80" s="78">
        <v>11.9</v>
      </c>
      <c r="C80" s="78">
        <f>+A80*B80</f>
        <v>92.271410000000017</v>
      </c>
      <c r="D80" s="78">
        <v>0</v>
      </c>
      <c r="E80" s="78">
        <f>+C80+D80</f>
        <v>92.271410000000017</v>
      </c>
      <c r="F80" s="75" t="s">
        <v>109</v>
      </c>
      <c r="G80" s="8"/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20.9</v>
      </c>
      <c r="B82" s="73">
        <f>+B79</f>
        <v>26.5</v>
      </c>
      <c r="C82" s="7" t="s">
        <v>103</v>
      </c>
      <c r="D82" s="73" t="s">
        <v>105</v>
      </c>
      <c r="E82" s="7" t="s">
        <v>106</v>
      </c>
      <c r="F82" s="92" t="s">
        <v>128</v>
      </c>
      <c r="G82" s="93">
        <v>1500</v>
      </c>
    </row>
    <row r="83" spans="1:18" x14ac:dyDescent="0.3">
      <c r="A83" s="46">
        <f>0.36*0.565*C41</f>
        <v>28.475999999999996</v>
      </c>
      <c r="B83" s="78">
        <f>3.9*2</f>
        <v>7.8</v>
      </c>
      <c r="C83" s="78">
        <f>+A83*B83</f>
        <v>222.11279999999996</v>
      </c>
      <c r="D83" s="78">
        <v>360</v>
      </c>
      <c r="E83" s="78">
        <f>+C83+D83</f>
        <v>582.11279999999999</v>
      </c>
      <c r="F83" s="75" t="s">
        <v>107</v>
      </c>
      <c r="G83" s="8"/>
    </row>
    <row r="84" spans="1:18" x14ac:dyDescent="0.3">
      <c r="A84" s="6"/>
      <c r="B84" s="7"/>
      <c r="C84" s="78"/>
      <c r="D84" s="78"/>
      <c r="E84" s="78"/>
      <c r="F84" s="78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40" zoomScale="80" zoomScaleNormal="80" workbookViewId="0">
      <selection activeCell="B53" sqref="B5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13 de enero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+'eva base'!C13</f>
        <v>Chivas Caja Invitación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186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187</v>
      </c>
      <c r="D16" s="18"/>
      <c r="E16" s="18"/>
      <c r="F16" s="46">
        <f>2+F20+2</f>
        <v>26.4</v>
      </c>
      <c r="G16" s="73" t="s">
        <v>82</v>
      </c>
      <c r="H16" s="74">
        <f>2+H20+2</f>
        <v>32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150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7" t="s">
        <v>188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100</v>
      </c>
      <c r="D20" s="18"/>
      <c r="E20" s="18"/>
      <c r="F20" s="46">
        <v>22.4</v>
      </c>
      <c r="G20" s="73" t="s">
        <v>82</v>
      </c>
      <c r="H20" s="74">
        <v>28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189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 t="s">
        <v>149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">
        <v>147</v>
      </c>
      <c r="D23" s="5" t="s">
        <v>14</v>
      </c>
      <c r="E23" s="22" t="s">
        <v>148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135</v>
      </c>
      <c r="D25" s="22" t="s">
        <v>16</v>
      </c>
      <c r="E25" s="24">
        <v>100</v>
      </c>
      <c r="F25" s="25">
        <f>+C25</f>
        <v>135</v>
      </c>
      <c r="G25" s="26" t="s">
        <v>16</v>
      </c>
      <c r="H25" s="26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26.4</v>
      </c>
      <c r="D26" s="28" t="s">
        <v>16</v>
      </c>
      <c r="E26" s="27">
        <f>+H16</f>
        <v>32</v>
      </c>
      <c r="F26" s="29">
        <f>+E26</f>
        <v>32</v>
      </c>
      <c r="G26" s="29" t="s">
        <v>16</v>
      </c>
      <c r="H26" s="29">
        <f>+C26</f>
        <v>26.4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5.1136363636363642</v>
      </c>
      <c r="D27" s="33"/>
      <c r="E27" s="32">
        <f>+E25/E26</f>
        <v>3.125</v>
      </c>
      <c r="F27" s="32">
        <f>+F25/F26</f>
        <v>4.21875</v>
      </c>
      <c r="G27" s="33"/>
      <c r="H27" s="32">
        <f>+H25/H26</f>
        <v>3.7878787878787881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15</v>
      </c>
      <c r="E28" s="37"/>
      <c r="F28" s="38"/>
      <c r="G28" s="39">
        <v>12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147</v>
      </c>
      <c r="D30" s="41" t="s">
        <v>22</v>
      </c>
      <c r="E30" s="42">
        <v>35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35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35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+E34*1.15</f>
        <v>40.25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15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100</v>
      </c>
      <c r="D40" s="24">
        <f>+'forro caja INT'!D40</f>
        <v>40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140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9.3333333333333339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92</v>
      </c>
      <c r="C43" s="21">
        <f>+(C42*C38)*F17</f>
        <v>140</v>
      </c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140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140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100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53</v>
      </c>
      <c r="G49" s="30">
        <v>295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326.66666666666669</v>
      </c>
      <c r="C50" s="3"/>
      <c r="D50" s="21">
        <v>0</v>
      </c>
      <c r="E50" s="21">
        <v>0</v>
      </c>
      <c r="F50" s="21" t="s">
        <v>78</v>
      </c>
      <c r="G50" s="30">
        <v>140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470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200</v>
      </c>
      <c r="H52" s="30">
        <f t="shared" ref="H52:H59" si="0">+G52*E52</f>
        <v>200</v>
      </c>
      <c r="I52" s="30">
        <f>+(B73/100)*2</f>
        <v>105.75333333333334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400</v>
      </c>
      <c r="C53" s="3"/>
      <c r="D53" s="21">
        <v>0</v>
      </c>
      <c r="E53" s="21">
        <v>0</v>
      </c>
      <c r="F53" s="21" t="s">
        <v>109</v>
      </c>
      <c r="G53" s="30">
        <f>+O53</f>
        <v>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127</v>
      </c>
      <c r="B54" s="54">
        <v>0</v>
      </c>
      <c r="C54" s="3"/>
      <c r="D54" s="21">
        <v>1</v>
      </c>
      <c r="E54" s="21">
        <v>1</v>
      </c>
      <c r="F54" s="21" t="s">
        <v>79</v>
      </c>
      <c r="G54" s="30">
        <v>135</v>
      </c>
      <c r="H54" s="30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99</v>
      </c>
      <c r="B55" s="54">
        <v>0</v>
      </c>
      <c r="D55" s="21">
        <v>1</v>
      </c>
      <c r="E55" s="21">
        <v>1</v>
      </c>
      <c r="F55" s="21" t="s">
        <v>80</v>
      </c>
      <c r="G55" s="30">
        <v>135</v>
      </c>
      <c r="H55" s="30">
        <f t="shared" si="0"/>
        <v>135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98</v>
      </c>
      <c r="B56" s="54">
        <f>+((20*B48)*1.1)</f>
        <v>2200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3396.666666666667</v>
      </c>
      <c r="C58" s="3"/>
      <c r="D58" s="21">
        <v>0</v>
      </c>
      <c r="E58" s="21">
        <v>0</v>
      </c>
      <c r="F58" s="3" t="s">
        <v>59</v>
      </c>
      <c r="G58" s="30">
        <f>+Q49</f>
        <v>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33.966666666666669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470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f>+'forro caja INT'!H62</f>
        <v>1.6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+B73/C40</f>
        <v>52.876666666666672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375.66666666666669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752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640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33.966666666666669</v>
      </c>
      <c r="H70" s="65">
        <f>+G70*B48</f>
        <v>3396.666666666667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3520</v>
      </c>
      <c r="C71" s="66"/>
      <c r="F71" s="64" t="s">
        <v>75</v>
      </c>
      <c r="G71" s="32">
        <f>+C73</f>
        <v>52.876666666666672</v>
      </c>
      <c r="H71" s="65">
        <f>+G71*B48</f>
        <v>5287.666666666667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76</v>
      </c>
      <c r="G72" s="68">
        <f>+G71-G70</f>
        <v>18.910000000000004</v>
      </c>
      <c r="H72" s="82">
        <f>+G72*B48</f>
        <v>1891.0000000000005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58</v>
      </c>
      <c r="B73" s="57">
        <f>SUM(B65:B72)</f>
        <v>5287.666666666667</v>
      </c>
      <c r="C73" s="68">
        <f>+B73/B48</f>
        <v>52.876666666666672</v>
      </c>
      <c r="D73" s="5" t="s">
        <v>132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7"/>
      <c r="D74" s="5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x14ac:dyDescent="0.3">
      <c r="B77" s="69"/>
      <c r="C77" s="70"/>
    </row>
    <row r="81" spans="10:18" x14ac:dyDescent="0.3">
      <c r="J81" s="71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0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42" zoomScale="80" zoomScaleNormal="80" workbookViewId="0">
      <selection activeCell="C42" sqref="C4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13 de enero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+'eva base'!C13</f>
        <v>Chivas Caja Invitación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186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187</v>
      </c>
      <c r="D16" s="18"/>
      <c r="E16" s="18"/>
      <c r="F16" s="46">
        <f>+F20</f>
        <v>20.9</v>
      </c>
      <c r="G16" s="73" t="s">
        <v>82</v>
      </c>
      <c r="H16" s="74">
        <f>+H20</f>
        <v>16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150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7" t="s">
        <v>188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100</v>
      </c>
      <c r="D20" s="18"/>
      <c r="E20" s="18"/>
      <c r="F20" s="46">
        <v>20.9</v>
      </c>
      <c r="G20" s="73" t="s">
        <v>82</v>
      </c>
      <c r="H20" s="74">
        <v>16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189</v>
      </c>
      <c r="D21" s="18"/>
      <c r="E21" s="18"/>
      <c r="F21" s="72">
        <v>1</v>
      </c>
      <c r="G21" s="75" t="s">
        <v>83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 t="s">
        <v>149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">
        <v>147</v>
      </c>
      <c r="D23" s="5" t="s">
        <v>14</v>
      </c>
      <c r="E23" s="22" t="s">
        <v>148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135</v>
      </c>
      <c r="D25" s="22" t="s">
        <v>16</v>
      </c>
      <c r="E25" s="24">
        <v>100</v>
      </c>
      <c r="F25" s="25">
        <f>+C25</f>
        <v>135</v>
      </c>
      <c r="G25" s="26" t="s">
        <v>16</v>
      </c>
      <c r="H25" s="26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20.9</v>
      </c>
      <c r="D26" s="28" t="s">
        <v>16</v>
      </c>
      <c r="E26" s="27">
        <f>+H16</f>
        <v>16</v>
      </c>
      <c r="F26" s="29">
        <f>+E26</f>
        <v>16</v>
      </c>
      <c r="G26" s="29" t="s">
        <v>16</v>
      </c>
      <c r="H26" s="29">
        <f>+C26</f>
        <v>20.9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6.4593301435406705</v>
      </c>
      <c r="D27" s="33"/>
      <c r="E27" s="32">
        <f>+E25/E26</f>
        <v>6.25</v>
      </c>
      <c r="F27" s="32">
        <f>+F25/F26</f>
        <v>8.4375</v>
      </c>
      <c r="G27" s="33"/>
      <c r="H27" s="32">
        <f>+H25/H26</f>
        <v>4.7846889952153111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36</v>
      </c>
      <c r="E28" s="37"/>
      <c r="F28" s="38"/>
      <c r="G28" s="39">
        <v>32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147</v>
      </c>
      <c r="D30" s="41" t="s">
        <v>22</v>
      </c>
      <c r="E30" s="42">
        <v>35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35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35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+E34*1.15</f>
        <v>40.25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36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100</v>
      </c>
      <c r="D40" s="24">
        <f>+'forro caja EXT'!D40</f>
        <v>40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140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3.8888888888888888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92</v>
      </c>
      <c r="C43" s="21">
        <f>+(C42*C38)*F17</f>
        <v>140</v>
      </c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140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140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100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1</v>
      </c>
      <c r="F49" s="21" t="s">
        <v>111</v>
      </c>
      <c r="G49" s="30">
        <v>240</v>
      </c>
      <c r="H49" s="30">
        <f>+(D49*E49)*G49</f>
        <v>240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136.11111111111111</v>
      </c>
      <c r="C50" s="3"/>
      <c r="D50" s="21">
        <v>1</v>
      </c>
      <c r="E50" s="21">
        <v>1</v>
      </c>
      <c r="F50" s="21" t="s">
        <v>78</v>
      </c>
      <c r="G50" s="30">
        <v>200</v>
      </c>
      <c r="H50" s="30">
        <f>+(D50*E50)*G50</f>
        <v>200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640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200</v>
      </c>
      <c r="H52" s="30">
        <f t="shared" ref="H52:H59" si="0">+G52*E52</f>
        <v>200</v>
      </c>
      <c r="I52" s="30">
        <f>+(B73/100)*2</f>
        <v>23.610555555555557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0</v>
      </c>
      <c r="E53" s="21">
        <v>0</v>
      </c>
      <c r="F53" s="21" t="s">
        <v>109</v>
      </c>
      <c r="G53" s="30">
        <f>+O53</f>
        <v>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96</v>
      </c>
      <c r="B54" s="54">
        <v>0</v>
      </c>
      <c r="C54" s="3"/>
      <c r="D54" s="21">
        <v>0</v>
      </c>
      <c r="E54" s="21">
        <v>0</v>
      </c>
      <c r="F54" s="21" t="s">
        <v>80</v>
      </c>
      <c r="G54" s="30">
        <v>130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99</v>
      </c>
      <c r="B55" s="54">
        <v>0</v>
      </c>
      <c r="D55" s="21">
        <v>0</v>
      </c>
      <c r="E55" s="21">
        <v>0</v>
      </c>
      <c r="F55" s="21" t="s">
        <v>97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98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776.11111111111109</v>
      </c>
      <c r="C58" s="3"/>
      <c r="D58" s="21">
        <v>0</v>
      </c>
      <c r="E58" s="21">
        <v>0</v>
      </c>
      <c r="F58" s="3" t="s">
        <v>59</v>
      </c>
      <c r="G58" s="30">
        <f>+Q49</f>
        <v>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7.7611111111111111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640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f>+'forro caja EXT'!H62</f>
        <v>1.6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+B73/C40</f>
        <v>11.805277777777778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156.52777777777777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1024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Placas HS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7.7611111111111111</v>
      </c>
      <c r="H70" s="65">
        <f>+G70*B48</f>
        <v>776.11111111111109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0</v>
      </c>
      <c r="C71" s="66"/>
      <c r="F71" s="64" t="s">
        <v>75</v>
      </c>
      <c r="G71" s="32">
        <f>+C73</f>
        <v>11.805277777777778</v>
      </c>
      <c r="H71" s="65">
        <f>+G71*B48</f>
        <v>1180.5277777777778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76</v>
      </c>
      <c r="G72" s="68">
        <f>+G71-G70</f>
        <v>4.0441666666666674</v>
      </c>
      <c r="H72" s="82">
        <f>+G72*B48</f>
        <v>404.41666666666674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58</v>
      </c>
      <c r="B73" s="57">
        <f>SUM(B65:B72)</f>
        <v>1180.5277777777778</v>
      </c>
      <c r="C73" s="68">
        <f>+B73/B48</f>
        <v>11.805277777777778</v>
      </c>
      <c r="D73" s="5" t="s">
        <v>110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C74" s="77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x14ac:dyDescent="0.3">
      <c r="B77" s="69"/>
      <c r="C77" s="70"/>
    </row>
    <row r="81" spans="10:18" x14ac:dyDescent="0.3">
      <c r="J81" s="71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0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tabSelected="1" zoomScale="80" zoomScaleNormal="80" workbookViewId="0">
      <selection activeCell="G79" sqref="G7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4.42578125" style="1" customWidth="1"/>
    <col min="7" max="7" width="13.42578125" style="1" customWidth="1"/>
    <col min="8" max="8" width="14.5703125" style="1" customWidth="1"/>
    <col min="9" max="9" width="12.28515625" style="1" customWidth="1"/>
    <col min="10" max="10" width="12" style="1" customWidth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13 de enero de 2017.</v>
      </c>
      <c r="H9" s="5" t="s">
        <v>7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P11"/>
      <c r="Q11"/>
      <c r="R11"/>
    </row>
    <row r="12" spans="1:21" ht="15.75" x14ac:dyDescent="0.3">
      <c r="A12" s="5"/>
      <c r="F12" s="11"/>
      <c r="G12" s="12"/>
      <c r="H12" s="13"/>
      <c r="J12"/>
      <c r="P12"/>
      <c r="Q12"/>
      <c r="R12"/>
    </row>
    <row r="13" spans="1:21" ht="15.75" x14ac:dyDescent="0.3">
      <c r="A13" s="5" t="s">
        <v>10</v>
      </c>
      <c r="C13" s="1" t="str">
        <f>+'eva base'!C13</f>
        <v>Chivas Caja Invitación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11</v>
      </c>
      <c r="C15" s="19" t="s">
        <v>186</v>
      </c>
      <c r="D15" s="18"/>
      <c r="E15" s="18"/>
      <c r="F15" s="72" t="s">
        <v>5</v>
      </c>
      <c r="G15" s="7"/>
      <c r="H15" s="8"/>
      <c r="J15"/>
      <c r="P15"/>
      <c r="Q15"/>
      <c r="R15"/>
    </row>
    <row r="16" spans="1:21" ht="15.75" x14ac:dyDescent="0.3">
      <c r="C16" s="17" t="s">
        <v>187</v>
      </c>
      <c r="D16" s="18"/>
      <c r="E16" s="18"/>
      <c r="F16" s="46">
        <f>2+F20+2</f>
        <v>26.4</v>
      </c>
      <c r="G16" s="73" t="s">
        <v>82</v>
      </c>
      <c r="H16" s="74">
        <f>2+H20+2</f>
        <v>21.5</v>
      </c>
      <c r="J16"/>
      <c r="P16"/>
      <c r="Q16"/>
      <c r="R16"/>
    </row>
    <row r="17" spans="1:18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P17"/>
      <c r="Q17"/>
      <c r="R17"/>
    </row>
    <row r="18" spans="1:18" ht="15.75" x14ac:dyDescent="0.3">
      <c r="C18" s="17" t="s">
        <v>150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188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 t="s">
        <v>100</v>
      </c>
      <c r="D20" s="18"/>
      <c r="E20" s="18"/>
      <c r="F20" s="46">
        <v>22.4</v>
      </c>
      <c r="G20" s="73" t="s">
        <v>82</v>
      </c>
      <c r="H20" s="74">
        <v>17.5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189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8" t="s">
        <v>149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13</v>
      </c>
      <c r="C23" s="80" t="s">
        <v>147</v>
      </c>
      <c r="D23" s="5" t="s">
        <v>14</v>
      </c>
      <c r="E23" s="22" t="s">
        <v>148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15</v>
      </c>
      <c r="C25" s="23">
        <v>135</v>
      </c>
      <c r="D25" s="22" t="s">
        <v>16</v>
      </c>
      <c r="E25" s="24">
        <v>100</v>
      </c>
      <c r="F25" s="25">
        <f>+C25</f>
        <v>135</v>
      </c>
      <c r="G25" s="26" t="s">
        <v>16</v>
      </c>
      <c r="H25" s="26">
        <f>+E25</f>
        <v>100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17</v>
      </c>
      <c r="B26" s="3"/>
      <c r="C26" s="27">
        <f>+F16</f>
        <v>26.4</v>
      </c>
      <c r="D26" s="28" t="s">
        <v>16</v>
      </c>
      <c r="E26" s="27">
        <f>+H16</f>
        <v>21.5</v>
      </c>
      <c r="F26" s="29">
        <f>+E26</f>
        <v>21.5</v>
      </c>
      <c r="G26" s="29" t="s">
        <v>16</v>
      </c>
      <c r="H26" s="29">
        <f>+C26</f>
        <v>26.4</v>
      </c>
      <c r="I26" s="30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18</v>
      </c>
      <c r="B27" s="31"/>
      <c r="C27" s="32">
        <f>+C25/C26</f>
        <v>5.1136363636363642</v>
      </c>
      <c r="D27" s="33"/>
      <c r="E27" s="32">
        <f>+E25/E26</f>
        <v>4.6511627906976747</v>
      </c>
      <c r="F27" s="32">
        <f>+F25/F26</f>
        <v>6.2790697674418601</v>
      </c>
      <c r="G27" s="33"/>
      <c r="H27" s="32">
        <f>+H25/H26</f>
        <v>3.7878787878787881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19</v>
      </c>
      <c r="B28" s="34"/>
      <c r="C28" s="35"/>
      <c r="D28" s="36">
        <v>20</v>
      </c>
      <c r="E28" s="37"/>
      <c r="F28" s="38"/>
      <c r="G28" s="39">
        <v>18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8" ht="15.75" x14ac:dyDescent="0.3">
      <c r="A30" s="25" t="s">
        <v>21</v>
      </c>
      <c r="B30" s="25" t="s">
        <v>147</v>
      </c>
      <c r="D30" s="41" t="s">
        <v>22</v>
      </c>
      <c r="E30" s="42">
        <v>35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</row>
    <row r="32" spans="1:18" ht="15.75" x14ac:dyDescent="0.3">
      <c r="D32" s="44" t="s">
        <v>25</v>
      </c>
      <c r="E32" s="45">
        <f>+E30-E31</f>
        <v>35</v>
      </c>
      <c r="I32" s="30"/>
      <c r="J32"/>
      <c r="K32"/>
      <c r="L32"/>
      <c r="M32"/>
      <c r="N32"/>
      <c r="O32"/>
      <c r="P32"/>
      <c r="Q32"/>
      <c r="R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</row>
    <row r="34" spans="1:19" ht="15.75" x14ac:dyDescent="0.3">
      <c r="D34" s="41" t="s">
        <v>29</v>
      </c>
      <c r="E34" s="47">
        <f>+E32</f>
        <v>35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1" t="s">
        <v>30</v>
      </c>
      <c r="E35" s="47">
        <f>+E34*1.1</f>
        <v>38.5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34</v>
      </c>
      <c r="C38" s="48">
        <v>20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38</v>
      </c>
      <c r="B40" s="5"/>
      <c r="C40" s="50">
        <f>+B48/F17</f>
        <v>100</v>
      </c>
      <c r="D40" s="24">
        <f>+'forro cartera guarda'!D40</f>
        <v>40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40</v>
      </c>
      <c r="C41" s="34">
        <f>+C40+D40</f>
        <v>140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42</v>
      </c>
      <c r="C42" s="34">
        <f>+C41/C38</f>
        <v>7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92</v>
      </c>
      <c r="C43" s="21">
        <f>+(C42*C38)*F17</f>
        <v>140</v>
      </c>
      <c r="F43" s="41" t="s">
        <v>44</v>
      </c>
      <c r="G43" s="23">
        <f>+C40/100</f>
        <v>1</v>
      </c>
      <c r="H43" s="3"/>
      <c r="J43"/>
      <c r="K43"/>
      <c r="L43"/>
      <c r="M43"/>
      <c r="N43"/>
      <c r="O43"/>
      <c r="P43"/>
      <c r="Q43" s="7"/>
      <c r="R43" s="7"/>
    </row>
    <row r="44" spans="1:19" x14ac:dyDescent="0.3">
      <c r="A44" s="4"/>
      <c r="C44" s="51"/>
      <c r="F44" s="44" t="s">
        <v>45</v>
      </c>
      <c r="G44" s="48">
        <f>+C41</f>
        <v>140</v>
      </c>
      <c r="H44" s="3"/>
      <c r="M44" s="7"/>
      <c r="N44" s="10"/>
      <c r="O44" s="73"/>
      <c r="P44" s="73"/>
      <c r="Q44" s="7"/>
      <c r="R44" s="7"/>
    </row>
    <row r="45" spans="1:19" x14ac:dyDescent="0.3">
      <c r="A45" s="4"/>
      <c r="C45" s="21"/>
      <c r="E45" s="44"/>
      <c r="F45" s="44"/>
      <c r="G45" s="30"/>
      <c r="I45" s="3"/>
      <c r="M45" s="7"/>
      <c r="N45" s="10"/>
      <c r="O45" s="73"/>
      <c r="P45" s="73"/>
      <c r="Q45" s="7"/>
      <c r="R45" s="7"/>
    </row>
    <row r="46" spans="1:19" x14ac:dyDescent="0.3">
      <c r="A46" s="4" t="s">
        <v>46</v>
      </c>
      <c r="C46" s="25">
        <f>+C42*C38</f>
        <v>140</v>
      </c>
      <c r="F46" s="44"/>
      <c r="G46" s="30"/>
      <c r="H46" s="3"/>
      <c r="M46" s="7"/>
      <c r="N46" s="10"/>
      <c r="O46" s="73"/>
      <c r="P46" s="73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77</v>
      </c>
      <c r="B48" s="21">
        <f>+'cartón caja'!B48</f>
        <v>100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2" t="s">
        <v>52</v>
      </c>
      <c r="B49" s="53"/>
      <c r="C49" s="3"/>
      <c r="D49" s="21">
        <v>1</v>
      </c>
      <c r="E49" s="21">
        <v>1</v>
      </c>
      <c r="F49" s="21" t="s">
        <v>97</v>
      </c>
      <c r="G49" s="30">
        <v>135</v>
      </c>
      <c r="H49" s="30">
        <f>+(D49*E49)*G49</f>
        <v>135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3" t="s">
        <v>54</v>
      </c>
      <c r="B50" s="54">
        <f>+E34*C42</f>
        <v>245</v>
      </c>
      <c r="C50" s="3"/>
      <c r="D50" s="21">
        <v>1</v>
      </c>
      <c r="E50" s="21">
        <v>1</v>
      </c>
      <c r="F50" s="21" t="s">
        <v>190</v>
      </c>
      <c r="G50" s="30">
        <v>400</v>
      </c>
      <c r="H50" s="30">
        <f>+(D50*E50)*G50</f>
        <v>400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3" t="s">
        <v>12</v>
      </c>
      <c r="B51" s="54">
        <f>+H61</f>
        <v>1005</v>
      </c>
      <c r="C51" s="3"/>
      <c r="D51" s="21">
        <v>0</v>
      </c>
      <c r="E51" s="21">
        <v>0</v>
      </c>
      <c r="F51" s="21" t="s">
        <v>137</v>
      </c>
      <c r="G51" s="30">
        <v>140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200</v>
      </c>
      <c r="H52" s="30">
        <f t="shared" ref="H52:H54" si="0">+G52*E52</f>
        <v>200</v>
      </c>
      <c r="I52" s="30">
        <f>+(B74/100)*2</f>
        <v>139.27500000000001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3" t="s">
        <v>136</v>
      </c>
      <c r="B53" s="54">
        <v>400</v>
      </c>
      <c r="C53" s="3"/>
      <c r="D53" s="21">
        <v>1</v>
      </c>
      <c r="E53" s="21">
        <v>1</v>
      </c>
      <c r="F53" s="21" t="s">
        <v>79</v>
      </c>
      <c r="G53" s="30">
        <v>135</v>
      </c>
      <c r="H53" s="30">
        <f t="shared" si="0"/>
        <v>135</v>
      </c>
      <c r="I53" s="55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6" t="s">
        <v>193</v>
      </c>
      <c r="B54" s="54">
        <f>+((4+4)*B48)*1.1</f>
        <v>880.00000000000011</v>
      </c>
      <c r="C54" s="3"/>
      <c r="D54" s="21">
        <v>1</v>
      </c>
      <c r="E54" s="21">
        <v>1</v>
      </c>
      <c r="F54" s="21" t="s">
        <v>80</v>
      </c>
      <c r="G54" s="30">
        <v>135</v>
      </c>
      <c r="H54" s="30">
        <f t="shared" si="0"/>
        <v>135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6" t="s">
        <v>98</v>
      </c>
      <c r="B55" s="54">
        <f>(10*B48)*1.1</f>
        <v>1100</v>
      </c>
      <c r="D55" s="21">
        <v>0</v>
      </c>
      <c r="E55" s="21">
        <v>0</v>
      </c>
      <c r="F55" s="21" t="s">
        <v>134</v>
      </c>
      <c r="G55" s="30">
        <v>295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6" t="s">
        <v>112</v>
      </c>
      <c r="B56" s="54">
        <v>200</v>
      </c>
      <c r="D56" s="21">
        <v>0</v>
      </c>
      <c r="E56" s="21">
        <v>0</v>
      </c>
      <c r="F56" s="21" t="s">
        <v>135</v>
      </c>
      <c r="G56" s="30">
        <v>200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6" t="s">
        <v>126</v>
      </c>
      <c r="B57" s="54">
        <v>200</v>
      </c>
      <c r="D57" s="21">
        <v>0</v>
      </c>
      <c r="E57" s="21">
        <v>0</v>
      </c>
      <c r="F57" s="21" t="s">
        <v>56</v>
      </c>
      <c r="G57" s="30">
        <v>1.5</v>
      </c>
      <c r="H57" s="30">
        <f t="shared" ref="H57:H58" si="1">+G57*E57</f>
        <v>0</v>
      </c>
      <c r="O57"/>
      <c r="P57"/>
      <c r="Q57"/>
    </row>
    <row r="58" spans="1:21" ht="15.75" x14ac:dyDescent="0.3">
      <c r="A58" s="52" t="s">
        <v>58</v>
      </c>
      <c r="B58" s="57">
        <f>SUM(B50:B56)</f>
        <v>3830</v>
      </c>
      <c r="C58" s="3"/>
      <c r="D58" s="21">
        <v>0</v>
      </c>
      <c r="E58" s="21">
        <v>0</v>
      </c>
      <c r="F58" s="3" t="s">
        <v>59</v>
      </c>
      <c r="G58" s="30">
        <f>+P49</f>
        <v>0</v>
      </c>
      <c r="H58" s="30">
        <f t="shared" si="1"/>
        <v>0</v>
      </c>
      <c r="O58"/>
      <c r="P58"/>
      <c r="Q58"/>
    </row>
    <row r="59" spans="1:21" ht="15.75" x14ac:dyDescent="0.3">
      <c r="A59" s="9"/>
      <c r="B59" s="58"/>
      <c r="C59" s="3"/>
      <c r="D59" s="21"/>
      <c r="E59" s="21"/>
      <c r="F59" s="3"/>
      <c r="G59" s="3"/>
      <c r="H59" s="30">
        <f t="shared" ref="H59" si="2">+G59*E59</f>
        <v>0</v>
      </c>
      <c r="O59"/>
      <c r="P59"/>
      <c r="Q59"/>
      <c r="S59"/>
      <c r="T59"/>
      <c r="U59"/>
    </row>
    <row r="60" spans="1:21" ht="15.75" x14ac:dyDescent="0.3">
      <c r="A60" s="9"/>
      <c r="B60" s="32">
        <f>+B58/B48</f>
        <v>38.299999999999997</v>
      </c>
      <c r="C60" s="4" t="s">
        <v>61</v>
      </c>
      <c r="D60" s="3"/>
      <c r="E60" s="3"/>
      <c r="F60" s="3"/>
      <c r="G60" s="3"/>
      <c r="O60"/>
      <c r="P60"/>
      <c r="Q60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1005</v>
      </c>
      <c r="O61"/>
      <c r="P61"/>
      <c r="Q61"/>
      <c r="S61"/>
      <c r="T61"/>
      <c r="U61"/>
    </row>
    <row r="62" spans="1:21" ht="15.75" x14ac:dyDescent="0.3">
      <c r="D62" s="3"/>
      <c r="E62" s="3"/>
      <c r="G62" s="5" t="s">
        <v>63</v>
      </c>
      <c r="H62" s="76">
        <v>1.85</v>
      </c>
      <c r="O62"/>
      <c r="P62"/>
      <c r="Q62"/>
      <c r="S62"/>
      <c r="T62"/>
      <c r="U62"/>
    </row>
    <row r="63" spans="1:21" ht="15.75" x14ac:dyDescent="0.3">
      <c r="A63" s="4" t="s">
        <v>65</v>
      </c>
      <c r="B63" s="3"/>
      <c r="C63" s="3"/>
      <c r="E63" s="32">
        <f>+B74/C40</f>
        <v>69.637500000000003</v>
      </c>
      <c r="G63" s="1" t="s">
        <v>66</v>
      </c>
      <c r="H63" s="62">
        <v>1.75</v>
      </c>
      <c r="O63"/>
      <c r="P63"/>
      <c r="Q63"/>
      <c r="S63"/>
      <c r="T63"/>
      <c r="U63"/>
    </row>
    <row r="64" spans="1:21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O64"/>
      <c r="P64"/>
      <c r="Q64"/>
      <c r="S64"/>
      <c r="T64"/>
      <c r="U64"/>
    </row>
    <row r="65" spans="1:21" ht="15.75" x14ac:dyDescent="0.3">
      <c r="A65" s="52" t="s">
        <v>71</v>
      </c>
      <c r="B65" s="53"/>
      <c r="C65" s="3"/>
      <c r="D65" s="3">
        <f>+B74*C68</f>
        <v>0</v>
      </c>
      <c r="E65" s="3"/>
      <c r="F65" s="3"/>
      <c r="G65" s="5" t="s">
        <v>81</v>
      </c>
      <c r="H65" s="62">
        <v>2.5</v>
      </c>
      <c r="O65"/>
      <c r="P65"/>
      <c r="Q65"/>
      <c r="S65"/>
      <c r="T65"/>
      <c r="U65"/>
    </row>
    <row r="66" spans="1:21" ht="15.75" x14ac:dyDescent="0.3">
      <c r="A66" s="53" t="s">
        <v>54</v>
      </c>
      <c r="B66" s="54">
        <f>+E35*C42</f>
        <v>269.5</v>
      </c>
      <c r="C66" s="63"/>
      <c r="O66"/>
      <c r="P66"/>
      <c r="Q66"/>
      <c r="S66"/>
      <c r="T66"/>
      <c r="U66"/>
    </row>
    <row r="67" spans="1:21" ht="15.75" x14ac:dyDescent="0.3">
      <c r="A67" s="53" t="s">
        <v>12</v>
      </c>
      <c r="B67" s="54">
        <f>+H61*H62</f>
        <v>1859.25</v>
      </c>
      <c r="C67" s="63"/>
      <c r="O67"/>
      <c r="P67"/>
      <c r="Q67"/>
      <c r="S67"/>
      <c r="T67"/>
      <c r="U67"/>
    </row>
    <row r="68" spans="1:21" ht="15.75" x14ac:dyDescent="0.3">
      <c r="A68" s="53" t="str">
        <f>+A53</f>
        <v>Tabla de suaje + Placa</v>
      </c>
      <c r="B68" s="54">
        <f>+B53*H62</f>
        <v>740</v>
      </c>
      <c r="C68" s="63"/>
      <c r="O68"/>
      <c r="P68"/>
      <c r="Q68"/>
      <c r="S68"/>
      <c r="T68"/>
      <c r="U68"/>
    </row>
    <row r="69" spans="1:21" ht="15.75" x14ac:dyDescent="0.3">
      <c r="A69" s="53" t="s">
        <v>193</v>
      </c>
      <c r="B69" s="54">
        <f>+C102</f>
        <v>1320.0000000000002</v>
      </c>
      <c r="C69" s="63"/>
      <c r="O69"/>
      <c r="P69"/>
      <c r="Q69"/>
      <c r="S69"/>
      <c r="T69"/>
      <c r="U69"/>
    </row>
    <row r="70" spans="1:21" ht="15.75" x14ac:dyDescent="0.3">
      <c r="A70" s="53" t="str">
        <f>+A55</f>
        <v>Encuadernación</v>
      </c>
      <c r="B70" s="54">
        <f>+B55*H62</f>
        <v>2035</v>
      </c>
      <c r="C70" s="66"/>
      <c r="G70" s="64" t="s">
        <v>73</v>
      </c>
      <c r="H70" s="32">
        <f>+B60</f>
        <v>38.299999999999997</v>
      </c>
      <c r="I70" s="65">
        <f>+H70*B48</f>
        <v>3829.9999999999995</v>
      </c>
      <c r="O70"/>
      <c r="P70"/>
      <c r="Q70"/>
      <c r="S70"/>
      <c r="T70"/>
      <c r="U70"/>
    </row>
    <row r="71" spans="1:21" ht="15.75" x14ac:dyDescent="0.3">
      <c r="A71" s="53"/>
      <c r="B71" s="54"/>
      <c r="C71" s="66"/>
      <c r="G71" s="64" t="s">
        <v>75</v>
      </c>
      <c r="H71" s="32">
        <f>+C74</f>
        <v>69.637500000000003</v>
      </c>
      <c r="I71" s="65">
        <f>+H71*B48</f>
        <v>6963.75</v>
      </c>
      <c r="O71"/>
      <c r="P71"/>
      <c r="Q71"/>
      <c r="S71"/>
      <c r="T71"/>
      <c r="U71"/>
    </row>
    <row r="72" spans="1:21" ht="15.75" x14ac:dyDescent="0.3">
      <c r="A72" s="53" t="str">
        <f>+A56</f>
        <v>Empaque</v>
      </c>
      <c r="B72" s="54">
        <f>+B56*H62</f>
        <v>370</v>
      </c>
      <c r="C72" s="66"/>
      <c r="G72" s="67" t="s">
        <v>76</v>
      </c>
      <c r="H72" s="68">
        <f>+H71-H70</f>
        <v>31.337500000000006</v>
      </c>
      <c r="I72" s="82">
        <f>+H72*B48</f>
        <v>3133.7500000000005</v>
      </c>
      <c r="O72"/>
      <c r="P72"/>
      <c r="Q72"/>
      <c r="S72"/>
      <c r="T72"/>
      <c r="U72"/>
    </row>
    <row r="73" spans="1:21" ht="15.75" x14ac:dyDescent="0.3">
      <c r="A73" s="53" t="str">
        <f>+A57</f>
        <v>Envio</v>
      </c>
      <c r="B73" s="54">
        <f>+B57*H62</f>
        <v>370</v>
      </c>
      <c r="C73" s="68" t="s">
        <v>124</v>
      </c>
      <c r="D73" s="26"/>
      <c r="E73" s="26"/>
      <c r="F73" s="26" t="s">
        <v>73</v>
      </c>
      <c r="G73" s="123" t="s">
        <v>113</v>
      </c>
      <c r="H73" s="123"/>
      <c r="I73" s="85">
        <f>+(A81/100)*2.5</f>
        <v>445.82556111111114</v>
      </c>
      <c r="O73"/>
      <c r="P73"/>
      <c r="Q73"/>
      <c r="S73"/>
      <c r="T73"/>
      <c r="U73"/>
    </row>
    <row r="74" spans="1:21" ht="15.75" x14ac:dyDescent="0.3">
      <c r="A74" s="52" t="s">
        <v>58</v>
      </c>
      <c r="B74" s="57">
        <f>SUM(B65:B73)</f>
        <v>6963.75</v>
      </c>
      <c r="C74" s="68">
        <f>+B74/B48</f>
        <v>69.637500000000003</v>
      </c>
      <c r="D74" s="5" t="s">
        <v>133</v>
      </c>
      <c r="F74" s="77">
        <f>+B60</f>
        <v>38.299999999999997</v>
      </c>
      <c r="G74" s="7"/>
      <c r="O74"/>
      <c r="P74"/>
      <c r="Q74"/>
      <c r="S74"/>
      <c r="T74"/>
      <c r="U74"/>
    </row>
    <row r="75" spans="1:21" ht="15.75" x14ac:dyDescent="0.3">
      <c r="C75" s="77">
        <f>+'forro cartera guarda'!C73</f>
        <v>11.805277777777778</v>
      </c>
      <c r="D75" s="5" t="str">
        <f>+'forro cartera guarda'!D73</f>
        <v>forro guarda</v>
      </c>
      <c r="F75" s="77">
        <f>+'forro cartera guarda'!B60</f>
        <v>7.7611111111111111</v>
      </c>
      <c r="O75"/>
      <c r="P75"/>
      <c r="Q75"/>
    </row>
    <row r="76" spans="1:21" ht="15.75" x14ac:dyDescent="0.3">
      <c r="C76" s="77">
        <f>+'forro caja EXT'!C73</f>
        <v>52.876666666666672</v>
      </c>
      <c r="D76" s="5" t="str">
        <f>+'forro caja EXT'!D73</f>
        <v>forro caja EXT</v>
      </c>
      <c r="E76" s="5"/>
      <c r="F76" s="77">
        <f>+'forro caja EXT'!B60</f>
        <v>33.966666666666669</v>
      </c>
      <c r="O76"/>
      <c r="P76"/>
      <c r="Q76"/>
    </row>
    <row r="77" spans="1:21" x14ac:dyDescent="0.3">
      <c r="A77" s="5"/>
      <c r="C77" s="77">
        <f>+'forro caja INT'!C73</f>
        <v>14.0175</v>
      </c>
      <c r="D77" s="5" t="str">
        <f>+'forro caja INT'!D73</f>
        <v>forro caja INT</v>
      </c>
      <c r="E77" s="5"/>
      <c r="F77" s="77">
        <f>+'forro caja INT'!B60</f>
        <v>9.4499999999999993</v>
      </c>
      <c r="J77" s="7"/>
    </row>
    <row r="78" spans="1:21" x14ac:dyDescent="0.3">
      <c r="A78" s="5"/>
      <c r="C78" s="77">
        <f>+'eva base'!C72</f>
        <v>18.87</v>
      </c>
      <c r="D78" s="5" t="str">
        <f>+'eva base'!D72</f>
        <v>eva base</v>
      </c>
      <c r="E78" s="5"/>
      <c r="F78" s="77">
        <f>+'eva base'!B60</f>
        <v>13.2</v>
      </c>
      <c r="J78" s="7"/>
    </row>
    <row r="79" spans="1:21" x14ac:dyDescent="0.3">
      <c r="B79" s="69"/>
      <c r="C79" s="77">
        <f>+'cartón cartera'!C72</f>
        <v>4.7744266666666668</v>
      </c>
      <c r="D79" s="5" t="str">
        <f>+'cartón cartera'!D72</f>
        <v>cartón cartera</v>
      </c>
      <c r="E79" s="5"/>
      <c r="F79" s="77">
        <f>+'cartón cartera'!B60</f>
        <v>3.3690666666666669</v>
      </c>
    </row>
    <row r="80" spans="1:21" x14ac:dyDescent="0.3">
      <c r="C80" s="79">
        <f>+'cartón caja'!C72</f>
        <v>6.3488533333333343</v>
      </c>
      <c r="D80" s="5" t="str">
        <f>+'cartón caja'!D72</f>
        <v>cartón caja</v>
      </c>
      <c r="E80" s="5"/>
      <c r="F80" s="79">
        <f>+'cartón caja'!B60</f>
        <v>4.7381333333333338</v>
      </c>
    </row>
    <row r="81" spans="1:18" ht="15.75" customHeight="1" x14ac:dyDescent="0.3">
      <c r="A81" s="122">
        <f>+C81*B48</f>
        <v>17833.022444444447</v>
      </c>
      <c r="B81" s="122"/>
      <c r="C81" s="81">
        <f>SUM(C74:C80)</f>
        <v>178.33022444444447</v>
      </c>
      <c r="D81" s="5" t="s">
        <v>102</v>
      </c>
      <c r="F81" s="83">
        <f>SUM(F74:F80)</f>
        <v>110.78497777777778</v>
      </c>
      <c r="G81" s="84">
        <f>+F81*B48</f>
        <v>11078.497777777779</v>
      </c>
      <c r="I81" s="121">
        <f>+A81-G81</f>
        <v>6754.5246666666681</v>
      </c>
      <c r="J81" s="121"/>
    </row>
    <row r="83" spans="1:18" x14ac:dyDescent="0.3">
      <c r="J83" s="71"/>
    </row>
    <row r="86" spans="1:18" ht="15" thickBot="1" x14ac:dyDescent="0.35"/>
    <row r="87" spans="1:18" ht="16.5" x14ac:dyDescent="0.3">
      <c r="A87" s="5" t="s">
        <v>57</v>
      </c>
      <c r="F87" s="124" t="s">
        <v>152</v>
      </c>
      <c r="G87" s="125"/>
      <c r="H87" s="125"/>
      <c r="I87" s="125"/>
      <c r="J87" s="126"/>
    </row>
    <row r="88" spans="1:18" x14ac:dyDescent="0.3">
      <c r="C88" s="5"/>
      <c r="F88" s="100"/>
      <c r="G88" s="94" t="s">
        <v>140</v>
      </c>
      <c r="H88" s="94" t="s">
        <v>141</v>
      </c>
      <c r="I88" s="94" t="s">
        <v>145</v>
      </c>
      <c r="J88" s="101" t="s">
        <v>144</v>
      </c>
    </row>
    <row r="89" spans="1:18" ht="16.5" x14ac:dyDescent="0.3">
      <c r="B89" s="61" t="s">
        <v>60</v>
      </c>
      <c r="C89" s="108" t="s">
        <v>191</v>
      </c>
      <c r="D89" s="109"/>
      <c r="F89" s="102" t="str">
        <f>+D74</f>
        <v>forro cartera</v>
      </c>
      <c r="G89" s="95" t="str">
        <f>+'forro cartera guarda'!C23</f>
        <v>Villatoro</v>
      </c>
      <c r="H89" s="96">
        <f>+E34</f>
        <v>35</v>
      </c>
      <c r="I89" s="97">
        <v>8</v>
      </c>
      <c r="J89" s="103">
        <f>+H89*I89</f>
        <v>280</v>
      </c>
      <c r="M89" s="55"/>
      <c r="N89" s="55"/>
      <c r="O89" s="55"/>
      <c r="P89" s="55"/>
      <c r="Q89" s="55"/>
      <c r="R89" s="55"/>
    </row>
    <row r="90" spans="1:18" ht="16.5" x14ac:dyDescent="0.3">
      <c r="B90" s="41" t="s">
        <v>1</v>
      </c>
      <c r="C90" s="59"/>
      <c r="D90" s="60"/>
      <c r="F90" s="102" t="str">
        <f>+D75</f>
        <v>forro guarda</v>
      </c>
      <c r="G90" s="95" t="str">
        <f>+G89</f>
        <v>Villatoro</v>
      </c>
      <c r="H90" s="96">
        <f>+H89</f>
        <v>35</v>
      </c>
      <c r="I90" s="97">
        <v>5</v>
      </c>
      <c r="J90" s="103">
        <f>+J89</f>
        <v>280</v>
      </c>
      <c r="M90" s="55"/>
      <c r="N90" s="55"/>
      <c r="O90" s="55"/>
      <c r="P90" s="55"/>
      <c r="Q90" s="55"/>
      <c r="R90" s="55"/>
    </row>
    <row r="91" spans="1:18" ht="16.5" x14ac:dyDescent="0.3">
      <c r="B91" s="41" t="s">
        <v>14</v>
      </c>
      <c r="C91" s="86" t="s">
        <v>192</v>
      </c>
      <c r="D91" s="60"/>
      <c r="F91" s="102" t="str">
        <f>+D76</f>
        <v>forro caja EXT</v>
      </c>
      <c r="G91" s="95" t="str">
        <f>+C23</f>
        <v>Villatoro</v>
      </c>
      <c r="H91" s="96">
        <f>+H90</f>
        <v>35</v>
      </c>
      <c r="I91" s="97">
        <v>10</v>
      </c>
      <c r="J91" s="103">
        <f>+J90</f>
        <v>280</v>
      </c>
      <c r="M91" s="55"/>
      <c r="N91" s="55"/>
      <c r="O91" s="55"/>
      <c r="P91" s="55"/>
      <c r="Q91" s="55"/>
      <c r="R91" s="55"/>
    </row>
    <row r="92" spans="1:18" ht="16.5" x14ac:dyDescent="0.3">
      <c r="B92" s="41" t="s">
        <v>64</v>
      </c>
      <c r="C92" s="86"/>
      <c r="D92" s="60" t="s">
        <v>116</v>
      </c>
      <c r="F92" s="102" t="str">
        <f>+D77</f>
        <v>forro caja INT</v>
      </c>
      <c r="G92" s="95" t="str">
        <f>+C23</f>
        <v>Villatoro</v>
      </c>
      <c r="H92" s="96">
        <f>+H91</f>
        <v>35</v>
      </c>
      <c r="I92" s="97">
        <v>8</v>
      </c>
      <c r="J92" s="103">
        <f>+J91</f>
        <v>280</v>
      </c>
      <c r="K92" s="66"/>
      <c r="M92" s="55"/>
      <c r="N92" s="55"/>
      <c r="O92" s="55"/>
      <c r="P92" s="55"/>
      <c r="Q92" s="55"/>
      <c r="R92" s="55"/>
    </row>
    <row r="93" spans="1:18" ht="16.5" x14ac:dyDescent="0.3">
      <c r="B93" s="41" t="s">
        <v>67</v>
      </c>
      <c r="C93" s="86"/>
      <c r="D93" s="60"/>
      <c r="F93" s="102" t="str">
        <f>+D78</f>
        <v>eva base</v>
      </c>
      <c r="G93" s="95" t="s">
        <v>143</v>
      </c>
      <c r="H93" s="96">
        <f>+'eva base'!E34</f>
        <v>500</v>
      </c>
      <c r="I93" s="97">
        <v>1</v>
      </c>
      <c r="J93" s="103">
        <f>+H93*I93</f>
        <v>500</v>
      </c>
      <c r="M93" s="55"/>
      <c r="N93" s="55"/>
      <c r="O93" s="55"/>
      <c r="P93" s="55"/>
      <c r="Q93" s="55"/>
      <c r="R93" s="55"/>
    </row>
    <row r="94" spans="1:18" ht="16.5" x14ac:dyDescent="0.3">
      <c r="B94" s="41" t="s">
        <v>70</v>
      </c>
      <c r="C94" s="86">
        <f>+(B48*2)*1.1</f>
        <v>220.00000000000003</v>
      </c>
      <c r="D94" s="87">
        <f>+((B47*60)*2)</f>
        <v>0</v>
      </c>
      <c r="F94" s="102" t="str">
        <f>+D79</f>
        <v>cartón cartera</v>
      </c>
      <c r="G94" s="95" t="s">
        <v>142</v>
      </c>
      <c r="H94" s="96">
        <f>+'cartón cartera'!E34</f>
        <v>41.072000000000003</v>
      </c>
      <c r="I94" s="97">
        <v>4</v>
      </c>
      <c r="J94" s="103">
        <f>+H94*I94</f>
        <v>164.28800000000001</v>
      </c>
      <c r="M94" s="55"/>
      <c r="N94" s="55"/>
      <c r="O94" s="55"/>
      <c r="P94" s="55"/>
      <c r="Q94" s="55"/>
      <c r="R94" s="55"/>
    </row>
    <row r="95" spans="1:18" ht="16.5" x14ac:dyDescent="0.3">
      <c r="B95" s="41" t="s">
        <v>72</v>
      </c>
      <c r="C95" s="88">
        <v>4</v>
      </c>
      <c r="D95" s="60"/>
      <c r="F95" s="102" t="str">
        <f>+D80</f>
        <v>cartón caja</v>
      </c>
      <c r="G95" s="95" t="s">
        <v>142</v>
      </c>
      <c r="H95" s="96">
        <f>+'cartón caja'!E34</f>
        <v>41.072000000000003</v>
      </c>
      <c r="I95" s="97">
        <v>8</v>
      </c>
      <c r="J95" s="103">
        <f>+H95*I95</f>
        <v>328.57600000000002</v>
      </c>
      <c r="M95" s="55"/>
      <c r="N95" s="55"/>
      <c r="O95" s="55"/>
      <c r="P95" s="55"/>
      <c r="Q95" s="55"/>
      <c r="R95" s="55"/>
    </row>
    <row r="96" spans="1:18" ht="16.5" x14ac:dyDescent="0.3">
      <c r="B96" s="41" t="s">
        <v>117</v>
      </c>
      <c r="C96" s="88">
        <v>0</v>
      </c>
      <c r="D96" s="89" t="s">
        <v>118</v>
      </c>
      <c r="F96" s="102" t="str">
        <f>+A54</f>
        <v>Iman</v>
      </c>
      <c r="G96" s="95"/>
      <c r="H96" s="96">
        <v>4</v>
      </c>
      <c r="I96" s="97">
        <v>220</v>
      </c>
      <c r="J96" s="103">
        <f t="shared" ref="J96:J97" si="3">+H96*I96</f>
        <v>880</v>
      </c>
      <c r="M96" s="55"/>
      <c r="N96" s="55"/>
      <c r="O96" s="55"/>
      <c r="P96" s="55"/>
      <c r="Q96" s="55"/>
      <c r="R96" s="55"/>
    </row>
    <row r="97" spans="2:18" ht="16.5" x14ac:dyDescent="0.3">
      <c r="B97" s="41" t="s">
        <v>74</v>
      </c>
      <c r="C97" s="88">
        <f>+C95*C94</f>
        <v>880.00000000000011</v>
      </c>
      <c r="D97" s="60"/>
      <c r="F97" s="102" t="s">
        <v>151</v>
      </c>
      <c r="G97" s="95"/>
      <c r="H97" s="96">
        <f>+B53+'forro caja EXT'!B53</f>
        <v>800</v>
      </c>
      <c r="I97" s="97">
        <v>1</v>
      </c>
      <c r="J97" s="103">
        <f t="shared" si="3"/>
        <v>800</v>
      </c>
      <c r="M97" s="55"/>
      <c r="N97" s="55"/>
      <c r="O97" s="55"/>
      <c r="P97" s="55"/>
      <c r="Q97" s="55"/>
      <c r="R97" s="55"/>
    </row>
    <row r="98" spans="2:18" ht="17.25" thickBot="1" x14ac:dyDescent="0.35">
      <c r="B98" s="41" t="s">
        <v>114</v>
      </c>
      <c r="C98" s="88">
        <v>0</v>
      </c>
      <c r="D98" s="60"/>
      <c r="F98" s="104"/>
      <c r="G98" s="105"/>
      <c r="H98" s="105"/>
      <c r="I98" s="106"/>
      <c r="J98" s="107"/>
      <c r="M98" s="55"/>
      <c r="N98" s="55"/>
      <c r="O98" s="55"/>
      <c r="P98" s="55"/>
      <c r="Q98" s="55"/>
      <c r="R98" s="55"/>
    </row>
    <row r="99" spans="2:18" ht="16.5" thickBot="1" x14ac:dyDescent="0.35">
      <c r="B99" s="41" t="s">
        <v>119</v>
      </c>
      <c r="C99" s="88">
        <v>0</v>
      </c>
      <c r="D99" s="60"/>
      <c r="F99"/>
      <c r="G99"/>
      <c r="H99"/>
      <c r="I99" s="98" t="s">
        <v>144</v>
      </c>
      <c r="J99" s="99">
        <f>SUM(J89:J98)</f>
        <v>3792.864</v>
      </c>
    </row>
    <row r="100" spans="2:18" x14ac:dyDescent="0.3">
      <c r="B100" s="1" t="s">
        <v>120</v>
      </c>
      <c r="C100" s="88">
        <v>0</v>
      </c>
      <c r="D100" s="60"/>
    </row>
    <row r="101" spans="2:18" x14ac:dyDescent="0.3">
      <c r="B101" s="41" t="s">
        <v>121</v>
      </c>
      <c r="C101" s="90">
        <f>+C97</f>
        <v>880.00000000000011</v>
      </c>
      <c r="D101" s="91">
        <f>+C101/B48</f>
        <v>8.8000000000000007</v>
      </c>
      <c r="E101" s="1" t="s">
        <v>123</v>
      </c>
    </row>
    <row r="102" spans="2:18" x14ac:dyDescent="0.3">
      <c r="B102" s="41" t="s">
        <v>122</v>
      </c>
      <c r="C102" s="90">
        <f>+C101*1.5</f>
        <v>1320.0000000000002</v>
      </c>
      <c r="D102" s="91">
        <f>+C102/B48</f>
        <v>13.200000000000003</v>
      </c>
      <c r="E102" s="1" t="s">
        <v>123</v>
      </c>
    </row>
    <row r="103" spans="2:18" x14ac:dyDescent="0.3">
      <c r="C103" s="59"/>
      <c r="D103" s="60"/>
    </row>
    <row r="104" spans="2:18" x14ac:dyDescent="0.3">
      <c r="C104" s="59"/>
      <c r="D104" s="60"/>
    </row>
  </sheetData>
  <mergeCells count="4">
    <mergeCell ref="I81:J81"/>
    <mergeCell ref="A81:B81"/>
    <mergeCell ref="G73:H73"/>
    <mergeCell ref="F87:J87"/>
  </mergeCells>
  <pageMargins left="0.70866141732283472" right="0.70866141732283472" top="0.74803149606299213" bottom="0.74803149606299213" header="0.31496062992125984" footer="0.31496062992125984"/>
  <pageSetup scale="43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Desarrollo</vt:lpstr>
      <vt:lpstr>cartón caja</vt:lpstr>
      <vt:lpstr>cartón cartera</vt:lpstr>
      <vt:lpstr>eva base</vt:lpstr>
      <vt:lpstr>forro caja INT</vt:lpstr>
      <vt:lpstr>forro caja EXT</vt:lpstr>
      <vt:lpstr>forro cartera guarda</vt:lpstr>
      <vt:lpstr>forro cartera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2017-01-13T22:27:22Z</cp:lastPrinted>
  <dcterms:created xsi:type="dcterms:W3CDTF">2013-03-04T22:24:31Z</dcterms:created>
  <dcterms:modified xsi:type="dcterms:W3CDTF">2017-01-13T22:30:42Z</dcterms:modified>
</cp:coreProperties>
</file>