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-15" windowWidth="20550" windowHeight="4035" activeTab="5"/>
  </bookViews>
  <sheets>
    <sheet name="Desarrollo" sheetId="44" r:id="rId1"/>
    <sheet name="cartón caja" sheetId="39" r:id="rId2"/>
    <sheet name="cartón cartera" sheetId="40" r:id="rId3"/>
    <sheet name="forro caja INT" sheetId="34" r:id="rId4"/>
    <sheet name="forro caja EXT" sheetId="42" r:id="rId5"/>
    <sheet name="forro guarda" sheetId="43" r:id="rId6"/>
    <sheet name="forro cartera final" sheetId="38" r:id="rId7"/>
  </sheets>
  <calcPr calcId="145621"/>
</workbook>
</file>

<file path=xl/calcChain.xml><?xml version="1.0" encoding="utf-8"?>
<calcChain xmlns="http://schemas.openxmlformats.org/spreadsheetml/2006/main">
  <c r="E30" i="39" l="1"/>
  <c r="G90" i="44"/>
  <c r="H87" i="44"/>
  <c r="G82" i="44"/>
  <c r="H80" i="44"/>
  <c r="G75" i="44"/>
  <c r="H73" i="44"/>
  <c r="G64" i="44"/>
  <c r="E85" i="44" s="1"/>
  <c r="E88" i="44" s="1"/>
  <c r="F60" i="44"/>
  <c r="E60" i="44"/>
  <c r="D60" i="44"/>
  <c r="B61" i="44" s="1"/>
  <c r="C74" i="44" s="1"/>
  <c r="G43" i="44"/>
  <c r="H41" i="44"/>
  <c r="H34" i="44"/>
  <c r="H27" i="44"/>
  <c r="E25" i="44"/>
  <c r="G24" i="44"/>
  <c r="D24" i="44"/>
  <c r="C39" i="44" s="1"/>
  <c r="C42" i="44" s="1"/>
  <c r="H19" i="44"/>
  <c r="C19" i="44"/>
  <c r="G14" i="44"/>
  <c r="E39" i="44" s="1"/>
  <c r="E42" i="44" s="1"/>
  <c r="D14" i="44"/>
  <c r="E13" i="44"/>
  <c r="E44" i="44" l="1"/>
  <c r="E43" i="44"/>
  <c r="C75" i="44"/>
  <c r="C76" i="44"/>
  <c r="C43" i="44"/>
  <c r="C44" i="44"/>
  <c r="E90" i="44"/>
  <c r="E89" i="44"/>
  <c r="H24" i="44"/>
  <c r="E28" i="44" s="1"/>
  <c r="C32" i="44"/>
  <c r="C35" i="44" s="1"/>
  <c r="C78" i="44"/>
  <c r="C81" i="44" s="1"/>
  <c r="C85" i="44"/>
  <c r="C88" i="44" s="1"/>
  <c r="B15" i="44"/>
  <c r="C28" i="44" s="1"/>
  <c r="E32" i="44"/>
  <c r="E35" i="44" s="1"/>
  <c r="H70" i="44"/>
  <c r="E74" i="44" s="1"/>
  <c r="E78" i="44"/>
  <c r="E81" i="44" s="1"/>
  <c r="C115" i="38"/>
  <c r="A52" i="38"/>
  <c r="A72" i="38" s="1"/>
  <c r="G97" i="38"/>
  <c r="A54" i="38"/>
  <c r="A74" i="38" s="1"/>
  <c r="C117" i="38"/>
  <c r="E117" i="38" s="1"/>
  <c r="D39" i="38"/>
  <c r="D40" i="43"/>
  <c r="D40" i="42"/>
  <c r="D40" i="34"/>
  <c r="D40" i="40"/>
  <c r="B47" i="38"/>
  <c r="B48" i="34"/>
  <c r="C40" i="34"/>
  <c r="C41" i="34" s="1"/>
  <c r="G44" i="34" s="1"/>
  <c r="C116" i="38"/>
  <c r="E116" i="38" s="1"/>
  <c r="E115" i="38"/>
  <c r="C40" i="39"/>
  <c r="B48" i="40"/>
  <c r="C40" i="40" s="1"/>
  <c r="C41" i="40" s="1"/>
  <c r="B75" i="38"/>
  <c r="B76" i="38"/>
  <c r="E30" i="38"/>
  <c r="E31" i="38" s="1"/>
  <c r="E33" i="38" s="1"/>
  <c r="H51" i="38"/>
  <c r="H48" i="38"/>
  <c r="H49" i="38"/>
  <c r="H50" i="38"/>
  <c r="H52" i="38"/>
  <c r="H53" i="38"/>
  <c r="H54" i="38"/>
  <c r="H55" i="38"/>
  <c r="H56" i="38"/>
  <c r="G57" i="38"/>
  <c r="H57" i="38" s="1"/>
  <c r="H58" i="38"/>
  <c r="B71" i="38"/>
  <c r="B48" i="43"/>
  <c r="C40" i="43" s="1"/>
  <c r="C41" i="43" s="1"/>
  <c r="H52" i="43"/>
  <c r="H50" i="43"/>
  <c r="B68" i="43"/>
  <c r="B69" i="43"/>
  <c r="B70" i="43"/>
  <c r="B71" i="43"/>
  <c r="B48" i="42"/>
  <c r="C40" i="42"/>
  <c r="H52" i="42"/>
  <c r="B56" i="42"/>
  <c r="B71" i="42" s="1"/>
  <c r="B68" i="42"/>
  <c r="B69" i="42"/>
  <c r="B70" i="42"/>
  <c r="C42" i="34"/>
  <c r="H52" i="34"/>
  <c r="B68" i="34"/>
  <c r="B69" i="34"/>
  <c r="B70" i="34"/>
  <c r="H52" i="40"/>
  <c r="H61" i="40" s="1"/>
  <c r="H52" i="39"/>
  <c r="H61" i="39" s="1"/>
  <c r="E31" i="43"/>
  <c r="E32" i="43"/>
  <c r="E34" i="43"/>
  <c r="E35" i="43"/>
  <c r="E31" i="42"/>
  <c r="E32" i="42"/>
  <c r="E34" i="42"/>
  <c r="E35" i="42"/>
  <c r="E31" i="34"/>
  <c r="E32" i="34"/>
  <c r="E34" i="34"/>
  <c r="E35" i="34"/>
  <c r="G58" i="34"/>
  <c r="H58" i="34"/>
  <c r="H24" i="38"/>
  <c r="F15" i="38"/>
  <c r="C25" i="38" s="1"/>
  <c r="F24" i="38"/>
  <c r="H15" i="38"/>
  <c r="E25" i="38" s="1"/>
  <c r="F25" i="38" s="1"/>
  <c r="F26" i="38" s="1"/>
  <c r="H25" i="43"/>
  <c r="F16" i="43"/>
  <c r="C26" i="43"/>
  <c r="H26" i="43"/>
  <c r="H27" i="43"/>
  <c r="F25" i="43"/>
  <c r="E26" i="43"/>
  <c r="F26" i="43"/>
  <c r="F27" i="43"/>
  <c r="E27" i="43"/>
  <c r="C27" i="43"/>
  <c r="H25" i="42"/>
  <c r="F16" i="42"/>
  <c r="C26" i="42"/>
  <c r="H26" i="42"/>
  <c r="H27" i="42"/>
  <c r="F25" i="42"/>
  <c r="H16" i="42"/>
  <c r="E26" i="42"/>
  <c r="F26" i="42"/>
  <c r="F27" i="42"/>
  <c r="E27" i="42"/>
  <c r="C27" i="42"/>
  <c r="F23" i="40"/>
  <c r="E30" i="40"/>
  <c r="E31" i="39"/>
  <c r="E32" i="39"/>
  <c r="E34" i="39" s="1"/>
  <c r="B109" i="38"/>
  <c r="B110" i="38" s="1"/>
  <c r="B112" i="38"/>
  <c r="B111" i="38"/>
  <c r="D82" i="38"/>
  <c r="A114" i="38" s="1"/>
  <c r="D81" i="38"/>
  <c r="A113" i="38" s="1"/>
  <c r="D80" i="38"/>
  <c r="A112" i="38" s="1"/>
  <c r="D79" i="38"/>
  <c r="A111" i="38" s="1"/>
  <c r="D78" i="38"/>
  <c r="A110" i="38" s="1"/>
  <c r="A109" i="38"/>
  <c r="H49" i="43"/>
  <c r="H16" i="43"/>
  <c r="H49" i="34"/>
  <c r="H50" i="34"/>
  <c r="H49" i="42"/>
  <c r="H50" i="42"/>
  <c r="H55" i="42"/>
  <c r="H54" i="42"/>
  <c r="C10" i="38"/>
  <c r="G58" i="42"/>
  <c r="H58" i="42" s="1"/>
  <c r="G58" i="43"/>
  <c r="H58" i="43" s="1"/>
  <c r="C11" i="43"/>
  <c r="C11" i="42"/>
  <c r="H16" i="34"/>
  <c r="F16" i="34"/>
  <c r="C11" i="34"/>
  <c r="C11" i="40"/>
  <c r="E26" i="39"/>
  <c r="C26" i="39"/>
  <c r="E26" i="34"/>
  <c r="E27" i="34"/>
  <c r="C26" i="34"/>
  <c r="C27" i="34"/>
  <c r="C8" i="38"/>
  <c r="C9" i="43"/>
  <c r="C9" i="42"/>
  <c r="C9" i="34"/>
  <c r="C9" i="40"/>
  <c r="D94" i="38"/>
  <c r="A71" i="43"/>
  <c r="A70" i="43"/>
  <c r="A69" i="43"/>
  <c r="A68" i="43"/>
  <c r="H59" i="43"/>
  <c r="H57" i="43"/>
  <c r="H56" i="43"/>
  <c r="H55" i="43"/>
  <c r="H54" i="43"/>
  <c r="H51" i="43"/>
  <c r="G43" i="43"/>
  <c r="H59" i="42"/>
  <c r="H57" i="42"/>
  <c r="H56" i="42"/>
  <c r="H51" i="42"/>
  <c r="B83" i="34"/>
  <c r="A71" i="42"/>
  <c r="A70" i="42"/>
  <c r="A69" i="42"/>
  <c r="A68" i="42"/>
  <c r="B71" i="34"/>
  <c r="B79" i="34"/>
  <c r="B82" i="34"/>
  <c r="A79" i="34"/>
  <c r="A82" i="34"/>
  <c r="G43" i="34"/>
  <c r="A75" i="38"/>
  <c r="A73" i="38"/>
  <c r="A76" i="38"/>
  <c r="A71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H26" i="39"/>
  <c r="H27" i="39"/>
  <c r="F25" i="39"/>
  <c r="F26" i="39"/>
  <c r="H51" i="34"/>
  <c r="H54" i="34"/>
  <c r="H55" i="34"/>
  <c r="H56" i="34"/>
  <c r="H57" i="34"/>
  <c r="H59" i="34"/>
  <c r="A71" i="34"/>
  <c r="A70" i="34"/>
  <c r="A69" i="34"/>
  <c r="H25" i="34"/>
  <c r="H26" i="34"/>
  <c r="F25" i="34"/>
  <c r="E27" i="39"/>
  <c r="F27" i="39"/>
  <c r="C27" i="39"/>
  <c r="G43" i="40"/>
  <c r="F26" i="40"/>
  <c r="F27" i="40"/>
  <c r="C27" i="40"/>
  <c r="F26" i="34"/>
  <c r="F27" i="34"/>
  <c r="H27" i="34"/>
  <c r="C46" i="34"/>
  <c r="H59" i="38" l="1"/>
  <c r="E34" i="38"/>
  <c r="C109" i="38"/>
  <c r="C110" i="38" s="1"/>
  <c r="C111" i="38" s="1"/>
  <c r="C112" i="38" s="1"/>
  <c r="G99" i="38"/>
  <c r="G101" i="38" s="1"/>
  <c r="A115" i="38"/>
  <c r="E26" i="38"/>
  <c r="H25" i="38"/>
  <c r="H26" i="38" s="1"/>
  <c r="C26" i="38"/>
  <c r="E31" i="40"/>
  <c r="E32" i="40" s="1"/>
  <c r="E34" i="40" s="1"/>
  <c r="A80" i="34"/>
  <c r="C80" i="34" s="1"/>
  <c r="E80" i="34" s="1"/>
  <c r="E35" i="39"/>
  <c r="C114" i="38"/>
  <c r="E83" i="44"/>
  <c r="E82" i="44"/>
  <c r="E37" i="44"/>
  <c r="E36" i="44"/>
  <c r="C90" i="44"/>
  <c r="C89" i="44"/>
  <c r="C36" i="44"/>
  <c r="C37" i="44"/>
  <c r="E76" i="44"/>
  <c r="E75" i="44"/>
  <c r="C29" i="44"/>
  <c r="C30" i="44"/>
  <c r="C82" i="44"/>
  <c r="C83" i="44"/>
  <c r="E30" i="44"/>
  <c r="E29" i="44"/>
  <c r="B67" i="40"/>
  <c r="B51" i="40"/>
  <c r="B51" i="39"/>
  <c r="B67" i="39"/>
  <c r="C42" i="43"/>
  <c r="G53" i="43"/>
  <c r="H53" i="43" s="1"/>
  <c r="H61" i="43" s="1"/>
  <c r="G44" i="43"/>
  <c r="C42" i="40"/>
  <c r="G44" i="40"/>
  <c r="B66" i="34"/>
  <c r="C43" i="34"/>
  <c r="B50" i="34"/>
  <c r="C41" i="42"/>
  <c r="G43" i="42"/>
  <c r="C41" i="39"/>
  <c r="G43" i="39"/>
  <c r="A83" i="34"/>
  <c r="C83" i="34" s="1"/>
  <c r="E83" i="34" s="1"/>
  <c r="G53" i="34" s="1"/>
  <c r="H53" i="34" s="1"/>
  <c r="H61" i="34" s="1"/>
  <c r="C100" i="38"/>
  <c r="C39" i="38"/>
  <c r="B53" i="38"/>
  <c r="B73" i="38" s="1"/>
  <c r="C94" i="38"/>
  <c r="C97" i="38" s="1"/>
  <c r="G102" i="38" l="1"/>
  <c r="B52" i="38"/>
  <c r="H101" i="38"/>
  <c r="E35" i="40"/>
  <c r="C113" i="38"/>
  <c r="C40" i="38"/>
  <c r="G42" i="38"/>
  <c r="G44" i="39"/>
  <c r="C42" i="39"/>
  <c r="B67" i="43"/>
  <c r="B51" i="43"/>
  <c r="B51" i="34"/>
  <c r="B58" i="34" s="1"/>
  <c r="B60" i="34" s="1"/>
  <c r="B67" i="34"/>
  <c r="B73" i="34" s="1"/>
  <c r="G44" i="42"/>
  <c r="C42" i="42"/>
  <c r="G53" i="42"/>
  <c r="H53" i="42" s="1"/>
  <c r="H61" i="42" s="1"/>
  <c r="C101" i="38"/>
  <c r="C102" i="38" s="1"/>
  <c r="C50" i="34"/>
  <c r="B72" i="38"/>
  <c r="H102" i="38"/>
  <c r="B66" i="40"/>
  <c r="B72" i="40" s="1"/>
  <c r="B50" i="40"/>
  <c r="B58" i="40" s="1"/>
  <c r="B60" i="40" s="1"/>
  <c r="C46" i="40"/>
  <c r="C43" i="43"/>
  <c r="B66" i="43"/>
  <c r="C46" i="43"/>
  <c r="B50" i="43"/>
  <c r="B58" i="43" l="1"/>
  <c r="B60" i="43" s="1"/>
  <c r="H69" i="43" s="1"/>
  <c r="I69" i="43" s="1"/>
  <c r="E113" i="38"/>
  <c r="B73" i="43"/>
  <c r="C73" i="43" s="1"/>
  <c r="C73" i="34"/>
  <c r="I52" i="34"/>
  <c r="E63" i="34"/>
  <c r="D65" i="34"/>
  <c r="F81" i="38"/>
  <c r="H68" i="40"/>
  <c r="I68" i="40" s="1"/>
  <c r="B54" i="38"/>
  <c r="D101" i="38"/>
  <c r="E114" i="38"/>
  <c r="B50" i="39"/>
  <c r="B58" i="39" s="1"/>
  <c r="B60" i="39" s="1"/>
  <c r="C46" i="39"/>
  <c r="B66" i="39"/>
  <c r="B72" i="39" s="1"/>
  <c r="F78" i="38"/>
  <c r="C72" i="40"/>
  <c r="I52" i="40"/>
  <c r="D65" i="40"/>
  <c r="E63" i="40"/>
  <c r="F80" i="38"/>
  <c r="H69" i="34"/>
  <c r="I69" i="34" s="1"/>
  <c r="B67" i="42"/>
  <c r="B51" i="42"/>
  <c r="B66" i="42"/>
  <c r="C43" i="42"/>
  <c r="D111" i="38"/>
  <c r="C46" i="42"/>
  <c r="B50" i="42"/>
  <c r="C41" i="38"/>
  <c r="G43" i="38"/>
  <c r="B58" i="42" l="1"/>
  <c r="B60" i="42" s="1"/>
  <c r="F79" i="38" s="1"/>
  <c r="E63" i="43"/>
  <c r="I52" i="43"/>
  <c r="B73" i="42"/>
  <c r="E63" i="42" s="1"/>
  <c r="D65" i="43"/>
  <c r="I52" i="42"/>
  <c r="C45" i="38"/>
  <c r="B69" i="38"/>
  <c r="B49" i="38"/>
  <c r="E109" i="38"/>
  <c r="C42" i="38"/>
  <c r="C81" i="38"/>
  <c r="H69" i="40"/>
  <c r="D102" i="38"/>
  <c r="B74" i="38"/>
  <c r="H69" i="42"/>
  <c r="I69" i="42" s="1"/>
  <c r="C72" i="39"/>
  <c r="I52" i="39"/>
  <c r="E63" i="39"/>
  <c r="D65" i="39"/>
  <c r="F82" i="38"/>
  <c r="H68" i="39"/>
  <c r="I68" i="39" s="1"/>
  <c r="H70" i="43"/>
  <c r="C78" i="38"/>
  <c r="C80" i="38"/>
  <c r="H70" i="34"/>
  <c r="D65" i="42" l="1"/>
  <c r="C73" i="42"/>
  <c r="H71" i="43"/>
  <c r="I71" i="43" s="1"/>
  <c r="I70" i="43"/>
  <c r="C82" i="38"/>
  <c r="H69" i="39"/>
  <c r="E110" i="38"/>
  <c r="E111" i="38" s="1"/>
  <c r="E112" i="38" s="1"/>
  <c r="I70" i="34"/>
  <c r="H71" i="34"/>
  <c r="I71" i="34" s="1"/>
  <c r="H70" i="40"/>
  <c r="I70" i="40" s="1"/>
  <c r="I69" i="40"/>
  <c r="C79" i="38"/>
  <c r="H70" i="42"/>
  <c r="E120" i="38" l="1"/>
  <c r="I69" i="39"/>
  <c r="H70" i="39"/>
  <c r="I70" i="39" s="1"/>
  <c r="I70" i="42"/>
  <c r="H71" i="42"/>
  <c r="I71" i="42" s="1"/>
  <c r="B70" i="38" l="1"/>
  <c r="B77" i="38" s="1"/>
  <c r="B50" i="38"/>
  <c r="B57" i="38"/>
  <c r="B59" i="38" s="1"/>
  <c r="H71" i="38" l="1"/>
  <c r="I71" i="38" s="1"/>
  <c r="F77" i="38"/>
  <c r="F83" i="38" s="1"/>
  <c r="G83" i="38" s="1"/>
  <c r="I51" i="38"/>
  <c r="C77" i="38"/>
  <c r="C83" i="38" l="1"/>
  <c r="A83" i="38" s="1"/>
  <c r="H72" i="38"/>
  <c r="H73" i="38" l="1"/>
  <c r="I73" i="38" s="1"/>
  <c r="I72" i="38"/>
  <c r="I74" i="38"/>
  <c r="I83" i="38"/>
</calcChain>
</file>

<file path=xl/sharedStrings.xml><?xml version="1.0" encoding="utf-8"?>
<sst xmlns="http://schemas.openxmlformats.org/spreadsheetml/2006/main" count="741" uniqueCount="193">
  <si>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</si>
  <si>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</si>
  <si>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</si>
  <si>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</si>
  <si>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</si>
  <si>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</si>
  <si>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</si>
  <si>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</si>
  <si>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</si>
  <si>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</si>
  <si>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</si>
  <si>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</si>
  <si>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</si>
  <si>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</si>
  <si>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</si>
  <si>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</si>
  <si>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</si>
  <si>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</si>
  <si>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</si>
  <si>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</si>
  <si>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</si>
  <si>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</si>
  <si>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</si>
  <si>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</si>
  <si>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</si>
  <si>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</si>
  <si>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</si>
  <si>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</si>
  <si>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</si>
  <si>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</si>
  <si>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</si>
  <si>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</si>
  <si>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</si>
  <si>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</si>
  <si>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</si>
  <si>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</si>
  <si>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</si>
  <si>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</si>
  <si>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</si>
  <si>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</si>
  <si>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</si>
  <si>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</si>
  <si>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</si>
  <si>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</si>
  <si>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</si>
  <si>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</si>
  <si>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</si>
  <si>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</si>
  <si>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</si>
  <si>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</si>
  <si>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</si>
  <si>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</si>
  <si>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</si>
  <si>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</si>
  <si>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</si>
  <si>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</si>
  <si>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</si>
  <si>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</si>
  <si>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</si>
  <si>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</si>
  <si>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</si>
  <si>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</si>
  <si>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</si>
  <si>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</si>
  <si>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</si>
  <si>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</si>
  <si>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</si>
  <si>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</si>
  <si>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</si>
  <si>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</si>
  <si>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</si>
  <si>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</si>
  <si>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</si>
  <si>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</si>
  <si>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</si>
  <si>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</si>
  <si>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</si>
  <si>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</si>
  <si>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</si>
  <si>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</si>
  <si>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</si>
  <si>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</si>
  <si>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</si>
  <si>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</si>
  <si>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</si>
  <si>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</si>
  <si>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</si>
  <si>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</si>
  <si>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</si>
  <si>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</si>
  <si>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</si>
  <si>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</si>
  <si>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</si>
  <si>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</si>
  <si>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</si>
  <si>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</si>
  <si>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</si>
  <si>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</si>
  <si>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</si>
  <si>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</si>
  <si>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</si>
  <si>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</si>
  <si>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</si>
  <si>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</si>
  <si>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</si>
  <si>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</si>
  <si>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</si>
  <si>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Cartón Gris</t>
  </si>
  <si>
    <t>empalme</t>
  </si>
  <si>
    <t>forro guarda</t>
  </si>
  <si>
    <t>Arreglo</t>
  </si>
  <si>
    <t>Empaque</t>
  </si>
  <si>
    <t>Comisiones</t>
  </si>
  <si>
    <t>Suajado</t>
  </si>
  <si>
    <t>mt</t>
  </si>
  <si>
    <t>Precio por Paquete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</si>
  <si>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</si>
  <si>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</si>
  <si>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</si>
  <si>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</si>
  <si>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</si>
  <si>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</si>
  <si>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</si>
  <si>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</si>
  <si>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Pruebas de color</t>
  </si>
  <si>
    <t xml:space="preserve">minimo </t>
  </si>
  <si>
    <t>cartón caja</t>
  </si>
  <si>
    <t>cartón cartera</t>
  </si>
  <si>
    <t>forro caja INT</t>
  </si>
  <si>
    <t>forro caja EXT</t>
  </si>
  <si>
    <t>forro cartera</t>
  </si>
  <si>
    <t>Arreglo Grabado</t>
  </si>
  <si>
    <t>Grabado</t>
  </si>
  <si>
    <t>Tabla de suaje + Placa</t>
  </si>
  <si>
    <t>Joaquín García</t>
  </si>
  <si>
    <t>Tinta V</t>
  </si>
  <si>
    <t>Material</t>
  </si>
  <si>
    <t>$ compra dcto</t>
  </si>
  <si>
    <t>Gris #4</t>
  </si>
  <si>
    <t>TT</t>
  </si>
  <si>
    <t>Pliegos</t>
  </si>
  <si>
    <t>#4</t>
  </si>
  <si>
    <t>Villatoro</t>
  </si>
  <si>
    <t xml:space="preserve"> Negro</t>
  </si>
  <si>
    <t>impresa a 1 X 1 tinta serigrafía en cartera</t>
  </si>
  <si>
    <t>con eva para sujetar pulsera</t>
  </si>
  <si>
    <t>según muestra entregada</t>
  </si>
  <si>
    <t>papel importación negro</t>
  </si>
  <si>
    <t>par</t>
  </si>
  <si>
    <t>Tablas</t>
  </si>
  <si>
    <t>tamaño extendido 22.5  X 22.5 cm.</t>
  </si>
  <si>
    <t>tamaño extendido 24.5 X 9 cm.</t>
  </si>
  <si>
    <t>Caja Reloj Almeja Suajada</t>
  </si>
  <si>
    <t>tamaño 8.5 X 8.5 X 7 cm.</t>
  </si>
  <si>
    <t>Cojín</t>
  </si>
  <si>
    <t xml:space="preserve">Suede </t>
  </si>
  <si>
    <t>Negro o Naranja</t>
  </si>
  <si>
    <t>Cojín Yolanda Cajas</t>
  </si>
  <si>
    <t>* PZ</t>
  </si>
  <si>
    <t>Velcro</t>
  </si>
  <si>
    <t>Negro</t>
  </si>
  <si>
    <t>caja con 1400 juegos</t>
  </si>
  <si>
    <t>Partes Adicionales</t>
  </si>
  <si>
    <t>tamaño 8.5 X 8.5 X 7.25 cm.</t>
  </si>
  <si>
    <t>11 de noviembre de 2016.</t>
  </si>
  <si>
    <t>Fecha:</t>
  </si>
  <si>
    <t>16 de diciembre de 2016.</t>
  </si>
  <si>
    <t>Cliente:</t>
  </si>
  <si>
    <t>Henri Goat</t>
  </si>
  <si>
    <t>Proyecto:</t>
  </si>
  <si>
    <t>Caja Reloj</t>
  </si>
  <si>
    <t>Cantidad:</t>
  </si>
  <si>
    <t>piezas</t>
  </si>
  <si>
    <t>merma</t>
  </si>
  <si>
    <t>CAJÓN</t>
  </si>
  <si>
    <t>Medida Cajón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</si>
  <si>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</si>
  <si>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</si>
  <si>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</si>
  <si>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</si>
  <si>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</si>
  <si>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</si>
  <si>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</si>
  <si>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Empalme Interior</t>
  </si>
  <si>
    <t>Rainbow/ Villatoro</t>
  </si>
  <si>
    <t>Forro Exterior</t>
  </si>
  <si>
    <t>Lado 1</t>
  </si>
  <si>
    <t>Lado 2</t>
  </si>
  <si>
    <t>Medida Tapa</t>
  </si>
  <si>
    <t xml:space="preserve">Cartón </t>
  </si>
  <si>
    <t>Guarda Interior Cartera</t>
  </si>
  <si>
    <t>Forro Exterior Cartera</t>
  </si>
  <si>
    <t>Barniz UV + Laminados + Empalmes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</si>
</sst>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9" applyNumberFormat="0" applyAlignment="0" applyProtection="0"/>
    <xf numFmtId="0" fontId="15" fillId="6" borderId="20" applyNumberFormat="0" applyAlignment="0" applyProtection="0"/>
    <xf numFmtId="0" fontId="16" fillId="7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4" applyNumberFormat="0" applyFont="0" applyAlignment="0" applyProtection="0"/>
  </cellStyleXfs>
  <cellXfs count="1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4" fontId="6" fillId="0" borderId="5" xfId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0" fillId="0" borderId="12" xfId="0" applyBorder="1"/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5" fillId="0" borderId="25" xfId="0" applyFont="1" applyBorder="1"/>
    <xf numFmtId="44" fontId="25" fillId="0" borderId="26" xfId="0" applyNumberFormat="1" applyFont="1" applyBorder="1"/>
    <xf numFmtId="0" fontId="26" fillId="0" borderId="27" xfId="0" applyFont="1" applyBorder="1" applyAlignment="1">
      <alignment horizontal="right"/>
    </xf>
    <xf numFmtId="0" fontId="26" fillId="0" borderId="28" xfId="0" applyFont="1" applyBorder="1" applyAlignment="1">
      <alignment horizontal="left"/>
    </xf>
    <xf numFmtId="44" fontId="26" fillId="0" borderId="28" xfId="0" applyNumberFormat="1" applyFont="1" applyBorder="1" applyAlignment="1">
      <alignment horizontal="center"/>
    </xf>
    <xf numFmtId="1" fontId="26" fillId="0" borderId="28" xfId="0" applyNumberFormat="1" applyFont="1" applyBorder="1" applyAlignment="1">
      <alignment horizontal="center"/>
    </xf>
    <xf numFmtId="44" fontId="26" fillId="0" borderId="29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44" fontId="6" fillId="0" borderId="17" xfId="1" applyFont="1" applyBorder="1" applyAlignment="1">
      <alignment horizontal="left"/>
    </xf>
    <xf numFmtId="0" fontId="27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44" fontId="10" fillId="0" borderId="0" xfId="1" applyFont="1"/>
    <xf numFmtId="44" fontId="27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16</xdr:row>
      <xdr:rowOff>9923</xdr:rowOff>
    </xdr:from>
    <xdr:to>
      <xdr:col>5</xdr:col>
      <xdr:colOff>228203</xdr:colOff>
      <xdr:row>20</xdr:row>
      <xdr:rowOff>158750</xdr:rowOff>
    </xdr:to>
    <xdr:sp macro="" textlink="">
      <xdr:nvSpPr>
        <xdr:cNvPr id="2" name="1 Rectángulo"/>
        <xdr:cNvSpPr/>
      </xdr:nvSpPr>
      <xdr:spPr>
        <a:xfrm>
          <a:off x="3238897" y="3410348"/>
          <a:ext cx="1066006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714375</xdr:colOff>
      <xdr:row>13</xdr:row>
      <xdr:rowOff>19845</xdr:rowOff>
    </xdr:from>
    <xdr:to>
      <xdr:col>5</xdr:col>
      <xdr:colOff>248047</xdr:colOff>
      <xdr:row>16</xdr:row>
      <xdr:rowOff>9923</xdr:rowOff>
    </xdr:to>
    <xdr:sp macro="" textlink="">
      <xdr:nvSpPr>
        <xdr:cNvPr id="3" name="2 Rectángulo"/>
        <xdr:cNvSpPr/>
      </xdr:nvSpPr>
      <xdr:spPr>
        <a:xfrm>
          <a:off x="3228975" y="2791620"/>
          <a:ext cx="1095772" cy="618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754064</xdr:colOff>
      <xdr:row>59</xdr:row>
      <xdr:rowOff>198437</xdr:rowOff>
    </xdr:from>
    <xdr:to>
      <xdr:col>3</xdr:col>
      <xdr:colOff>744142</xdr:colOff>
      <xdr:row>68</xdr:row>
      <xdr:rowOff>198437</xdr:rowOff>
    </xdr:to>
    <xdr:sp macro="" textlink="">
      <xdr:nvSpPr>
        <xdr:cNvPr id="4" name="3 Rectángulo"/>
        <xdr:cNvSpPr/>
      </xdr:nvSpPr>
      <xdr:spPr>
        <a:xfrm>
          <a:off x="2506664" y="11761787"/>
          <a:ext cx="752078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60</xdr:row>
      <xdr:rowOff>9922</xdr:rowOff>
    </xdr:from>
    <xdr:to>
      <xdr:col>5</xdr:col>
      <xdr:colOff>9922</xdr:colOff>
      <xdr:row>68</xdr:row>
      <xdr:rowOff>198438</xdr:rowOff>
    </xdr:to>
    <xdr:sp macro="" textlink="">
      <xdr:nvSpPr>
        <xdr:cNvPr id="5" name="4 Rectángulo"/>
        <xdr:cNvSpPr/>
      </xdr:nvSpPr>
      <xdr:spPr>
        <a:xfrm>
          <a:off x="3286522" y="11782822"/>
          <a:ext cx="800100" cy="1864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59</xdr:row>
      <xdr:rowOff>198440</xdr:rowOff>
    </xdr:from>
    <xdr:to>
      <xdr:col>6</xdr:col>
      <xdr:colOff>19843</xdr:colOff>
      <xdr:row>68</xdr:row>
      <xdr:rowOff>198440</xdr:rowOff>
    </xdr:to>
    <xdr:sp macro="" textlink="">
      <xdr:nvSpPr>
        <xdr:cNvPr id="6" name="5 Rectángulo"/>
        <xdr:cNvSpPr/>
      </xdr:nvSpPr>
      <xdr:spPr>
        <a:xfrm>
          <a:off x="4106466" y="11761790"/>
          <a:ext cx="752077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257969</xdr:colOff>
      <xdr:row>16</xdr:row>
      <xdr:rowOff>9923</xdr:rowOff>
    </xdr:from>
    <xdr:to>
      <xdr:col>6</xdr:col>
      <xdr:colOff>565548</xdr:colOff>
      <xdr:row>20</xdr:row>
      <xdr:rowOff>158750</xdr:rowOff>
    </xdr:to>
    <xdr:sp macro="" textlink="">
      <xdr:nvSpPr>
        <xdr:cNvPr id="7" name="6 Rectángulo"/>
        <xdr:cNvSpPr/>
      </xdr:nvSpPr>
      <xdr:spPr>
        <a:xfrm>
          <a:off x="4334669" y="3410348"/>
          <a:ext cx="1069579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386953</xdr:colOff>
      <xdr:row>16</xdr:row>
      <xdr:rowOff>9923</xdr:rowOff>
    </xdr:from>
    <xdr:to>
      <xdr:col>3</xdr:col>
      <xdr:colOff>694532</xdr:colOff>
      <xdr:row>20</xdr:row>
      <xdr:rowOff>158750</xdr:rowOff>
    </xdr:to>
    <xdr:sp macro="" textlink="">
      <xdr:nvSpPr>
        <xdr:cNvPr id="8" name="7 Rectángulo"/>
        <xdr:cNvSpPr/>
      </xdr:nvSpPr>
      <xdr:spPr>
        <a:xfrm>
          <a:off x="2139553" y="3410348"/>
          <a:ext cx="1069579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724297</xdr:colOff>
      <xdr:row>20</xdr:row>
      <xdr:rowOff>158750</xdr:rowOff>
    </xdr:from>
    <xdr:to>
      <xdr:col>5</xdr:col>
      <xdr:colOff>257969</xdr:colOff>
      <xdr:row>23</xdr:row>
      <xdr:rowOff>148828</xdr:rowOff>
    </xdr:to>
    <xdr:sp macro="" textlink="">
      <xdr:nvSpPr>
        <xdr:cNvPr id="9" name="8 Rectángulo"/>
        <xdr:cNvSpPr/>
      </xdr:nvSpPr>
      <xdr:spPr>
        <a:xfrm>
          <a:off x="3238897" y="4397375"/>
          <a:ext cx="1095772" cy="618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zoomScale="96" zoomScaleNormal="96" workbookViewId="0">
      <selection activeCell="G11" sqref="G11"/>
    </sheetView>
  </sheetViews>
  <sheetFormatPr baseColWidth="10" defaultRowHeight="16.5" x14ac:dyDescent="0.3"/>
  <cols>
    <col min="1" max="1" width="12.5703125" style="54" customWidth="1"/>
    <col min="2" max="2" width="13.7109375" style="54" customWidth="1"/>
    <col min="3" max="4" width="11.42578125" style="54"/>
    <col min="5" max="5" width="12" style="54" customWidth="1"/>
    <col min="6" max="7" width="11.42578125" style="54"/>
    <col min="8" max="8" width="14.28515625" style="54" customWidth="1"/>
    <col min="9" max="16384" width="11.42578125" style="54"/>
  </cols>
  <sheetData>
    <row r="1" spans="1:8" x14ac:dyDescent="0.3">
      <c r="A1" s="115" t="s">
        <v>165</v>
      </c>
      <c r="B1" s="54" t="s">
        <v>166</v>
      </c>
    </row>
    <row r="3" spans="1:8" x14ac:dyDescent="0.3">
      <c r="A3" s="115" t="s">
        <v>167</v>
      </c>
      <c r="B3" s="54" t="s">
        <v>168</v>
      </c>
    </row>
    <row r="5" spans="1:8" x14ac:dyDescent="0.3">
      <c r="A5" s="115" t="s">
        <v>169</v>
      </c>
      <c r="B5" s="54" t="s">
        <v>170</v>
      </c>
    </row>
    <row r="6" spans="1:8" x14ac:dyDescent="0.3">
      <c r="A6" s="115"/>
    </row>
    <row r="7" spans="1:8" x14ac:dyDescent="0.3">
      <c r="A7" s="115" t="s">
        <v>171</v>
      </c>
      <c r="B7" s="116">
        <v>300</v>
      </c>
      <c r="C7" s="54" t="s">
        <v>172</v>
      </c>
      <c r="D7" s="54">
        <v>60</v>
      </c>
      <c r="E7" s="54" t="s">
        <v>173</v>
      </c>
    </row>
    <row r="8" spans="1:8" x14ac:dyDescent="0.3">
      <c r="C8" s="116"/>
    </row>
    <row r="9" spans="1:8" ht="20.25" x14ac:dyDescent="0.3">
      <c r="A9" s="117" t="s">
        <v>174</v>
      </c>
    </row>
    <row r="10" spans="1:8" x14ac:dyDescent="0.3">
      <c r="A10" s="118" t="s">
        <v>175</v>
      </c>
      <c r="C10" s="119" t="s">
        <v>176</v>
      </c>
      <c r="D10" s="119" t="s">
        <v>177</v>
      </c>
      <c r="E10" s="119" t="s">
        <v>178</v>
      </c>
    </row>
    <row r="11" spans="1:8" x14ac:dyDescent="0.3">
      <c r="A11" s="118"/>
      <c r="C11" s="116">
        <v>8.5</v>
      </c>
      <c r="D11" s="116">
        <v>8.5</v>
      </c>
      <c r="E11" s="116">
        <v>7</v>
      </c>
    </row>
    <row r="12" spans="1:8" x14ac:dyDescent="0.3">
      <c r="A12" s="118"/>
    </row>
    <row r="13" spans="1:8" x14ac:dyDescent="0.3">
      <c r="E13" s="54">
        <f>+C11</f>
        <v>8.5</v>
      </c>
    </row>
    <row r="14" spans="1:8" x14ac:dyDescent="0.3">
      <c r="D14" s="120">
        <f>+E11</f>
        <v>7</v>
      </c>
      <c r="G14" s="120">
        <f>+E11</f>
        <v>7</v>
      </c>
    </row>
    <row r="15" spans="1:8" x14ac:dyDescent="0.3">
      <c r="A15" s="121" t="s">
        <v>179</v>
      </c>
      <c r="B15" s="121">
        <f>+G14+E13+D14</f>
        <v>22.5</v>
      </c>
      <c r="H15" s="120"/>
    </row>
    <row r="16" spans="1:8" x14ac:dyDescent="0.3">
      <c r="G16" s="120"/>
      <c r="H16" s="120"/>
    </row>
    <row r="17" spans="1:9" x14ac:dyDescent="0.3">
      <c r="G17" s="120"/>
      <c r="H17" s="120"/>
    </row>
    <row r="18" spans="1:9" x14ac:dyDescent="0.3">
      <c r="G18" s="120"/>
      <c r="H18" s="120"/>
    </row>
    <row r="19" spans="1:9" x14ac:dyDescent="0.3">
      <c r="C19" s="120">
        <f>+D11</f>
        <v>8.5</v>
      </c>
      <c r="H19" s="120">
        <f>+D11</f>
        <v>8.5</v>
      </c>
    </row>
    <row r="20" spans="1:9" x14ac:dyDescent="0.3">
      <c r="G20" s="120"/>
      <c r="H20" s="120"/>
    </row>
    <row r="21" spans="1:9" x14ac:dyDescent="0.3">
      <c r="G21" s="120"/>
      <c r="H21" s="120"/>
    </row>
    <row r="22" spans="1:9" x14ac:dyDescent="0.3">
      <c r="G22" s="120"/>
      <c r="H22" s="120"/>
    </row>
    <row r="23" spans="1:9" x14ac:dyDescent="0.3">
      <c r="H23" s="120"/>
    </row>
    <row r="24" spans="1:9" x14ac:dyDescent="0.3">
      <c r="D24" s="120">
        <f>+E11</f>
        <v>7</v>
      </c>
      <c r="G24" s="120">
        <f>+E11</f>
        <v>7</v>
      </c>
      <c r="H24" s="118">
        <f>+G14+H19+G24</f>
        <v>22.5</v>
      </c>
      <c r="I24" s="121" t="s">
        <v>180</v>
      </c>
    </row>
    <row r="25" spans="1:9" x14ac:dyDescent="0.3">
      <c r="E25" s="54">
        <f>+C11</f>
        <v>8.5</v>
      </c>
    </row>
    <row r="27" spans="1:9" s="118" customFormat="1" x14ac:dyDescent="0.3">
      <c r="A27" s="118" t="s">
        <v>181</v>
      </c>
      <c r="B27" s="118" t="s">
        <v>141</v>
      </c>
      <c r="C27" s="119">
        <v>90</v>
      </c>
      <c r="D27" s="119" t="s">
        <v>81</v>
      </c>
      <c r="E27" s="119">
        <v>130</v>
      </c>
      <c r="F27" s="122">
        <v>38.619999999999997</v>
      </c>
      <c r="H27" s="123">
        <f>+F27*H28</f>
        <v>772.4</v>
      </c>
    </row>
    <row r="28" spans="1:9" x14ac:dyDescent="0.3">
      <c r="C28" s="116">
        <f>+B15</f>
        <v>22.5</v>
      </c>
      <c r="D28" s="116" t="s">
        <v>81</v>
      </c>
      <c r="E28" s="116">
        <f>+H24</f>
        <v>22.5</v>
      </c>
      <c r="G28" s="118" t="s">
        <v>182</v>
      </c>
      <c r="H28" s="118">
        <v>20</v>
      </c>
    </row>
    <row r="29" spans="1:9" x14ac:dyDescent="0.3">
      <c r="C29" s="124">
        <f>+C27/C28</f>
        <v>4</v>
      </c>
      <c r="D29" s="124"/>
      <c r="E29" s="124">
        <f>+E27/E28</f>
        <v>5.7777777777777777</v>
      </c>
      <c r="F29" s="118">
        <v>20</v>
      </c>
      <c r="G29" s="54">
        <v>20</v>
      </c>
    </row>
    <row r="30" spans="1:9" x14ac:dyDescent="0.3">
      <c r="C30" s="124">
        <f>+E27/C28</f>
        <v>5.7777777777777777</v>
      </c>
      <c r="D30" s="124"/>
      <c r="E30" s="124">
        <f>+C27/E28</f>
        <v>4</v>
      </c>
      <c r="F30" s="54">
        <v>20</v>
      </c>
    </row>
    <row r="31" spans="1:9" x14ac:dyDescent="0.3">
      <c r="C31" s="116"/>
      <c r="D31" s="116"/>
      <c r="E31" s="116"/>
    </row>
    <row r="32" spans="1:9" x14ac:dyDescent="0.3">
      <c r="A32" s="118" t="s">
        <v>183</v>
      </c>
      <c r="C32" s="116">
        <f>0.25+D24+E25+0.25+G24</f>
        <v>23</v>
      </c>
      <c r="D32" s="116" t="s">
        <v>81</v>
      </c>
      <c r="E32" s="116">
        <f>+G14+0.25+H19+0.25+G24</f>
        <v>23</v>
      </c>
    </row>
    <row r="33" spans="1:8" ht="6" customHeight="1" x14ac:dyDescent="0.3">
      <c r="A33" s="118"/>
      <c r="C33" s="116"/>
      <c r="D33" s="116"/>
      <c r="E33" s="116"/>
    </row>
    <row r="34" spans="1:8" s="118" customFormat="1" x14ac:dyDescent="0.3">
      <c r="A34" s="118" t="s">
        <v>184</v>
      </c>
      <c r="B34" s="118" t="s">
        <v>160</v>
      </c>
      <c r="C34" s="119">
        <v>100</v>
      </c>
      <c r="D34" s="119" t="s">
        <v>81</v>
      </c>
      <c r="E34" s="119">
        <v>135</v>
      </c>
      <c r="F34" s="122">
        <v>35</v>
      </c>
      <c r="H34" s="123">
        <f>+F34*H35</f>
        <v>700</v>
      </c>
    </row>
    <row r="35" spans="1:8" x14ac:dyDescent="0.3">
      <c r="C35" s="116">
        <f>1+C32+1</f>
        <v>25</v>
      </c>
      <c r="D35" s="116" t="s">
        <v>81</v>
      </c>
      <c r="E35" s="116">
        <f>1+E32+1</f>
        <v>25</v>
      </c>
      <c r="G35" s="118" t="s">
        <v>182</v>
      </c>
      <c r="H35" s="118">
        <v>20</v>
      </c>
    </row>
    <row r="36" spans="1:8" x14ac:dyDescent="0.3">
      <c r="C36" s="124">
        <f>+C34/C35</f>
        <v>4</v>
      </c>
      <c r="D36" s="124"/>
      <c r="E36" s="124">
        <f>+E34/E35</f>
        <v>5.4</v>
      </c>
      <c r="F36" s="118">
        <v>20</v>
      </c>
      <c r="G36" s="54">
        <v>20</v>
      </c>
    </row>
    <row r="37" spans="1:8" x14ac:dyDescent="0.3">
      <c r="C37" s="124">
        <f>+E34/C35</f>
        <v>5.4</v>
      </c>
      <c r="D37" s="124"/>
      <c r="E37" s="124">
        <f>+C34/E35</f>
        <v>4</v>
      </c>
      <c r="F37" s="54">
        <v>20</v>
      </c>
    </row>
    <row r="39" spans="1:8" x14ac:dyDescent="0.3">
      <c r="A39" s="118" t="s">
        <v>185</v>
      </c>
      <c r="C39" s="116">
        <f>1.5+0.25+D24+0.25+E25+0.25+G24+0.25+1.5</f>
        <v>26.5</v>
      </c>
      <c r="D39" s="116" t="s">
        <v>81</v>
      </c>
      <c r="E39" s="116">
        <f>1.5+0.25+G14+0.25+H19+0.25+G24+0.25+1.5</f>
        <v>26.5</v>
      </c>
    </row>
    <row r="40" spans="1:8" ht="6" customHeight="1" x14ac:dyDescent="0.3">
      <c r="A40" s="118"/>
      <c r="C40" s="116"/>
      <c r="D40" s="116"/>
      <c r="E40" s="116"/>
    </row>
    <row r="41" spans="1:8" s="118" customFormat="1" x14ac:dyDescent="0.3">
      <c r="A41" s="118" t="s">
        <v>184</v>
      </c>
      <c r="B41" s="118" t="s">
        <v>160</v>
      </c>
      <c r="C41" s="119">
        <v>100</v>
      </c>
      <c r="D41" s="119" t="s">
        <v>81</v>
      </c>
      <c r="E41" s="119">
        <v>135</v>
      </c>
      <c r="F41" s="122">
        <v>35</v>
      </c>
      <c r="H41" s="123">
        <f>+F41*H42</f>
        <v>1050</v>
      </c>
    </row>
    <row r="42" spans="1:8" x14ac:dyDescent="0.3">
      <c r="C42" s="116">
        <f>2+C39+2</f>
        <v>30.5</v>
      </c>
      <c r="D42" s="116" t="s">
        <v>81</v>
      </c>
      <c r="E42" s="116">
        <f>2+E39+2</f>
        <v>30.5</v>
      </c>
      <c r="G42" s="118" t="s">
        <v>182</v>
      </c>
      <c r="H42" s="118">
        <v>30</v>
      </c>
    </row>
    <row r="43" spans="1:8" x14ac:dyDescent="0.3">
      <c r="C43" s="124">
        <f>+C41/C42</f>
        <v>3.278688524590164</v>
      </c>
      <c r="D43" s="124"/>
      <c r="E43" s="124">
        <f>+E41/E42</f>
        <v>4.4262295081967213</v>
      </c>
      <c r="F43" s="118">
        <v>12</v>
      </c>
      <c r="G43" s="54">
        <f>+((B7+D7)/F43)</f>
        <v>30</v>
      </c>
    </row>
    <row r="44" spans="1:8" x14ac:dyDescent="0.3">
      <c r="C44" s="124">
        <f>+E41/C42</f>
        <v>4.4262295081967213</v>
      </c>
      <c r="D44" s="124"/>
      <c r="E44" s="124">
        <f>+C41/E42</f>
        <v>3.278688524590164</v>
      </c>
      <c r="F44" s="54">
        <v>12</v>
      </c>
    </row>
    <row r="56" spans="1:8" ht="20.25" x14ac:dyDescent="0.3">
      <c r="A56" s="117" t="s">
        <v>122</v>
      </c>
      <c r="C56" s="119" t="s">
        <v>186</v>
      </c>
      <c r="D56" s="119" t="s">
        <v>176</v>
      </c>
      <c r="E56" s="119" t="s">
        <v>187</v>
      </c>
      <c r="F56" s="119" t="s">
        <v>178</v>
      </c>
    </row>
    <row r="57" spans="1:8" x14ac:dyDescent="0.3">
      <c r="A57" s="118" t="s">
        <v>188</v>
      </c>
      <c r="C57" s="116">
        <v>7</v>
      </c>
      <c r="D57" s="116">
        <v>8.5</v>
      </c>
      <c r="E57" s="116">
        <v>7</v>
      </c>
      <c r="F57" s="116">
        <v>8.5</v>
      </c>
    </row>
    <row r="58" spans="1:8" x14ac:dyDescent="0.3">
      <c r="A58" s="118"/>
    </row>
    <row r="60" spans="1:8" x14ac:dyDescent="0.3">
      <c r="D60" s="116">
        <f>+C57</f>
        <v>7</v>
      </c>
      <c r="E60" s="116">
        <f>+D57</f>
        <v>8.5</v>
      </c>
      <c r="F60" s="54">
        <f>+E57</f>
        <v>7</v>
      </c>
    </row>
    <row r="61" spans="1:8" x14ac:dyDescent="0.3">
      <c r="A61" s="121" t="s">
        <v>179</v>
      </c>
      <c r="B61" s="121">
        <f>+D60+E60+F60</f>
        <v>22.5</v>
      </c>
      <c r="G61" s="120"/>
      <c r="H61" s="120"/>
    </row>
    <row r="62" spans="1:8" x14ac:dyDescent="0.3">
      <c r="G62" s="120"/>
      <c r="H62" s="120"/>
    </row>
    <row r="63" spans="1:8" x14ac:dyDescent="0.3">
      <c r="G63" s="120"/>
      <c r="H63" s="120"/>
    </row>
    <row r="64" spans="1:8" x14ac:dyDescent="0.3">
      <c r="G64" s="125">
        <f>+F57</f>
        <v>8.5</v>
      </c>
      <c r="H64" s="120"/>
    </row>
    <row r="65" spans="1:9" x14ac:dyDescent="0.3">
      <c r="C65" s="120"/>
      <c r="G65" s="120"/>
      <c r="H65" s="120"/>
    </row>
    <row r="66" spans="1:9" x14ac:dyDescent="0.3">
      <c r="G66" s="120"/>
      <c r="H66" s="120"/>
    </row>
    <row r="67" spans="1:9" x14ac:dyDescent="0.3">
      <c r="G67" s="120"/>
      <c r="H67" s="120"/>
    </row>
    <row r="68" spans="1:9" x14ac:dyDescent="0.3">
      <c r="G68" s="120"/>
      <c r="H68" s="120"/>
    </row>
    <row r="69" spans="1:9" x14ac:dyDescent="0.3">
      <c r="G69" s="120"/>
      <c r="H69" s="120"/>
    </row>
    <row r="70" spans="1:9" x14ac:dyDescent="0.3">
      <c r="H70" s="118">
        <f>+G64+0</f>
        <v>8.5</v>
      </c>
      <c r="I70" s="121" t="s">
        <v>180</v>
      </c>
    </row>
    <row r="73" spans="1:9" s="118" customFormat="1" x14ac:dyDescent="0.3">
      <c r="A73" s="118" t="s">
        <v>189</v>
      </c>
      <c r="B73" s="118" t="s">
        <v>141</v>
      </c>
      <c r="C73" s="119">
        <v>90</v>
      </c>
      <c r="D73" s="119" t="s">
        <v>81</v>
      </c>
      <c r="E73" s="119">
        <v>130</v>
      </c>
      <c r="F73" s="122">
        <v>38.161999999999999</v>
      </c>
      <c r="H73" s="123">
        <f>+F73*H74</f>
        <v>228.97199999999998</v>
      </c>
    </row>
    <row r="74" spans="1:9" x14ac:dyDescent="0.3">
      <c r="C74" s="116">
        <f>+B61</f>
        <v>22.5</v>
      </c>
      <c r="D74" s="116" t="s">
        <v>81</v>
      </c>
      <c r="E74" s="116">
        <f>+H70</f>
        <v>8.5</v>
      </c>
      <c r="G74" s="118" t="s">
        <v>182</v>
      </c>
      <c r="H74" s="118">
        <v>6</v>
      </c>
    </row>
    <row r="75" spans="1:9" x14ac:dyDescent="0.3">
      <c r="C75" s="124">
        <f>+C73/C74</f>
        <v>4</v>
      </c>
      <c r="D75" s="124"/>
      <c r="E75" s="124">
        <f>+E73/E74</f>
        <v>15.294117647058824</v>
      </c>
      <c r="F75" s="118">
        <v>60</v>
      </c>
      <c r="G75" s="54">
        <f>+((B7+D7)/F75)</f>
        <v>6</v>
      </c>
    </row>
    <row r="76" spans="1:9" x14ac:dyDescent="0.3">
      <c r="C76" s="124">
        <f>+E73/C74</f>
        <v>5.7777777777777777</v>
      </c>
      <c r="D76" s="124"/>
      <c r="E76" s="124">
        <f>+C73/E74</f>
        <v>10.588235294117647</v>
      </c>
      <c r="F76" s="54">
        <v>50</v>
      </c>
    </row>
    <row r="77" spans="1:9" x14ac:dyDescent="0.3">
      <c r="C77" s="116"/>
      <c r="D77" s="116"/>
      <c r="E77" s="116"/>
    </row>
    <row r="78" spans="1:9" x14ac:dyDescent="0.3">
      <c r="A78" s="118" t="s">
        <v>190</v>
      </c>
      <c r="C78" s="116">
        <f>0.25+D60+E60+0.25+F60</f>
        <v>23</v>
      </c>
      <c r="D78" s="116" t="s">
        <v>81</v>
      </c>
      <c r="E78" s="116">
        <f>+G64</f>
        <v>8.5</v>
      </c>
    </row>
    <row r="79" spans="1:9" ht="6" customHeight="1" x14ac:dyDescent="0.3">
      <c r="A79" s="118"/>
      <c r="C79" s="116"/>
      <c r="D79" s="116"/>
      <c r="E79" s="116"/>
    </row>
    <row r="80" spans="1:9" s="118" customFormat="1" x14ac:dyDescent="0.3">
      <c r="A80" s="118" t="s">
        <v>184</v>
      </c>
      <c r="B80" s="118" t="s">
        <v>160</v>
      </c>
      <c r="C80" s="119">
        <v>100</v>
      </c>
      <c r="D80" s="119" t="s">
        <v>81</v>
      </c>
      <c r="E80" s="119">
        <v>135</v>
      </c>
      <c r="F80" s="122">
        <v>35</v>
      </c>
      <c r="H80" s="123">
        <f>+F80*H81</f>
        <v>280</v>
      </c>
    </row>
    <row r="81" spans="1:8" x14ac:dyDescent="0.3">
      <c r="C81" s="116">
        <f>1+C78+1</f>
        <v>25</v>
      </c>
      <c r="D81" s="116" t="s">
        <v>81</v>
      </c>
      <c r="E81" s="116">
        <f>1+E78+1</f>
        <v>10.5</v>
      </c>
      <c r="G81" s="118" t="s">
        <v>182</v>
      </c>
      <c r="H81" s="118">
        <v>8</v>
      </c>
    </row>
    <row r="82" spans="1:8" x14ac:dyDescent="0.3">
      <c r="C82" s="124">
        <f>+C80/C81</f>
        <v>4</v>
      </c>
      <c r="D82" s="124"/>
      <c r="E82" s="124">
        <f>+E80/E81</f>
        <v>12.857142857142858</v>
      </c>
      <c r="F82" s="54">
        <v>48</v>
      </c>
      <c r="G82" s="54">
        <f>+((B7+D7)/F82)</f>
        <v>7.5</v>
      </c>
    </row>
    <row r="83" spans="1:8" x14ac:dyDescent="0.3">
      <c r="C83" s="124">
        <f>+E80/C81</f>
        <v>5.4</v>
      </c>
      <c r="D83" s="124"/>
      <c r="E83" s="124">
        <f>+C80/E81</f>
        <v>9.5238095238095237</v>
      </c>
      <c r="F83" s="118">
        <v>45</v>
      </c>
    </row>
    <row r="85" spans="1:8" x14ac:dyDescent="0.3">
      <c r="A85" s="118" t="s">
        <v>191</v>
      </c>
      <c r="C85" s="116">
        <f>1.5+0.25+D60+0.25+E60+0.25+F60+0.25+1.5</f>
        <v>26.5</v>
      </c>
      <c r="D85" s="116" t="s">
        <v>81</v>
      </c>
      <c r="E85" s="116">
        <f>1.5+0.25+G64+0.25+1.5</f>
        <v>12</v>
      </c>
    </row>
    <row r="86" spans="1:8" ht="6" customHeight="1" x14ac:dyDescent="0.3">
      <c r="A86" s="118"/>
      <c r="C86" s="116"/>
      <c r="D86" s="116"/>
      <c r="E86" s="116"/>
    </row>
    <row r="87" spans="1:8" s="118" customFormat="1" x14ac:dyDescent="0.3">
      <c r="A87" s="118" t="s">
        <v>184</v>
      </c>
      <c r="B87" s="118" t="s">
        <v>160</v>
      </c>
      <c r="C87" s="119">
        <v>100</v>
      </c>
      <c r="D87" s="119" t="s">
        <v>81</v>
      </c>
      <c r="E87" s="119">
        <v>135</v>
      </c>
      <c r="F87" s="122">
        <v>35</v>
      </c>
      <c r="H87" s="123">
        <f>+F87*H88</f>
        <v>525</v>
      </c>
    </row>
    <row r="88" spans="1:8" x14ac:dyDescent="0.3">
      <c r="C88" s="116">
        <f>2+C85+2</f>
        <v>30.5</v>
      </c>
      <c r="D88" s="116" t="s">
        <v>81</v>
      </c>
      <c r="E88" s="116">
        <f>2+E85+2</f>
        <v>16</v>
      </c>
      <c r="G88" s="118" t="s">
        <v>182</v>
      </c>
      <c r="H88" s="118">
        <v>15</v>
      </c>
    </row>
    <row r="89" spans="1:8" x14ac:dyDescent="0.3">
      <c r="C89" s="124">
        <f>+C87/C88</f>
        <v>3.278688524590164</v>
      </c>
      <c r="D89" s="124"/>
      <c r="E89" s="124">
        <f>+E87/E88</f>
        <v>8.4375</v>
      </c>
      <c r="F89" s="118">
        <v>24</v>
      </c>
    </row>
    <row r="90" spans="1:8" x14ac:dyDescent="0.3">
      <c r="C90" s="124">
        <f>+E87/C88</f>
        <v>4.4262295081967213</v>
      </c>
      <c r="D90" s="124"/>
      <c r="E90" s="124">
        <f>+C87/E88</f>
        <v>6.25</v>
      </c>
      <c r="F90" s="54">
        <v>24</v>
      </c>
      <c r="G90" s="54">
        <f>+((B7+D7)/F90)</f>
        <v>15</v>
      </c>
    </row>
  </sheetData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5"/>
  <sheetViews>
    <sheetView topLeftCell="A57" zoomScale="80" zoomScaleNormal="80" workbookViewId="0">
      <selection activeCell="A58" sqref="A5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5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s="5" customFormat="1" ht="15" x14ac:dyDescent="0.25">
      <c r="A9" s="5" t="s">
        <v>6</v>
      </c>
      <c r="C9" s="5" t="s">
        <v>164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6.5" thickBot="1" x14ac:dyDescent="0.35">
      <c r="A11" s="5" t="s">
        <v>8</v>
      </c>
      <c r="C11" s="1" t="s">
        <v>134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5.75" x14ac:dyDescent="0.3">
      <c r="A15" s="5" t="s">
        <v>10</v>
      </c>
      <c r="C15" s="18" t="s">
        <v>92</v>
      </c>
      <c r="D15" s="17"/>
      <c r="E15" s="17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15.75" x14ac:dyDescent="0.3">
      <c r="C16" s="16" t="s">
        <v>150</v>
      </c>
      <c r="D16" s="17"/>
      <c r="E16" s="17"/>
      <c r="F16" s="45">
        <v>22.5</v>
      </c>
      <c r="G16" s="73" t="s">
        <v>81</v>
      </c>
      <c r="H16" s="74">
        <v>22.5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5.75" x14ac:dyDescent="0.3">
      <c r="C17" s="16"/>
      <c r="D17" s="17"/>
      <c r="E17" s="17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5.75" x14ac:dyDescent="0.3">
      <c r="C18" s="16"/>
      <c r="D18" s="17"/>
      <c r="E18" s="17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5.75" x14ac:dyDescent="0.3">
      <c r="C19" s="19"/>
      <c r="D19" s="17"/>
      <c r="E19" s="17"/>
      <c r="F19" s="45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ht="15.75" x14ac:dyDescent="0.3">
      <c r="C20" s="17"/>
      <c r="D20" s="17"/>
      <c r="E20" s="17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5.75" x14ac:dyDescent="0.3">
      <c r="A23" s="4" t="s">
        <v>12</v>
      </c>
      <c r="C23" s="20" t="s">
        <v>107</v>
      </c>
      <c r="D23" s="5" t="s">
        <v>13</v>
      </c>
      <c r="E23" s="21" t="s">
        <v>94</v>
      </c>
      <c r="F23" s="1" t="s">
        <v>141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.75" x14ac:dyDescent="0.3">
      <c r="A25" s="4" t="s">
        <v>14</v>
      </c>
      <c r="C25" s="22">
        <v>90</v>
      </c>
      <c r="D25" s="21" t="s">
        <v>15</v>
      </c>
      <c r="E25" s="23">
        <v>130</v>
      </c>
      <c r="F25" s="24">
        <f>+C25</f>
        <v>90</v>
      </c>
      <c r="G25" s="25" t="s">
        <v>15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15.75" x14ac:dyDescent="0.3">
      <c r="A26" s="4" t="s">
        <v>16</v>
      </c>
      <c r="B26" s="3"/>
      <c r="C26" s="26">
        <f>+F16</f>
        <v>22.5</v>
      </c>
      <c r="D26" s="27" t="s">
        <v>15</v>
      </c>
      <c r="E26" s="26">
        <f>+H16</f>
        <v>22.5</v>
      </c>
      <c r="F26" s="28">
        <f>+E26</f>
        <v>22.5</v>
      </c>
      <c r="G26" s="28" t="s">
        <v>15</v>
      </c>
      <c r="H26" s="28">
        <f>+C26</f>
        <v>22.5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6.5" thickBot="1" x14ac:dyDescent="0.35">
      <c r="A27" s="3" t="s">
        <v>17</v>
      </c>
      <c r="B27" s="30"/>
      <c r="C27" s="31">
        <f>+C25/C26</f>
        <v>4</v>
      </c>
      <c r="D27" s="32"/>
      <c r="E27" s="31">
        <f>+E25/E26</f>
        <v>5.7777777777777777</v>
      </c>
      <c r="F27" s="31">
        <f>+F25/F26</f>
        <v>4</v>
      </c>
      <c r="G27" s="32"/>
      <c r="H27" s="31">
        <f>+H25/H26</f>
        <v>5.7777777777777777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6.5" thickBot="1" x14ac:dyDescent="0.35">
      <c r="A28" s="3" t="s">
        <v>18</v>
      </c>
      <c r="B28" s="33"/>
      <c r="C28" s="34"/>
      <c r="D28" s="35">
        <v>20</v>
      </c>
      <c r="E28" s="36"/>
      <c r="F28" s="37"/>
      <c r="G28" s="38">
        <v>20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5.75" x14ac:dyDescent="0.3">
      <c r="A30" s="24" t="s">
        <v>20</v>
      </c>
      <c r="B30" s="24" t="s">
        <v>88</v>
      </c>
      <c r="D30" s="40" t="s">
        <v>21</v>
      </c>
      <c r="E30" s="41">
        <f>+Desarrollo!F27</f>
        <v>38.619999999999997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15.75" x14ac:dyDescent="0.3">
      <c r="D32" s="43" t="s">
        <v>24</v>
      </c>
      <c r="E32" s="44">
        <f>+E30-E31</f>
        <v>38.619999999999997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ht="15.75" x14ac:dyDescent="0.3">
      <c r="D34" s="40" t="s">
        <v>28</v>
      </c>
      <c r="E34" s="46">
        <f>+E32</f>
        <v>38.619999999999997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ht="15.75" x14ac:dyDescent="0.3">
      <c r="D35" s="40" t="s">
        <v>29</v>
      </c>
      <c r="E35" s="46">
        <f>+E34*1.1</f>
        <v>42.481999999999999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ht="16.5" thickBot="1" x14ac:dyDescent="0.35">
      <c r="A38" s="4" t="s">
        <v>33</v>
      </c>
      <c r="C38" s="47">
        <v>20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ht="15.75" x14ac:dyDescent="0.3">
      <c r="A40" s="4" t="s">
        <v>37</v>
      </c>
      <c r="B40" s="5"/>
      <c r="C40" s="49">
        <f>+B48/F17</f>
        <v>300</v>
      </c>
      <c r="D40" s="23">
        <v>60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ht="15.75" x14ac:dyDescent="0.3">
      <c r="A41" s="4" t="s">
        <v>39</v>
      </c>
      <c r="C41" s="33">
        <f>+C40+D40</f>
        <v>360</v>
      </c>
      <c r="F41" s="43" t="s">
        <v>40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ht="15.75" x14ac:dyDescent="0.3">
      <c r="A42" s="4" t="s">
        <v>41</v>
      </c>
      <c r="C42" s="33">
        <f>+C41/C38</f>
        <v>18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ht="15.75" x14ac:dyDescent="0.3">
      <c r="A43" s="4"/>
      <c r="C43" s="20"/>
      <c r="F43" s="40" t="s">
        <v>43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ht="15.75" x14ac:dyDescent="0.3">
      <c r="A44" s="4"/>
      <c r="C44" s="50"/>
      <c r="F44" s="43" t="s">
        <v>44</v>
      </c>
      <c r="G44" s="47">
        <f>+C41</f>
        <v>360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ht="15.75" x14ac:dyDescent="0.3">
      <c r="A46" s="4" t="s">
        <v>45</v>
      </c>
      <c r="C46" s="24">
        <f>+C42*C38</f>
        <v>360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ht="15.75" x14ac:dyDescent="0.3">
      <c r="A48" s="4" t="s">
        <v>76</v>
      </c>
      <c r="B48" s="20">
        <v>300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ht="15.75" x14ac:dyDescent="0.3">
      <c r="A49" s="51" t="s">
        <v>51</v>
      </c>
      <c r="B49" s="52"/>
      <c r="C49" s="3"/>
      <c r="D49" s="20">
        <v>1</v>
      </c>
      <c r="E49" s="20">
        <v>0</v>
      </c>
      <c r="F49" s="20" t="s">
        <v>89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ht="15.75" x14ac:dyDescent="0.3">
      <c r="A50" s="52" t="s">
        <v>53</v>
      </c>
      <c r="B50" s="53">
        <f>+E34*C42</f>
        <v>695.16</v>
      </c>
      <c r="C50" s="3"/>
      <c r="D50" s="20">
        <v>0</v>
      </c>
      <c r="E50" s="20">
        <v>0</v>
      </c>
      <c r="F50" s="20" t="s">
        <v>90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ht="15.75" x14ac:dyDescent="0.3">
      <c r="A51" s="52" t="s">
        <v>11</v>
      </c>
      <c r="B51" s="53">
        <f>+H61</f>
        <v>200</v>
      </c>
      <c r="C51" s="3"/>
      <c r="D51" s="20">
        <v>0</v>
      </c>
      <c r="E51" s="20">
        <v>0</v>
      </c>
      <c r="F51" s="20" t="s">
        <v>83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ht="15.75" x14ac:dyDescent="0.3">
      <c r="A52" s="52"/>
      <c r="B52" s="53"/>
      <c r="C52" s="3"/>
      <c r="D52" s="20">
        <v>1</v>
      </c>
      <c r="E52" s="20">
        <v>1</v>
      </c>
      <c r="F52" s="20" t="s">
        <v>100</v>
      </c>
      <c r="G52" s="29">
        <v>200</v>
      </c>
      <c r="H52" s="29">
        <f t="shared" ref="H52:H59" si="0">+G52*E52</f>
        <v>200</v>
      </c>
      <c r="I52" s="29">
        <f>+(B72/100)*2</f>
        <v>20.893519999999999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ht="16.5" x14ac:dyDescent="0.3">
      <c r="A53" s="52" t="s">
        <v>25</v>
      </c>
      <c r="B53" s="53">
        <v>0</v>
      </c>
      <c r="C53" s="3"/>
      <c r="D53" s="20">
        <v>1</v>
      </c>
      <c r="E53" s="20">
        <v>0</v>
      </c>
      <c r="F53" s="20" t="s">
        <v>78</v>
      </c>
      <c r="G53" s="29">
        <v>120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5.75" x14ac:dyDescent="0.3">
      <c r="A54" s="55" t="s">
        <v>84</v>
      </c>
      <c r="B54" s="53">
        <v>0</v>
      </c>
      <c r="C54" s="3"/>
      <c r="D54" s="20">
        <v>1</v>
      </c>
      <c r="E54" s="20">
        <v>0</v>
      </c>
      <c r="F54" s="20" t="s">
        <v>79</v>
      </c>
      <c r="G54" s="29">
        <v>120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ht="15.75" x14ac:dyDescent="0.3">
      <c r="A55" s="55" t="s">
        <v>85</v>
      </c>
      <c r="B55" s="53">
        <v>0</v>
      </c>
      <c r="D55" s="20">
        <v>0</v>
      </c>
      <c r="E55" s="20">
        <v>0</v>
      </c>
      <c r="F55" s="20" t="s">
        <v>30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ht="15.75" x14ac:dyDescent="0.3">
      <c r="A56" s="55" t="s">
        <v>86</v>
      </c>
      <c r="B56" s="53">
        <v>0</v>
      </c>
      <c r="D56" s="20">
        <v>1</v>
      </c>
      <c r="E56" s="20">
        <v>0</v>
      </c>
      <c r="F56" s="20" t="s">
        <v>54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.75" x14ac:dyDescent="0.3">
      <c r="A58" s="51" t="s">
        <v>56</v>
      </c>
      <c r="B58" s="56">
        <f>SUM(B50:B57)</f>
        <v>895.16</v>
      </c>
      <c r="C58" s="3"/>
      <c r="D58" s="20">
        <v>0</v>
      </c>
      <c r="E58" s="20">
        <v>0</v>
      </c>
      <c r="F58" s="3" t="s">
        <v>57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ht="15.75" x14ac:dyDescent="0.3">
      <c r="A60" s="9"/>
      <c r="B60" s="31">
        <f>+B58/B48</f>
        <v>2.9838666666666667</v>
      </c>
      <c r="C60" s="4" t="s">
        <v>59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ht="15.75" x14ac:dyDescent="0.3">
      <c r="A61" s="3"/>
      <c r="B61" s="3"/>
      <c r="D61" s="3"/>
      <c r="E61" s="3"/>
      <c r="F61" s="3"/>
      <c r="G61" s="60" t="s">
        <v>60</v>
      </c>
      <c r="H61" s="29">
        <f>SUM(H49:H60)</f>
        <v>200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ht="15.75" x14ac:dyDescent="0.3">
      <c r="D62" s="3"/>
      <c r="E62" s="3"/>
      <c r="G62" s="5" t="s">
        <v>61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ht="15.75" x14ac:dyDescent="0.3">
      <c r="A63" s="4" t="s">
        <v>63</v>
      </c>
      <c r="B63" s="3"/>
      <c r="C63" s="3"/>
      <c r="E63" s="31">
        <f>+B72/C40</f>
        <v>3.482253333333333</v>
      </c>
      <c r="G63" s="1" t="s">
        <v>64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ht="15.75" x14ac:dyDescent="0.3">
      <c r="A64" s="3"/>
      <c r="B64" s="4" t="s">
        <v>66</v>
      </c>
      <c r="C64" s="24" t="s">
        <v>67</v>
      </c>
      <c r="D64" s="3"/>
      <c r="E64" s="3"/>
      <c r="F64" s="3"/>
      <c r="G64" s="1" t="s">
        <v>64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ht="15.75" x14ac:dyDescent="0.3">
      <c r="A65" s="51" t="s">
        <v>69</v>
      </c>
      <c r="B65" s="52"/>
      <c r="C65" s="3"/>
      <c r="D65" s="3">
        <f>+B72*C68</f>
        <v>0</v>
      </c>
      <c r="E65" s="3"/>
      <c r="F65" s="3"/>
      <c r="G65" s="5" t="s">
        <v>80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ht="15.75" x14ac:dyDescent="0.3">
      <c r="A66" s="52" t="s">
        <v>53</v>
      </c>
      <c r="B66" s="53">
        <f>+E35*C42</f>
        <v>764.67599999999993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ht="15.75" x14ac:dyDescent="0.3">
      <c r="A67" s="52" t="s">
        <v>11</v>
      </c>
      <c r="B67" s="53">
        <f>+H61*H62</f>
        <v>280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ht="15.75" x14ac:dyDescent="0.3">
      <c r="A68" s="52" t="str">
        <f>+A54</f>
        <v>Placas</v>
      </c>
      <c r="B68" s="53">
        <f>+B54*H63</f>
        <v>0</v>
      </c>
      <c r="C68" s="62"/>
      <c r="G68" s="63" t="s">
        <v>71</v>
      </c>
      <c r="H68" s="31">
        <f>+B60</f>
        <v>2.9838666666666667</v>
      </c>
      <c r="I68" s="64">
        <f>+H68*B48</f>
        <v>895.16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ht="15.75" x14ac:dyDescent="0.3">
      <c r="A69" s="52" t="str">
        <f>+A55</f>
        <v>Mensajeria</v>
      </c>
      <c r="B69" s="53">
        <f>+B55*H62</f>
        <v>0</v>
      </c>
      <c r="C69" s="62"/>
      <c r="G69" s="63" t="s">
        <v>73</v>
      </c>
      <c r="H69" s="31">
        <f>+C72</f>
        <v>3.482253333333333</v>
      </c>
      <c r="I69" s="64">
        <f>+H69*B48</f>
        <v>1044.6759999999999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ht="16.5" thickBot="1" x14ac:dyDescent="0.35">
      <c r="A70" s="52" t="str">
        <f>+A56</f>
        <v>Listón</v>
      </c>
      <c r="B70" s="53">
        <f>+B56*H63</f>
        <v>0</v>
      </c>
      <c r="C70" s="65"/>
      <c r="G70" s="66" t="s">
        <v>74</v>
      </c>
      <c r="H70" s="67">
        <f>+H69-H68</f>
        <v>0.49838666666666631</v>
      </c>
      <c r="I70" s="64">
        <f>+H70*B48</f>
        <v>149.51599999999991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ht="16.5" thickBot="1" x14ac:dyDescent="0.35">
      <c r="A71" s="52"/>
      <c r="B71" s="53"/>
      <c r="C71" s="65"/>
      <c r="G71" s="68" t="s">
        <v>75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ht="15.75" x14ac:dyDescent="0.3">
      <c r="A72" s="51" t="s">
        <v>56</v>
      </c>
      <c r="B72" s="56">
        <f>SUM(B65:B71)</f>
        <v>1044.6759999999999</v>
      </c>
      <c r="C72" s="67">
        <f>+B72/B48</f>
        <v>3.482253333333333</v>
      </c>
      <c r="D72" s="5" t="s">
        <v>126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5" spans="1:25" x14ac:dyDescent="0.3">
      <c r="A75" s="5"/>
    </row>
    <row r="76" spans="1:25" x14ac:dyDescent="0.3">
      <c r="B76" s="69"/>
      <c r="C76" s="70"/>
    </row>
    <row r="80" spans="1:25" x14ac:dyDescent="0.3">
      <c r="J80" s="71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5"/>
  <sheetViews>
    <sheetView zoomScale="80" zoomScaleNormal="80" workbookViewId="0">
      <selection activeCell="A9" sqref="A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7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5" customFormat="1" ht="15" x14ac:dyDescent="0.25">
      <c r="A9" s="5" t="s">
        <v>6</v>
      </c>
      <c r="C9" s="5" t="str">
        <f>+'cartón caja'!C9</f>
        <v>11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ht="15.75" x14ac:dyDescent="0.3">
      <c r="A15" s="5" t="s">
        <v>10</v>
      </c>
      <c r="C15" s="18" t="s">
        <v>122</v>
      </c>
      <c r="D15" s="17"/>
      <c r="E15" s="17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ht="15.75" x14ac:dyDescent="0.3">
      <c r="C16" s="16" t="s">
        <v>151</v>
      </c>
      <c r="D16" s="17"/>
      <c r="E16" s="17"/>
      <c r="F16" s="45">
        <v>24.5</v>
      </c>
      <c r="G16" s="73" t="s">
        <v>81</v>
      </c>
      <c r="H16" s="74">
        <v>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15.75" x14ac:dyDescent="0.3">
      <c r="C17" s="16" t="s">
        <v>93</v>
      </c>
      <c r="D17" s="17"/>
      <c r="E17" s="17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15.75" x14ac:dyDescent="0.3">
      <c r="C18" s="16"/>
      <c r="D18" s="17"/>
      <c r="E18" s="17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15.75" x14ac:dyDescent="0.3">
      <c r="C19" s="19"/>
      <c r="D19" s="17"/>
      <c r="E19" s="17"/>
      <c r="F19" s="45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15.75" x14ac:dyDescent="0.3">
      <c r="C20" s="17"/>
      <c r="D20" s="17"/>
      <c r="E20" s="17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5.75" x14ac:dyDescent="0.3">
      <c r="A23" s="4" t="s">
        <v>12</v>
      </c>
      <c r="C23" s="20" t="s">
        <v>107</v>
      </c>
      <c r="D23" s="5" t="s">
        <v>13</v>
      </c>
      <c r="E23" s="21" t="s">
        <v>94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15.75" x14ac:dyDescent="0.3">
      <c r="A25" s="4" t="s">
        <v>14</v>
      </c>
      <c r="C25" s="22">
        <v>90</v>
      </c>
      <c r="D25" s="21" t="s">
        <v>15</v>
      </c>
      <c r="E25" s="23">
        <v>130</v>
      </c>
      <c r="F25" s="24">
        <f>+C25</f>
        <v>90</v>
      </c>
      <c r="G25" s="25" t="s">
        <v>15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15.75" x14ac:dyDescent="0.3">
      <c r="A26" s="4" t="s">
        <v>16</v>
      </c>
      <c r="B26" s="3"/>
      <c r="C26" s="26">
        <f>+F16</f>
        <v>24.5</v>
      </c>
      <c r="D26" s="27" t="s">
        <v>15</v>
      </c>
      <c r="E26" s="26">
        <f>+H16</f>
        <v>9</v>
      </c>
      <c r="F26" s="28">
        <f>+E26</f>
        <v>9</v>
      </c>
      <c r="G26" s="28" t="s">
        <v>15</v>
      </c>
      <c r="H26" s="28">
        <f>+C26</f>
        <v>24.5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16.5" thickBot="1" x14ac:dyDescent="0.35">
      <c r="A27" s="3" t="s">
        <v>17</v>
      </c>
      <c r="B27" s="30"/>
      <c r="C27" s="31">
        <f>+C25/C26</f>
        <v>3.6734693877551021</v>
      </c>
      <c r="D27" s="32"/>
      <c r="E27" s="31">
        <f>+E25/E26</f>
        <v>14.444444444444445</v>
      </c>
      <c r="F27" s="31">
        <f>+F25/F26</f>
        <v>10</v>
      </c>
      <c r="G27" s="32"/>
      <c r="H27" s="31">
        <f>+H25/H26</f>
        <v>5.3061224489795915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16.5" thickBot="1" x14ac:dyDescent="0.35">
      <c r="A28" s="3" t="s">
        <v>18</v>
      </c>
      <c r="B28" s="33"/>
      <c r="C28" s="34"/>
      <c r="D28" s="35">
        <v>42</v>
      </c>
      <c r="E28" s="36"/>
      <c r="F28" s="37"/>
      <c r="G28" s="38">
        <v>50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15.75" x14ac:dyDescent="0.3">
      <c r="A30" s="24" t="s">
        <v>20</v>
      </c>
      <c r="B30" s="24" t="s">
        <v>88</v>
      </c>
      <c r="D30" s="40" t="s">
        <v>21</v>
      </c>
      <c r="E30" s="41">
        <f>+'cartón caja'!E30</f>
        <v>38.619999999999997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15.75" x14ac:dyDescent="0.3">
      <c r="D32" s="43" t="s">
        <v>24</v>
      </c>
      <c r="E32" s="44">
        <f>+E30-E31</f>
        <v>38.619999999999997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ht="15.75" x14ac:dyDescent="0.3">
      <c r="D34" s="40" t="s">
        <v>28</v>
      </c>
      <c r="E34" s="46">
        <f>+E32</f>
        <v>38.619999999999997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ht="15.75" x14ac:dyDescent="0.3">
      <c r="D35" s="40" t="s">
        <v>29</v>
      </c>
      <c r="E35" s="46">
        <f>+E34*1.1</f>
        <v>42.481999999999999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ht="16.5" thickBot="1" x14ac:dyDescent="0.35">
      <c r="A38" s="4" t="s">
        <v>33</v>
      </c>
      <c r="C38" s="47">
        <v>50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ht="15.75" x14ac:dyDescent="0.3">
      <c r="A40" s="4" t="s">
        <v>37</v>
      </c>
      <c r="B40" s="5"/>
      <c r="C40" s="49">
        <f>+B48/F17</f>
        <v>300</v>
      </c>
      <c r="D40" s="23">
        <f>+'cartón caja'!D40</f>
        <v>60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ht="15.75" x14ac:dyDescent="0.3">
      <c r="A41" s="4" t="s">
        <v>39</v>
      </c>
      <c r="C41" s="33">
        <f>+C40+D40</f>
        <v>360</v>
      </c>
      <c r="F41" s="43" t="s">
        <v>40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ht="15.75" x14ac:dyDescent="0.3">
      <c r="A42" s="4" t="s">
        <v>41</v>
      </c>
      <c r="C42" s="33">
        <f>+C41/C38</f>
        <v>7.2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ht="15.75" x14ac:dyDescent="0.3">
      <c r="A43" s="4"/>
      <c r="C43" s="20"/>
      <c r="F43" s="40" t="s">
        <v>43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ht="15.75" x14ac:dyDescent="0.3">
      <c r="A44" s="4"/>
      <c r="C44" s="50"/>
      <c r="F44" s="43" t="s">
        <v>44</v>
      </c>
      <c r="G44" s="47">
        <f>+C41</f>
        <v>360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ht="15.75" x14ac:dyDescent="0.3">
      <c r="A46" s="4" t="s">
        <v>45</v>
      </c>
      <c r="C46" s="24">
        <f>+C42*C38</f>
        <v>360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ht="15.75" x14ac:dyDescent="0.3">
      <c r="A48" s="4" t="s">
        <v>76</v>
      </c>
      <c r="B48" s="20">
        <f>+'cartón caja'!B48</f>
        <v>300</v>
      </c>
      <c r="C48" s="3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ht="15.75" x14ac:dyDescent="0.3">
      <c r="A49" s="51" t="s">
        <v>51</v>
      </c>
      <c r="B49" s="52"/>
      <c r="C49" s="3"/>
      <c r="D49" s="20">
        <v>1</v>
      </c>
      <c r="E49" s="20">
        <v>0</v>
      </c>
      <c r="F49" s="20" t="s">
        <v>89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ht="15.75" x14ac:dyDescent="0.3">
      <c r="A50" s="52" t="s">
        <v>53</v>
      </c>
      <c r="B50" s="53">
        <f>+E34*C42</f>
        <v>278.06399999999996</v>
      </c>
      <c r="C50" s="3"/>
      <c r="D50" s="20">
        <v>0</v>
      </c>
      <c r="E50" s="20">
        <v>0</v>
      </c>
      <c r="F50" s="20" t="s">
        <v>90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ht="15.75" x14ac:dyDescent="0.3">
      <c r="A51" s="52" t="s">
        <v>11</v>
      </c>
      <c r="B51" s="53">
        <f>+H61</f>
        <v>200</v>
      </c>
      <c r="C51" s="3"/>
      <c r="D51" s="20">
        <v>0</v>
      </c>
      <c r="E51" s="20">
        <v>0</v>
      </c>
      <c r="F51" s="20" t="s">
        <v>83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ht="15.75" x14ac:dyDescent="0.3">
      <c r="A52" s="52"/>
      <c r="B52" s="53"/>
      <c r="C52" s="3"/>
      <c r="D52" s="20">
        <v>1</v>
      </c>
      <c r="E52" s="20">
        <v>1</v>
      </c>
      <c r="F52" s="20" t="s">
        <v>100</v>
      </c>
      <c r="G52" s="29">
        <v>200</v>
      </c>
      <c r="H52" s="29">
        <f t="shared" ref="H52" si="0">+G52*E52</f>
        <v>200</v>
      </c>
      <c r="I52" s="29">
        <f>+(B72/100)*2</f>
        <v>11.717408000000001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ht="16.5" x14ac:dyDescent="0.3">
      <c r="A53" s="52" t="s">
        <v>25</v>
      </c>
      <c r="B53" s="53">
        <v>0</v>
      </c>
      <c r="C53" s="3"/>
      <c r="D53" s="20">
        <v>1</v>
      </c>
      <c r="E53" s="20">
        <v>0</v>
      </c>
      <c r="F53" s="20" t="s">
        <v>78</v>
      </c>
      <c r="G53" s="29">
        <v>130</v>
      </c>
      <c r="H53" s="29">
        <f t="shared" ref="H53:H59" si="1">+G53*E53</f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ht="15.75" x14ac:dyDescent="0.3">
      <c r="A54" s="55" t="s">
        <v>84</v>
      </c>
      <c r="B54" s="53">
        <v>0</v>
      </c>
      <c r="C54" s="3"/>
      <c r="D54" s="20">
        <v>1</v>
      </c>
      <c r="E54" s="20">
        <v>0</v>
      </c>
      <c r="F54" s="20" t="s">
        <v>79</v>
      </c>
      <c r="G54" s="29">
        <v>130</v>
      </c>
      <c r="H54" s="29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ht="15.75" x14ac:dyDescent="0.3">
      <c r="A55" s="55" t="s">
        <v>85</v>
      </c>
      <c r="B55" s="53">
        <v>0</v>
      </c>
      <c r="D55" s="20">
        <v>0</v>
      </c>
      <c r="E55" s="20">
        <v>0</v>
      </c>
      <c r="F55" s="20" t="s">
        <v>30</v>
      </c>
      <c r="G55" s="29">
        <v>1.5</v>
      </c>
      <c r="H55" s="29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ht="15.75" x14ac:dyDescent="0.3">
      <c r="A56" s="55" t="s">
        <v>86</v>
      </c>
      <c r="B56" s="53">
        <v>0</v>
      </c>
      <c r="D56" s="20">
        <v>1</v>
      </c>
      <c r="E56" s="20">
        <v>0</v>
      </c>
      <c r="F56" s="20" t="s">
        <v>54</v>
      </c>
      <c r="G56" s="29">
        <v>1.5</v>
      </c>
      <c r="H56" s="29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t="15.75" x14ac:dyDescent="0.3">
      <c r="A58" s="51" t="s">
        <v>56</v>
      </c>
      <c r="B58" s="56">
        <f>SUM(B50:B57)</f>
        <v>478.06399999999996</v>
      </c>
      <c r="C58" s="3"/>
      <c r="D58" s="20">
        <v>0</v>
      </c>
      <c r="E58" s="20">
        <v>0</v>
      </c>
      <c r="F58" s="3" t="s">
        <v>57</v>
      </c>
      <c r="G58" s="29">
        <v>600</v>
      </c>
      <c r="H58" s="29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t="15.75" x14ac:dyDescent="0.3">
      <c r="A60" s="9"/>
      <c r="B60" s="31">
        <f>+B58/B48</f>
        <v>1.5935466666666664</v>
      </c>
      <c r="C60" s="4" t="s">
        <v>59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t="15.75" x14ac:dyDescent="0.3">
      <c r="A61" s="3"/>
      <c r="B61" s="3"/>
      <c r="D61" s="3"/>
      <c r="E61" s="3"/>
      <c r="F61" s="3"/>
      <c r="G61" s="60" t="s">
        <v>60</v>
      </c>
      <c r="H61" s="29">
        <f>SUM(H49:H60)</f>
        <v>200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t="15.75" x14ac:dyDescent="0.3">
      <c r="D62" s="3"/>
      <c r="E62" s="3"/>
      <c r="G62" s="5" t="s">
        <v>61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t="15.75" x14ac:dyDescent="0.3">
      <c r="A63" s="4" t="s">
        <v>63</v>
      </c>
      <c r="B63" s="3"/>
      <c r="C63" s="3"/>
      <c r="E63" s="31">
        <f>+B72/C40</f>
        <v>1.9529013333333334</v>
      </c>
      <c r="G63" s="1" t="s">
        <v>64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t="15.75" x14ac:dyDescent="0.3">
      <c r="A64" s="3"/>
      <c r="B64" s="4" t="s">
        <v>66</v>
      </c>
      <c r="C64" s="24" t="s">
        <v>67</v>
      </c>
      <c r="D64" s="3"/>
      <c r="E64" s="3"/>
      <c r="F64" s="3"/>
      <c r="G64" s="1" t="s">
        <v>64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t="15.75" x14ac:dyDescent="0.3">
      <c r="A65" s="51" t="s">
        <v>69</v>
      </c>
      <c r="B65" s="52"/>
      <c r="C65" s="3"/>
      <c r="D65" s="3">
        <f>+B72*C68</f>
        <v>0</v>
      </c>
      <c r="E65" s="3"/>
      <c r="F65" s="3"/>
      <c r="G65" s="5" t="s">
        <v>80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t="15.75" x14ac:dyDescent="0.3">
      <c r="A66" s="52" t="s">
        <v>53</v>
      </c>
      <c r="B66" s="53">
        <f>+E35*C42</f>
        <v>305.87040000000002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t="15.75" x14ac:dyDescent="0.3">
      <c r="A67" s="52" t="s">
        <v>11</v>
      </c>
      <c r="B67" s="53">
        <f>+H61*H62</f>
        <v>280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t="15.75" x14ac:dyDescent="0.3">
      <c r="A68" s="52" t="str">
        <f>+A54</f>
        <v>Placas</v>
      </c>
      <c r="B68" s="53">
        <f>+B54*H63</f>
        <v>0</v>
      </c>
      <c r="C68" s="62"/>
      <c r="G68" s="63" t="s">
        <v>71</v>
      </c>
      <c r="H68" s="31">
        <f>+B60</f>
        <v>1.5935466666666664</v>
      </c>
      <c r="I68" s="64">
        <f>+H68*C46</f>
        <v>573.67679999999996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t="15.75" x14ac:dyDescent="0.3">
      <c r="A69" s="52" t="str">
        <f>+A55</f>
        <v>Mensajeria</v>
      </c>
      <c r="B69" s="53">
        <f>+B55*H62</f>
        <v>0</v>
      </c>
      <c r="C69" s="62"/>
      <c r="G69" s="63" t="s">
        <v>73</v>
      </c>
      <c r="H69" s="31">
        <f>+C72</f>
        <v>1.9529013333333334</v>
      </c>
      <c r="I69" s="64">
        <f>+H69*C46</f>
        <v>703.04448000000002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t="16.5" thickBot="1" x14ac:dyDescent="0.35">
      <c r="A70" s="52" t="str">
        <f>+A56</f>
        <v>Listón</v>
      </c>
      <c r="B70" s="53">
        <f>+B56*H63</f>
        <v>0</v>
      </c>
      <c r="C70" s="65"/>
      <c r="G70" s="66" t="s">
        <v>74</v>
      </c>
      <c r="H70" s="67">
        <f>+H69-H68</f>
        <v>0.35935466666666693</v>
      </c>
      <c r="I70" s="64">
        <f>+H70*C46</f>
        <v>129.36768000000009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t="16.5" thickBot="1" x14ac:dyDescent="0.35">
      <c r="A71" s="52"/>
      <c r="B71" s="53"/>
      <c r="C71" s="65"/>
      <c r="G71" s="68" t="s">
        <v>75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t="15.75" x14ac:dyDescent="0.3">
      <c r="A72" s="51" t="s">
        <v>56</v>
      </c>
      <c r="B72" s="56">
        <f>SUM(B65:B71)</f>
        <v>585.87040000000002</v>
      </c>
      <c r="C72" s="67">
        <f>+B72/B48</f>
        <v>1.9529013333333334</v>
      </c>
      <c r="D72" s="5" t="s">
        <v>127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5" spans="1:27" x14ac:dyDescent="0.3">
      <c r="A75" s="5"/>
    </row>
    <row r="76" spans="1:27" x14ac:dyDescent="0.3">
      <c r="B76" s="69"/>
      <c r="C76" s="70"/>
    </row>
    <row r="80" spans="1:27" x14ac:dyDescent="0.3">
      <c r="J80" s="71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zoomScale="80" zoomScaleNormal="80" workbookViewId="0">
      <selection activeCell="A20" sqref="A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/>
    </row>
    <row r="2" spans="1:21" ht="15.75" x14ac:dyDescent="0.3">
      <c r="J2"/>
      <c r="K2"/>
      <c r="L2"/>
      <c r="M2"/>
      <c r="N2"/>
      <c r="O2"/>
      <c r="P2"/>
      <c r="Q2"/>
      <c r="R2"/>
      <c r="S2"/>
      <c r="T2"/>
    </row>
    <row r="3" spans="1:21" ht="15.75" x14ac:dyDescent="0.3">
      <c r="J3"/>
      <c r="K3"/>
      <c r="L3"/>
      <c r="M3"/>
      <c r="N3"/>
      <c r="O3"/>
      <c r="P3"/>
      <c r="Q3"/>
      <c r="R3"/>
      <c r="S3"/>
      <c r="T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  <c r="T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  <c r="T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</row>
    <row r="7" spans="1:21" ht="15.75" x14ac:dyDescent="0.3">
      <c r="J7"/>
      <c r="K7"/>
      <c r="L7"/>
      <c r="M7"/>
      <c r="N7"/>
      <c r="O7"/>
      <c r="P7"/>
      <c r="Q7"/>
      <c r="R7"/>
      <c r="S7"/>
      <c r="T7"/>
    </row>
    <row r="8" spans="1:21" ht="15.75" x14ac:dyDescent="0.3">
      <c r="J8"/>
      <c r="K8"/>
      <c r="L8"/>
      <c r="M8"/>
      <c r="N8"/>
      <c r="O8"/>
      <c r="P8"/>
      <c r="Q8"/>
      <c r="R8"/>
      <c r="S8"/>
      <c r="T8"/>
    </row>
    <row r="9" spans="1:21" s="5" customFormat="1" ht="15.75" x14ac:dyDescent="0.3">
      <c r="A9" s="5" t="s">
        <v>6</v>
      </c>
      <c r="C9" s="5" t="str">
        <f>+'cartón caja'!C9</f>
        <v>11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  <c r="T10"/>
    </row>
    <row r="11" spans="1:21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</row>
    <row r="15" spans="1:21" ht="15.75" x14ac:dyDescent="0.3">
      <c r="A15" s="5" t="s">
        <v>10</v>
      </c>
      <c r="C15" s="18" t="s">
        <v>152</v>
      </c>
      <c r="D15" s="17"/>
      <c r="E15" s="17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</row>
    <row r="16" spans="1:21" ht="15.75" x14ac:dyDescent="0.3">
      <c r="C16" s="16" t="s">
        <v>153</v>
      </c>
      <c r="D16" s="17"/>
      <c r="E16" s="17"/>
      <c r="F16" s="45">
        <f>+F20</f>
        <v>23</v>
      </c>
      <c r="G16" s="73" t="s">
        <v>81</v>
      </c>
      <c r="H16" s="74">
        <f>+H20</f>
        <v>23</v>
      </c>
      <c r="J16"/>
      <c r="K16"/>
      <c r="L16"/>
      <c r="M16"/>
      <c r="N16"/>
      <c r="O16"/>
      <c r="P16"/>
      <c r="Q16"/>
      <c r="R16"/>
      <c r="S16"/>
      <c r="T16"/>
    </row>
    <row r="17" spans="1:20" ht="15.75" x14ac:dyDescent="0.3">
      <c r="C17" s="16" t="s">
        <v>93</v>
      </c>
      <c r="D17" s="17"/>
      <c r="E17" s="17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</row>
    <row r="18" spans="1:20" ht="15.75" x14ac:dyDescent="0.3">
      <c r="C18" s="16" t="s">
        <v>147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</row>
    <row r="19" spans="1:20" ht="15.75" x14ac:dyDescent="0.3">
      <c r="C19" s="16" t="s">
        <v>144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</row>
    <row r="20" spans="1:20" ht="15.75" x14ac:dyDescent="0.3">
      <c r="C20" s="17" t="s">
        <v>99</v>
      </c>
      <c r="D20" s="17"/>
      <c r="E20" s="17"/>
      <c r="F20" s="45">
        <v>23</v>
      </c>
      <c r="G20" s="73" t="s">
        <v>81</v>
      </c>
      <c r="H20" s="74">
        <v>23</v>
      </c>
      <c r="J20"/>
      <c r="K20"/>
      <c r="L20"/>
      <c r="M20"/>
      <c r="N20"/>
      <c r="O20"/>
      <c r="P20"/>
      <c r="Q20"/>
      <c r="R20"/>
      <c r="S20"/>
      <c r="T20"/>
    </row>
    <row r="21" spans="1:20" ht="15.75" x14ac:dyDescent="0.3">
      <c r="C21" s="17" t="s">
        <v>145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</row>
    <row r="22" spans="1:20" ht="16.5" thickBot="1" x14ac:dyDescent="0.35">
      <c r="C22" s="17" t="s">
        <v>146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</row>
    <row r="23" spans="1:20" ht="15.75" x14ac:dyDescent="0.3">
      <c r="A23" s="4" t="s">
        <v>12</v>
      </c>
      <c r="C23" s="80" t="s">
        <v>142</v>
      </c>
      <c r="D23" s="5" t="s">
        <v>13</v>
      </c>
      <c r="E23" s="21" t="s">
        <v>143</v>
      </c>
      <c r="J23"/>
      <c r="K23"/>
      <c r="L23"/>
      <c r="M23"/>
      <c r="N23"/>
      <c r="O23"/>
      <c r="P23"/>
      <c r="Q23"/>
      <c r="R23"/>
      <c r="S23"/>
      <c r="T23"/>
    </row>
    <row r="24" spans="1:20" ht="15.75" x14ac:dyDescent="0.3">
      <c r="J24"/>
      <c r="K24"/>
      <c r="L24"/>
      <c r="M24"/>
      <c r="N24"/>
      <c r="O24"/>
      <c r="P24"/>
      <c r="Q24"/>
      <c r="R24"/>
      <c r="S24"/>
      <c r="T24"/>
    </row>
    <row r="25" spans="1:20" ht="15.75" x14ac:dyDescent="0.3">
      <c r="A25" s="4" t="s">
        <v>14</v>
      </c>
      <c r="C25" s="22">
        <v>135</v>
      </c>
      <c r="D25" s="21" t="s">
        <v>15</v>
      </c>
      <c r="E25" s="23">
        <v>100</v>
      </c>
      <c r="F25" s="24">
        <f>+C25</f>
        <v>135</v>
      </c>
      <c r="G25" s="25" t="s">
        <v>15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</row>
    <row r="26" spans="1:20" ht="15.75" x14ac:dyDescent="0.3">
      <c r="A26" s="4" t="s">
        <v>16</v>
      </c>
      <c r="B26" s="3"/>
      <c r="C26" s="26">
        <f>+F16</f>
        <v>23</v>
      </c>
      <c r="D26" s="27" t="s">
        <v>15</v>
      </c>
      <c r="E26" s="26">
        <f>+H16</f>
        <v>23</v>
      </c>
      <c r="F26" s="28">
        <f>+E26</f>
        <v>23</v>
      </c>
      <c r="G26" s="28" t="s">
        <v>15</v>
      </c>
      <c r="H26" s="28">
        <f>+C26</f>
        <v>23</v>
      </c>
      <c r="I26" s="29"/>
      <c r="J26"/>
      <c r="K26"/>
      <c r="L26"/>
      <c r="M26"/>
      <c r="N26"/>
      <c r="O26"/>
      <c r="P26"/>
      <c r="Q26"/>
      <c r="R26"/>
      <c r="S26"/>
      <c r="T26"/>
    </row>
    <row r="27" spans="1:20" ht="16.5" thickBot="1" x14ac:dyDescent="0.35">
      <c r="A27" s="3" t="s">
        <v>17</v>
      </c>
      <c r="B27" s="30"/>
      <c r="C27" s="31">
        <f>+C25/C26</f>
        <v>5.8695652173913047</v>
      </c>
      <c r="D27" s="32"/>
      <c r="E27" s="31">
        <f>+E25/E26</f>
        <v>4.3478260869565215</v>
      </c>
      <c r="F27" s="31">
        <f>+F25/F26</f>
        <v>5.8695652173913047</v>
      </c>
      <c r="G27" s="32"/>
      <c r="H27" s="31">
        <f>+H25/H26</f>
        <v>4.3478260869565215</v>
      </c>
      <c r="I27" s="29"/>
      <c r="J27"/>
      <c r="K27"/>
      <c r="L27"/>
      <c r="M27"/>
      <c r="N27"/>
      <c r="O27"/>
      <c r="P27"/>
      <c r="Q27"/>
      <c r="R27"/>
      <c r="S27"/>
      <c r="T27"/>
    </row>
    <row r="28" spans="1:20" ht="16.5" thickBot="1" x14ac:dyDescent="0.35">
      <c r="A28" s="3" t="s">
        <v>18</v>
      </c>
      <c r="B28" s="33"/>
      <c r="C28" s="34"/>
      <c r="D28" s="35">
        <v>20</v>
      </c>
      <c r="E28" s="36"/>
      <c r="F28" s="37"/>
      <c r="G28" s="38">
        <v>20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</row>
    <row r="29" spans="1:20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</row>
    <row r="30" spans="1:20" ht="15.75" x14ac:dyDescent="0.3">
      <c r="A30" s="24" t="s">
        <v>20</v>
      </c>
      <c r="B30" s="24" t="s">
        <v>142</v>
      </c>
      <c r="D30" s="40" t="s">
        <v>21</v>
      </c>
      <c r="E30" s="41">
        <v>35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</row>
    <row r="31" spans="1:20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</row>
    <row r="32" spans="1:20" ht="15.75" x14ac:dyDescent="0.3">
      <c r="D32" s="43" t="s">
        <v>24</v>
      </c>
      <c r="E32" s="44">
        <f>+E30-E31</f>
        <v>35</v>
      </c>
      <c r="I32" s="29"/>
      <c r="J32"/>
      <c r="K32"/>
      <c r="L32"/>
      <c r="M32"/>
      <c r="N32"/>
      <c r="O32"/>
      <c r="P32"/>
      <c r="Q32"/>
      <c r="R32"/>
      <c r="S32"/>
      <c r="T32"/>
    </row>
    <row r="33" spans="1:20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</row>
    <row r="34" spans="1:20" ht="15.75" x14ac:dyDescent="0.3">
      <c r="D34" s="40" t="s">
        <v>28</v>
      </c>
      <c r="E34" s="46">
        <f>+E32</f>
        <v>35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</row>
    <row r="35" spans="1:20" ht="15.75" x14ac:dyDescent="0.3">
      <c r="D35" s="40" t="s">
        <v>29</v>
      </c>
      <c r="E35" s="46">
        <f>+E34*1.1</f>
        <v>38.5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</row>
    <row r="36" spans="1:20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</row>
    <row r="37" spans="1:20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</row>
    <row r="38" spans="1:20" ht="16.5" thickBot="1" x14ac:dyDescent="0.35">
      <c r="A38" s="4" t="s">
        <v>33</v>
      </c>
      <c r="C38" s="47">
        <v>20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</row>
    <row r="39" spans="1:20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</row>
    <row r="40" spans="1:20" ht="15.75" x14ac:dyDescent="0.3">
      <c r="A40" s="4" t="s">
        <v>37</v>
      </c>
      <c r="B40" s="5"/>
      <c r="C40" s="49">
        <f>+B48/F17</f>
        <v>300</v>
      </c>
      <c r="D40" s="23">
        <f>+'cartón caja'!D40</f>
        <v>60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</row>
    <row r="41" spans="1:20" ht="15.75" x14ac:dyDescent="0.3">
      <c r="A41" s="4" t="s">
        <v>39</v>
      </c>
      <c r="C41" s="33">
        <f>+C40+D40</f>
        <v>360</v>
      </c>
      <c r="F41" s="43" t="s">
        <v>40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</row>
    <row r="42" spans="1:20" ht="15.75" x14ac:dyDescent="0.3">
      <c r="A42" s="4" t="s">
        <v>41</v>
      </c>
      <c r="C42" s="33">
        <f>+C41/C38</f>
        <v>18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</row>
    <row r="43" spans="1:20" ht="15.75" x14ac:dyDescent="0.3">
      <c r="A43" s="4" t="s">
        <v>91</v>
      </c>
      <c r="C43" s="20">
        <f>+(C42*C38)*F17</f>
        <v>360</v>
      </c>
      <c r="F43" s="40" t="s">
        <v>43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</row>
    <row r="44" spans="1:20" ht="15.75" x14ac:dyDescent="0.3">
      <c r="A44" s="4"/>
      <c r="C44" s="50"/>
      <c r="F44" s="43" t="s">
        <v>44</v>
      </c>
      <c r="G44" s="47">
        <f>+C41</f>
        <v>360</v>
      </c>
      <c r="H44" s="3"/>
      <c r="J44"/>
      <c r="K44"/>
      <c r="L44"/>
      <c r="M44"/>
      <c r="N44"/>
      <c r="O44"/>
      <c r="P44"/>
      <c r="Q44"/>
      <c r="R44"/>
      <c r="S44"/>
      <c r="T44"/>
    </row>
    <row r="45" spans="1:20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</row>
    <row r="46" spans="1:20" ht="15.75" x14ac:dyDescent="0.3">
      <c r="A46" s="4" t="s">
        <v>45</v>
      </c>
      <c r="C46" s="24">
        <f>+C42*C38</f>
        <v>360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</row>
    <row r="47" spans="1:20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</row>
    <row r="48" spans="1:20" ht="15.75" x14ac:dyDescent="0.3">
      <c r="A48" s="4" t="s">
        <v>76</v>
      </c>
      <c r="B48" s="20">
        <f>+'cartón caja'!B48</f>
        <v>300</v>
      </c>
      <c r="C48" s="20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</row>
    <row r="49" spans="1:23" ht="15.75" x14ac:dyDescent="0.3">
      <c r="A49" s="51" t="s">
        <v>51</v>
      </c>
      <c r="B49" s="52"/>
      <c r="C49" s="3"/>
      <c r="D49" s="20">
        <v>0</v>
      </c>
      <c r="E49" s="20">
        <v>0</v>
      </c>
      <c r="F49" s="20" t="s">
        <v>52</v>
      </c>
      <c r="G49" s="29">
        <v>295</v>
      </c>
      <c r="H49" s="29">
        <f>+(D49*E49)*G49</f>
        <v>0</v>
      </c>
      <c r="Q49"/>
      <c r="R49"/>
      <c r="S49"/>
    </row>
    <row r="50" spans="1:23" ht="15.75" x14ac:dyDescent="0.3">
      <c r="A50" s="52" t="s">
        <v>53</v>
      </c>
      <c r="B50" s="53">
        <f>+E34*C42</f>
        <v>630</v>
      </c>
      <c r="C50" s="3">
        <f>+B50/2</f>
        <v>315</v>
      </c>
      <c r="D50" s="20">
        <v>0</v>
      </c>
      <c r="E50" s="20">
        <v>0</v>
      </c>
      <c r="F50" s="20" t="s">
        <v>77</v>
      </c>
      <c r="G50" s="29">
        <v>140</v>
      </c>
      <c r="H50" s="29">
        <f>+(D50*E50)*G50</f>
        <v>0</v>
      </c>
      <c r="Q50"/>
      <c r="R50"/>
      <c r="S50"/>
    </row>
    <row r="51" spans="1:23" ht="15.75" x14ac:dyDescent="0.3">
      <c r="A51" s="52" t="s">
        <v>11</v>
      </c>
      <c r="B51" s="53">
        <f>+H61</f>
        <v>832.81479999999999</v>
      </c>
      <c r="C51" s="3"/>
      <c r="D51" s="20">
        <v>0</v>
      </c>
      <c r="E51" s="20">
        <v>0</v>
      </c>
      <c r="F51" s="20" t="s">
        <v>83</v>
      </c>
      <c r="G51" s="29">
        <v>500</v>
      </c>
      <c r="H51" s="29">
        <f>+G51*E51*D51</f>
        <v>0</v>
      </c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100</v>
      </c>
      <c r="G52" s="29">
        <v>250</v>
      </c>
      <c r="H52" s="29">
        <f t="shared" ref="H52:H59" si="0">+G52*E52</f>
        <v>250</v>
      </c>
      <c r="I52" s="29">
        <f>+(B73/100)*2</f>
        <v>37.178814399999993</v>
      </c>
      <c r="Q52"/>
      <c r="R52"/>
      <c r="S52"/>
    </row>
    <row r="53" spans="1:23" ht="16.5" x14ac:dyDescent="0.3">
      <c r="A53" s="52" t="s">
        <v>25</v>
      </c>
      <c r="B53" s="53">
        <v>0</v>
      </c>
      <c r="C53" s="3"/>
      <c r="D53" s="20">
        <v>1</v>
      </c>
      <c r="E53" s="20">
        <v>1</v>
      </c>
      <c r="F53" s="20" t="s">
        <v>108</v>
      </c>
      <c r="G53" s="29">
        <f>+E83</f>
        <v>582.81479999999999</v>
      </c>
      <c r="H53" s="29">
        <f t="shared" si="0"/>
        <v>582.81479999999999</v>
      </c>
      <c r="I53" s="54"/>
      <c r="Q53"/>
      <c r="R53"/>
      <c r="S53"/>
    </row>
    <row r="54" spans="1:23" ht="15.75" x14ac:dyDescent="0.3">
      <c r="A54" s="55" t="s">
        <v>95</v>
      </c>
      <c r="B54" s="53">
        <v>0</v>
      </c>
      <c r="C54" s="3"/>
      <c r="D54" s="20">
        <v>0</v>
      </c>
      <c r="E54" s="20">
        <v>0</v>
      </c>
      <c r="F54" s="20" t="s">
        <v>79</v>
      </c>
      <c r="G54" s="29">
        <v>130</v>
      </c>
      <c r="H54" s="29">
        <f t="shared" si="0"/>
        <v>0</v>
      </c>
      <c r="Q54"/>
      <c r="R54"/>
      <c r="S54"/>
    </row>
    <row r="55" spans="1:23" ht="15.75" x14ac:dyDescent="0.3">
      <c r="A55" s="55" t="s">
        <v>98</v>
      </c>
      <c r="B55" s="53">
        <v>0</v>
      </c>
      <c r="D55" s="20">
        <v>0</v>
      </c>
      <c r="E55" s="20">
        <v>0</v>
      </c>
      <c r="F55" s="20" t="s">
        <v>96</v>
      </c>
      <c r="G55" s="29">
        <v>120</v>
      </c>
      <c r="H55" s="29">
        <f>+G55*E55</f>
        <v>0</v>
      </c>
      <c r="Q55"/>
      <c r="R55"/>
      <c r="S55"/>
    </row>
    <row r="56" spans="1:23" x14ac:dyDescent="0.3">
      <c r="A56" s="55" t="s">
        <v>97</v>
      </c>
      <c r="B56" s="53">
        <v>0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</row>
    <row r="57" spans="1:23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Q57"/>
      <c r="R57"/>
      <c r="S57"/>
      <c r="T57"/>
      <c r="U57"/>
      <c r="V57"/>
      <c r="W57"/>
    </row>
    <row r="58" spans="1:23" ht="15.75" x14ac:dyDescent="0.3">
      <c r="A58" s="51" t="s">
        <v>56</v>
      </c>
      <c r="B58" s="56">
        <f>SUM(B50:B57)</f>
        <v>1462.8148000000001</v>
      </c>
      <c r="C58" s="3"/>
      <c r="D58" s="20">
        <v>0</v>
      </c>
      <c r="E58" s="20">
        <v>0</v>
      </c>
      <c r="F58" s="3" t="s">
        <v>57</v>
      </c>
      <c r="G58" s="29">
        <f>+G79</f>
        <v>500</v>
      </c>
      <c r="H58" s="29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4.8760493333333335</v>
      </c>
      <c r="C60" s="4" t="s">
        <v>59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0" t="s">
        <v>60</v>
      </c>
      <c r="H61" s="29">
        <f>SUM(H49:H60)</f>
        <v>832.81479999999999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61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63</v>
      </c>
      <c r="B63" s="3"/>
      <c r="C63" s="3"/>
      <c r="E63" s="31">
        <f>+B73/C40</f>
        <v>6.1964690666666664</v>
      </c>
      <c r="G63" s="1" t="s">
        <v>64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66</v>
      </c>
      <c r="C64" s="24" t="s">
        <v>67</v>
      </c>
      <c r="D64" s="3"/>
      <c r="E64" s="3"/>
      <c r="F64" s="3"/>
      <c r="G64" s="1" t="s">
        <v>64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69</v>
      </c>
      <c r="B65" s="52"/>
      <c r="C65" s="3"/>
      <c r="D65" s="3">
        <f>+B73*C69</f>
        <v>0</v>
      </c>
      <c r="E65" s="3"/>
      <c r="F65" s="3"/>
      <c r="G65" s="5" t="s">
        <v>80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53</v>
      </c>
      <c r="B66" s="53">
        <f>+E35*C42</f>
        <v>693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11</v>
      </c>
      <c r="B67" s="53">
        <f>+H61*H62</f>
        <v>1165.9407199999998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0</v>
      </c>
      <c r="C68" s="62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Placas HS</v>
      </c>
      <c r="B69" s="53">
        <f>+B54*H62</f>
        <v>0</v>
      </c>
      <c r="C69" s="62"/>
      <c r="G69" s="63" t="s">
        <v>71</v>
      </c>
      <c r="H69" s="31">
        <f>+B60</f>
        <v>4.8760493333333335</v>
      </c>
      <c r="I69" s="64">
        <f>+H69*B48</f>
        <v>1462.8148000000001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2"/>
      <c r="G70" s="63" t="s">
        <v>73</v>
      </c>
      <c r="H70" s="31">
        <f>+C73</f>
        <v>6.1964690666666664</v>
      </c>
      <c r="I70" s="64">
        <f>+H70*B48</f>
        <v>1858.9407199999998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2" t="str">
        <f>+A56</f>
        <v>Encuadernación</v>
      </c>
      <c r="B71" s="53">
        <f>+B56*1.2</f>
        <v>0</v>
      </c>
      <c r="C71" s="65"/>
      <c r="G71" s="66" t="s">
        <v>74</v>
      </c>
      <c r="H71" s="67">
        <f>+H70-H69</f>
        <v>1.320419733333333</v>
      </c>
      <c r="I71" s="82">
        <f>+H71*B48</f>
        <v>396.12591999999989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2"/>
      <c r="B72" s="53"/>
      <c r="C72" s="65"/>
      <c r="G72" s="68" t="s">
        <v>75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1" t="s">
        <v>56</v>
      </c>
      <c r="B73" s="56">
        <f>SUM(B65:B72)</f>
        <v>1858.9407199999998</v>
      </c>
      <c r="C73" s="67">
        <f>+B73/B48</f>
        <v>6.1964690666666664</v>
      </c>
      <c r="D73" s="5" t="s">
        <v>128</v>
      </c>
    </row>
    <row r="74" spans="1:23" x14ac:dyDescent="0.3">
      <c r="C74" s="77"/>
      <c r="D74" s="5"/>
    </row>
    <row r="75" spans="1:23" x14ac:dyDescent="0.3">
      <c r="C75" s="77"/>
      <c r="D75" s="5"/>
    </row>
    <row r="76" spans="1:23" x14ac:dyDescent="0.3">
      <c r="A76" s="5"/>
      <c r="C76" s="64"/>
      <c r="D76" s="5"/>
    </row>
    <row r="77" spans="1:23" ht="15" thickBot="1" x14ac:dyDescent="0.35">
      <c r="A77" s="5" t="s">
        <v>192</v>
      </c>
    </row>
    <row r="78" spans="1:23" x14ac:dyDescent="0.3">
      <c r="A78" s="10" t="s">
        <v>103</v>
      </c>
      <c r="B78" s="11"/>
      <c r="C78" s="11"/>
      <c r="D78" s="11"/>
      <c r="E78" s="11"/>
      <c r="F78" s="11"/>
      <c r="G78" s="12"/>
    </row>
    <row r="79" spans="1:23" x14ac:dyDescent="0.3">
      <c r="A79" s="45">
        <f>+F16</f>
        <v>23</v>
      </c>
      <c r="B79" s="73">
        <f>+H16</f>
        <v>23</v>
      </c>
      <c r="C79" s="7" t="s">
        <v>102</v>
      </c>
      <c r="D79" s="73" t="s">
        <v>104</v>
      </c>
      <c r="E79" s="7" t="s">
        <v>105</v>
      </c>
      <c r="F79" s="92" t="s">
        <v>125</v>
      </c>
      <c r="G79" s="93">
        <v>500</v>
      </c>
    </row>
    <row r="80" spans="1:23" x14ac:dyDescent="0.3">
      <c r="A80" s="45">
        <f>0.357*0.42*C41</f>
        <v>53.978399999999993</v>
      </c>
      <c r="B80" s="78">
        <v>3.9</v>
      </c>
      <c r="C80" s="78">
        <f>+A80*B80</f>
        <v>210.51575999999997</v>
      </c>
      <c r="D80" s="78">
        <v>0</v>
      </c>
      <c r="E80" s="78">
        <f>+C80+D80</f>
        <v>210.51575999999997</v>
      </c>
      <c r="F80" s="75" t="s">
        <v>106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5">
        <f>+A79</f>
        <v>23</v>
      </c>
      <c r="B82" s="73">
        <f>+B79</f>
        <v>23</v>
      </c>
      <c r="C82" s="7" t="s">
        <v>102</v>
      </c>
      <c r="D82" s="73" t="s">
        <v>104</v>
      </c>
      <c r="E82" s="7" t="s">
        <v>105</v>
      </c>
      <c r="F82" s="92" t="s">
        <v>125</v>
      </c>
      <c r="G82" s="93">
        <v>500</v>
      </c>
    </row>
    <row r="83" spans="1:18" x14ac:dyDescent="0.3">
      <c r="A83" s="45">
        <f>0.23*0.23*C41</f>
        <v>19.044</v>
      </c>
      <c r="B83" s="78">
        <f>3.9*3</f>
        <v>11.7</v>
      </c>
      <c r="C83" s="78">
        <f>+A83*B83</f>
        <v>222.81479999999999</v>
      </c>
      <c r="D83" s="78">
        <v>360</v>
      </c>
      <c r="E83" s="78">
        <f>+C83+D83</f>
        <v>582.81479999999999</v>
      </c>
      <c r="F83" s="75" t="s">
        <v>108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3"/>
      <c r="B85" s="14"/>
      <c r="C85" s="14"/>
      <c r="D85" s="14"/>
      <c r="E85" s="14"/>
      <c r="F85" s="14"/>
      <c r="G85" s="1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6"/>
  <sheetViews>
    <sheetView zoomScale="80" zoomScaleNormal="80" workbookViewId="0">
      <selection activeCell="A18" sqref="A1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11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10</v>
      </c>
      <c r="C15" s="18" t="s">
        <v>152</v>
      </c>
      <c r="D15" s="17"/>
      <c r="E15" s="17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153</v>
      </c>
      <c r="D16" s="17"/>
      <c r="E16" s="17"/>
      <c r="F16" s="45">
        <f>2+F20+2</f>
        <v>31.5</v>
      </c>
      <c r="G16" s="73" t="s">
        <v>81</v>
      </c>
      <c r="H16" s="74">
        <f>2+H20+2</f>
        <v>31.5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93</v>
      </c>
      <c r="D17" s="17"/>
      <c r="E17" s="17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 t="s">
        <v>147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6" t="s">
        <v>144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 t="s">
        <v>99</v>
      </c>
      <c r="D20" s="17"/>
      <c r="E20" s="17"/>
      <c r="F20" s="45">
        <v>27.5</v>
      </c>
      <c r="G20" s="73" t="s">
        <v>81</v>
      </c>
      <c r="H20" s="74">
        <v>27.5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 t="s">
        <v>145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 t="s">
        <v>146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12</v>
      </c>
      <c r="C23" s="80" t="s">
        <v>142</v>
      </c>
      <c r="D23" s="5" t="s">
        <v>13</v>
      </c>
      <c r="E23" s="21" t="s">
        <v>143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14</v>
      </c>
      <c r="C25" s="22">
        <v>135</v>
      </c>
      <c r="D25" s="21" t="s">
        <v>15</v>
      </c>
      <c r="E25" s="23">
        <v>100</v>
      </c>
      <c r="F25" s="24">
        <f>+C25</f>
        <v>135</v>
      </c>
      <c r="G25" s="25" t="s">
        <v>15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16</v>
      </c>
      <c r="B26" s="3"/>
      <c r="C26" s="26">
        <f>+F16</f>
        <v>31.5</v>
      </c>
      <c r="D26" s="27" t="s">
        <v>15</v>
      </c>
      <c r="E26" s="26">
        <f>+H16</f>
        <v>31.5</v>
      </c>
      <c r="F26" s="28">
        <f>+E26</f>
        <v>31.5</v>
      </c>
      <c r="G26" s="28" t="s">
        <v>15</v>
      </c>
      <c r="H26" s="28">
        <f>+C26</f>
        <v>31.5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17</v>
      </c>
      <c r="B27" s="30"/>
      <c r="C27" s="31">
        <f>+C25/C26</f>
        <v>4.2857142857142856</v>
      </c>
      <c r="D27" s="32"/>
      <c r="E27" s="31">
        <f>+E25/E26</f>
        <v>3.1746031746031744</v>
      </c>
      <c r="F27" s="31">
        <f>+F25/F26</f>
        <v>4.2857142857142856</v>
      </c>
      <c r="G27" s="32"/>
      <c r="H27" s="31">
        <f>+H25/H26</f>
        <v>3.1746031746031744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18</v>
      </c>
      <c r="B28" s="33"/>
      <c r="C28" s="34"/>
      <c r="D28" s="35">
        <v>12</v>
      </c>
      <c r="E28" s="36"/>
      <c r="F28" s="37"/>
      <c r="G28" s="38">
        <v>12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20</v>
      </c>
      <c r="B30" s="24" t="s">
        <v>142</v>
      </c>
      <c r="D30" s="40" t="s">
        <v>21</v>
      </c>
      <c r="E30" s="41">
        <v>35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24</v>
      </c>
      <c r="E32" s="44">
        <f>+E30-E31</f>
        <v>35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28</v>
      </c>
      <c r="E34" s="46">
        <f>+E32</f>
        <v>35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29</v>
      </c>
      <c r="E35" s="46">
        <f>+E34*1.1</f>
        <v>38.5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33</v>
      </c>
      <c r="C38" s="47">
        <v>12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37</v>
      </c>
      <c r="B40" s="5"/>
      <c r="C40" s="49">
        <f>+B48/F17</f>
        <v>300</v>
      </c>
      <c r="D40" s="23">
        <f>+'cartón caja'!D40</f>
        <v>60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39</v>
      </c>
      <c r="C41" s="33">
        <f>+C40+D40</f>
        <v>360</v>
      </c>
      <c r="F41" s="43" t="s">
        <v>40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41</v>
      </c>
      <c r="C42" s="33">
        <f>+C41/C38</f>
        <v>30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 t="s">
        <v>91</v>
      </c>
      <c r="C43" s="20">
        <f>+(C42*C38)*F17</f>
        <v>360</v>
      </c>
      <c r="F43" s="40" t="s">
        <v>43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44</v>
      </c>
      <c r="G44" s="47">
        <f>+C41</f>
        <v>360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45</v>
      </c>
      <c r="C46" s="24">
        <f>+C42*C38</f>
        <v>360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76</v>
      </c>
      <c r="B48" s="20">
        <f>+'cartón caja'!B48</f>
        <v>300</v>
      </c>
      <c r="C48" s="20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51</v>
      </c>
      <c r="B49" s="52"/>
      <c r="C49" s="3"/>
      <c r="D49" s="20">
        <v>0</v>
      </c>
      <c r="E49" s="20">
        <v>0</v>
      </c>
      <c r="F49" s="20" t="s">
        <v>52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53</v>
      </c>
      <c r="B50" s="53">
        <f>+E34*C42</f>
        <v>1050</v>
      </c>
      <c r="C50" s="3"/>
      <c r="D50" s="20">
        <v>0</v>
      </c>
      <c r="E50" s="20">
        <v>0</v>
      </c>
      <c r="F50" s="20" t="s">
        <v>77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11</v>
      </c>
      <c r="B51" s="53">
        <f>+H61</f>
        <v>520</v>
      </c>
      <c r="C51" s="3"/>
      <c r="D51" s="20">
        <v>0</v>
      </c>
      <c r="E51" s="20">
        <v>0</v>
      </c>
      <c r="F51" s="20" t="s">
        <v>83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2"/>
      <c r="B52" s="53"/>
      <c r="C52" s="3"/>
      <c r="D52" s="20">
        <v>1</v>
      </c>
      <c r="E52" s="20">
        <v>1</v>
      </c>
      <c r="F52" s="20" t="s">
        <v>100</v>
      </c>
      <c r="G52" s="29">
        <v>250</v>
      </c>
      <c r="H52" s="29">
        <f t="shared" ref="H52:H59" si="0">+G52*E52</f>
        <v>250</v>
      </c>
      <c r="I52" s="29">
        <f>+(B73/100)*2</f>
        <v>187.46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25</v>
      </c>
      <c r="B53" s="53">
        <v>400</v>
      </c>
      <c r="C53" s="3"/>
      <c r="D53" s="20">
        <v>0</v>
      </c>
      <c r="E53" s="20">
        <v>0</v>
      </c>
      <c r="F53" s="20" t="s">
        <v>108</v>
      </c>
      <c r="G53" s="29">
        <f>+O53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124</v>
      </c>
      <c r="B54" s="53">
        <v>0</v>
      </c>
      <c r="C54" s="3"/>
      <c r="D54" s="20">
        <v>1</v>
      </c>
      <c r="E54" s="20">
        <v>1</v>
      </c>
      <c r="F54" s="20" t="s">
        <v>78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98</v>
      </c>
      <c r="B55" s="53">
        <v>0</v>
      </c>
      <c r="D55" s="20">
        <v>1</v>
      </c>
      <c r="E55" s="20">
        <v>1</v>
      </c>
      <c r="F55" s="20" t="s">
        <v>79</v>
      </c>
      <c r="G55" s="29">
        <v>135</v>
      </c>
      <c r="H55" s="29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97</v>
      </c>
      <c r="B56" s="53">
        <f>+((15*B48)*1.1)</f>
        <v>4950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56</v>
      </c>
      <c r="B58" s="56">
        <f>SUM(B50:B57)</f>
        <v>6920</v>
      </c>
      <c r="C58" s="3"/>
      <c r="D58" s="20">
        <v>0</v>
      </c>
      <c r="E58" s="20">
        <v>0</v>
      </c>
      <c r="F58" s="3" t="s">
        <v>57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23.066666666666666</v>
      </c>
      <c r="C60" s="4" t="s">
        <v>59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0" t="s">
        <v>60</v>
      </c>
      <c r="H61" s="29">
        <f>SUM(H49:H60)</f>
        <v>520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61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63</v>
      </c>
      <c r="B63" s="3"/>
      <c r="C63" s="3"/>
      <c r="E63" s="31">
        <f>+B73/C40</f>
        <v>31.243333333333332</v>
      </c>
      <c r="G63" s="1" t="s">
        <v>64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66</v>
      </c>
      <c r="C64" s="24" t="s">
        <v>67</v>
      </c>
      <c r="D64" s="3"/>
      <c r="E64" s="3"/>
      <c r="F64" s="3"/>
      <c r="G64" s="1" t="s">
        <v>64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69</v>
      </c>
      <c r="B65" s="52"/>
      <c r="C65" s="3"/>
      <c r="D65" s="3">
        <f>+B73*C69</f>
        <v>0</v>
      </c>
      <c r="E65" s="3"/>
      <c r="F65" s="3"/>
      <c r="G65" s="5" t="s">
        <v>80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53</v>
      </c>
      <c r="B66" s="53">
        <f>+E35*C42</f>
        <v>1155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11</v>
      </c>
      <c r="B67" s="53">
        <f>+H61*H62</f>
        <v>728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+A53</f>
        <v>Tabla de suaje</v>
      </c>
      <c r="B68" s="53">
        <f>+B53*H62</f>
        <v>560</v>
      </c>
      <c r="C68" s="62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+A54</f>
        <v>Pruebas de color</v>
      </c>
      <c r="B69" s="53">
        <f>+B54*H62</f>
        <v>0</v>
      </c>
      <c r="C69" s="62"/>
      <c r="G69" s="63" t="s">
        <v>71</v>
      </c>
      <c r="H69" s="31">
        <f>+B60</f>
        <v>23.066666666666666</v>
      </c>
      <c r="I69" s="64">
        <f>+H69*B48</f>
        <v>6920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2" t="str">
        <f>+A55</f>
        <v>Imán</v>
      </c>
      <c r="B70" s="53">
        <f>+B55*H62</f>
        <v>0</v>
      </c>
      <c r="C70" s="62"/>
      <c r="G70" s="63" t="s">
        <v>73</v>
      </c>
      <c r="H70" s="31">
        <f>+C73</f>
        <v>31.243333333333332</v>
      </c>
      <c r="I70" s="64">
        <f>+H70*B48</f>
        <v>9373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6.5" thickBot="1" x14ac:dyDescent="0.35">
      <c r="A71" s="52" t="str">
        <f>+A56</f>
        <v>Encuadernación</v>
      </c>
      <c r="B71" s="53">
        <f>+B56*H62</f>
        <v>6930</v>
      </c>
      <c r="C71" s="65"/>
      <c r="G71" s="66" t="s">
        <v>74</v>
      </c>
      <c r="H71" s="67">
        <f>+H70-H69</f>
        <v>8.1766666666666659</v>
      </c>
      <c r="I71" s="82">
        <f>+H71*B48</f>
        <v>2452.9999999999995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6.5" thickBot="1" x14ac:dyDescent="0.35">
      <c r="A72" s="52"/>
      <c r="B72" s="53"/>
      <c r="C72" s="65"/>
      <c r="G72" s="68" t="s">
        <v>75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1" t="s">
        <v>56</v>
      </c>
      <c r="B73" s="56">
        <f>SUM(B65:B72)</f>
        <v>9373</v>
      </c>
      <c r="C73" s="67">
        <f>+B73/B48</f>
        <v>31.243333333333332</v>
      </c>
      <c r="D73" s="5" t="s">
        <v>129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C74" s="77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C75" s="77"/>
      <c r="D75" s="5"/>
    </row>
    <row r="76" spans="1:24" x14ac:dyDescent="0.3">
      <c r="A76" s="5"/>
      <c r="C76" s="64"/>
      <c r="D76" s="5"/>
    </row>
    <row r="77" spans="1:24" x14ac:dyDescent="0.3">
      <c r="B77" s="69"/>
      <c r="C77" s="70"/>
    </row>
    <row r="81" spans="10:18" x14ac:dyDescent="0.3">
      <c r="J81" s="71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0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6"/>
  <sheetViews>
    <sheetView tabSelected="1" zoomScale="80" zoomScaleNormal="80" workbookViewId="0">
      <selection activeCell="A20" sqref="A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8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5" customFormat="1" ht="15" x14ac:dyDescent="0.25">
      <c r="A9" s="5" t="s">
        <v>6</v>
      </c>
      <c r="C9" s="5" t="str">
        <f>+'cartón caja'!C9</f>
        <v>11 de noviembre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5.75" x14ac:dyDescent="0.3">
      <c r="A15" s="5" t="s">
        <v>10</v>
      </c>
      <c r="C15" s="18" t="s">
        <v>152</v>
      </c>
      <c r="D15" s="17"/>
      <c r="E15" s="17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5.75" x14ac:dyDescent="0.3">
      <c r="C16" s="16" t="s">
        <v>153</v>
      </c>
      <c r="D16" s="17"/>
      <c r="E16" s="17"/>
      <c r="F16" s="45">
        <f>+F20</f>
        <v>23</v>
      </c>
      <c r="G16" s="73" t="s">
        <v>81</v>
      </c>
      <c r="H16" s="74">
        <f>+H20</f>
        <v>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15.75" x14ac:dyDescent="0.3">
      <c r="C17" s="16" t="s">
        <v>93</v>
      </c>
      <c r="D17" s="17"/>
      <c r="E17" s="17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15.75" x14ac:dyDescent="0.3">
      <c r="C18" s="16" t="s">
        <v>147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.75" x14ac:dyDescent="0.3">
      <c r="C19" s="16" t="s">
        <v>144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.75" x14ac:dyDescent="0.3">
      <c r="C20" s="17" t="s">
        <v>99</v>
      </c>
      <c r="D20" s="17"/>
      <c r="E20" s="17"/>
      <c r="F20" s="45">
        <v>23</v>
      </c>
      <c r="G20" s="73" t="s">
        <v>81</v>
      </c>
      <c r="H20" s="74">
        <v>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5.75" x14ac:dyDescent="0.3">
      <c r="C21" s="17" t="s">
        <v>145</v>
      </c>
      <c r="D21" s="17"/>
      <c r="E21" s="17"/>
      <c r="F21" s="72">
        <v>1</v>
      </c>
      <c r="G21" s="75" t="s">
        <v>82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6.5" thickBot="1" x14ac:dyDescent="0.35">
      <c r="C22" s="17" t="s">
        <v>146</v>
      </c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15.75" x14ac:dyDescent="0.3">
      <c r="A23" s="4" t="s">
        <v>12</v>
      </c>
      <c r="C23" s="80" t="s">
        <v>142</v>
      </c>
      <c r="D23" s="5" t="s">
        <v>13</v>
      </c>
      <c r="E23" s="21" t="s">
        <v>143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5.75" x14ac:dyDescent="0.3">
      <c r="A25" s="4" t="s">
        <v>14</v>
      </c>
      <c r="C25" s="22">
        <v>135</v>
      </c>
      <c r="D25" s="21" t="s">
        <v>15</v>
      </c>
      <c r="E25" s="23">
        <v>100</v>
      </c>
      <c r="F25" s="24">
        <f>+C25</f>
        <v>135</v>
      </c>
      <c r="G25" s="25" t="s">
        <v>15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5.75" x14ac:dyDescent="0.3">
      <c r="A26" s="4" t="s">
        <v>16</v>
      </c>
      <c r="B26" s="3"/>
      <c r="C26" s="26">
        <f>+F16</f>
        <v>23</v>
      </c>
      <c r="D26" s="27" t="s">
        <v>15</v>
      </c>
      <c r="E26" s="26">
        <f>+H16</f>
        <v>9</v>
      </c>
      <c r="F26" s="28">
        <f>+E26</f>
        <v>9</v>
      </c>
      <c r="G26" s="28" t="s">
        <v>15</v>
      </c>
      <c r="H26" s="28">
        <f>+C26</f>
        <v>23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6.5" thickBot="1" x14ac:dyDescent="0.35">
      <c r="A27" s="3" t="s">
        <v>17</v>
      </c>
      <c r="B27" s="30"/>
      <c r="C27" s="31">
        <f>+C25/C26</f>
        <v>5.8695652173913047</v>
      </c>
      <c r="D27" s="32"/>
      <c r="E27" s="31">
        <f>+E25/E26</f>
        <v>11.111111111111111</v>
      </c>
      <c r="F27" s="31">
        <f>+F25/F26</f>
        <v>15</v>
      </c>
      <c r="G27" s="32"/>
      <c r="H27" s="31">
        <f>+H25/H26</f>
        <v>4.3478260869565215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6.5" thickBot="1" x14ac:dyDescent="0.35">
      <c r="A28" s="3" t="s">
        <v>18</v>
      </c>
      <c r="B28" s="33"/>
      <c r="C28" s="34"/>
      <c r="D28" s="35">
        <v>55</v>
      </c>
      <c r="E28" s="36"/>
      <c r="F28" s="37"/>
      <c r="G28" s="38">
        <v>60</v>
      </c>
      <c r="H28" s="39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x14ac:dyDescent="0.3">
      <c r="A30" s="24" t="s">
        <v>20</v>
      </c>
      <c r="B30" s="24" t="s">
        <v>142</v>
      </c>
      <c r="D30" s="40" t="s">
        <v>21</v>
      </c>
      <c r="E30" s="41">
        <v>35</v>
      </c>
      <c r="G30" s="1" t="s">
        <v>22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5.75" x14ac:dyDescent="0.3">
      <c r="A31" s="3"/>
      <c r="B31" s="3"/>
      <c r="C31" s="3"/>
      <c r="D31" s="43" t="s">
        <v>23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5.75" x14ac:dyDescent="0.3">
      <c r="D32" s="43" t="s">
        <v>24</v>
      </c>
      <c r="E32" s="44">
        <f>+E30-E31</f>
        <v>35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5.75" x14ac:dyDescent="0.3">
      <c r="E33" s="20" t="s">
        <v>26</v>
      </c>
      <c r="F33" s="20" t="s">
        <v>27</v>
      </c>
      <c r="G33" s="20" t="s">
        <v>27</v>
      </c>
      <c r="H33" s="20" t="s">
        <v>27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5.75" x14ac:dyDescent="0.3">
      <c r="D34" s="40" t="s">
        <v>28</v>
      </c>
      <c r="E34" s="46">
        <f>+E32</f>
        <v>35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15.75" x14ac:dyDescent="0.3">
      <c r="D35" s="40" t="s">
        <v>29</v>
      </c>
      <c r="E35" s="46">
        <f>+E34*1.1</f>
        <v>38.5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5.75" x14ac:dyDescent="0.3">
      <c r="A37" s="3"/>
      <c r="B37" s="20"/>
      <c r="C37" s="29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6.5" thickBot="1" x14ac:dyDescent="0.35">
      <c r="A38" s="4" t="s">
        <v>33</v>
      </c>
      <c r="C38" s="47">
        <v>60</v>
      </c>
      <c r="D38" s="48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5.75" x14ac:dyDescent="0.3">
      <c r="A39" s="4"/>
      <c r="C39" s="20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5.75" x14ac:dyDescent="0.3">
      <c r="A40" s="4" t="s">
        <v>37</v>
      </c>
      <c r="B40" s="5"/>
      <c r="C40" s="49">
        <f>+B48/F17</f>
        <v>300</v>
      </c>
      <c r="D40" s="23">
        <f>+'cartón caja'!D40</f>
        <v>60</v>
      </c>
      <c r="F40" s="43" t="s">
        <v>38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15.75" x14ac:dyDescent="0.3">
      <c r="A41" s="4" t="s">
        <v>39</v>
      </c>
      <c r="C41" s="33">
        <f>+C40+D40</f>
        <v>360</v>
      </c>
      <c r="F41" s="43" t="s">
        <v>40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5.75" x14ac:dyDescent="0.3">
      <c r="A42" s="4" t="s">
        <v>41</v>
      </c>
      <c r="C42" s="33">
        <f>+C41/C38</f>
        <v>6</v>
      </c>
      <c r="F42" s="43" t="s">
        <v>42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5.75" x14ac:dyDescent="0.3">
      <c r="A43" s="4" t="s">
        <v>91</v>
      </c>
      <c r="C43" s="20">
        <f>+(C42*C38)*F17</f>
        <v>360</v>
      </c>
      <c r="F43" s="40" t="s">
        <v>43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5.75" x14ac:dyDescent="0.3">
      <c r="A44" s="4"/>
      <c r="C44" s="50"/>
      <c r="F44" s="43" t="s">
        <v>44</v>
      </c>
      <c r="G44" s="47">
        <f>+C41</f>
        <v>360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5.75" x14ac:dyDescent="0.3">
      <c r="A46" s="4" t="s">
        <v>45</v>
      </c>
      <c r="C46" s="24">
        <f>+C42*C38</f>
        <v>360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x14ac:dyDescent="0.3">
      <c r="A48" s="4" t="s">
        <v>76</v>
      </c>
      <c r="B48" s="20">
        <f>+'cartón caja'!B48</f>
        <v>300</v>
      </c>
      <c r="C48" s="20"/>
      <c r="D48" s="24" t="s">
        <v>46</v>
      </c>
      <c r="E48" s="24" t="s">
        <v>47</v>
      </c>
      <c r="F48" s="24" t="s">
        <v>48</v>
      </c>
      <c r="G48" s="24" t="s">
        <v>49</v>
      </c>
      <c r="H48" s="24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5.75" x14ac:dyDescent="0.3">
      <c r="A49" s="51" t="s">
        <v>51</v>
      </c>
      <c r="B49" s="52"/>
      <c r="C49" s="3"/>
      <c r="D49" s="20">
        <v>1</v>
      </c>
      <c r="E49" s="20">
        <v>1</v>
      </c>
      <c r="F49" s="20" t="s">
        <v>110</v>
      </c>
      <c r="G49" s="29">
        <v>240</v>
      </c>
      <c r="H49" s="29">
        <f>+(D49*E49)*G49</f>
        <v>240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5.75" x14ac:dyDescent="0.3">
      <c r="A50" s="52" t="s">
        <v>53</v>
      </c>
      <c r="B50" s="53">
        <f>+E34*C42</f>
        <v>210</v>
      </c>
      <c r="C50" s="3"/>
      <c r="D50" s="20">
        <v>1</v>
      </c>
      <c r="E50" s="20">
        <v>3</v>
      </c>
      <c r="F50" s="20" t="s">
        <v>77</v>
      </c>
      <c r="G50" s="29">
        <v>120</v>
      </c>
      <c r="H50" s="29">
        <f>+(D50*E50)*G50</f>
        <v>360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5.75" x14ac:dyDescent="0.3">
      <c r="A51" s="52" t="s">
        <v>11</v>
      </c>
      <c r="B51" s="53">
        <f>+H61</f>
        <v>850</v>
      </c>
      <c r="C51" s="3"/>
      <c r="D51" s="20">
        <v>0</v>
      </c>
      <c r="E51" s="20">
        <v>0</v>
      </c>
      <c r="F51" s="20" t="s">
        <v>83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5.75" x14ac:dyDescent="0.3">
      <c r="A52" s="52"/>
      <c r="B52" s="53"/>
      <c r="C52" s="3"/>
      <c r="D52" s="20">
        <v>1</v>
      </c>
      <c r="E52" s="20">
        <v>1</v>
      </c>
      <c r="F52" s="20" t="s">
        <v>100</v>
      </c>
      <c r="G52" s="29">
        <v>250</v>
      </c>
      <c r="H52" s="29">
        <f t="shared" ref="H52:H59" si="0">+G52*E52</f>
        <v>250</v>
      </c>
      <c r="I52" s="29">
        <f>+(B73/100)*2</f>
        <v>28.42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6.5" x14ac:dyDescent="0.3">
      <c r="A53" s="52" t="s">
        <v>25</v>
      </c>
      <c r="B53" s="53">
        <v>0</v>
      </c>
      <c r="C53" s="3"/>
      <c r="D53" s="20">
        <v>0</v>
      </c>
      <c r="E53" s="20">
        <v>0</v>
      </c>
      <c r="F53" s="20" t="s">
        <v>108</v>
      </c>
      <c r="G53" s="29">
        <f>+O53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5.75" x14ac:dyDescent="0.3">
      <c r="A54" s="55" t="s">
        <v>95</v>
      </c>
      <c r="B54" s="53">
        <v>0</v>
      </c>
      <c r="C54" s="3"/>
      <c r="D54" s="20">
        <v>0</v>
      </c>
      <c r="E54" s="20">
        <v>0</v>
      </c>
      <c r="F54" s="20" t="s">
        <v>79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5.75" x14ac:dyDescent="0.3">
      <c r="A55" s="55" t="s">
        <v>98</v>
      </c>
      <c r="B55" s="53">
        <v>0</v>
      </c>
      <c r="D55" s="20">
        <v>0</v>
      </c>
      <c r="E55" s="20">
        <v>0</v>
      </c>
      <c r="F55" s="20" t="s">
        <v>96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5.75" x14ac:dyDescent="0.3">
      <c r="A56" s="55" t="s">
        <v>97</v>
      </c>
      <c r="B56" s="53">
        <v>0</v>
      </c>
      <c r="D56" s="20">
        <v>0</v>
      </c>
      <c r="E56" s="20">
        <v>0</v>
      </c>
      <c r="F56" s="20" t="s">
        <v>30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5.75" x14ac:dyDescent="0.3">
      <c r="A57" s="55"/>
      <c r="B57" s="55"/>
      <c r="D57" s="20">
        <v>0</v>
      </c>
      <c r="E57" s="20">
        <v>0</v>
      </c>
      <c r="F57" s="20" t="s">
        <v>55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5.75" x14ac:dyDescent="0.3">
      <c r="A58" s="51" t="s">
        <v>56</v>
      </c>
      <c r="B58" s="56">
        <f>SUM(B50:B57)</f>
        <v>1060</v>
      </c>
      <c r="C58" s="3"/>
      <c r="D58" s="20">
        <v>0</v>
      </c>
      <c r="E58" s="20">
        <v>0</v>
      </c>
      <c r="F58" s="3" t="s">
        <v>57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5.75" x14ac:dyDescent="0.3">
      <c r="A60" s="9"/>
      <c r="B60" s="31">
        <f>+B58/B48</f>
        <v>3.5333333333333332</v>
      </c>
      <c r="C60" s="4" t="s">
        <v>59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5.75" x14ac:dyDescent="0.3">
      <c r="A61" s="3"/>
      <c r="B61" s="3"/>
      <c r="D61" s="3"/>
      <c r="E61" s="3"/>
      <c r="F61" s="3"/>
      <c r="G61" s="60" t="s">
        <v>60</v>
      </c>
      <c r="H61" s="29">
        <f>SUM(H49:H60)</f>
        <v>850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5.75" x14ac:dyDescent="0.3">
      <c r="D62" s="3"/>
      <c r="E62" s="3"/>
      <c r="G62" s="5" t="s">
        <v>61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5.75" x14ac:dyDescent="0.3">
      <c r="A63" s="4" t="s">
        <v>63</v>
      </c>
      <c r="B63" s="3"/>
      <c r="C63" s="3"/>
      <c r="E63" s="31">
        <f>+B73/C40</f>
        <v>4.7366666666666664</v>
      </c>
      <c r="G63" s="1" t="s">
        <v>64</v>
      </c>
      <c r="H63" s="61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5.75" x14ac:dyDescent="0.3">
      <c r="A64" s="3"/>
      <c r="B64" s="4" t="s">
        <v>66</v>
      </c>
      <c r="C64" s="24" t="s">
        <v>67</v>
      </c>
      <c r="D64" s="3"/>
      <c r="E64" s="3"/>
      <c r="F64" s="3"/>
      <c r="G64" s="1" t="s">
        <v>64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5.75" x14ac:dyDescent="0.3">
      <c r="A65" s="51" t="s">
        <v>69</v>
      </c>
      <c r="B65" s="52"/>
      <c r="C65" s="3"/>
      <c r="D65" s="3">
        <f>+B73*C69</f>
        <v>0</v>
      </c>
      <c r="E65" s="3"/>
      <c r="F65" s="3"/>
      <c r="G65" s="5" t="s">
        <v>80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5.75" x14ac:dyDescent="0.3">
      <c r="A66" s="52" t="s">
        <v>53</v>
      </c>
      <c r="B66" s="53">
        <f>+E35*C42</f>
        <v>231</v>
      </c>
      <c r="C66" s="62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5.75" x14ac:dyDescent="0.3">
      <c r="A67" s="52" t="s">
        <v>11</v>
      </c>
      <c r="B67" s="53">
        <f>+H61*H62</f>
        <v>1190</v>
      </c>
      <c r="C67" s="62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5.75" x14ac:dyDescent="0.3">
      <c r="A68" s="52" t="str">
        <f>+A53</f>
        <v>Tabla de suaje</v>
      </c>
      <c r="B68" s="53">
        <f>+B53*H62</f>
        <v>0</v>
      </c>
      <c r="C68" s="62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5.75" x14ac:dyDescent="0.3">
      <c r="A69" s="52" t="str">
        <f>+A54</f>
        <v>Placas HS</v>
      </c>
      <c r="B69" s="53">
        <f>+B54*H62</f>
        <v>0</v>
      </c>
      <c r="C69" s="62"/>
      <c r="G69" s="63" t="s">
        <v>71</v>
      </c>
      <c r="H69" s="31">
        <f>+B60</f>
        <v>3.5333333333333332</v>
      </c>
      <c r="I69" s="64">
        <f>+H69*B48</f>
        <v>1060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5.75" x14ac:dyDescent="0.3">
      <c r="A70" s="52" t="str">
        <f>+A55</f>
        <v>Imán</v>
      </c>
      <c r="B70" s="53">
        <f>+B55*H62</f>
        <v>0</v>
      </c>
      <c r="C70" s="62"/>
      <c r="G70" s="63" t="s">
        <v>73</v>
      </c>
      <c r="H70" s="31">
        <f>+C73</f>
        <v>4.7366666666666664</v>
      </c>
      <c r="I70" s="64">
        <f>+H70*B48</f>
        <v>1421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6.5" thickBot="1" x14ac:dyDescent="0.35">
      <c r="A71" s="52" t="str">
        <f>+A56</f>
        <v>Encuadernación</v>
      </c>
      <c r="B71" s="53">
        <f>+B56*H62</f>
        <v>0</v>
      </c>
      <c r="C71" s="65"/>
      <c r="G71" s="66" t="s">
        <v>74</v>
      </c>
      <c r="H71" s="67">
        <f>+H70-H69</f>
        <v>1.2033333333333331</v>
      </c>
      <c r="I71" s="82">
        <f>+H71*B48</f>
        <v>360.99999999999994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6.5" thickBot="1" x14ac:dyDescent="0.35">
      <c r="A72" s="52"/>
      <c r="B72" s="53"/>
      <c r="C72" s="65"/>
      <c r="G72" s="68" t="s">
        <v>75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ht="15.75" x14ac:dyDescent="0.3">
      <c r="A73" s="51" t="s">
        <v>56</v>
      </c>
      <c r="B73" s="56">
        <f>SUM(B65:B72)</f>
        <v>1421</v>
      </c>
      <c r="C73" s="67">
        <f>+B73/B48</f>
        <v>4.7366666666666664</v>
      </c>
      <c r="D73" s="5" t="s">
        <v>109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ht="15.75" x14ac:dyDescent="0.3">
      <c r="C74" s="77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x14ac:dyDescent="0.3">
      <c r="C75" s="77"/>
      <c r="D75" s="5"/>
    </row>
    <row r="76" spans="1:28" x14ac:dyDescent="0.3">
      <c r="A76" s="5"/>
      <c r="C76" s="64"/>
      <c r="D76" s="5"/>
    </row>
    <row r="77" spans="1:28" x14ac:dyDescent="0.3">
      <c r="B77" s="69"/>
      <c r="C77" s="70"/>
    </row>
    <row r="81" spans="10:18" x14ac:dyDescent="0.3">
      <c r="J81" s="71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0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1"/>
  <sheetViews>
    <sheetView topLeftCell="A94" zoomScale="80" zoomScaleNormal="80" workbookViewId="0">
      <selection activeCell="C100" sqref="C100"/>
    </sheetView>
  </sheetViews>
  <sheetFormatPr baseColWidth="10" defaultRowHeight="14.25" x14ac:dyDescent="0.3"/>
  <cols>
    <col min="1" max="1" width="13.7109375" style="1" customWidth="1"/>
    <col min="2" max="2" width="13.42578125" style="1" bestFit="1" customWidth="1"/>
    <col min="3" max="3" width="14.85546875" style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s="5" customFormat="1" ht="15.75" x14ac:dyDescent="0.3">
      <c r="A8" s="5" t="s">
        <v>6</v>
      </c>
      <c r="C8" s="5" t="str">
        <f>+'cartón caja'!C9</f>
        <v>11 de noviembre de 2016.</v>
      </c>
      <c r="H8" s="5" t="s">
        <v>7</v>
      </c>
      <c r="J8"/>
      <c r="P8"/>
      <c r="Q8"/>
      <c r="R8"/>
      <c r="S8" s="1"/>
      <c r="T8" s="1"/>
      <c r="U8" s="1"/>
    </row>
    <row r="9" spans="1:21" ht="15.75" x14ac:dyDescent="0.3">
      <c r="J9"/>
      <c r="P9"/>
      <c r="Q9"/>
      <c r="R9"/>
    </row>
    <row r="10" spans="1:21" ht="16.5" thickBot="1" x14ac:dyDescent="0.35">
      <c r="A10" s="5" t="s">
        <v>8</v>
      </c>
      <c r="C10" s="1" t="str">
        <f>+'cartón caja'!C11</f>
        <v>Joaquín García</v>
      </c>
      <c r="F10" s="5" t="s">
        <v>0</v>
      </c>
      <c r="J10"/>
      <c r="P10"/>
      <c r="Q10"/>
      <c r="R10"/>
    </row>
    <row r="11" spans="1:21" ht="15.75" x14ac:dyDescent="0.3">
      <c r="A11" s="5"/>
      <c r="F11" s="10"/>
      <c r="G11" s="11"/>
      <c r="H11" s="12"/>
      <c r="J11"/>
      <c r="P11"/>
      <c r="Q11"/>
      <c r="R11"/>
    </row>
    <row r="12" spans="1:21" ht="15.75" x14ac:dyDescent="0.3">
      <c r="A12" s="5" t="s">
        <v>9</v>
      </c>
      <c r="F12" s="6"/>
      <c r="G12" s="7"/>
      <c r="H12" s="8"/>
      <c r="J12"/>
      <c r="P12"/>
      <c r="Q12"/>
      <c r="R12"/>
    </row>
    <row r="13" spans="1:21" ht="15.75" x14ac:dyDescent="0.3">
      <c r="A13" s="5"/>
      <c r="F13" s="6"/>
      <c r="G13" s="7"/>
      <c r="H13" s="8"/>
      <c r="J13"/>
      <c r="P13"/>
      <c r="Q13"/>
      <c r="R13"/>
    </row>
    <row r="14" spans="1:21" ht="15.75" x14ac:dyDescent="0.3">
      <c r="A14" s="5" t="s">
        <v>10</v>
      </c>
      <c r="C14" s="18" t="s">
        <v>152</v>
      </c>
      <c r="D14" s="17"/>
      <c r="E14" s="17"/>
      <c r="F14" s="72" t="s">
        <v>5</v>
      </c>
      <c r="G14" s="7"/>
      <c r="H14" s="8"/>
      <c r="J14"/>
      <c r="P14"/>
      <c r="Q14"/>
      <c r="R14"/>
    </row>
    <row r="15" spans="1:21" ht="15.75" x14ac:dyDescent="0.3">
      <c r="C15" s="16" t="s">
        <v>163</v>
      </c>
      <c r="D15" s="17"/>
      <c r="E15" s="17"/>
      <c r="F15" s="45">
        <f>2+F19+2</f>
        <v>30.5</v>
      </c>
      <c r="G15" s="73" t="s">
        <v>81</v>
      </c>
      <c r="H15" s="74">
        <f>2+H19+2</f>
        <v>16</v>
      </c>
      <c r="J15"/>
      <c r="P15"/>
      <c r="Q15"/>
      <c r="R15"/>
    </row>
    <row r="16" spans="1:21" ht="15.75" x14ac:dyDescent="0.3">
      <c r="C16" s="16" t="s">
        <v>93</v>
      </c>
      <c r="D16" s="17"/>
      <c r="E16" s="17"/>
      <c r="F16" s="72">
        <v>1</v>
      </c>
      <c r="G16" s="75" t="s">
        <v>82</v>
      </c>
      <c r="H16" s="8"/>
      <c r="J16"/>
      <c r="P16"/>
      <c r="Q16"/>
      <c r="R16"/>
    </row>
    <row r="17" spans="1:18" ht="15.75" x14ac:dyDescent="0.3">
      <c r="C17" s="16" t="s">
        <v>147</v>
      </c>
      <c r="D17" s="17"/>
      <c r="E17" s="17"/>
      <c r="F17" s="6"/>
      <c r="G17" s="7"/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6" t="s">
        <v>144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99</v>
      </c>
      <c r="D19" s="17"/>
      <c r="E19" s="17"/>
      <c r="F19" s="45">
        <v>26.5</v>
      </c>
      <c r="G19" s="73" t="s">
        <v>81</v>
      </c>
      <c r="H19" s="74">
        <v>12</v>
      </c>
      <c r="J19"/>
      <c r="K19"/>
      <c r="L19"/>
      <c r="M19"/>
      <c r="N19"/>
      <c r="O19"/>
      <c r="P19"/>
      <c r="Q19"/>
      <c r="R19"/>
    </row>
    <row r="20" spans="1:18" ht="15.75" x14ac:dyDescent="0.3">
      <c r="C20" s="17" t="s">
        <v>145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</row>
    <row r="21" spans="1:18" ht="16.5" thickBot="1" x14ac:dyDescent="0.35">
      <c r="C21" s="17" t="s">
        <v>146</v>
      </c>
      <c r="D21" s="17"/>
      <c r="E21" s="17"/>
      <c r="F21" s="13"/>
      <c r="G21" s="14"/>
      <c r="H21" s="15"/>
      <c r="J21"/>
      <c r="K21"/>
      <c r="L21"/>
      <c r="M21"/>
      <c r="N21"/>
      <c r="O21"/>
      <c r="P21"/>
      <c r="Q21"/>
      <c r="R21"/>
    </row>
    <row r="22" spans="1:18" ht="15.75" x14ac:dyDescent="0.3">
      <c r="A22" s="4" t="s">
        <v>12</v>
      </c>
      <c r="C22" s="80" t="s">
        <v>142</v>
      </c>
      <c r="D22" s="5" t="s">
        <v>13</v>
      </c>
      <c r="E22" s="21" t="s">
        <v>143</v>
      </c>
      <c r="J22"/>
      <c r="K22"/>
      <c r="L22"/>
      <c r="M22"/>
      <c r="N22"/>
      <c r="O22"/>
      <c r="P22"/>
      <c r="Q22"/>
      <c r="R22"/>
    </row>
    <row r="23" spans="1:18" ht="15.75" x14ac:dyDescent="0.3">
      <c r="J23"/>
      <c r="K23"/>
      <c r="L23"/>
      <c r="M23"/>
      <c r="N23"/>
      <c r="O23"/>
      <c r="P23"/>
      <c r="Q23"/>
      <c r="R23"/>
    </row>
    <row r="24" spans="1:18" ht="15.75" x14ac:dyDescent="0.3">
      <c r="A24" s="4" t="s">
        <v>14</v>
      </c>
      <c r="C24" s="22">
        <v>135</v>
      </c>
      <c r="D24" s="21" t="s">
        <v>15</v>
      </c>
      <c r="E24" s="23">
        <v>100</v>
      </c>
      <c r="F24" s="24">
        <f>+C24</f>
        <v>135</v>
      </c>
      <c r="G24" s="25" t="s">
        <v>15</v>
      </c>
      <c r="H24" s="25">
        <f>+E24</f>
        <v>100</v>
      </c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16</v>
      </c>
      <c r="B25" s="3"/>
      <c r="C25" s="26">
        <f>+F15</f>
        <v>30.5</v>
      </c>
      <c r="D25" s="27" t="s">
        <v>15</v>
      </c>
      <c r="E25" s="26">
        <f>+H15</f>
        <v>16</v>
      </c>
      <c r="F25" s="28">
        <f>+E25</f>
        <v>16</v>
      </c>
      <c r="G25" s="28" t="s">
        <v>15</v>
      </c>
      <c r="H25" s="28">
        <f>+C25</f>
        <v>30.5</v>
      </c>
      <c r="I25" s="29"/>
      <c r="J25"/>
      <c r="K25"/>
      <c r="L25"/>
      <c r="M25"/>
      <c r="N25"/>
      <c r="O25"/>
      <c r="P25"/>
      <c r="Q25"/>
      <c r="R25"/>
    </row>
    <row r="26" spans="1:18" ht="16.5" thickBot="1" x14ac:dyDescent="0.35">
      <c r="A26" s="3" t="s">
        <v>17</v>
      </c>
      <c r="B26" s="30"/>
      <c r="C26" s="31">
        <f>+C24/C25</f>
        <v>4.4262295081967213</v>
      </c>
      <c r="D26" s="32"/>
      <c r="E26" s="31">
        <f>+E24/E25</f>
        <v>6.25</v>
      </c>
      <c r="F26" s="31">
        <f>+F24/F25</f>
        <v>8.4375</v>
      </c>
      <c r="G26" s="32"/>
      <c r="H26" s="31">
        <f>+H24/H25</f>
        <v>3.278688524590164</v>
      </c>
      <c r="I26" s="29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3"/>
      <c r="C27" s="34"/>
      <c r="D27" s="35">
        <v>24</v>
      </c>
      <c r="E27" s="36"/>
      <c r="F27" s="37"/>
      <c r="G27" s="38">
        <v>24</v>
      </c>
      <c r="H27" s="39" t="s">
        <v>19</v>
      </c>
      <c r="J27"/>
      <c r="K27"/>
      <c r="L27"/>
      <c r="M27"/>
      <c r="N27"/>
      <c r="O27"/>
      <c r="P27"/>
      <c r="Q27"/>
      <c r="R27"/>
    </row>
    <row r="28" spans="1:18" ht="15.75" x14ac:dyDescent="0.3">
      <c r="A28" s="3"/>
      <c r="B28" s="20"/>
      <c r="C28" s="29"/>
      <c r="G28" s="40"/>
      <c r="H28" s="29"/>
      <c r="J28"/>
      <c r="K28"/>
      <c r="L28"/>
      <c r="M28"/>
      <c r="N28"/>
      <c r="O28"/>
      <c r="P28"/>
      <c r="Q28"/>
      <c r="R28"/>
    </row>
    <row r="29" spans="1:18" ht="15.75" x14ac:dyDescent="0.3">
      <c r="A29" s="24" t="s">
        <v>20</v>
      </c>
      <c r="B29" s="24" t="s">
        <v>142</v>
      </c>
      <c r="D29" s="40" t="s">
        <v>21</v>
      </c>
      <c r="E29" s="41">
        <v>35</v>
      </c>
      <c r="G29" s="1" t="s">
        <v>22</v>
      </c>
      <c r="H29" s="42">
        <v>0</v>
      </c>
      <c r="J29"/>
      <c r="K29"/>
      <c r="L29"/>
      <c r="M29"/>
      <c r="N29"/>
      <c r="O29"/>
      <c r="P29"/>
      <c r="Q29"/>
      <c r="R29"/>
    </row>
    <row r="30" spans="1:18" ht="15.75" x14ac:dyDescent="0.3">
      <c r="A30" s="3"/>
      <c r="B30" s="3"/>
      <c r="C30" s="3"/>
      <c r="D30" s="43" t="s">
        <v>23</v>
      </c>
      <c r="E30" s="41">
        <f>+H29*E29</f>
        <v>0</v>
      </c>
      <c r="H30" s="42"/>
      <c r="I30" s="29"/>
      <c r="J30"/>
      <c r="K30"/>
      <c r="L30"/>
      <c r="M30"/>
      <c r="N30"/>
      <c r="O30"/>
      <c r="P30"/>
      <c r="Q30"/>
      <c r="R30"/>
    </row>
    <row r="31" spans="1:18" ht="15.75" x14ac:dyDescent="0.3">
      <c r="D31" s="43" t="s">
        <v>24</v>
      </c>
      <c r="E31" s="44">
        <f>+E29-E30</f>
        <v>35</v>
      </c>
      <c r="I31" s="29"/>
      <c r="J31"/>
      <c r="K31"/>
      <c r="L31"/>
      <c r="M31"/>
      <c r="N31"/>
      <c r="O31"/>
      <c r="P31"/>
      <c r="Q31"/>
      <c r="R31"/>
    </row>
    <row r="32" spans="1:18" ht="15.75" x14ac:dyDescent="0.3">
      <c r="E32" s="20" t="s">
        <v>26</v>
      </c>
      <c r="F32" s="20" t="s">
        <v>27</v>
      </c>
      <c r="G32" s="20" t="s">
        <v>27</v>
      </c>
      <c r="H32" s="20" t="s">
        <v>27</v>
      </c>
      <c r="I32" s="29"/>
      <c r="J32"/>
      <c r="K32"/>
      <c r="L32"/>
      <c r="M32"/>
      <c r="N32"/>
      <c r="O32"/>
      <c r="P32"/>
      <c r="Q32"/>
      <c r="R32"/>
    </row>
    <row r="33" spans="1:19" ht="15.75" x14ac:dyDescent="0.3">
      <c r="D33" s="40" t="s">
        <v>28</v>
      </c>
      <c r="E33" s="46">
        <f>+E31</f>
        <v>35</v>
      </c>
      <c r="F33" s="46">
        <v>0</v>
      </c>
      <c r="G33" s="46">
        <v>0</v>
      </c>
      <c r="H33" s="46">
        <v>0</v>
      </c>
      <c r="J33"/>
      <c r="K33"/>
      <c r="L33"/>
      <c r="M33"/>
      <c r="N33"/>
      <c r="O33"/>
      <c r="P33"/>
      <c r="Q33"/>
      <c r="R33"/>
    </row>
    <row r="34" spans="1:19" ht="15.75" x14ac:dyDescent="0.3">
      <c r="D34" s="40" t="s">
        <v>29</v>
      </c>
      <c r="E34" s="46">
        <f>+E33*1.1</f>
        <v>38.5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</row>
    <row r="35" spans="1:19" ht="16.5" thickBot="1" x14ac:dyDescent="0.35">
      <c r="A35" s="3"/>
      <c r="G35" s="40"/>
      <c r="J35"/>
      <c r="K35"/>
      <c r="L35"/>
      <c r="M35"/>
      <c r="N35"/>
      <c r="O35"/>
      <c r="P35"/>
      <c r="Q35"/>
      <c r="R35"/>
    </row>
    <row r="36" spans="1:19" ht="15.75" x14ac:dyDescent="0.3">
      <c r="A36" s="3"/>
      <c r="B36" s="20"/>
      <c r="C36" s="29"/>
      <c r="E36" s="10" t="s">
        <v>31</v>
      </c>
      <c r="F36" s="11" t="s">
        <v>32</v>
      </c>
      <c r="G36" s="11"/>
      <c r="H36" s="12"/>
      <c r="J36"/>
      <c r="K36"/>
      <c r="L36"/>
      <c r="M36"/>
      <c r="N36"/>
      <c r="O36"/>
      <c r="P36"/>
      <c r="Q36"/>
      <c r="R36"/>
    </row>
    <row r="37" spans="1:19" ht="16.5" thickBot="1" x14ac:dyDescent="0.35">
      <c r="A37" s="4" t="s">
        <v>33</v>
      </c>
      <c r="C37" s="47">
        <v>20</v>
      </c>
      <c r="D37" s="48" t="s">
        <v>34</v>
      </c>
      <c r="E37" s="13"/>
      <c r="F37" s="14" t="s">
        <v>35</v>
      </c>
      <c r="G37" s="14"/>
      <c r="H37" s="15"/>
      <c r="J37"/>
      <c r="K37"/>
      <c r="L37"/>
      <c r="M37"/>
      <c r="N37"/>
      <c r="O37"/>
      <c r="P37"/>
      <c r="Q37"/>
      <c r="R37"/>
    </row>
    <row r="38" spans="1:19" ht="15.75" x14ac:dyDescent="0.3">
      <c r="A38" s="4"/>
      <c r="C38" s="20"/>
      <c r="D38" s="1" t="s">
        <v>36</v>
      </c>
      <c r="E38" s="3"/>
      <c r="F38" s="3"/>
      <c r="J38"/>
      <c r="K38"/>
      <c r="L38"/>
      <c r="M38"/>
      <c r="N38"/>
      <c r="O38"/>
      <c r="P38"/>
      <c r="Q38"/>
      <c r="R38"/>
    </row>
    <row r="39" spans="1:19" ht="15.75" x14ac:dyDescent="0.3">
      <c r="A39" s="4" t="s">
        <v>37</v>
      </c>
      <c r="B39" s="5"/>
      <c r="C39" s="49">
        <f>+B47/F16</f>
        <v>300</v>
      </c>
      <c r="D39" s="23">
        <f>+'cartón caja'!D40</f>
        <v>60</v>
      </c>
      <c r="F39" s="43" t="s">
        <v>38</v>
      </c>
      <c r="G39" s="22">
        <v>1</v>
      </c>
      <c r="H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39</v>
      </c>
      <c r="C40" s="33">
        <f>+C39+D39</f>
        <v>360</v>
      </c>
      <c r="F40" s="43" t="s">
        <v>40</v>
      </c>
      <c r="G40" s="22">
        <v>2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41</v>
      </c>
      <c r="C41" s="33">
        <f>+C40/C37</f>
        <v>18</v>
      </c>
      <c r="F41" s="43" t="s">
        <v>42</v>
      </c>
      <c r="G41" s="22"/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91</v>
      </c>
      <c r="C42" s="20">
        <f>+(C41*C37)*F16</f>
        <v>360</v>
      </c>
      <c r="F42" s="40" t="s">
        <v>43</v>
      </c>
      <c r="G42" s="22">
        <f>+C39/100</f>
        <v>3</v>
      </c>
      <c r="H42" s="3"/>
      <c r="J42"/>
      <c r="K42"/>
      <c r="L42"/>
      <c r="M42"/>
      <c r="N42"/>
      <c r="O42"/>
      <c r="P42" s="73"/>
      <c r="Q42" s="7"/>
      <c r="R42" s="7"/>
    </row>
    <row r="43" spans="1:19" ht="15.75" x14ac:dyDescent="0.3">
      <c r="A43" s="4"/>
      <c r="C43" s="50"/>
      <c r="F43" s="43" t="s">
        <v>44</v>
      </c>
      <c r="G43" s="47">
        <f>+C40</f>
        <v>360</v>
      </c>
      <c r="H43" s="3"/>
      <c r="J43"/>
      <c r="K43"/>
      <c r="L43"/>
      <c r="M43"/>
      <c r="N43"/>
      <c r="O43"/>
      <c r="P43" s="73"/>
      <c r="Q43" s="7"/>
      <c r="R43" s="7"/>
    </row>
    <row r="44" spans="1:19" ht="15.75" x14ac:dyDescent="0.3">
      <c r="A44" s="4"/>
      <c r="C44" s="20"/>
      <c r="E44" s="43"/>
      <c r="F44" s="43"/>
      <c r="G44" s="29"/>
      <c r="I44" s="3"/>
      <c r="J44"/>
      <c r="K44"/>
      <c r="L44"/>
      <c r="M44"/>
      <c r="N44"/>
      <c r="O44"/>
      <c r="P44" s="73"/>
      <c r="Q44" s="7"/>
      <c r="R44" s="7"/>
    </row>
    <row r="45" spans="1:19" ht="15.75" x14ac:dyDescent="0.3">
      <c r="A45" s="4" t="s">
        <v>45</v>
      </c>
      <c r="C45" s="24">
        <f>+C41*C37</f>
        <v>360</v>
      </c>
      <c r="F45" s="43"/>
      <c r="G45" s="29"/>
      <c r="H45" s="3"/>
      <c r="J45"/>
      <c r="K45"/>
      <c r="L45"/>
      <c r="M45"/>
      <c r="N45"/>
      <c r="O45"/>
      <c r="P45" s="73"/>
      <c r="Q45" s="7"/>
      <c r="R45" s="7"/>
    </row>
    <row r="46" spans="1:19" ht="15.75" x14ac:dyDescent="0.3">
      <c r="A46" s="3"/>
      <c r="B46" s="3"/>
      <c r="C46" s="3"/>
      <c r="D46" s="3"/>
      <c r="E46" s="3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 t="s">
        <v>76</v>
      </c>
      <c r="B47" s="20">
        <f>+'cartón caja'!B48</f>
        <v>300</v>
      </c>
      <c r="C47" s="3"/>
      <c r="D47" s="24" t="s">
        <v>46</v>
      </c>
      <c r="E47" s="24" t="s">
        <v>47</v>
      </c>
      <c r="F47" s="24" t="s">
        <v>48</v>
      </c>
      <c r="G47" s="24" t="s">
        <v>49</v>
      </c>
      <c r="H47" s="24" t="s">
        <v>50</v>
      </c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51" t="s">
        <v>51</v>
      </c>
      <c r="B48" s="52"/>
      <c r="C48" s="3"/>
      <c r="D48" s="20">
        <v>1</v>
      </c>
      <c r="E48" s="20">
        <v>1</v>
      </c>
      <c r="F48" s="20" t="s">
        <v>110</v>
      </c>
      <c r="G48" s="29">
        <v>240</v>
      </c>
      <c r="H48" s="29">
        <f>+(D48*E48)*G48</f>
        <v>240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53</v>
      </c>
      <c r="B49" s="53">
        <f>+E33*C41</f>
        <v>630</v>
      </c>
      <c r="C49" s="3"/>
      <c r="D49" s="20">
        <v>1</v>
      </c>
      <c r="E49" s="20">
        <v>3</v>
      </c>
      <c r="F49" s="20" t="s">
        <v>77</v>
      </c>
      <c r="G49" s="29">
        <v>120</v>
      </c>
      <c r="H49" s="29">
        <f>+(D49*E49)*G49</f>
        <v>360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11</v>
      </c>
      <c r="B50" s="53">
        <f>+H59</f>
        <v>1120</v>
      </c>
      <c r="C50" s="3"/>
      <c r="D50" s="20">
        <v>0</v>
      </c>
      <c r="E50" s="20">
        <v>0</v>
      </c>
      <c r="F50" s="20" t="s">
        <v>135</v>
      </c>
      <c r="G50" s="29">
        <v>140</v>
      </c>
      <c r="H50" s="29">
        <f>+G50*E50*D50</f>
        <v>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133</v>
      </c>
      <c r="B51" s="53">
        <v>400</v>
      </c>
      <c r="C51" s="3"/>
      <c r="D51" s="20">
        <v>1</v>
      </c>
      <c r="E51" s="20">
        <v>1</v>
      </c>
      <c r="F51" s="20" t="s">
        <v>100</v>
      </c>
      <c r="G51" s="29">
        <v>250</v>
      </c>
      <c r="H51" s="29">
        <f t="shared" ref="H51:H53" si="0">+G51*E51</f>
        <v>250</v>
      </c>
      <c r="I51" s="29">
        <f>+(B77/100)*2</f>
        <v>241.38</v>
      </c>
      <c r="J51"/>
      <c r="K51"/>
      <c r="L51"/>
      <c r="M51"/>
      <c r="N51"/>
      <c r="O51"/>
      <c r="P51"/>
      <c r="Q51"/>
      <c r="R51"/>
      <c r="S51"/>
    </row>
    <row r="52" spans="1:21" ht="16.5" x14ac:dyDescent="0.3">
      <c r="A52" s="55" t="str">
        <f>+G89</f>
        <v>Velcro</v>
      </c>
      <c r="B52" s="53">
        <f>+G101</f>
        <v>820</v>
      </c>
      <c r="C52" s="3"/>
      <c r="D52" s="20">
        <v>1</v>
      </c>
      <c r="E52" s="20">
        <v>1</v>
      </c>
      <c r="F52" s="20" t="s">
        <v>78</v>
      </c>
      <c r="G52" s="29">
        <v>135</v>
      </c>
      <c r="H52" s="29">
        <f t="shared" si="0"/>
        <v>135</v>
      </c>
      <c r="I52" s="54"/>
      <c r="J52"/>
      <c r="K52"/>
      <c r="L52"/>
      <c r="M52"/>
      <c r="N52"/>
      <c r="O52"/>
      <c r="P52"/>
      <c r="Q52"/>
      <c r="R52"/>
      <c r="S52"/>
    </row>
    <row r="53" spans="1:21" ht="15.75" x14ac:dyDescent="0.3">
      <c r="A53" s="55" t="s">
        <v>97</v>
      </c>
      <c r="B53" s="53">
        <f>(5*B47)*1.1</f>
        <v>1650.0000000000002</v>
      </c>
      <c r="C53" s="3"/>
      <c r="D53" s="20">
        <v>1</v>
      </c>
      <c r="E53" s="20">
        <v>1</v>
      </c>
      <c r="F53" s="20" t="s">
        <v>79</v>
      </c>
      <c r="G53" s="29">
        <v>135</v>
      </c>
      <c r="H53" s="29">
        <f t="shared" si="0"/>
        <v>135</v>
      </c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tr">
        <f>+C89</f>
        <v>Cojín Yolanda Cajas</v>
      </c>
      <c r="B54" s="53">
        <f>+C101</f>
        <v>3300</v>
      </c>
      <c r="D54" s="20">
        <v>0</v>
      </c>
      <c r="E54" s="20">
        <v>0</v>
      </c>
      <c r="F54" s="20" t="s">
        <v>131</v>
      </c>
      <c r="G54" s="29">
        <v>295</v>
      </c>
      <c r="H54" s="29">
        <f>+G54*E54</f>
        <v>0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111</v>
      </c>
      <c r="B55" s="53">
        <v>300</v>
      </c>
      <c r="D55" s="20">
        <v>0</v>
      </c>
      <c r="E55" s="20">
        <v>0</v>
      </c>
      <c r="F55" s="20" t="s">
        <v>132</v>
      </c>
      <c r="G55" s="29">
        <v>200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x14ac:dyDescent="0.3">
      <c r="A56" s="55" t="s">
        <v>123</v>
      </c>
      <c r="B56" s="53">
        <v>300</v>
      </c>
      <c r="D56" s="20">
        <v>0</v>
      </c>
      <c r="E56" s="20">
        <v>0</v>
      </c>
      <c r="F56" s="20" t="s">
        <v>55</v>
      </c>
      <c r="G56" s="29">
        <v>1.5</v>
      </c>
      <c r="H56" s="29">
        <f t="shared" ref="H56:H57" si="1">+G56*E56</f>
        <v>0</v>
      </c>
    </row>
    <row r="57" spans="1:21" x14ac:dyDescent="0.3">
      <c r="A57" s="51" t="s">
        <v>56</v>
      </c>
      <c r="B57" s="56">
        <f>SUM(B49:B55)</f>
        <v>8220</v>
      </c>
      <c r="C57" s="3"/>
      <c r="D57" s="20">
        <v>0</v>
      </c>
      <c r="E57" s="20">
        <v>0</v>
      </c>
      <c r="F57" s="3" t="s">
        <v>57</v>
      </c>
      <c r="G57" s="29">
        <f>+P48</f>
        <v>0</v>
      </c>
      <c r="H57" s="29">
        <f t="shared" si="1"/>
        <v>0</v>
      </c>
    </row>
    <row r="58" spans="1:21" ht="15.75" x14ac:dyDescent="0.3">
      <c r="A58" s="9"/>
      <c r="B58" s="57"/>
      <c r="C58" s="3"/>
      <c r="D58" s="20"/>
      <c r="E58" s="20"/>
      <c r="F58" s="3"/>
      <c r="G58" s="3"/>
      <c r="H58" s="29">
        <f t="shared" ref="H58" si="2">+G58*E58</f>
        <v>0</v>
      </c>
      <c r="S58"/>
      <c r="T58"/>
      <c r="U58"/>
    </row>
    <row r="59" spans="1:21" ht="15.75" x14ac:dyDescent="0.3">
      <c r="A59" s="9"/>
      <c r="B59" s="31">
        <f>+B57/B47</f>
        <v>27.4</v>
      </c>
      <c r="C59" s="4" t="s">
        <v>59</v>
      </c>
      <c r="D59" s="3"/>
      <c r="E59" s="3"/>
      <c r="F59" s="3"/>
      <c r="G59" s="60" t="s">
        <v>60</v>
      </c>
      <c r="H59" s="31">
        <f>SUM(H48:H58)</f>
        <v>1120</v>
      </c>
      <c r="S59"/>
      <c r="T59"/>
      <c r="U59"/>
    </row>
    <row r="60" spans="1:21" ht="15.75" x14ac:dyDescent="0.3">
      <c r="A60" s="3"/>
      <c r="B60" s="3"/>
      <c r="D60" s="3"/>
      <c r="E60" s="3"/>
      <c r="F60" s="3"/>
      <c r="S60"/>
      <c r="T60"/>
      <c r="U60"/>
    </row>
    <row r="61" spans="1:21" ht="15.75" x14ac:dyDescent="0.3">
      <c r="D61" s="3"/>
      <c r="E61" s="3"/>
      <c r="S61"/>
      <c r="T61"/>
      <c r="U61"/>
    </row>
    <row r="62" spans="1:21" ht="15.75" x14ac:dyDescent="0.3">
      <c r="D62" s="3"/>
      <c r="E62" s="3"/>
      <c r="S62"/>
      <c r="T62"/>
      <c r="U62"/>
    </row>
    <row r="63" spans="1:21" ht="15.75" x14ac:dyDescent="0.3">
      <c r="D63" s="3"/>
      <c r="E63" s="3"/>
      <c r="S63"/>
      <c r="T63"/>
      <c r="U63"/>
    </row>
    <row r="64" spans="1:21" ht="15.75" x14ac:dyDescent="0.3">
      <c r="D64" s="3"/>
      <c r="E64" s="3"/>
      <c r="S64"/>
      <c r="T64"/>
      <c r="U64"/>
    </row>
    <row r="65" spans="1:21" ht="15.75" x14ac:dyDescent="0.3">
      <c r="D65" s="3"/>
      <c r="E65" s="3"/>
      <c r="S65"/>
      <c r="T65"/>
      <c r="U65"/>
    </row>
    <row r="66" spans="1:21" ht="15.75" x14ac:dyDescent="0.3">
      <c r="A66" s="4" t="s">
        <v>63</v>
      </c>
      <c r="B66" s="3"/>
      <c r="C66" s="3"/>
      <c r="E66" s="31"/>
      <c r="G66" s="5" t="s">
        <v>61</v>
      </c>
      <c r="H66" s="76">
        <v>1.4</v>
      </c>
      <c r="S66"/>
      <c r="T66"/>
      <c r="U66"/>
    </row>
    <row r="67" spans="1:21" ht="15.75" x14ac:dyDescent="0.3">
      <c r="A67" s="3"/>
      <c r="B67" s="4" t="s">
        <v>66</v>
      </c>
      <c r="C67" s="24"/>
      <c r="D67" s="3"/>
      <c r="E67" s="3"/>
      <c r="F67" s="3"/>
      <c r="G67" s="1" t="s">
        <v>64</v>
      </c>
      <c r="H67" s="61">
        <v>1.75</v>
      </c>
      <c r="S67"/>
      <c r="T67"/>
      <c r="U67"/>
    </row>
    <row r="68" spans="1:21" ht="15.75" x14ac:dyDescent="0.3">
      <c r="A68" s="51" t="s">
        <v>69</v>
      </c>
      <c r="B68" s="52"/>
      <c r="C68" s="3"/>
      <c r="D68" s="3"/>
      <c r="E68" s="3"/>
      <c r="F68" s="3"/>
      <c r="G68" s="1" t="s">
        <v>64</v>
      </c>
      <c r="H68" s="61">
        <v>2</v>
      </c>
      <c r="S68"/>
      <c r="T68"/>
      <c r="U68"/>
    </row>
    <row r="69" spans="1:21" ht="15.75" x14ac:dyDescent="0.3">
      <c r="A69" s="52" t="s">
        <v>53</v>
      </c>
      <c r="B69" s="53">
        <f>+E34*C41</f>
        <v>693</v>
      </c>
      <c r="C69" s="62"/>
      <c r="G69" s="5" t="s">
        <v>80</v>
      </c>
      <c r="H69" s="61">
        <v>2.5</v>
      </c>
      <c r="S69"/>
      <c r="T69"/>
      <c r="U69"/>
    </row>
    <row r="70" spans="1:21" ht="15.75" x14ac:dyDescent="0.3">
      <c r="A70" s="52" t="s">
        <v>11</v>
      </c>
      <c r="B70" s="53">
        <f>+H59*H66</f>
        <v>1568</v>
      </c>
      <c r="C70" s="62"/>
      <c r="S70"/>
      <c r="T70"/>
      <c r="U70"/>
    </row>
    <row r="71" spans="1:21" ht="15.75" x14ac:dyDescent="0.3">
      <c r="A71" s="52" t="str">
        <f t="shared" ref="A71:A76" si="3">+A51</f>
        <v>Tabla de suaje + Placa</v>
      </c>
      <c r="B71" s="53">
        <f>+B51*H66</f>
        <v>560</v>
      </c>
      <c r="C71" s="62"/>
      <c r="G71" s="63" t="s">
        <v>71</v>
      </c>
      <c r="H71" s="31">
        <f>+B59</f>
        <v>27.4</v>
      </c>
      <c r="I71" s="64">
        <f>+H71*B47</f>
        <v>8220</v>
      </c>
      <c r="S71"/>
      <c r="T71"/>
      <c r="U71"/>
    </row>
    <row r="72" spans="1:21" ht="15.75" x14ac:dyDescent="0.3">
      <c r="A72" s="52" t="str">
        <f t="shared" si="3"/>
        <v>Velcro</v>
      </c>
      <c r="B72" s="53">
        <f>+G102</f>
        <v>1148</v>
      </c>
      <c r="C72" s="62"/>
      <c r="G72" s="63" t="s">
        <v>73</v>
      </c>
      <c r="H72" s="31">
        <f>+C77</f>
        <v>40.229999999999997</v>
      </c>
      <c r="I72" s="64">
        <f>+H72*B47</f>
        <v>12068.999999999998</v>
      </c>
      <c r="S72"/>
      <c r="T72"/>
      <c r="U72"/>
    </row>
    <row r="73" spans="1:21" ht="15.75" x14ac:dyDescent="0.3">
      <c r="A73" s="52" t="str">
        <f t="shared" si="3"/>
        <v>Encuadernación</v>
      </c>
      <c r="B73" s="53">
        <f>+B53*H66</f>
        <v>2310</v>
      </c>
      <c r="C73" s="65"/>
      <c r="G73" s="66" t="s">
        <v>74</v>
      </c>
      <c r="H73" s="67">
        <f>+H72-H71</f>
        <v>12.829999999999998</v>
      </c>
      <c r="I73" s="82">
        <f>+H73*B47</f>
        <v>3848.9999999999995</v>
      </c>
      <c r="S73"/>
      <c r="T73"/>
      <c r="U73"/>
    </row>
    <row r="74" spans="1:21" ht="15.75" x14ac:dyDescent="0.3">
      <c r="A74" s="52" t="str">
        <f t="shared" si="3"/>
        <v>Cojín Yolanda Cajas</v>
      </c>
      <c r="B74" s="53">
        <f>+C102</f>
        <v>4950</v>
      </c>
      <c r="C74" s="65"/>
      <c r="G74" s="130" t="s">
        <v>112</v>
      </c>
      <c r="H74" s="130"/>
      <c r="I74" s="85">
        <f>+(A83/100)*2.5</f>
        <v>658.81217800000002</v>
      </c>
      <c r="S74"/>
      <c r="T74"/>
      <c r="U74"/>
    </row>
    <row r="75" spans="1:21" ht="15.75" x14ac:dyDescent="0.3">
      <c r="A75" s="52" t="str">
        <f t="shared" si="3"/>
        <v>Empaque</v>
      </c>
      <c r="B75" s="53">
        <f>+B55*H66</f>
        <v>420</v>
      </c>
      <c r="C75" s="65"/>
      <c r="S75"/>
      <c r="T75"/>
      <c r="U75"/>
    </row>
    <row r="76" spans="1:21" ht="15.75" x14ac:dyDescent="0.3">
      <c r="A76" s="52" t="str">
        <f t="shared" si="3"/>
        <v>Envio</v>
      </c>
      <c r="B76" s="53">
        <f>+B56*H66</f>
        <v>420</v>
      </c>
      <c r="C76" s="67" t="s">
        <v>121</v>
      </c>
      <c r="D76" s="25"/>
      <c r="E76" s="25"/>
      <c r="F76" s="25" t="s">
        <v>71</v>
      </c>
      <c r="S76"/>
      <c r="T76"/>
      <c r="U76"/>
    </row>
    <row r="77" spans="1:21" ht="15.75" x14ac:dyDescent="0.3">
      <c r="A77" s="51" t="s">
        <v>56</v>
      </c>
      <c r="B77" s="56">
        <f>SUM(B68:B76)</f>
        <v>12069</v>
      </c>
      <c r="C77" s="67">
        <f>+B77/B47</f>
        <v>40.229999999999997</v>
      </c>
      <c r="D77" s="5" t="s">
        <v>130</v>
      </c>
      <c r="F77" s="77">
        <f>+B59</f>
        <v>27.4</v>
      </c>
      <c r="G77" s="7"/>
      <c r="S77"/>
      <c r="T77"/>
      <c r="U77"/>
    </row>
    <row r="78" spans="1:21" ht="15.75" x14ac:dyDescent="0.3">
      <c r="C78" s="77">
        <f>+'forro guarda'!C73</f>
        <v>4.7366666666666664</v>
      </c>
      <c r="D78" s="5" t="str">
        <f>+'forro guarda'!D73</f>
        <v>forro guarda</v>
      </c>
      <c r="F78" s="77">
        <f>+'forro guarda'!B60</f>
        <v>3.5333333333333332</v>
      </c>
      <c r="S78"/>
    </row>
    <row r="79" spans="1:21" x14ac:dyDescent="0.3">
      <c r="C79" s="77">
        <f>+'forro caja EXT'!C73</f>
        <v>31.243333333333332</v>
      </c>
      <c r="D79" s="5" t="str">
        <f>+'forro caja EXT'!D73</f>
        <v>forro caja EXT</v>
      </c>
      <c r="E79" s="5"/>
      <c r="F79" s="77">
        <f>+'forro caja EXT'!B60</f>
        <v>23.066666666666666</v>
      </c>
    </row>
    <row r="80" spans="1:21" x14ac:dyDescent="0.3">
      <c r="A80" s="5"/>
      <c r="C80" s="77">
        <f>+'forro caja INT'!C73</f>
        <v>6.1964690666666664</v>
      </c>
      <c r="D80" s="5" t="str">
        <f>+'forro caja INT'!D73</f>
        <v>forro caja INT</v>
      </c>
      <c r="E80" s="5"/>
      <c r="F80" s="77">
        <f>+'forro caja INT'!B60</f>
        <v>4.8760493333333335</v>
      </c>
      <c r="J80" s="7"/>
    </row>
    <row r="81" spans="1:18" x14ac:dyDescent="0.3">
      <c r="B81" s="69"/>
      <c r="C81" s="77">
        <f>+'cartón cartera'!C72</f>
        <v>1.9529013333333334</v>
      </c>
      <c r="D81" s="5" t="str">
        <f>+'cartón cartera'!D72</f>
        <v>cartón cartera</v>
      </c>
      <c r="E81" s="5"/>
      <c r="F81" s="77">
        <f>+'cartón cartera'!B60</f>
        <v>1.5935466666666664</v>
      </c>
    </row>
    <row r="82" spans="1:18" x14ac:dyDescent="0.3">
      <c r="C82" s="79">
        <f>+'cartón caja'!C72</f>
        <v>3.482253333333333</v>
      </c>
      <c r="D82" s="5" t="str">
        <f>+'cartón caja'!D72</f>
        <v>cartón caja</v>
      </c>
      <c r="E82" s="5"/>
      <c r="F82" s="79">
        <f>+'cartón caja'!B60</f>
        <v>2.9838666666666667</v>
      </c>
    </row>
    <row r="83" spans="1:18" ht="15.75" customHeight="1" x14ac:dyDescent="0.3">
      <c r="A83" s="129">
        <f>+C83*B47</f>
        <v>26352.487119999998</v>
      </c>
      <c r="B83" s="129"/>
      <c r="C83" s="81">
        <f>SUM(C77:C82)</f>
        <v>87.841623733333321</v>
      </c>
      <c r="D83" s="5" t="s">
        <v>101</v>
      </c>
      <c r="F83" s="83">
        <f>SUM(F77:F82)</f>
        <v>63.453462666666667</v>
      </c>
      <c r="G83" s="84">
        <f>+F83*B47</f>
        <v>19036.038799999998</v>
      </c>
      <c r="I83" s="128">
        <f>+A83-G83</f>
        <v>7316.4483199999995</v>
      </c>
      <c r="J83" s="128"/>
    </row>
    <row r="85" spans="1:18" x14ac:dyDescent="0.3">
      <c r="J85" s="71"/>
    </row>
    <row r="87" spans="1:18" x14ac:dyDescent="0.3">
      <c r="A87" s="5" t="s">
        <v>162</v>
      </c>
    </row>
    <row r="88" spans="1:18" x14ac:dyDescent="0.3">
      <c r="C88" s="5"/>
    </row>
    <row r="89" spans="1:18" x14ac:dyDescent="0.3">
      <c r="B89" s="60" t="s">
        <v>58</v>
      </c>
      <c r="C89" s="126" t="s">
        <v>157</v>
      </c>
      <c r="D89" s="127"/>
      <c r="F89" s="60" t="s">
        <v>58</v>
      </c>
      <c r="G89" s="126" t="s">
        <v>159</v>
      </c>
      <c r="H89" s="127"/>
    </row>
    <row r="90" spans="1:18" x14ac:dyDescent="0.3">
      <c r="B90" s="40" t="s">
        <v>1</v>
      </c>
      <c r="C90" s="58" t="s">
        <v>155</v>
      </c>
      <c r="D90" s="59"/>
      <c r="F90" s="40" t="s">
        <v>1</v>
      </c>
      <c r="G90" s="58"/>
      <c r="H90" s="59"/>
    </row>
    <row r="91" spans="1:18" ht="16.5" x14ac:dyDescent="0.3">
      <c r="B91" s="40" t="s">
        <v>13</v>
      </c>
      <c r="C91" s="86" t="s">
        <v>156</v>
      </c>
      <c r="D91" s="59"/>
      <c r="F91" s="40" t="s">
        <v>13</v>
      </c>
      <c r="G91" s="86" t="s">
        <v>160</v>
      </c>
      <c r="H91" s="59"/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B92" s="40" t="s">
        <v>62</v>
      </c>
      <c r="C92" s="86"/>
      <c r="D92" s="59" t="s">
        <v>114</v>
      </c>
      <c r="F92" s="40" t="s">
        <v>62</v>
      </c>
      <c r="G92" s="86"/>
      <c r="H92" s="59" t="s">
        <v>114</v>
      </c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B93" s="40" t="s">
        <v>65</v>
      </c>
      <c r="C93" s="86"/>
      <c r="D93" s="59"/>
      <c r="F93" s="40" t="s">
        <v>65</v>
      </c>
      <c r="G93" s="86" t="s">
        <v>161</v>
      </c>
      <c r="H93" s="59"/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B94" s="40" t="s">
        <v>68</v>
      </c>
      <c r="C94" s="86">
        <f>+B47*1.1</f>
        <v>330</v>
      </c>
      <c r="D94" s="87">
        <f>+((B46*60)*2)</f>
        <v>0</v>
      </c>
      <c r="F94" s="40" t="s">
        <v>68</v>
      </c>
      <c r="G94" s="86">
        <v>1</v>
      </c>
      <c r="H94" s="87"/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B95" s="40" t="s">
        <v>70</v>
      </c>
      <c r="C95" s="88"/>
      <c r="D95" s="59"/>
      <c r="F95" s="40" t="s">
        <v>70</v>
      </c>
      <c r="G95" s="88"/>
      <c r="H95" s="59"/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B96" s="40" t="s">
        <v>115</v>
      </c>
      <c r="C96" s="88">
        <v>8</v>
      </c>
      <c r="D96" s="89" t="s">
        <v>158</v>
      </c>
      <c r="F96" s="40" t="s">
        <v>115</v>
      </c>
      <c r="G96" s="88">
        <v>490</v>
      </c>
      <c r="H96" s="89"/>
      <c r="J96" s="54"/>
      <c r="K96" s="54"/>
      <c r="L96" s="54"/>
      <c r="M96" s="54"/>
      <c r="N96" s="54"/>
      <c r="O96" s="54"/>
      <c r="P96" s="54"/>
      <c r="Q96" s="54"/>
      <c r="R96" s="54"/>
    </row>
    <row r="97" spans="1:18" ht="16.5" x14ac:dyDescent="0.3">
      <c r="B97" s="60" t="s">
        <v>72</v>
      </c>
      <c r="C97" s="114">
        <f>+C96*C94</f>
        <v>2640</v>
      </c>
      <c r="D97" s="89"/>
      <c r="F97" s="60" t="s">
        <v>72</v>
      </c>
      <c r="G97" s="114">
        <f>+G96*G94</f>
        <v>490</v>
      </c>
      <c r="H97" s="59"/>
      <c r="J97" s="54"/>
      <c r="K97" s="54"/>
      <c r="L97" s="54"/>
      <c r="M97" s="54"/>
      <c r="N97" s="54"/>
      <c r="O97" s="54"/>
      <c r="P97" s="54"/>
      <c r="Q97" s="54"/>
      <c r="R97" s="54"/>
    </row>
    <row r="98" spans="1:18" ht="16.5" x14ac:dyDescent="0.3">
      <c r="B98" s="40" t="s">
        <v>113</v>
      </c>
      <c r="C98" s="88">
        <v>0</v>
      </c>
      <c r="D98" s="59"/>
      <c r="F98" s="40" t="s">
        <v>113</v>
      </c>
      <c r="G98" s="88">
        <v>0</v>
      </c>
      <c r="H98" s="59"/>
      <c r="J98" s="54"/>
      <c r="K98" s="54"/>
      <c r="L98" s="54"/>
      <c r="M98" s="54"/>
      <c r="N98" s="54"/>
      <c r="O98" s="54"/>
      <c r="P98" s="54"/>
      <c r="Q98" s="54"/>
      <c r="R98" s="54"/>
    </row>
    <row r="99" spans="1:18" ht="16.5" x14ac:dyDescent="0.3">
      <c r="B99" s="40" t="s">
        <v>116</v>
      </c>
      <c r="C99" s="88">
        <v>0</v>
      </c>
      <c r="D99" s="59"/>
      <c r="F99" s="40" t="s">
        <v>116</v>
      </c>
      <c r="G99" s="88">
        <f>(1*B47)*1.1</f>
        <v>330</v>
      </c>
      <c r="H99" s="59"/>
      <c r="J99" s="54"/>
      <c r="K99" s="54"/>
      <c r="L99" s="54"/>
      <c r="M99" s="54"/>
      <c r="N99" s="54"/>
      <c r="O99" s="54"/>
      <c r="P99" s="54"/>
      <c r="Q99" s="54"/>
      <c r="R99" s="54"/>
    </row>
    <row r="100" spans="1:18" ht="16.5" x14ac:dyDescent="0.3">
      <c r="B100" s="1" t="s">
        <v>117</v>
      </c>
      <c r="C100" s="88">
        <f>+((2*1)*B47)*1.1</f>
        <v>660</v>
      </c>
      <c r="D100" s="59"/>
      <c r="F100" s="1" t="s">
        <v>117</v>
      </c>
      <c r="G100" s="88">
        <v>0</v>
      </c>
      <c r="H100" s="59"/>
      <c r="J100" s="54"/>
      <c r="K100" s="54"/>
      <c r="L100" s="54"/>
      <c r="M100" s="54"/>
      <c r="N100" s="54"/>
      <c r="O100" s="54"/>
      <c r="P100" s="54"/>
      <c r="Q100" s="54"/>
      <c r="R100" s="54"/>
    </row>
    <row r="101" spans="1:18" x14ac:dyDescent="0.3">
      <c r="B101" s="40" t="s">
        <v>118</v>
      </c>
      <c r="C101" s="90">
        <f>+C100+C97</f>
        <v>3300</v>
      </c>
      <c r="D101" s="91">
        <f>+C101/B47</f>
        <v>11</v>
      </c>
      <c r="E101" s="1" t="s">
        <v>120</v>
      </c>
      <c r="F101" s="40" t="s">
        <v>118</v>
      </c>
      <c r="G101" s="90">
        <f>+G99+G96</f>
        <v>820</v>
      </c>
      <c r="H101" s="91">
        <f>+G101/B47</f>
        <v>2.7333333333333334</v>
      </c>
      <c r="I101" s="1" t="s">
        <v>120</v>
      </c>
    </row>
    <row r="102" spans="1:18" x14ac:dyDescent="0.3">
      <c r="B102" s="40" t="s">
        <v>119</v>
      </c>
      <c r="C102" s="90">
        <f>+C101*1.5</f>
        <v>4950</v>
      </c>
      <c r="D102" s="91">
        <f>+C102/B47</f>
        <v>16.5</v>
      </c>
      <c r="E102" s="1" t="s">
        <v>120</v>
      </c>
      <c r="F102" s="40" t="s">
        <v>119</v>
      </c>
      <c r="G102" s="90">
        <f>+G101*1.4</f>
        <v>1148</v>
      </c>
      <c r="H102" s="91">
        <f>+G102/B47</f>
        <v>3.8266666666666667</v>
      </c>
      <c r="I102" s="1" t="s">
        <v>120</v>
      </c>
    </row>
    <row r="103" spans="1:18" x14ac:dyDescent="0.3">
      <c r="C103" s="58"/>
      <c r="D103" s="59"/>
      <c r="G103" s="58"/>
      <c r="H103" s="59"/>
    </row>
    <row r="104" spans="1:18" x14ac:dyDescent="0.3">
      <c r="C104" s="58"/>
      <c r="D104" s="59"/>
      <c r="G104" s="58"/>
      <c r="H104" s="59"/>
    </row>
    <row r="107" spans="1:18" ht="16.5" thickBot="1" x14ac:dyDescent="0.35">
      <c r="B107"/>
      <c r="C107"/>
      <c r="D107"/>
      <c r="E107"/>
    </row>
    <row r="108" spans="1:18" ht="15" thickBot="1" x14ac:dyDescent="0.35">
      <c r="A108" s="111"/>
      <c r="B108" s="112" t="s">
        <v>136</v>
      </c>
      <c r="C108" s="112" t="s">
        <v>137</v>
      </c>
      <c r="D108" s="112" t="s">
        <v>140</v>
      </c>
      <c r="E108" s="113" t="s">
        <v>139</v>
      </c>
    </row>
    <row r="109" spans="1:18" x14ac:dyDescent="0.3">
      <c r="A109" s="106" t="str">
        <f t="shared" ref="A109:A114" si="4">+D77</f>
        <v>forro cartera</v>
      </c>
      <c r="B109" s="107" t="str">
        <f>+'forro guarda'!C23</f>
        <v>Villatoro</v>
      </c>
      <c r="C109" s="108">
        <f>+E33</f>
        <v>35</v>
      </c>
      <c r="D109" s="109">
        <v>15</v>
      </c>
      <c r="E109" s="110">
        <f>+C109*D109</f>
        <v>525</v>
      </c>
    </row>
    <row r="110" spans="1:18" x14ac:dyDescent="0.3">
      <c r="A110" s="98" t="str">
        <f t="shared" si="4"/>
        <v>forro guarda</v>
      </c>
      <c r="B110" s="94" t="str">
        <f>+B109</f>
        <v>Villatoro</v>
      </c>
      <c r="C110" s="95">
        <f>+C109</f>
        <v>35</v>
      </c>
      <c r="D110" s="96">
        <v>8</v>
      </c>
      <c r="E110" s="99">
        <f>+E109</f>
        <v>525</v>
      </c>
    </row>
    <row r="111" spans="1:18" x14ac:dyDescent="0.3">
      <c r="A111" s="98" t="str">
        <f t="shared" si="4"/>
        <v>forro caja EXT</v>
      </c>
      <c r="B111" s="94" t="str">
        <f>+C22</f>
        <v>Villatoro</v>
      </c>
      <c r="C111" s="95">
        <f>+C110</f>
        <v>35</v>
      </c>
      <c r="D111" s="96">
        <f>+'forro caja EXT'!C42</f>
        <v>30</v>
      </c>
      <c r="E111" s="99">
        <f>+E110</f>
        <v>525</v>
      </c>
    </row>
    <row r="112" spans="1:18" x14ac:dyDescent="0.3">
      <c r="A112" s="98" t="str">
        <f t="shared" si="4"/>
        <v>forro caja INT</v>
      </c>
      <c r="B112" s="94" t="str">
        <f>+C22</f>
        <v>Villatoro</v>
      </c>
      <c r="C112" s="95">
        <f>+C111</f>
        <v>35</v>
      </c>
      <c r="D112" s="96">
        <v>20</v>
      </c>
      <c r="E112" s="99">
        <f>+E111</f>
        <v>525</v>
      </c>
    </row>
    <row r="113" spans="1:5" x14ac:dyDescent="0.3">
      <c r="A113" s="98" t="str">
        <f t="shared" si="4"/>
        <v>cartón cartera</v>
      </c>
      <c r="B113" s="94" t="s">
        <v>138</v>
      </c>
      <c r="C113" s="95">
        <f>+'cartón cartera'!E34</f>
        <v>38.619999999999997</v>
      </c>
      <c r="D113" s="96">
        <v>6</v>
      </c>
      <c r="E113" s="99">
        <f>+C113*D113</f>
        <v>231.71999999999997</v>
      </c>
    </row>
    <row r="114" spans="1:5" x14ac:dyDescent="0.3">
      <c r="A114" s="98" t="str">
        <f t="shared" si="4"/>
        <v>cartón caja</v>
      </c>
      <c r="B114" s="94" t="s">
        <v>138</v>
      </c>
      <c r="C114" s="95">
        <f>+'cartón caja'!E34</f>
        <v>38.619999999999997</v>
      </c>
      <c r="D114" s="96">
        <v>20</v>
      </c>
      <c r="E114" s="99">
        <f>+C114*D114</f>
        <v>772.4</v>
      </c>
    </row>
    <row r="115" spans="1:5" x14ac:dyDescent="0.3">
      <c r="A115" s="98" t="str">
        <f>+A52</f>
        <v>Velcro</v>
      </c>
      <c r="B115" s="94" t="s">
        <v>148</v>
      </c>
      <c r="C115" s="95">
        <f>+G96</f>
        <v>490</v>
      </c>
      <c r="D115" s="96">
        <v>1</v>
      </c>
      <c r="E115" s="99">
        <f>+C115*D115</f>
        <v>490</v>
      </c>
    </row>
    <row r="116" spans="1:5" ht="15.75" x14ac:dyDescent="0.3">
      <c r="A116" s="98" t="s">
        <v>149</v>
      </c>
      <c r="B116" s="97"/>
      <c r="C116" s="95">
        <f>+B51+'forro caja EXT'!B53</f>
        <v>800</v>
      </c>
      <c r="D116" s="96">
        <v>1</v>
      </c>
      <c r="E116" s="99">
        <f>+C116*D116</f>
        <v>800</v>
      </c>
    </row>
    <row r="117" spans="1:5" x14ac:dyDescent="0.3">
      <c r="A117" s="98" t="s">
        <v>154</v>
      </c>
      <c r="B117" s="94"/>
      <c r="C117" s="95">
        <f>+C96</f>
        <v>8</v>
      </c>
      <c r="D117" s="96">
        <v>310</v>
      </c>
      <c r="E117" s="99">
        <f>+C117*D117</f>
        <v>2480</v>
      </c>
    </row>
    <row r="118" spans="1:5" x14ac:dyDescent="0.3">
      <c r="A118" s="98"/>
      <c r="B118" s="94"/>
      <c r="C118" s="95"/>
      <c r="D118" s="96"/>
      <c r="E118" s="99"/>
    </row>
    <row r="119" spans="1:5" ht="16.5" thickBot="1" x14ac:dyDescent="0.35">
      <c r="A119" s="100"/>
      <c r="B119" s="101"/>
      <c r="C119" s="101"/>
      <c r="D119" s="102"/>
      <c r="E119" s="103"/>
    </row>
    <row r="120" spans="1:5" ht="16.5" thickBot="1" x14ac:dyDescent="0.35">
      <c r="A120"/>
      <c r="B120"/>
      <c r="C120"/>
      <c r="D120" s="104" t="s">
        <v>139</v>
      </c>
      <c r="E120" s="105">
        <f>SUM(E109:E119)</f>
        <v>6874.12</v>
      </c>
    </row>
    <row r="121" spans="1:5" ht="15.75" x14ac:dyDescent="0.3">
      <c r="A121"/>
      <c r="B121"/>
      <c r="C121"/>
      <c r="D121"/>
      <c r="E121"/>
    </row>
  </sheetData>
  <mergeCells count="5">
    <mergeCell ref="G89:H89"/>
    <mergeCell ref="I83:J83"/>
    <mergeCell ref="A83:B83"/>
    <mergeCell ref="G74:H74"/>
    <mergeCell ref="C89:D89"/>
  </mergeCells>
  <pageMargins left="0.70866141732283472" right="0.70866141732283472" top="0.74803149606299213" bottom="0.74803149606299213" header="0.31496062992125984" footer="0.31496062992125984"/>
  <pageSetup scale="69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Desarrollo</vt:lpstr>
      <vt:lpstr>cartón caja</vt:lpstr>
      <vt:lpstr>cartón cartera</vt:lpstr>
      <vt:lpstr>forro caja INT</vt:lpstr>
      <vt:lpstr>forro caja EXT</vt:lpstr>
      <vt:lpstr>forro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2016-12-17T01:17:06Z</cp:lastPrinted>
  <dcterms:created xsi:type="dcterms:W3CDTF">2013-03-04T22:24:31Z</dcterms:created>
  <dcterms:modified xsi:type="dcterms:W3CDTF">2016-12-17T01:35:47Z</dcterms:modified>
</cp:coreProperties>
</file>