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35" windowHeight="4020" activeTab="3"/>
  </bookViews>
  <sheets>
    <sheet name="Desarrollo" sheetId="46" r:id="rId1"/>
    <sheet name="cartón caja" sheetId="39" r:id="rId2"/>
    <sheet name="cartón cartera" sheetId="40" r:id="rId3"/>
    <sheet name="eva delgada base" sheetId="44" r:id="rId4"/>
    <sheet name="eva 1.2 redonda" sheetId="45" r:id="rId5"/>
    <sheet name="forro caja INT" sheetId="34" r:id="rId6"/>
    <sheet name="forro caja EXT" sheetId="42" r:id="rId7"/>
    <sheet name="forro cartera guarda" sheetId="43" r:id="rId8"/>
    <sheet name="forro cartera final" sheetId="38" r:id="rId9"/>
  </sheets>
  <calcPr calcId="145621"/>
</workbook>
</file>

<file path=xl/calcChain.xml><?xml version="1.0" encoding="utf-8"?>
<calcChain xmlns="http://schemas.openxmlformats.org/spreadsheetml/2006/main">
  <c r="C9" i="39" l="1"/>
  <c r="K93" i="38"/>
  <c r="G89" i="46"/>
  <c r="G36" i="46"/>
  <c r="G29" i="46"/>
  <c r="H87" i="46" l="1"/>
  <c r="G82" i="46"/>
  <c r="H80" i="46"/>
  <c r="G75" i="46"/>
  <c r="H73" i="46"/>
  <c r="G64" i="46"/>
  <c r="E85" i="46" s="1"/>
  <c r="E88" i="46" s="1"/>
  <c r="F60" i="46"/>
  <c r="E60" i="46"/>
  <c r="D60" i="46"/>
  <c r="G43" i="46"/>
  <c r="H41" i="46"/>
  <c r="H34" i="46"/>
  <c r="H27" i="46"/>
  <c r="E25" i="46"/>
  <c r="G24" i="46"/>
  <c r="D24" i="46"/>
  <c r="C32" i="46" s="1"/>
  <c r="C35" i="46" s="1"/>
  <c r="H19" i="46"/>
  <c r="C19" i="46"/>
  <c r="G14" i="46"/>
  <c r="E39" i="46" s="1"/>
  <c r="E42" i="46" s="1"/>
  <c r="D14" i="46"/>
  <c r="E13" i="46"/>
  <c r="B61" i="46" l="1"/>
  <c r="C74" i="46" s="1"/>
  <c r="C75" i="46" s="1"/>
  <c r="E44" i="46"/>
  <c r="E43" i="46"/>
  <c r="C76" i="46"/>
  <c r="C37" i="46"/>
  <c r="C36" i="46"/>
  <c r="E90" i="46"/>
  <c r="E89" i="46"/>
  <c r="H24" i="46"/>
  <c r="E28" i="46" s="1"/>
  <c r="E32" i="46"/>
  <c r="E35" i="46" s="1"/>
  <c r="C39" i="46"/>
  <c r="C42" i="46" s="1"/>
  <c r="C78" i="46"/>
  <c r="C81" i="46" s="1"/>
  <c r="C85" i="46"/>
  <c r="C88" i="46" s="1"/>
  <c r="B15" i="46"/>
  <c r="C28" i="46" s="1"/>
  <c r="H70" i="46"/>
  <c r="E74" i="46" s="1"/>
  <c r="E78" i="46"/>
  <c r="E81" i="46" s="1"/>
  <c r="H98" i="38"/>
  <c r="J98" i="38" s="1"/>
  <c r="B83" i="34"/>
  <c r="D40" i="34"/>
  <c r="D40" i="42" s="1"/>
  <c r="D40" i="45"/>
  <c r="D40" i="44"/>
  <c r="D40" i="40"/>
  <c r="H99" i="38"/>
  <c r="J99" i="38" s="1"/>
  <c r="C41" i="39"/>
  <c r="C42" i="39"/>
  <c r="F98" i="38"/>
  <c r="E31" i="38"/>
  <c r="E32" i="38"/>
  <c r="E34" i="38"/>
  <c r="E35" i="38"/>
  <c r="E31" i="43"/>
  <c r="E32" i="43"/>
  <c r="E34" i="43"/>
  <c r="E35" i="43"/>
  <c r="E31" i="42"/>
  <c r="E32" i="42"/>
  <c r="E34" i="42"/>
  <c r="E35" i="42"/>
  <c r="E31" i="34"/>
  <c r="E32" i="34"/>
  <c r="E34" i="34"/>
  <c r="E35" i="34"/>
  <c r="E35" i="45"/>
  <c r="E35" i="44"/>
  <c r="H52" i="39"/>
  <c r="H61" i="39"/>
  <c r="B67" i="39" s="1"/>
  <c r="B69" i="39"/>
  <c r="H52" i="40"/>
  <c r="H61" i="40" s="1"/>
  <c r="B69" i="40"/>
  <c r="H52" i="44"/>
  <c r="H61" i="44" s="1"/>
  <c r="B69" i="44"/>
  <c r="H52" i="45"/>
  <c r="B69" i="45"/>
  <c r="G58" i="34"/>
  <c r="H58" i="34" s="1"/>
  <c r="B68" i="34"/>
  <c r="B69" i="34"/>
  <c r="B70" i="34"/>
  <c r="B68" i="42"/>
  <c r="B69" i="42"/>
  <c r="B70" i="42"/>
  <c r="B68" i="43"/>
  <c r="B69" i="43"/>
  <c r="B70" i="43"/>
  <c r="B71" i="43"/>
  <c r="G58" i="38"/>
  <c r="H58" i="38"/>
  <c r="B68" i="38"/>
  <c r="B72" i="38"/>
  <c r="B73" i="38"/>
  <c r="H90" i="38"/>
  <c r="H25" i="38"/>
  <c r="F25" i="38"/>
  <c r="H25" i="43"/>
  <c r="F25" i="43"/>
  <c r="H25" i="42"/>
  <c r="F25" i="42"/>
  <c r="F23" i="40"/>
  <c r="E30" i="40"/>
  <c r="E31" i="39"/>
  <c r="E32" i="39"/>
  <c r="E34" i="39" s="1"/>
  <c r="E31" i="40"/>
  <c r="E32" i="40" s="1"/>
  <c r="E34" i="40" s="1"/>
  <c r="H95" i="38"/>
  <c r="H94" i="38"/>
  <c r="H91" i="38"/>
  <c r="H92" i="38" s="1"/>
  <c r="H93" i="38" s="1"/>
  <c r="G90" i="38"/>
  <c r="G91" i="38" s="1"/>
  <c r="G93" i="38"/>
  <c r="G92" i="38"/>
  <c r="D77" i="38"/>
  <c r="F93" i="38" s="1"/>
  <c r="F90" i="38"/>
  <c r="H50" i="43"/>
  <c r="H49" i="43"/>
  <c r="D79" i="38"/>
  <c r="F95" i="38" s="1"/>
  <c r="D78" i="38"/>
  <c r="F94" i="38" s="1"/>
  <c r="H25" i="45"/>
  <c r="F25" i="45"/>
  <c r="E31" i="45"/>
  <c r="E32" i="45"/>
  <c r="E34" i="45"/>
  <c r="B48" i="45"/>
  <c r="E56" i="45" s="1"/>
  <c r="H56" i="45" s="1"/>
  <c r="C40" i="45"/>
  <c r="C41" i="45" s="1"/>
  <c r="H49" i="45"/>
  <c r="H50" i="45"/>
  <c r="H51" i="45"/>
  <c r="H53" i="45"/>
  <c r="H54" i="45"/>
  <c r="H55" i="45"/>
  <c r="H57" i="45"/>
  <c r="H58" i="45"/>
  <c r="H59" i="45"/>
  <c r="B68" i="45"/>
  <c r="B70" i="45"/>
  <c r="A70" i="45"/>
  <c r="A69" i="45"/>
  <c r="A68" i="45"/>
  <c r="C26" i="45"/>
  <c r="H26" i="45"/>
  <c r="H27" i="45"/>
  <c r="E26" i="45"/>
  <c r="F26" i="45"/>
  <c r="F27" i="45"/>
  <c r="E27" i="45"/>
  <c r="C27" i="45"/>
  <c r="C11" i="45"/>
  <c r="C9" i="45"/>
  <c r="E31" i="44"/>
  <c r="E32" i="44"/>
  <c r="E34" i="44"/>
  <c r="B48" i="44"/>
  <c r="C40" i="44"/>
  <c r="H49" i="44"/>
  <c r="H50" i="44"/>
  <c r="H51" i="44"/>
  <c r="H53" i="44"/>
  <c r="H54" i="44"/>
  <c r="H55" i="44"/>
  <c r="H56" i="44"/>
  <c r="H57" i="44"/>
  <c r="H58" i="44"/>
  <c r="H59" i="44"/>
  <c r="B68" i="44"/>
  <c r="B70" i="44"/>
  <c r="A70" i="44"/>
  <c r="A69" i="44"/>
  <c r="A68" i="44"/>
  <c r="G43" i="44"/>
  <c r="H25" i="44"/>
  <c r="C26" i="44"/>
  <c r="H26" i="44"/>
  <c r="H27" i="44"/>
  <c r="F25" i="44"/>
  <c r="E26" i="44"/>
  <c r="F26" i="44"/>
  <c r="F27" i="44"/>
  <c r="E27" i="44"/>
  <c r="C27" i="44"/>
  <c r="C11" i="44"/>
  <c r="C9" i="44"/>
  <c r="B48" i="38"/>
  <c r="C100" i="38" s="1"/>
  <c r="C102" i="38" s="1"/>
  <c r="B55" i="38"/>
  <c r="B70" i="38" s="1"/>
  <c r="C40" i="38"/>
  <c r="C41" i="38"/>
  <c r="C42" i="38" s="1"/>
  <c r="H49" i="38"/>
  <c r="H50" i="38"/>
  <c r="H51" i="38"/>
  <c r="H52" i="38"/>
  <c r="H61" i="38" s="1"/>
  <c r="H55" i="38"/>
  <c r="H56" i="38"/>
  <c r="F16" i="38"/>
  <c r="C26" i="38" s="1"/>
  <c r="H16" i="38"/>
  <c r="E26" i="38" s="1"/>
  <c r="F16" i="43"/>
  <c r="C26" i="43" s="1"/>
  <c r="H16" i="43"/>
  <c r="E26" i="43" s="1"/>
  <c r="F16" i="42"/>
  <c r="C26" i="42" s="1"/>
  <c r="H16" i="42"/>
  <c r="E26" i="42" s="1"/>
  <c r="B48" i="34"/>
  <c r="C40" i="34"/>
  <c r="C41" i="34" s="1"/>
  <c r="H49" i="34"/>
  <c r="H50" i="34"/>
  <c r="B48" i="42"/>
  <c r="B56" i="42" s="1"/>
  <c r="B71" i="42" s="1"/>
  <c r="C40" i="42"/>
  <c r="H49" i="42"/>
  <c r="H50" i="42"/>
  <c r="B48" i="43"/>
  <c r="C40" i="43" s="1"/>
  <c r="H58" i="43"/>
  <c r="C40" i="39"/>
  <c r="B48" i="40"/>
  <c r="C40" i="40" s="1"/>
  <c r="H55" i="42"/>
  <c r="H54" i="42"/>
  <c r="C11" i="38"/>
  <c r="G58" i="42"/>
  <c r="H58" i="42" s="1"/>
  <c r="G58" i="43"/>
  <c r="C11" i="43"/>
  <c r="C11" i="42"/>
  <c r="H16" i="34"/>
  <c r="F16" i="34"/>
  <c r="C26" i="34" s="1"/>
  <c r="C11" i="34"/>
  <c r="C11" i="40"/>
  <c r="E26" i="39"/>
  <c r="C26" i="39"/>
  <c r="E26" i="34"/>
  <c r="E27" i="34" s="1"/>
  <c r="C9" i="38"/>
  <c r="C9" i="43"/>
  <c r="C9" i="42"/>
  <c r="C9" i="34"/>
  <c r="C9" i="40"/>
  <c r="C98" i="38"/>
  <c r="D95" i="38"/>
  <c r="D81" i="38"/>
  <c r="F97" i="38" s="1"/>
  <c r="D80" i="38"/>
  <c r="F96" i="38" s="1"/>
  <c r="D76" i="38"/>
  <c r="F92" i="38" s="1"/>
  <c r="D75" i="38"/>
  <c r="F91" i="38" s="1"/>
  <c r="A71" i="43"/>
  <c r="A70" i="43"/>
  <c r="A69" i="43"/>
  <c r="A68" i="43"/>
  <c r="H59" i="43"/>
  <c r="H57" i="43"/>
  <c r="H56" i="43"/>
  <c r="H55" i="43"/>
  <c r="H54" i="43"/>
  <c r="H52" i="43"/>
  <c r="H51" i="43"/>
  <c r="H59" i="42"/>
  <c r="H57" i="42"/>
  <c r="H56" i="42"/>
  <c r="H52" i="42"/>
  <c r="H51" i="42"/>
  <c r="G43" i="38"/>
  <c r="A71" i="42"/>
  <c r="A70" i="42"/>
  <c r="A69" i="42"/>
  <c r="A68" i="42"/>
  <c r="G43" i="42"/>
  <c r="B71" i="34"/>
  <c r="B79" i="34"/>
  <c r="B82" i="34"/>
  <c r="A79" i="34"/>
  <c r="A82" i="34" s="1"/>
  <c r="G43" i="34"/>
  <c r="H52" i="34"/>
  <c r="G44" i="39"/>
  <c r="H53" i="38"/>
  <c r="H54" i="38"/>
  <c r="H57" i="38"/>
  <c r="H59" i="38"/>
  <c r="A72" i="38"/>
  <c r="A70" i="38"/>
  <c r="A69" i="38"/>
  <c r="A73" i="38"/>
  <c r="A68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70" i="40"/>
  <c r="A70" i="40"/>
  <c r="A69" i="40"/>
  <c r="A68" i="40"/>
  <c r="H25" i="40"/>
  <c r="C26" i="40"/>
  <c r="H26" i="40" s="1"/>
  <c r="H27" i="40" s="1"/>
  <c r="F25" i="40"/>
  <c r="E26" i="40"/>
  <c r="E27" i="40" s="1"/>
  <c r="H49" i="39"/>
  <c r="H50" i="39"/>
  <c r="H51" i="39"/>
  <c r="H53" i="39"/>
  <c r="H54" i="39"/>
  <c r="H55" i="39"/>
  <c r="H56" i="39"/>
  <c r="H57" i="39"/>
  <c r="H58" i="39"/>
  <c r="H59" i="39"/>
  <c r="B68" i="39"/>
  <c r="B70" i="39"/>
  <c r="A70" i="39"/>
  <c r="A69" i="39"/>
  <c r="A68" i="39"/>
  <c r="H25" i="39"/>
  <c r="H26" i="39"/>
  <c r="H27" i="39" s="1"/>
  <c r="F25" i="39"/>
  <c r="F26" i="39"/>
  <c r="H51" i="34"/>
  <c r="H54" i="34"/>
  <c r="H55" i="34"/>
  <c r="H56" i="34"/>
  <c r="H57" i="34"/>
  <c r="H59" i="34"/>
  <c r="A71" i="34"/>
  <c r="A70" i="34"/>
  <c r="A69" i="34"/>
  <c r="H25" i="34"/>
  <c r="F25" i="34"/>
  <c r="E27" i="39"/>
  <c r="F27" i="39"/>
  <c r="C27" i="39"/>
  <c r="B51" i="39"/>
  <c r="G43" i="39"/>
  <c r="F26" i="40"/>
  <c r="F27" i="40" s="1"/>
  <c r="C27" i="40"/>
  <c r="G44" i="38"/>
  <c r="F26" i="34"/>
  <c r="F27" i="34" s="1"/>
  <c r="C46" i="39"/>
  <c r="F26" i="38" l="1"/>
  <c r="F27" i="38" s="1"/>
  <c r="E27" i="38"/>
  <c r="H26" i="38"/>
  <c r="H27" i="38" s="1"/>
  <c r="C27" i="38"/>
  <c r="F26" i="43"/>
  <c r="F27" i="43" s="1"/>
  <c r="E27" i="43"/>
  <c r="H26" i="43"/>
  <c r="H27" i="43" s="1"/>
  <c r="C27" i="43"/>
  <c r="F26" i="42"/>
  <c r="F27" i="42" s="1"/>
  <c r="E27" i="42"/>
  <c r="H26" i="42"/>
  <c r="H27" i="42" s="1"/>
  <c r="C27" i="42"/>
  <c r="C27" i="34"/>
  <c r="H26" i="34"/>
  <c r="H27" i="34" s="1"/>
  <c r="C41" i="43"/>
  <c r="G43" i="43"/>
  <c r="C42" i="34"/>
  <c r="G44" i="34"/>
  <c r="A83" i="34"/>
  <c r="C83" i="34" s="1"/>
  <c r="E83" i="34" s="1"/>
  <c r="G53" i="34" s="1"/>
  <c r="H53" i="34" s="1"/>
  <c r="A80" i="34"/>
  <c r="C80" i="34" s="1"/>
  <c r="E80" i="34" s="1"/>
  <c r="C43" i="38"/>
  <c r="C46" i="38"/>
  <c r="B66" i="38"/>
  <c r="I90" i="38"/>
  <c r="J90" i="38" s="1"/>
  <c r="J91" i="38" s="1"/>
  <c r="J92" i="38" s="1"/>
  <c r="J93" i="38" s="1"/>
  <c r="B50" i="38"/>
  <c r="G43" i="40"/>
  <c r="C41" i="40"/>
  <c r="C103" i="38"/>
  <c r="B54" i="38"/>
  <c r="D102" i="38"/>
  <c r="C42" i="45"/>
  <c r="G44" i="45"/>
  <c r="H61" i="45"/>
  <c r="G43" i="45"/>
  <c r="C41" i="44"/>
  <c r="C41" i="42"/>
  <c r="C82" i="46"/>
  <c r="C83" i="46"/>
  <c r="E83" i="46"/>
  <c r="E82" i="46"/>
  <c r="C30" i="46"/>
  <c r="C29" i="46"/>
  <c r="E37" i="46"/>
  <c r="E36" i="46"/>
  <c r="E76" i="46"/>
  <c r="E75" i="46"/>
  <c r="C90" i="46"/>
  <c r="C89" i="46"/>
  <c r="C43" i="46"/>
  <c r="C44" i="46"/>
  <c r="E30" i="46"/>
  <c r="E29" i="46"/>
  <c r="B67" i="38"/>
  <c r="B51" i="38"/>
  <c r="B58" i="38" s="1"/>
  <c r="B60" i="38" s="1"/>
  <c r="H61" i="34"/>
  <c r="B67" i="34" s="1"/>
  <c r="B51" i="45"/>
  <c r="B67" i="45"/>
  <c r="B67" i="44"/>
  <c r="B51" i="44"/>
  <c r="B67" i="40"/>
  <c r="B51" i="40"/>
  <c r="C42" i="44"/>
  <c r="G44" i="44"/>
  <c r="B51" i="34"/>
  <c r="B50" i="45"/>
  <c r="B58" i="45" s="1"/>
  <c r="B60" i="45" s="1"/>
  <c r="I95" i="38"/>
  <c r="J95" i="38" s="1"/>
  <c r="B66" i="45"/>
  <c r="C46" i="45"/>
  <c r="C42" i="42"/>
  <c r="G53" i="42"/>
  <c r="H53" i="42" s="1"/>
  <c r="H61" i="42" s="1"/>
  <c r="G44" i="42"/>
  <c r="E35" i="40"/>
  <c r="H96" i="38"/>
  <c r="B50" i="39"/>
  <c r="B58" i="39" s="1"/>
  <c r="B60" i="39" s="1"/>
  <c r="E35" i="39"/>
  <c r="B66" i="39" s="1"/>
  <c r="B72" i="39" s="1"/>
  <c r="H97" i="38"/>
  <c r="J97" i="38" s="1"/>
  <c r="B72" i="45" l="1"/>
  <c r="B69" i="38"/>
  <c r="B74" i="38" s="1"/>
  <c r="D103" i="38"/>
  <c r="C42" i="40"/>
  <c r="G44" i="40"/>
  <c r="B66" i="34"/>
  <c r="B73" i="34" s="1"/>
  <c r="C46" i="34"/>
  <c r="C43" i="34"/>
  <c r="B50" i="34"/>
  <c r="C50" i="34" s="1"/>
  <c r="G53" i="43"/>
  <c r="H53" i="43" s="1"/>
  <c r="H61" i="43" s="1"/>
  <c r="G44" i="43"/>
  <c r="C42" i="43"/>
  <c r="H70" i="38"/>
  <c r="I70" i="38" s="1"/>
  <c r="F74" i="38"/>
  <c r="I94" i="38"/>
  <c r="J94" i="38" s="1"/>
  <c r="B66" i="44"/>
  <c r="B72" i="44" s="1"/>
  <c r="B50" i="44"/>
  <c r="B58" i="44" s="1"/>
  <c r="B60" i="44" s="1"/>
  <c r="C46" i="44"/>
  <c r="B67" i="42"/>
  <c r="B51" i="42"/>
  <c r="B50" i="42"/>
  <c r="C46" i="42"/>
  <c r="I92" i="38"/>
  <c r="C43" i="42"/>
  <c r="B66" i="42"/>
  <c r="B73" i="42" s="1"/>
  <c r="D65" i="45"/>
  <c r="I52" i="45"/>
  <c r="E63" i="45"/>
  <c r="C72" i="45"/>
  <c r="F79" i="38"/>
  <c r="G69" i="45"/>
  <c r="H69" i="45" s="1"/>
  <c r="F81" i="38"/>
  <c r="G69" i="39"/>
  <c r="H69" i="39" s="1"/>
  <c r="C72" i="39"/>
  <c r="E63" i="39"/>
  <c r="I52" i="39"/>
  <c r="D65" i="39"/>
  <c r="B58" i="42" l="1"/>
  <c r="B60" i="42" s="1"/>
  <c r="I52" i="38"/>
  <c r="E63" i="38"/>
  <c r="C74" i="38"/>
  <c r="H71" i="38" s="1"/>
  <c r="I71" i="38" s="1"/>
  <c r="D65" i="38"/>
  <c r="I52" i="34"/>
  <c r="D65" i="34"/>
  <c r="E63" i="34"/>
  <c r="C73" i="34"/>
  <c r="B51" i="43"/>
  <c r="B67" i="43"/>
  <c r="B58" i="34"/>
  <c r="B60" i="34" s="1"/>
  <c r="B66" i="43"/>
  <c r="I91" i="38"/>
  <c r="C43" i="43"/>
  <c r="C46" i="43"/>
  <c r="B50" i="43"/>
  <c r="C46" i="40"/>
  <c r="J96" i="38"/>
  <c r="J101" i="38" s="1"/>
  <c r="B50" i="40"/>
  <c r="B58" i="40" s="1"/>
  <c r="B60" i="40" s="1"/>
  <c r="B66" i="40"/>
  <c r="B72" i="40" s="1"/>
  <c r="H72" i="38"/>
  <c r="I72" i="38" s="1"/>
  <c r="C72" i="44"/>
  <c r="D65" i="44"/>
  <c r="I52" i="44"/>
  <c r="E63" i="44"/>
  <c r="F78" i="38"/>
  <c r="G69" i="44"/>
  <c r="H69" i="44" s="1"/>
  <c r="C79" i="38"/>
  <c r="G70" i="45"/>
  <c r="C73" i="42"/>
  <c r="D65" i="42"/>
  <c r="I52" i="42"/>
  <c r="E63" i="42"/>
  <c r="G70" i="42"/>
  <c r="H70" i="42" s="1"/>
  <c r="F76" i="38"/>
  <c r="C77" i="38"/>
  <c r="G71" i="34"/>
  <c r="C81" i="38"/>
  <c r="G70" i="39"/>
  <c r="G69" i="40" l="1"/>
  <c r="H69" i="40" s="1"/>
  <c r="F80" i="38"/>
  <c r="G70" i="34"/>
  <c r="H70" i="34" s="1"/>
  <c r="F77" i="38"/>
  <c r="B73" i="43"/>
  <c r="C72" i="40"/>
  <c r="D65" i="40"/>
  <c r="E63" i="40"/>
  <c r="I52" i="40"/>
  <c r="B58" i="43"/>
  <c r="B60" i="43" s="1"/>
  <c r="C78" i="38"/>
  <c r="G70" i="44"/>
  <c r="G71" i="45"/>
  <c r="H71" i="45" s="1"/>
  <c r="H70" i="45"/>
  <c r="G72" i="34"/>
  <c r="H72" i="34" s="1"/>
  <c r="H71" i="34"/>
  <c r="G71" i="42"/>
  <c r="C76" i="38"/>
  <c r="H70" i="39"/>
  <c r="G71" i="39"/>
  <c r="H71" i="39" s="1"/>
  <c r="F75" i="38" l="1"/>
  <c r="F82" i="38" s="1"/>
  <c r="G82" i="38" s="1"/>
  <c r="G70" i="43"/>
  <c r="H70" i="43" s="1"/>
  <c r="C80" i="38"/>
  <c r="G70" i="40"/>
  <c r="I52" i="43"/>
  <c r="E63" i="43"/>
  <c r="C73" i="43"/>
  <c r="D65" i="43"/>
  <c r="H70" i="44"/>
  <c r="G71" i="44"/>
  <c r="H71" i="44" s="1"/>
  <c r="G72" i="42"/>
  <c r="H72" i="42" s="1"/>
  <c r="H71" i="42"/>
  <c r="G71" i="40" l="1"/>
  <c r="H71" i="40" s="1"/>
  <c r="H70" i="40"/>
  <c r="G71" i="43"/>
  <c r="C75" i="38"/>
  <c r="C82" i="38" s="1"/>
  <c r="A82" i="38" s="1"/>
  <c r="I82" i="38" s="1"/>
  <c r="I73" i="38" l="1"/>
  <c r="G72" i="43"/>
  <c r="H72" i="43" s="1"/>
  <c r="H71" i="43"/>
</calcChain>
</file>

<file path=xl/sharedStrings.xml><?xml version="1.0" encoding="utf-8"?>
<sst xmlns="http://schemas.openxmlformats.org/spreadsheetml/2006/main" count="909" uniqueCount="199">
  <si>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</si>
  <si>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</si>
  <si>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</si>
  <si>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</si>
  <si>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</si>
  <si>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</si>
  <si>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</si>
  <si>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</si>
  <si>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</si>
  <si>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</si>
  <si>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</si>
  <si>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</si>
  <si>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</si>
  <si>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</si>
  <si>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</si>
  <si>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</si>
  <si>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</si>
  <si>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</si>
  <si>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</si>
  <si>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</si>
  <si>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</si>
  <si>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</si>
  <si>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</si>
  <si>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</si>
  <si>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</si>
  <si>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</si>
  <si>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</si>
  <si>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</si>
  <si>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</si>
  <si>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</si>
  <si>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</si>
  <si>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</si>
  <si>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</si>
  <si>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</si>
  <si>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</si>
  <si>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</si>
  <si>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</si>
  <si>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</si>
  <si>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</si>
  <si>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</si>
  <si>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</si>
  <si>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</si>
  <si>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</si>
  <si>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</si>
  <si>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</si>
  <si>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</si>
  <si>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</si>
  <si>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</si>
  <si>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</si>
  <si>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</si>
  <si>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</si>
  <si>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</si>
  <si>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</si>
  <si>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</si>
  <si>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</si>
  <si>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</si>
  <si>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</si>
  <si>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</si>
  <si>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</si>
  <si>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</si>
  <si>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</si>
  <si>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</si>
  <si>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</si>
  <si>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</si>
  <si>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</si>
  <si>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</si>
  <si>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</si>
  <si>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</si>
  <si>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</si>
  <si>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</si>
  <si>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</si>
  <si>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</si>
  <si>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</si>
  <si>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</si>
  <si>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</si>
  <si>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</si>
  <si>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</si>
  <si>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</si>
  <si>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</si>
  <si>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</si>
  <si>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</si>
  <si>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</si>
  <si>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</si>
  <si>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</si>
  <si>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</si>
  <si>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</si>
  <si>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</si>
  <si>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</si>
  <si>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</si>
  <si>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</si>
  <si>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</si>
  <si>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</si>
  <si>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</si>
  <si>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</si>
  <si>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</si>
  <si>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</si>
  <si>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</si>
  <si>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</si>
  <si>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</si>
  <si>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</si>
  <si>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</si>
  <si>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</si>
  <si>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</si>
  <si>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</si>
  <si>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</si>
  <si>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</si>
  <si>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</si>
  <si>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 xml:space="preserve">laminado mate </t>
  </si>
  <si>
    <t>minimo 1500.00</t>
  </si>
  <si>
    <t>uv brillante a registro</t>
  </si>
  <si>
    <t>Cartón Gris</t>
  </si>
  <si>
    <t>empalme</t>
  </si>
  <si>
    <t>forro guarda</t>
  </si>
  <si>
    <t>Arreglo</t>
  </si>
  <si>
    <t>Empaque</t>
  </si>
  <si>
    <t>Comisiones</t>
  </si>
  <si>
    <t>Suajado</t>
  </si>
  <si>
    <t>Negro</t>
  </si>
  <si>
    <t>mt</t>
  </si>
  <si>
    <t>Precio por Paquete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</si>
  <si>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</si>
  <si>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</si>
  <si>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</si>
  <si>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</si>
  <si>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</si>
  <si>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</si>
  <si>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</si>
  <si>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</si>
  <si>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</si>
  <si>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Caja Libro Almeja Suajada</t>
  </si>
  <si>
    <t>Pruebas de color</t>
  </si>
  <si>
    <t xml:space="preserve">minimo </t>
  </si>
  <si>
    <t>cartón caja</t>
  </si>
  <si>
    <t>cartón cartera</t>
  </si>
  <si>
    <t>forro caja INT</t>
  </si>
  <si>
    <t>forro caja EXT</t>
  </si>
  <si>
    <t>forro cartera</t>
  </si>
  <si>
    <t>Arreglo Grabado</t>
  </si>
  <si>
    <t>Grabado</t>
  </si>
  <si>
    <t>Tabla de suaje + Placa</t>
  </si>
  <si>
    <t>tamaño extendido 17.5 X 9 cm.</t>
  </si>
  <si>
    <t>Joaquín García</t>
  </si>
  <si>
    <t>Tinta V</t>
  </si>
  <si>
    <t>Eva</t>
  </si>
  <si>
    <t>tamaño extendido 8.5 X 8.5 cm.</t>
  </si>
  <si>
    <t>tamaño 4.5 cm. diámetro</t>
  </si>
  <si>
    <t>Negra</t>
  </si>
  <si>
    <t>por planilla</t>
  </si>
  <si>
    <t>eva delgada base</t>
  </si>
  <si>
    <t>eva redonda base</t>
  </si>
  <si>
    <t>Material</t>
  </si>
  <si>
    <t>$ compra dcto</t>
  </si>
  <si>
    <t>Gris #4</t>
  </si>
  <si>
    <t>negra 0.2</t>
  </si>
  <si>
    <t>negra .12</t>
  </si>
  <si>
    <t>TT</t>
  </si>
  <si>
    <t>Pliegos</t>
  </si>
  <si>
    <t>#4</t>
  </si>
  <si>
    <t>Villatoro</t>
  </si>
  <si>
    <t xml:space="preserve"> Negro</t>
  </si>
  <si>
    <t>impresa a 1 X 1 tinta serigrafía en cartera</t>
  </si>
  <si>
    <t>con eva para sujetar pulsera</t>
  </si>
  <si>
    <t>según muestra entregada</t>
  </si>
  <si>
    <t>papel importación negro</t>
  </si>
  <si>
    <t>Tablas</t>
  </si>
  <si>
    <t xml:space="preserve">Costo Basicos </t>
  </si>
  <si>
    <t>Velcro</t>
  </si>
  <si>
    <t>caja con 1400 juegos</t>
  </si>
  <si>
    <t>Caja Almeja Suajada Pulsera</t>
  </si>
  <si>
    <t>caja c/1400</t>
  </si>
  <si>
    <t>Fecha:</t>
  </si>
  <si>
    <t>Cliente:</t>
  </si>
  <si>
    <t>Henri Goat</t>
  </si>
  <si>
    <t>Proyecto:</t>
  </si>
  <si>
    <t>Cantidad:</t>
  </si>
  <si>
    <t>piezas</t>
  </si>
  <si>
    <t>merma</t>
  </si>
  <si>
    <t>CAJÓN</t>
  </si>
  <si>
    <t>Medida Cajón</t>
  </si>
  <si>
    <t>Base(frente)</t>
  </si>
  <si>
    <t>Profundidad</t>
  </si>
  <si>
    <t>Altura</t>
  </si>
  <si>
    <t>TT Horizontal</t>
  </si>
  <si>
    <t>TT Vertical</t>
  </si>
  <si>
    <t>CARTÓN</t>
  </si>
  <si>
    <t>TT Pliegos</t>
  </si>
  <si>
    <t>Empalme Interior</t>
  </si>
  <si>
    <t>Rainbow/ Villatoro</t>
  </si>
  <si>
    <t>Forro Exterior</t>
  </si>
  <si>
    <t>Lado 1</t>
  </si>
  <si>
    <t>Lado 2</t>
  </si>
  <si>
    <t>Medida Tapa</t>
  </si>
  <si>
    <t xml:space="preserve">Cartón </t>
  </si>
  <si>
    <t>Guarda Interior Cartera</t>
  </si>
  <si>
    <t>Forro Exterior Cartera</t>
  </si>
  <si>
    <t>26 de diciembre de 2016.</t>
  </si>
  <si>
    <t>Caja Pulsera</t>
  </si>
  <si>
    <t>tamaño extendido 14.5  X 14.5 cm.</t>
  </si>
  <si>
    <t>tamaño 8.5 X 8.5 X 3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</si>
</sst>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9" applyNumberFormat="0" applyAlignment="0" applyProtection="0"/>
    <xf numFmtId="0" fontId="15" fillId="5" borderId="20" applyNumberFormat="0" applyAlignment="0" applyProtection="0"/>
    <xf numFmtId="0" fontId="16" fillId="6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4" applyNumberFormat="0" applyFont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4" fontId="5" fillId="2" borderId="0" xfId="1" applyFont="1" applyFill="1" applyAlignment="1">
      <alignment horizontal="center"/>
    </xf>
    <xf numFmtId="44" fontId="6" fillId="0" borderId="5" xfId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25" fillId="0" borderId="25" xfId="0" applyFont="1" applyBorder="1"/>
    <xf numFmtId="44" fontId="25" fillId="0" borderId="26" xfId="0" applyNumberFormat="1" applyFont="1" applyBorder="1"/>
    <xf numFmtId="0" fontId="2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724297</xdr:colOff>
      <xdr:row>16</xdr:row>
      <xdr:rowOff>9923</xdr:rowOff>
    </xdr:from>
    <xdr:to>
      <xdr:col>5</xdr:col>
      <xdr:colOff>228203</xdr:colOff>
      <xdr:row>20</xdr:row>
      <xdr:rowOff>158750</xdr:rowOff>
    </xdr:to>
    <xdr:sp macro="" textlink="">
      <xdr:nvSpPr>
        <xdr:cNvPr id="2" name="1 Rectángulo"/>
        <xdr:cNvSpPr/>
      </xdr:nvSpPr>
      <xdr:spPr>
        <a:xfrm>
          <a:off x="3238897" y="3410348"/>
          <a:ext cx="1066006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714375</xdr:colOff>
      <xdr:row>13</xdr:row>
      <xdr:rowOff>19845</xdr:rowOff>
    </xdr:from>
    <xdr:to>
      <xdr:col>5</xdr:col>
      <xdr:colOff>248047</xdr:colOff>
      <xdr:row>16</xdr:row>
      <xdr:rowOff>9923</xdr:rowOff>
    </xdr:to>
    <xdr:sp macro="" textlink="">
      <xdr:nvSpPr>
        <xdr:cNvPr id="3" name="2 Rectángulo"/>
        <xdr:cNvSpPr/>
      </xdr:nvSpPr>
      <xdr:spPr>
        <a:xfrm>
          <a:off x="3228975" y="2791620"/>
          <a:ext cx="1095772" cy="6187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754064</xdr:colOff>
      <xdr:row>59</xdr:row>
      <xdr:rowOff>198437</xdr:rowOff>
    </xdr:from>
    <xdr:to>
      <xdr:col>3</xdr:col>
      <xdr:colOff>744142</xdr:colOff>
      <xdr:row>68</xdr:row>
      <xdr:rowOff>198437</xdr:rowOff>
    </xdr:to>
    <xdr:sp macro="" textlink="">
      <xdr:nvSpPr>
        <xdr:cNvPr id="4" name="3 Rectángulo"/>
        <xdr:cNvSpPr/>
      </xdr:nvSpPr>
      <xdr:spPr>
        <a:xfrm>
          <a:off x="2506664" y="12390437"/>
          <a:ext cx="752078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9922</xdr:colOff>
      <xdr:row>60</xdr:row>
      <xdr:rowOff>9922</xdr:rowOff>
    </xdr:from>
    <xdr:to>
      <xdr:col>5</xdr:col>
      <xdr:colOff>9922</xdr:colOff>
      <xdr:row>68</xdr:row>
      <xdr:rowOff>198438</xdr:rowOff>
    </xdr:to>
    <xdr:sp macro="" textlink="">
      <xdr:nvSpPr>
        <xdr:cNvPr id="5" name="4 Rectángulo"/>
        <xdr:cNvSpPr/>
      </xdr:nvSpPr>
      <xdr:spPr>
        <a:xfrm>
          <a:off x="3286522" y="12411472"/>
          <a:ext cx="800100" cy="18649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29766</xdr:colOff>
      <xdr:row>59</xdr:row>
      <xdr:rowOff>198440</xdr:rowOff>
    </xdr:from>
    <xdr:to>
      <xdr:col>6</xdr:col>
      <xdr:colOff>19843</xdr:colOff>
      <xdr:row>68</xdr:row>
      <xdr:rowOff>198440</xdr:rowOff>
    </xdr:to>
    <xdr:sp macro="" textlink="">
      <xdr:nvSpPr>
        <xdr:cNvPr id="6" name="5 Rectángulo"/>
        <xdr:cNvSpPr/>
      </xdr:nvSpPr>
      <xdr:spPr>
        <a:xfrm>
          <a:off x="4106466" y="12390440"/>
          <a:ext cx="752077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257969</xdr:colOff>
      <xdr:row>16</xdr:row>
      <xdr:rowOff>9923</xdr:rowOff>
    </xdr:from>
    <xdr:to>
      <xdr:col>6</xdr:col>
      <xdr:colOff>565548</xdr:colOff>
      <xdr:row>20</xdr:row>
      <xdr:rowOff>158750</xdr:rowOff>
    </xdr:to>
    <xdr:sp macro="" textlink="">
      <xdr:nvSpPr>
        <xdr:cNvPr id="7" name="6 Rectángulo"/>
        <xdr:cNvSpPr/>
      </xdr:nvSpPr>
      <xdr:spPr>
        <a:xfrm>
          <a:off x="4334669" y="3410348"/>
          <a:ext cx="1069579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386953</xdr:colOff>
      <xdr:row>16</xdr:row>
      <xdr:rowOff>9923</xdr:rowOff>
    </xdr:from>
    <xdr:to>
      <xdr:col>3</xdr:col>
      <xdr:colOff>694532</xdr:colOff>
      <xdr:row>20</xdr:row>
      <xdr:rowOff>158750</xdr:rowOff>
    </xdr:to>
    <xdr:sp macro="" textlink="">
      <xdr:nvSpPr>
        <xdr:cNvPr id="8" name="7 Rectángulo"/>
        <xdr:cNvSpPr/>
      </xdr:nvSpPr>
      <xdr:spPr>
        <a:xfrm>
          <a:off x="2139553" y="3410348"/>
          <a:ext cx="1069579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724297</xdr:colOff>
      <xdr:row>20</xdr:row>
      <xdr:rowOff>158750</xdr:rowOff>
    </xdr:from>
    <xdr:to>
      <xdr:col>5</xdr:col>
      <xdr:colOff>257969</xdr:colOff>
      <xdr:row>23</xdr:row>
      <xdr:rowOff>148828</xdr:rowOff>
    </xdr:to>
    <xdr:sp macro="" textlink="">
      <xdr:nvSpPr>
        <xdr:cNvPr id="9" name="8 Rectángulo"/>
        <xdr:cNvSpPr/>
      </xdr:nvSpPr>
      <xdr:spPr>
        <a:xfrm>
          <a:off x="3238897" y="4397375"/>
          <a:ext cx="1095772" cy="6187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zoomScale="96" zoomScaleNormal="96" workbookViewId="0">
      <selection activeCell="C13" sqref="C13"/>
    </sheetView>
  </sheetViews>
  <sheetFormatPr baseColWidth="10" defaultRowHeight="16.5" x14ac:dyDescent="0.3"/>
  <cols>
    <col min="1" max="1" width="12.5703125" style="55" customWidth="1"/>
    <col min="2" max="2" width="13.7109375" style="55" customWidth="1"/>
    <col min="3" max="4" width="11.42578125" style="55"/>
    <col min="5" max="5" width="12" style="55" customWidth="1"/>
    <col min="6" max="7" width="11.42578125" style="55"/>
    <col min="8" max="8" width="14.28515625" style="55" customWidth="1"/>
    <col min="9" max="16384" width="11.42578125" style="55"/>
  </cols>
  <sheetData>
    <row r="1" spans="1:8" x14ac:dyDescent="0.3">
      <c r="A1" s="111" t="s">
        <v>170</v>
      </c>
      <c r="B1" s="55" t="s">
        <v>195</v>
      </c>
    </row>
    <row r="3" spans="1:8" x14ac:dyDescent="0.3">
      <c r="A3" s="111" t="s">
        <v>171</v>
      </c>
      <c r="B3" s="55" t="s">
        <v>172</v>
      </c>
    </row>
    <row r="5" spans="1:8" x14ac:dyDescent="0.3">
      <c r="A5" s="111" t="s">
        <v>173</v>
      </c>
      <c r="B5" s="55" t="s">
        <v>196</v>
      </c>
    </row>
    <row r="6" spans="1:8" x14ac:dyDescent="0.3">
      <c r="A6" s="111"/>
    </row>
    <row r="7" spans="1:8" x14ac:dyDescent="0.3">
      <c r="A7" s="111" t="s">
        <v>174</v>
      </c>
      <c r="B7" s="112">
        <v>500</v>
      </c>
      <c r="C7" s="55" t="s">
        <v>175</v>
      </c>
      <c r="D7" s="112">
        <v>75</v>
      </c>
      <c r="E7" s="55" t="s">
        <v>176</v>
      </c>
    </row>
    <row r="8" spans="1:8" x14ac:dyDescent="0.3">
      <c r="C8" s="112"/>
    </row>
    <row r="9" spans="1:8" ht="20.25" x14ac:dyDescent="0.3">
      <c r="A9" s="113" t="s">
        <v>177</v>
      </c>
    </row>
    <row r="10" spans="1:8" x14ac:dyDescent="0.3">
      <c r="A10" s="114" t="s">
        <v>178</v>
      </c>
      <c r="C10" s="115" t="s">
        <v>179</v>
      </c>
      <c r="D10" s="115" t="s">
        <v>180</v>
      </c>
      <c r="E10" s="115" t="s">
        <v>181</v>
      </c>
    </row>
    <row r="11" spans="1:8" x14ac:dyDescent="0.3">
      <c r="A11" s="114"/>
      <c r="C11" s="112">
        <v>8.5</v>
      </c>
      <c r="D11" s="112">
        <v>8.5</v>
      </c>
      <c r="E11" s="112">
        <v>3</v>
      </c>
    </row>
    <row r="12" spans="1:8" x14ac:dyDescent="0.3">
      <c r="A12" s="114"/>
    </row>
    <row r="13" spans="1:8" x14ac:dyDescent="0.3">
      <c r="E13" s="55">
        <f>+C11</f>
        <v>8.5</v>
      </c>
    </row>
    <row r="14" spans="1:8" x14ac:dyDescent="0.3">
      <c r="D14" s="116">
        <f>+E11</f>
        <v>3</v>
      </c>
      <c r="G14" s="116">
        <f>+E11</f>
        <v>3</v>
      </c>
    </row>
    <row r="15" spans="1:8" x14ac:dyDescent="0.3">
      <c r="A15" s="117" t="s">
        <v>182</v>
      </c>
      <c r="B15" s="117">
        <f>+G14+E13+D14</f>
        <v>14.5</v>
      </c>
      <c r="H15" s="116"/>
    </row>
    <row r="16" spans="1:8" x14ac:dyDescent="0.3">
      <c r="G16" s="116"/>
      <c r="H16" s="116"/>
    </row>
    <row r="17" spans="1:9" x14ac:dyDescent="0.3">
      <c r="G17" s="116"/>
      <c r="H17" s="116"/>
    </row>
    <row r="18" spans="1:9" x14ac:dyDescent="0.3">
      <c r="G18" s="116"/>
      <c r="H18" s="116"/>
    </row>
    <row r="19" spans="1:9" x14ac:dyDescent="0.3">
      <c r="C19" s="116">
        <f>+D11</f>
        <v>8.5</v>
      </c>
      <c r="H19" s="116">
        <f>+D11</f>
        <v>8.5</v>
      </c>
    </row>
    <row r="20" spans="1:9" x14ac:dyDescent="0.3">
      <c r="G20" s="116"/>
      <c r="H20" s="116"/>
    </row>
    <row r="21" spans="1:9" x14ac:dyDescent="0.3">
      <c r="G21" s="116"/>
      <c r="H21" s="116"/>
    </row>
    <row r="22" spans="1:9" x14ac:dyDescent="0.3">
      <c r="G22" s="116"/>
      <c r="H22" s="116"/>
    </row>
    <row r="23" spans="1:9" x14ac:dyDescent="0.3">
      <c r="H23" s="116"/>
    </row>
    <row r="24" spans="1:9" x14ac:dyDescent="0.3">
      <c r="D24" s="116">
        <f>+E11</f>
        <v>3</v>
      </c>
      <c r="G24" s="116">
        <f>+E11</f>
        <v>3</v>
      </c>
      <c r="H24" s="114">
        <f>+G14+H19+G24</f>
        <v>14.5</v>
      </c>
      <c r="I24" s="117" t="s">
        <v>183</v>
      </c>
    </row>
    <row r="25" spans="1:9" x14ac:dyDescent="0.3">
      <c r="E25" s="55">
        <f>+C11</f>
        <v>8.5</v>
      </c>
    </row>
    <row r="27" spans="1:9" s="114" customFormat="1" x14ac:dyDescent="0.3">
      <c r="A27" s="114" t="s">
        <v>184</v>
      </c>
      <c r="B27" s="114" t="s">
        <v>157</v>
      </c>
      <c r="C27" s="115">
        <v>90</v>
      </c>
      <c r="D27" s="115" t="s">
        <v>82</v>
      </c>
      <c r="E27" s="115">
        <v>130</v>
      </c>
      <c r="F27" s="118">
        <v>38.619999999999997</v>
      </c>
      <c r="H27" s="119">
        <f>+F27*H28</f>
        <v>463.43999999999994</v>
      </c>
    </row>
    <row r="28" spans="1:9" x14ac:dyDescent="0.3">
      <c r="C28" s="112">
        <f>+B15</f>
        <v>14.5</v>
      </c>
      <c r="D28" s="112" t="s">
        <v>82</v>
      </c>
      <c r="E28" s="112">
        <f>+H24</f>
        <v>14.5</v>
      </c>
      <c r="G28" s="114" t="s">
        <v>185</v>
      </c>
      <c r="H28" s="114">
        <v>12</v>
      </c>
    </row>
    <row r="29" spans="1:9" x14ac:dyDescent="0.3">
      <c r="C29" s="120">
        <f>+C27/C28</f>
        <v>6.2068965517241379</v>
      </c>
      <c r="D29" s="120"/>
      <c r="E29" s="120">
        <f>+E27/E28</f>
        <v>8.9655172413793096</v>
      </c>
      <c r="F29" s="114">
        <v>48</v>
      </c>
      <c r="G29" s="55">
        <f>+((B7+D7)/F29)</f>
        <v>11.979166666666666</v>
      </c>
    </row>
    <row r="30" spans="1:9" x14ac:dyDescent="0.3">
      <c r="C30" s="120">
        <f>+E27/C28</f>
        <v>8.9655172413793096</v>
      </c>
      <c r="D30" s="120"/>
      <c r="E30" s="120">
        <f>+C27/E28</f>
        <v>6.2068965517241379</v>
      </c>
      <c r="F30" s="55">
        <v>48</v>
      </c>
    </row>
    <row r="31" spans="1:9" x14ac:dyDescent="0.3">
      <c r="C31" s="112"/>
      <c r="D31" s="112"/>
      <c r="E31" s="112"/>
    </row>
    <row r="32" spans="1:9" x14ac:dyDescent="0.3">
      <c r="A32" s="114" t="s">
        <v>186</v>
      </c>
      <c r="C32" s="112">
        <f>0.25+D24+E25+0.25+G24</f>
        <v>15</v>
      </c>
      <c r="D32" s="112" t="s">
        <v>82</v>
      </c>
      <c r="E32" s="112">
        <f>+G14+0.25+H19+0.25+G24</f>
        <v>15</v>
      </c>
    </row>
    <row r="33" spans="1:8" ht="6" customHeight="1" x14ac:dyDescent="0.3">
      <c r="A33" s="114"/>
      <c r="C33" s="112"/>
      <c r="D33" s="112"/>
      <c r="E33" s="112"/>
    </row>
    <row r="34" spans="1:8" s="114" customFormat="1" x14ac:dyDescent="0.3">
      <c r="A34" s="114" t="s">
        <v>187</v>
      </c>
      <c r="B34" s="114" t="s">
        <v>117</v>
      </c>
      <c r="C34" s="115">
        <v>100</v>
      </c>
      <c r="D34" s="115" t="s">
        <v>82</v>
      </c>
      <c r="E34" s="115">
        <v>135</v>
      </c>
      <c r="F34" s="118">
        <v>35</v>
      </c>
      <c r="H34" s="119">
        <f>+F34*H35</f>
        <v>595</v>
      </c>
    </row>
    <row r="35" spans="1:8" x14ac:dyDescent="0.3">
      <c r="C35" s="112">
        <f>1+C32+1</f>
        <v>17</v>
      </c>
      <c r="D35" s="112" t="s">
        <v>82</v>
      </c>
      <c r="E35" s="112">
        <f>1+E32+1</f>
        <v>17</v>
      </c>
      <c r="G35" s="114" t="s">
        <v>185</v>
      </c>
      <c r="H35" s="114">
        <v>17</v>
      </c>
    </row>
    <row r="36" spans="1:8" x14ac:dyDescent="0.3">
      <c r="C36" s="120">
        <f>+C34/C35</f>
        <v>5.882352941176471</v>
      </c>
      <c r="D36" s="120"/>
      <c r="E36" s="120">
        <f>+E34/E35</f>
        <v>7.9411764705882355</v>
      </c>
      <c r="F36" s="114">
        <v>35</v>
      </c>
      <c r="G36" s="55">
        <f>+((B7+D7)/F36)</f>
        <v>16.428571428571427</v>
      </c>
    </row>
    <row r="37" spans="1:8" x14ac:dyDescent="0.3">
      <c r="C37" s="120">
        <f>+E34/C35</f>
        <v>7.9411764705882355</v>
      </c>
      <c r="D37" s="120"/>
      <c r="E37" s="120">
        <f>+C34/E35</f>
        <v>5.882352941176471</v>
      </c>
      <c r="F37" s="55">
        <v>35</v>
      </c>
    </row>
    <row r="39" spans="1:8" x14ac:dyDescent="0.3">
      <c r="A39" s="114" t="s">
        <v>188</v>
      </c>
      <c r="C39" s="112">
        <f>1.5+0.25+D24+0.25+E25+0.25+G24+0.25+1.5</f>
        <v>18.5</v>
      </c>
      <c r="D39" s="112" t="s">
        <v>82</v>
      </c>
      <c r="E39" s="112">
        <f>1.5+0.25+G14+0.25+H19+0.25+G24+0.25+1.5</f>
        <v>18.5</v>
      </c>
    </row>
    <row r="40" spans="1:8" ht="6" customHeight="1" x14ac:dyDescent="0.3">
      <c r="A40" s="114"/>
      <c r="C40" s="112"/>
      <c r="D40" s="112"/>
      <c r="E40" s="112"/>
    </row>
    <row r="41" spans="1:8" s="114" customFormat="1" x14ac:dyDescent="0.3">
      <c r="A41" s="114" t="s">
        <v>187</v>
      </c>
      <c r="B41" s="114" t="s">
        <v>117</v>
      </c>
      <c r="C41" s="115">
        <v>100</v>
      </c>
      <c r="D41" s="115" t="s">
        <v>82</v>
      </c>
      <c r="E41" s="115">
        <v>135</v>
      </c>
      <c r="F41" s="118">
        <v>35</v>
      </c>
      <c r="H41" s="119">
        <f>+F41*H42</f>
        <v>840</v>
      </c>
    </row>
    <row r="42" spans="1:8" x14ac:dyDescent="0.3">
      <c r="C42" s="112">
        <f>2+C39+2</f>
        <v>22.5</v>
      </c>
      <c r="D42" s="112" t="s">
        <v>82</v>
      </c>
      <c r="E42" s="112">
        <f>2+E39+2</f>
        <v>22.5</v>
      </c>
      <c r="G42" s="114" t="s">
        <v>185</v>
      </c>
      <c r="H42" s="114">
        <v>24</v>
      </c>
    </row>
    <row r="43" spans="1:8" x14ac:dyDescent="0.3">
      <c r="C43" s="120">
        <f>+C41/C42</f>
        <v>4.4444444444444446</v>
      </c>
      <c r="D43" s="120"/>
      <c r="E43" s="120">
        <f>+E41/E42</f>
        <v>6</v>
      </c>
      <c r="F43" s="114">
        <v>24</v>
      </c>
      <c r="G43" s="55">
        <f>+((B7+D7)/F43)</f>
        <v>23.958333333333332</v>
      </c>
    </row>
    <row r="44" spans="1:8" x14ac:dyDescent="0.3">
      <c r="C44" s="120">
        <f>+E41/C42</f>
        <v>6</v>
      </c>
      <c r="D44" s="120"/>
      <c r="E44" s="120">
        <f>+C41/E42</f>
        <v>4.4444444444444446</v>
      </c>
      <c r="F44" s="55">
        <v>24</v>
      </c>
    </row>
    <row r="56" spans="1:8" ht="20.25" x14ac:dyDescent="0.3">
      <c r="A56" s="113" t="s">
        <v>127</v>
      </c>
      <c r="C56" s="115" t="s">
        <v>189</v>
      </c>
      <c r="D56" s="115" t="s">
        <v>179</v>
      </c>
      <c r="E56" s="115" t="s">
        <v>190</v>
      </c>
      <c r="F56" s="115" t="s">
        <v>181</v>
      </c>
    </row>
    <row r="57" spans="1:8" x14ac:dyDescent="0.3">
      <c r="A57" s="114" t="s">
        <v>191</v>
      </c>
      <c r="C57" s="112">
        <v>3</v>
      </c>
      <c r="D57" s="112">
        <v>8.5</v>
      </c>
      <c r="E57" s="112">
        <v>3</v>
      </c>
      <c r="F57" s="112">
        <v>8.5</v>
      </c>
    </row>
    <row r="58" spans="1:8" x14ac:dyDescent="0.3">
      <c r="A58" s="114"/>
    </row>
    <row r="60" spans="1:8" x14ac:dyDescent="0.3">
      <c r="D60" s="112">
        <f>+C57</f>
        <v>3</v>
      </c>
      <c r="E60" s="112">
        <f>+D57</f>
        <v>8.5</v>
      </c>
      <c r="F60" s="55">
        <f>+E57</f>
        <v>3</v>
      </c>
    </row>
    <row r="61" spans="1:8" x14ac:dyDescent="0.3">
      <c r="A61" s="117" t="s">
        <v>182</v>
      </c>
      <c r="B61" s="117">
        <f>+D60+E60+F60</f>
        <v>14.5</v>
      </c>
      <c r="G61" s="116"/>
      <c r="H61" s="116"/>
    </row>
    <row r="62" spans="1:8" x14ac:dyDescent="0.3">
      <c r="G62" s="116"/>
      <c r="H62" s="116"/>
    </row>
    <row r="63" spans="1:8" x14ac:dyDescent="0.3">
      <c r="G63" s="116"/>
      <c r="H63" s="116"/>
    </row>
    <row r="64" spans="1:8" x14ac:dyDescent="0.3">
      <c r="G64" s="121">
        <f>+F57</f>
        <v>8.5</v>
      </c>
      <c r="H64" s="116"/>
    </row>
    <row r="65" spans="1:9" x14ac:dyDescent="0.3">
      <c r="C65" s="116"/>
      <c r="G65" s="116"/>
      <c r="H65" s="116"/>
    </row>
    <row r="66" spans="1:9" x14ac:dyDescent="0.3">
      <c r="G66" s="116"/>
      <c r="H66" s="116"/>
    </row>
    <row r="67" spans="1:9" x14ac:dyDescent="0.3">
      <c r="G67" s="116"/>
      <c r="H67" s="116"/>
    </row>
    <row r="68" spans="1:9" x14ac:dyDescent="0.3">
      <c r="G68" s="116"/>
      <c r="H68" s="116"/>
    </row>
    <row r="69" spans="1:9" x14ac:dyDescent="0.3">
      <c r="G69" s="116"/>
      <c r="H69" s="116"/>
    </row>
    <row r="70" spans="1:9" x14ac:dyDescent="0.3">
      <c r="H70" s="114">
        <f>+G64+0</f>
        <v>8.5</v>
      </c>
      <c r="I70" s="117" t="s">
        <v>183</v>
      </c>
    </row>
    <row r="73" spans="1:9" s="114" customFormat="1" x14ac:dyDescent="0.3">
      <c r="A73" s="114" t="s">
        <v>192</v>
      </c>
      <c r="B73" s="114" t="s">
        <v>157</v>
      </c>
      <c r="C73" s="115">
        <v>90</v>
      </c>
      <c r="D73" s="115" t="s">
        <v>82</v>
      </c>
      <c r="E73" s="115">
        <v>130</v>
      </c>
      <c r="F73" s="118">
        <v>38.161999999999999</v>
      </c>
      <c r="H73" s="119">
        <f>+F73*H74</f>
        <v>267.13400000000001</v>
      </c>
    </row>
    <row r="74" spans="1:9" x14ac:dyDescent="0.3">
      <c r="C74" s="112">
        <f>+B61</f>
        <v>14.5</v>
      </c>
      <c r="D74" s="112" t="s">
        <v>82</v>
      </c>
      <c r="E74" s="112">
        <f>+H70</f>
        <v>8.5</v>
      </c>
      <c r="G74" s="114" t="s">
        <v>185</v>
      </c>
      <c r="H74" s="114">
        <v>7</v>
      </c>
    </row>
    <row r="75" spans="1:9" x14ac:dyDescent="0.3">
      <c r="C75" s="120">
        <f>+C73/C74</f>
        <v>6.2068965517241379</v>
      </c>
      <c r="D75" s="120"/>
      <c r="E75" s="120">
        <f>+E73/E74</f>
        <v>15.294117647058824</v>
      </c>
      <c r="F75" s="114">
        <v>90</v>
      </c>
      <c r="G75" s="55">
        <f>+((B7+D7)/F75)</f>
        <v>6.3888888888888893</v>
      </c>
    </row>
    <row r="76" spans="1:9" x14ac:dyDescent="0.3">
      <c r="C76" s="120">
        <f>+E73/C74</f>
        <v>8.9655172413793096</v>
      </c>
      <c r="D76" s="120"/>
      <c r="E76" s="120">
        <f>+C73/E74</f>
        <v>10.588235294117647</v>
      </c>
      <c r="F76" s="55">
        <v>80</v>
      </c>
    </row>
    <row r="77" spans="1:9" x14ac:dyDescent="0.3">
      <c r="C77" s="112"/>
      <c r="D77" s="112"/>
      <c r="E77" s="112"/>
    </row>
    <row r="78" spans="1:9" x14ac:dyDescent="0.3">
      <c r="A78" s="114" t="s">
        <v>193</v>
      </c>
      <c r="C78" s="112">
        <f>0.25+D60+E60+0.25+F60</f>
        <v>15</v>
      </c>
      <c r="D78" s="112" t="s">
        <v>82</v>
      </c>
      <c r="E78" s="112">
        <f>+G64</f>
        <v>8.5</v>
      </c>
    </row>
    <row r="79" spans="1:9" ht="6" customHeight="1" x14ac:dyDescent="0.3">
      <c r="A79" s="114"/>
      <c r="C79" s="112"/>
      <c r="D79" s="112"/>
      <c r="E79" s="112"/>
    </row>
    <row r="80" spans="1:9" s="114" customFormat="1" x14ac:dyDescent="0.3">
      <c r="A80" s="114" t="s">
        <v>187</v>
      </c>
      <c r="B80" s="114" t="s">
        <v>117</v>
      </c>
      <c r="C80" s="115">
        <v>100</v>
      </c>
      <c r="D80" s="115" t="s">
        <v>82</v>
      </c>
      <c r="E80" s="115">
        <v>135</v>
      </c>
      <c r="F80" s="118">
        <v>35</v>
      </c>
      <c r="H80" s="119">
        <f>+F80*H81</f>
        <v>350</v>
      </c>
    </row>
    <row r="81" spans="1:8" x14ac:dyDescent="0.3">
      <c r="C81" s="112">
        <f>1+C78+1</f>
        <v>17</v>
      </c>
      <c r="D81" s="112" t="s">
        <v>82</v>
      </c>
      <c r="E81" s="112">
        <f>1+E78+1</f>
        <v>10.5</v>
      </c>
      <c r="G81" s="114" t="s">
        <v>185</v>
      </c>
      <c r="H81" s="114">
        <v>10</v>
      </c>
    </row>
    <row r="82" spans="1:8" x14ac:dyDescent="0.3">
      <c r="C82" s="120">
        <f>+C80/C81</f>
        <v>5.882352941176471</v>
      </c>
      <c r="D82" s="120"/>
      <c r="E82" s="120">
        <f>+E80/E81</f>
        <v>12.857142857142858</v>
      </c>
      <c r="F82" s="55">
        <v>60</v>
      </c>
      <c r="G82" s="55">
        <f>+((B7+D7)/F82)</f>
        <v>9.5833333333333339</v>
      </c>
    </row>
    <row r="83" spans="1:8" x14ac:dyDescent="0.3">
      <c r="C83" s="120">
        <f>+E80/C81</f>
        <v>7.9411764705882355</v>
      </c>
      <c r="D83" s="120"/>
      <c r="E83" s="120">
        <f>+C80/E81</f>
        <v>9.5238095238095237</v>
      </c>
      <c r="F83" s="114">
        <v>63</v>
      </c>
    </row>
    <row r="85" spans="1:8" x14ac:dyDescent="0.3">
      <c r="A85" s="114" t="s">
        <v>194</v>
      </c>
      <c r="C85" s="112">
        <f>1.5+0.25+D60+0.25+E60+0.25+F60+0.25+1.5</f>
        <v>18.5</v>
      </c>
      <c r="D85" s="112" t="s">
        <v>82</v>
      </c>
      <c r="E85" s="112">
        <f>1.5+0.25+G64+0.25+1.5</f>
        <v>12</v>
      </c>
    </row>
    <row r="86" spans="1:8" ht="6" customHeight="1" x14ac:dyDescent="0.3">
      <c r="A86" s="114"/>
      <c r="C86" s="112"/>
      <c r="D86" s="112"/>
      <c r="E86" s="112"/>
    </row>
    <row r="87" spans="1:8" s="114" customFormat="1" x14ac:dyDescent="0.3">
      <c r="A87" s="114" t="s">
        <v>187</v>
      </c>
      <c r="B87" s="114" t="s">
        <v>117</v>
      </c>
      <c r="C87" s="115">
        <v>100</v>
      </c>
      <c r="D87" s="115" t="s">
        <v>82</v>
      </c>
      <c r="E87" s="115">
        <v>135</v>
      </c>
      <c r="F87" s="118">
        <v>35</v>
      </c>
      <c r="H87" s="119">
        <f>+F87*H88</f>
        <v>630</v>
      </c>
    </row>
    <row r="88" spans="1:8" x14ac:dyDescent="0.3">
      <c r="C88" s="112">
        <f>2+C85+2</f>
        <v>22.5</v>
      </c>
      <c r="D88" s="112" t="s">
        <v>82</v>
      </c>
      <c r="E88" s="112">
        <f>2+E85+2</f>
        <v>16</v>
      </c>
      <c r="G88" s="114" t="s">
        <v>185</v>
      </c>
      <c r="H88" s="114">
        <v>18</v>
      </c>
    </row>
    <row r="89" spans="1:8" x14ac:dyDescent="0.3">
      <c r="C89" s="120">
        <f>+C87/C88</f>
        <v>4.4444444444444446</v>
      </c>
      <c r="D89" s="120"/>
      <c r="E89" s="120">
        <f>+E87/E88</f>
        <v>8.4375</v>
      </c>
      <c r="F89" s="114">
        <v>32</v>
      </c>
      <c r="G89" s="55">
        <f>+((B7+D7)/F89)</f>
        <v>17.96875</v>
      </c>
    </row>
    <row r="90" spans="1:8" x14ac:dyDescent="0.3">
      <c r="C90" s="120">
        <f>+E87/C88</f>
        <v>6</v>
      </c>
      <c r="D90" s="120"/>
      <c r="E90" s="120">
        <f>+C87/E88</f>
        <v>6.25</v>
      </c>
      <c r="F90" s="55">
        <v>36</v>
      </c>
    </row>
  </sheetData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26 de diciembre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">
        <v>141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93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197</v>
      </c>
      <c r="D16" s="18"/>
      <c r="E16" s="18"/>
      <c r="F16" s="46">
        <v>14.5</v>
      </c>
      <c r="G16" s="73" t="s">
        <v>82</v>
      </c>
      <c r="H16" s="74">
        <v>14.5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110</v>
      </c>
      <c r="D23" s="5" t="s">
        <v>14</v>
      </c>
      <c r="E23" s="22" t="s">
        <v>95</v>
      </c>
      <c r="F23" s="1" t="s">
        <v>157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14.5</v>
      </c>
      <c r="D26" s="28" t="s">
        <v>16</v>
      </c>
      <c r="E26" s="27">
        <f>+H16</f>
        <v>14.5</v>
      </c>
      <c r="F26" s="29">
        <f>+E26</f>
        <v>14.5</v>
      </c>
      <c r="G26" s="29" t="s">
        <v>16</v>
      </c>
      <c r="H26" s="29">
        <f>+C26</f>
        <v>14.5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6.2068965517241379</v>
      </c>
      <c r="D27" s="33"/>
      <c r="E27" s="32">
        <f>+E25/E26</f>
        <v>8.9655172413793096</v>
      </c>
      <c r="F27" s="32">
        <f>+F25/F26</f>
        <v>6.2068965517241379</v>
      </c>
      <c r="G27" s="33"/>
      <c r="H27" s="32">
        <f>+H25/H26</f>
        <v>8.9655172413793096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48</v>
      </c>
      <c r="E28" s="37"/>
      <c r="F28" s="38"/>
      <c r="G28" s="39">
        <v>48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v>38.619999999999997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38.619999999999997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38.619999999999997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42.481999999999999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48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500</v>
      </c>
      <c r="D40" s="24">
        <v>75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575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11.979166666666666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575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575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v>500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462.63541666666663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350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350</v>
      </c>
      <c r="H52" s="30">
        <f t="shared" ref="H52:H59" si="0">+G52*E52</f>
        <v>350</v>
      </c>
      <c r="I52" s="30">
        <f>+(B72/100)*2</f>
        <v>19.277979166666668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812.63541666666663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1.6252708333333332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350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+B72/C40</f>
        <v>1.9277979166666666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508.89895833333333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455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1.6252708333333332</v>
      </c>
      <c r="H69" s="65">
        <f>+G69*B48</f>
        <v>812.63541666666663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1.9277979166666666</v>
      </c>
      <c r="H70" s="65">
        <f>+G70*B48</f>
        <v>963.89895833333333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76</v>
      </c>
      <c r="G71" s="68">
        <f>+G70-G69</f>
        <v>0.30252708333333334</v>
      </c>
      <c r="H71" s="65">
        <f>+G71*B48</f>
        <v>151.26354166666667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58</v>
      </c>
      <c r="B72" s="57">
        <f>SUM(B65:B71)</f>
        <v>963.89895833333333</v>
      </c>
      <c r="C72" s="68">
        <f>+B72/B48</f>
        <v>1.9277979166666666</v>
      </c>
      <c r="D72" s="5" t="s">
        <v>132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6" spans="10:22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22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22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22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22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22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22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22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22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22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zoomScale="80" zoomScaleNormal="80" workbookViewId="0">
      <selection activeCell="C14" sqref="C1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26 de diciembre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127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140</v>
      </c>
      <c r="D16" s="18"/>
      <c r="E16" s="18"/>
      <c r="F16" s="46">
        <v>14.5</v>
      </c>
      <c r="G16" s="73" t="s">
        <v>82</v>
      </c>
      <c r="H16" s="74">
        <v>8.5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110</v>
      </c>
      <c r="D23" s="5" t="s">
        <v>14</v>
      </c>
      <c r="E23" s="22" t="s">
        <v>95</v>
      </c>
      <c r="F23" s="1" t="str">
        <f>+'cartón caja'!F23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14.5</v>
      </c>
      <c r="D26" s="28" t="s">
        <v>16</v>
      </c>
      <c r="E26" s="27">
        <f>+H16</f>
        <v>8.5</v>
      </c>
      <c r="F26" s="29">
        <f>+E26</f>
        <v>8.5</v>
      </c>
      <c r="G26" s="29" t="s">
        <v>16</v>
      </c>
      <c r="H26" s="29">
        <f>+C26</f>
        <v>14.5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6.2068965517241379</v>
      </c>
      <c r="D27" s="33"/>
      <c r="E27" s="32">
        <f>+E25/E26</f>
        <v>15.294117647058824</v>
      </c>
      <c r="F27" s="32">
        <f>+F25/F26</f>
        <v>10.588235294117647</v>
      </c>
      <c r="G27" s="33"/>
      <c r="H27" s="32">
        <f>+H25/H26</f>
        <v>8.9655172413793096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90</v>
      </c>
      <c r="E28" s="37"/>
      <c r="F28" s="38"/>
      <c r="G28" s="39">
        <v>80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 t="s">
        <v>89</v>
      </c>
      <c r="D30" s="41" t="s">
        <v>22</v>
      </c>
      <c r="E30" s="42">
        <f>+'cartón caja'!E30</f>
        <v>38.619999999999997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38.619999999999997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38.619999999999997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</f>
        <v>42.481999999999999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90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500</v>
      </c>
      <c r="D40" s="24">
        <f>+'cartón caja'!D40</f>
        <v>75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575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6.3888888888888893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0.5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575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575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77</v>
      </c>
      <c r="B48" s="21">
        <f>+'cartón caja'!B48</f>
        <v>500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54</v>
      </c>
      <c r="B50" s="54">
        <f>+E34*C42</f>
        <v>246.73888888888888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350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350</v>
      </c>
      <c r="H52" s="30">
        <f t="shared" ref="H52" si="0">+G52*E52</f>
        <v>350</v>
      </c>
      <c r="I52" s="30">
        <f>+(B72/100)*2</f>
        <v>14.528255555555557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58</v>
      </c>
      <c r="B58" s="57">
        <f>SUM(B50:B57)</f>
        <v>596.73888888888882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+B58/B48</f>
        <v>1.1934777777777776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350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63</v>
      </c>
      <c r="H62" s="76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65</v>
      </c>
      <c r="B63" s="3"/>
      <c r="C63" s="3"/>
      <c r="E63" s="32">
        <f>+B72/C40</f>
        <v>1.4528255555555556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54</v>
      </c>
      <c r="B66" s="54">
        <f>+E35*C42</f>
        <v>271.41277777777776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455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1.1934777777777776</v>
      </c>
      <c r="H69" s="65">
        <f>+G69*C46</f>
        <v>686.24972222222209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1.4528255555555556</v>
      </c>
      <c r="H70" s="65">
        <f>+G70*C46</f>
        <v>835.37469444444446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76</v>
      </c>
      <c r="G71" s="68">
        <f>+G70-G69</f>
        <v>0.25934777777777795</v>
      </c>
      <c r="H71" s="65">
        <f>+G71*C46</f>
        <v>149.12497222222231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58</v>
      </c>
      <c r="B72" s="57">
        <f>SUM(B65:B71)</f>
        <v>726.41277777777782</v>
      </c>
      <c r="C72" s="68">
        <f>+B72/B48</f>
        <v>1.4528255555555556</v>
      </c>
      <c r="D72" s="5" t="s">
        <v>133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B76" s="69"/>
      <c r="C76" s="70"/>
    </row>
    <row r="80" spans="1:24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abSelected="1" topLeftCell="A23" zoomScale="80" zoomScaleNormal="80" workbookViewId="0">
      <selection activeCell="I31" sqref="I3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26 de diciembre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143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144</v>
      </c>
      <c r="D16" s="18"/>
      <c r="E16" s="18"/>
      <c r="F16" s="46">
        <v>8.5</v>
      </c>
      <c r="G16" s="73" t="s">
        <v>82</v>
      </c>
      <c r="H16" s="74">
        <v>8.5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/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143</v>
      </c>
      <c r="D23" s="5" t="s">
        <v>14</v>
      </c>
      <c r="E23" s="22" t="s">
        <v>146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70</v>
      </c>
      <c r="D25" s="22" t="s">
        <v>16</v>
      </c>
      <c r="E25" s="24">
        <v>95</v>
      </c>
      <c r="F25" s="25">
        <f>+C25</f>
        <v>70</v>
      </c>
      <c r="G25" s="26" t="s">
        <v>16</v>
      </c>
      <c r="H25" s="26">
        <f>+E25</f>
        <v>95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8.5</v>
      </c>
      <c r="D26" s="28" t="s">
        <v>16</v>
      </c>
      <c r="E26" s="27">
        <f>+H16</f>
        <v>8.5</v>
      </c>
      <c r="F26" s="29">
        <f>+E26</f>
        <v>8.5</v>
      </c>
      <c r="G26" s="29" t="s">
        <v>16</v>
      </c>
      <c r="H26" s="29">
        <f>+C26</f>
        <v>8.5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8.235294117647058</v>
      </c>
      <c r="D27" s="33"/>
      <c r="E27" s="32">
        <f>+E25/E26</f>
        <v>11.176470588235293</v>
      </c>
      <c r="F27" s="32">
        <f>+F25/F26</f>
        <v>8.235294117647058</v>
      </c>
      <c r="G27" s="33"/>
      <c r="H27" s="32">
        <f>+H25/H26</f>
        <v>11.176470588235293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88</v>
      </c>
      <c r="E28" s="37"/>
      <c r="F28" s="38"/>
      <c r="G28" s="39">
        <v>88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/>
      <c r="D30" s="41" t="s">
        <v>22</v>
      </c>
      <c r="E30" s="93">
        <v>18.25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18.25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18.25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</f>
        <v>20.075000000000003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88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500</v>
      </c>
      <c r="D40" s="24">
        <f>+'cartón caja'!D40</f>
        <v>75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575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6.5340909090909092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0.5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575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575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77</v>
      </c>
      <c r="B48" s="21">
        <f>+'cartón caja'!B48</f>
        <v>500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54</v>
      </c>
      <c r="B50" s="54">
        <f>+E34*C42</f>
        <v>119.24715909090909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350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350</v>
      </c>
      <c r="H52" s="30">
        <f t="shared" ref="H52:H59" si="0">+G52*E52</f>
        <v>350</v>
      </c>
      <c r="I52" s="30">
        <f>+(B72/100)*2</f>
        <v>11.723437499999999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130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58</v>
      </c>
      <c r="B58" s="57">
        <f>SUM(B50:B57)</f>
        <v>469.24715909090912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+B58/B48</f>
        <v>0.93849431818181828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350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63</v>
      </c>
      <c r="H62" s="76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65</v>
      </c>
      <c r="B63" s="3"/>
      <c r="C63" s="3"/>
      <c r="E63" s="32">
        <f>+B72/C40</f>
        <v>1.17234375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54</v>
      </c>
      <c r="B66" s="54">
        <f>+E35*C42</f>
        <v>131.17187500000003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455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0.93849431818181828</v>
      </c>
      <c r="H69" s="65">
        <f>+G69*C46</f>
        <v>539.6342329545455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1.17234375</v>
      </c>
      <c r="H70" s="65">
        <f>+G70*C46</f>
        <v>674.09765625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76</v>
      </c>
      <c r="G71" s="68">
        <f>+G70-G69</f>
        <v>0.23384943181818174</v>
      </c>
      <c r="H71" s="65">
        <f>+G71*C46</f>
        <v>134.4634232954545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58</v>
      </c>
      <c r="B72" s="57">
        <f>SUM(B65:B71)</f>
        <v>586.171875</v>
      </c>
      <c r="C72" s="68">
        <f>+B72/B48</f>
        <v>1.17234375</v>
      </c>
      <c r="D72" s="5" t="s">
        <v>148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80" spans="1:24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12" zoomScale="80" zoomScaleNormal="80" workbookViewId="0">
      <selection activeCell="E21" sqref="E2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26 de diciembre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143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145</v>
      </c>
      <c r="D16" s="18"/>
      <c r="E16" s="18"/>
      <c r="F16" s="46">
        <v>15</v>
      </c>
      <c r="G16" s="73" t="s">
        <v>82</v>
      </c>
      <c r="H16" s="74">
        <v>15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4</v>
      </c>
      <c r="G17" s="75" t="s">
        <v>147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46">
        <v>4.5</v>
      </c>
      <c r="G20" s="73" t="s">
        <v>82</v>
      </c>
      <c r="H20" s="74">
        <v>4.5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72">
        <v>1</v>
      </c>
      <c r="G21" s="75" t="s">
        <v>147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143</v>
      </c>
      <c r="D23" s="5" t="s">
        <v>14</v>
      </c>
      <c r="E23" s="22" t="s">
        <v>146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150</v>
      </c>
      <c r="D25" s="22" t="s">
        <v>16</v>
      </c>
      <c r="E25" s="24">
        <v>300</v>
      </c>
      <c r="F25" s="25">
        <f>+C25</f>
        <v>150</v>
      </c>
      <c r="G25" s="26" t="s">
        <v>16</v>
      </c>
      <c r="H25" s="26">
        <f>+E25</f>
        <v>300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15</v>
      </c>
      <c r="D26" s="28" t="s">
        <v>16</v>
      </c>
      <c r="E26" s="27">
        <f>+H16</f>
        <v>15</v>
      </c>
      <c r="F26" s="29">
        <f>+E26</f>
        <v>15</v>
      </c>
      <c r="G26" s="29" t="s">
        <v>16</v>
      </c>
      <c r="H26" s="29">
        <f>+C26</f>
        <v>15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10</v>
      </c>
      <c r="D27" s="33"/>
      <c r="E27" s="32">
        <f>+E25/E26</f>
        <v>20</v>
      </c>
      <c r="F27" s="32">
        <f>+F25/F26</f>
        <v>10</v>
      </c>
      <c r="G27" s="33"/>
      <c r="H27" s="32">
        <f>+H25/H26</f>
        <v>20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200</v>
      </c>
      <c r="E28" s="37"/>
      <c r="F28" s="38"/>
      <c r="G28" s="39">
        <v>200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/>
      <c r="D30" s="41" t="s">
        <v>22</v>
      </c>
      <c r="E30" s="42">
        <v>400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400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400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440.00000000000006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200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125</v>
      </c>
      <c r="D40" s="24">
        <f>+'cartón caja'!D40</f>
        <v>75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200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0.125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200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200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500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400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1170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350</v>
      </c>
      <c r="H52" s="30">
        <f t="shared" ref="H52:H59" si="0">+G52*E52</f>
        <v>350</v>
      </c>
      <c r="I52" s="30">
        <f>+(B72/100)*2</f>
        <v>39.22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79</v>
      </c>
      <c r="G53" s="30">
        <v>135</v>
      </c>
      <c r="H53" s="30">
        <f t="shared" si="0"/>
        <v>135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1</v>
      </c>
      <c r="F54" s="21" t="s">
        <v>80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f>+B48*1.1</f>
        <v>550</v>
      </c>
      <c r="F56" s="21" t="s">
        <v>55</v>
      </c>
      <c r="G56" s="30">
        <v>1</v>
      </c>
      <c r="H56" s="30">
        <f t="shared" si="0"/>
        <v>550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1570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3.14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1170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+B72/C40</f>
        <v>15.688000000000001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440.00000000000006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1521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3.14</v>
      </c>
      <c r="H69" s="65">
        <f>+G69*C46</f>
        <v>628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3.9220000000000002</v>
      </c>
      <c r="H70" s="65">
        <f>+G70*C46</f>
        <v>784.4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76</v>
      </c>
      <c r="G71" s="68">
        <f>+G70-G69</f>
        <v>0.78200000000000003</v>
      </c>
      <c r="H71" s="65">
        <f>+G71*C46</f>
        <v>156.4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58</v>
      </c>
      <c r="B72" s="57">
        <f>SUM(B65:B71)</f>
        <v>1961</v>
      </c>
      <c r="C72" s="68">
        <f>+B72/B48</f>
        <v>3.9220000000000002</v>
      </c>
      <c r="D72" s="5" t="s">
        <v>149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x14ac:dyDescent="0.3">
      <c r="A75" s="5"/>
    </row>
    <row r="76" spans="1:22" x14ac:dyDescent="0.3">
      <c r="B76" s="69"/>
      <c r="C76" s="70"/>
    </row>
    <row r="80" spans="1:22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40" zoomScale="80" zoomScaleNormal="80" workbookViewId="0">
      <selection activeCell="C67" sqref="C6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26 de diciembre de 2016.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9" t="s">
        <v>168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198</v>
      </c>
      <c r="D16" s="18"/>
      <c r="E16" s="18"/>
      <c r="F16" s="46">
        <f>+F20</f>
        <v>17</v>
      </c>
      <c r="G16" s="73" t="s">
        <v>82</v>
      </c>
      <c r="H16" s="74">
        <f>+H20</f>
        <v>17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7" t="s">
        <v>163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7" t="s">
        <v>160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8" t="s">
        <v>100</v>
      </c>
      <c r="D20" s="18"/>
      <c r="E20" s="18"/>
      <c r="F20" s="46">
        <v>17</v>
      </c>
      <c r="G20" s="73" t="s">
        <v>82</v>
      </c>
      <c r="H20" s="74">
        <v>17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8" t="s">
        <v>161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8" t="s">
        <v>162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13</v>
      </c>
      <c r="C23" s="80" t="s">
        <v>158</v>
      </c>
      <c r="D23" s="5" t="s">
        <v>14</v>
      </c>
      <c r="E23" s="22" t="s">
        <v>159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15</v>
      </c>
      <c r="C25" s="23">
        <v>135</v>
      </c>
      <c r="D25" s="22" t="s">
        <v>16</v>
      </c>
      <c r="E25" s="24">
        <v>100</v>
      </c>
      <c r="F25" s="25">
        <f>+C25</f>
        <v>135</v>
      </c>
      <c r="G25" s="26" t="s">
        <v>16</v>
      </c>
      <c r="H25" s="26">
        <f>+E25</f>
        <v>100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17</v>
      </c>
      <c r="B26" s="3"/>
      <c r="C26" s="27">
        <f>+F16</f>
        <v>17</v>
      </c>
      <c r="D26" s="28" t="s">
        <v>16</v>
      </c>
      <c r="E26" s="27">
        <f>+H16</f>
        <v>17</v>
      </c>
      <c r="F26" s="29">
        <f>+E26</f>
        <v>17</v>
      </c>
      <c r="G26" s="29" t="s">
        <v>16</v>
      </c>
      <c r="H26" s="29">
        <f>+C26</f>
        <v>17</v>
      </c>
      <c r="I26" s="30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18</v>
      </c>
      <c r="B27" s="31"/>
      <c r="C27" s="32">
        <f>+C25/C26</f>
        <v>7.9411764705882355</v>
      </c>
      <c r="D27" s="33"/>
      <c r="E27" s="32">
        <f>+E25/E26</f>
        <v>5.882352941176471</v>
      </c>
      <c r="F27" s="32">
        <f>+F25/F26</f>
        <v>7.9411764705882355</v>
      </c>
      <c r="G27" s="33"/>
      <c r="H27" s="32">
        <f>+H25/H26</f>
        <v>5.882352941176471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19</v>
      </c>
      <c r="B28" s="34"/>
      <c r="C28" s="35"/>
      <c r="D28" s="36">
        <v>35</v>
      </c>
      <c r="E28" s="37"/>
      <c r="F28" s="38"/>
      <c r="G28" s="39">
        <v>35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9" ht="15.75" x14ac:dyDescent="0.3">
      <c r="A30" s="25" t="s">
        <v>21</v>
      </c>
      <c r="B30" s="25" t="s">
        <v>158</v>
      </c>
      <c r="D30" s="41" t="s">
        <v>22</v>
      </c>
      <c r="E30" s="42">
        <v>35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</f>
        <v>38.5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35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500</v>
      </c>
      <c r="D40" s="24">
        <f>+'cartón caja'!D40</f>
        <v>75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575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16.428571428571427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92</v>
      </c>
      <c r="C43" s="21">
        <f>+(C42*C38)*F17</f>
        <v>575</v>
      </c>
      <c r="F43" s="41" t="s">
        <v>44</v>
      </c>
      <c r="G43" s="23">
        <f>+C40/1000</f>
        <v>0.5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575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575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77</v>
      </c>
      <c r="B48" s="21">
        <f>+'cartón caja'!B48</f>
        <v>500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v>295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3" t="s">
        <v>54</v>
      </c>
      <c r="B50" s="54">
        <f>+E34*C42</f>
        <v>575</v>
      </c>
      <c r="C50" s="3">
        <f>+B50/2</f>
        <v>287.5</v>
      </c>
      <c r="D50" s="21">
        <v>0</v>
      </c>
      <c r="E50" s="21">
        <v>0</v>
      </c>
      <c r="F50" s="21" t="s">
        <v>78</v>
      </c>
      <c r="G50" s="30">
        <v>140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12</v>
      </c>
      <c r="B51" s="54">
        <f>+H61</f>
        <v>1622.2489999999998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350</v>
      </c>
      <c r="H52" s="30">
        <f t="shared" ref="H52:H59" si="0">+G52*E52</f>
        <v>350</v>
      </c>
      <c r="I52" s="30">
        <f>+(B73/100)*2</f>
        <v>54.828474</v>
      </c>
      <c r="Q52"/>
      <c r="R52"/>
      <c r="S52"/>
    </row>
    <row r="53" spans="1:23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111</v>
      </c>
      <c r="G53" s="30">
        <f>+E83</f>
        <v>1272.2489999999998</v>
      </c>
      <c r="H53" s="30">
        <f t="shared" si="0"/>
        <v>1272.2489999999998</v>
      </c>
      <c r="I53" s="55"/>
      <c r="Q53"/>
      <c r="R53"/>
      <c r="S53"/>
    </row>
    <row r="54" spans="1:23" ht="15.75" x14ac:dyDescent="0.3">
      <c r="A54" s="56" t="s">
        <v>96</v>
      </c>
      <c r="B54" s="54">
        <v>0</v>
      </c>
      <c r="C54" s="3"/>
      <c r="D54" s="21">
        <v>0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Q54"/>
      <c r="R54"/>
      <c r="S54"/>
    </row>
    <row r="55" spans="1:23" ht="15.75" x14ac:dyDescent="0.3">
      <c r="A55" s="56" t="s">
        <v>99</v>
      </c>
      <c r="B55" s="54">
        <v>0</v>
      </c>
      <c r="D55" s="21">
        <v>0</v>
      </c>
      <c r="E55" s="21">
        <v>0</v>
      </c>
      <c r="F55" s="21" t="s">
        <v>97</v>
      </c>
      <c r="G55" s="30">
        <v>120</v>
      </c>
      <c r="H55" s="30">
        <f>+G55*E55</f>
        <v>0</v>
      </c>
      <c r="Q55"/>
      <c r="R55"/>
      <c r="S55"/>
    </row>
    <row r="56" spans="1:23" x14ac:dyDescent="0.3">
      <c r="A56" s="56" t="s">
        <v>98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</row>
    <row r="57" spans="1:23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Q57"/>
      <c r="R57"/>
      <c r="S57"/>
      <c r="T57"/>
      <c r="U57"/>
      <c r="V57"/>
      <c r="W57"/>
    </row>
    <row r="58" spans="1:23" ht="15.75" x14ac:dyDescent="0.3">
      <c r="A58" s="52" t="s">
        <v>58</v>
      </c>
      <c r="B58" s="57">
        <f>SUM(B50:B57)</f>
        <v>2197.2489999999998</v>
      </c>
      <c r="C58" s="3"/>
      <c r="D58" s="21">
        <v>0</v>
      </c>
      <c r="E58" s="21">
        <v>0</v>
      </c>
      <c r="F58" s="3" t="s">
        <v>59</v>
      </c>
      <c r="G58" s="30">
        <f>+G79</f>
        <v>500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4.3944979999999996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1622.2489999999998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63</v>
      </c>
      <c r="H62" s="76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65</v>
      </c>
      <c r="B63" s="3"/>
      <c r="C63" s="3"/>
      <c r="E63" s="32">
        <f>+B73/C40</f>
        <v>5.4828473999999998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632.49999999999989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2108.9236999999998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Placas HS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4.3944979999999996</v>
      </c>
      <c r="H70" s="65">
        <f>+G70*B48</f>
        <v>2197.2489999999998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Encuadernación</v>
      </c>
      <c r="B71" s="54">
        <f>+B56*1.2</f>
        <v>0</v>
      </c>
      <c r="C71" s="66"/>
      <c r="F71" s="64" t="s">
        <v>75</v>
      </c>
      <c r="G71" s="32">
        <f>+C73</f>
        <v>5.4828473999999998</v>
      </c>
      <c r="H71" s="65">
        <f>+G71*B48</f>
        <v>2741.4236999999998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/>
      <c r="B72" s="54"/>
      <c r="C72" s="66"/>
      <c r="F72" s="67" t="s">
        <v>76</v>
      </c>
      <c r="G72" s="68">
        <f>+G71-G70</f>
        <v>1.0883494000000002</v>
      </c>
      <c r="H72" s="82">
        <f>+G72*B48</f>
        <v>544.17470000000014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2" t="s">
        <v>58</v>
      </c>
      <c r="B73" s="57">
        <f>SUM(B65:B72)</f>
        <v>2741.4236999999998</v>
      </c>
      <c r="C73" s="68">
        <f>+B73/B48</f>
        <v>5.4828473999999998</v>
      </c>
      <c r="D73" s="5" t="s">
        <v>134</v>
      </c>
    </row>
    <row r="74" spans="1:23" x14ac:dyDescent="0.3">
      <c r="C74" s="77"/>
      <c r="D74" s="5"/>
    </row>
    <row r="75" spans="1:23" x14ac:dyDescent="0.3">
      <c r="C75" s="77"/>
      <c r="D75" s="5"/>
    </row>
    <row r="76" spans="1:23" x14ac:dyDescent="0.3">
      <c r="A76" s="5"/>
      <c r="C76" s="65"/>
      <c r="D76" s="5"/>
    </row>
    <row r="77" spans="1:23" ht="15" thickBot="1" x14ac:dyDescent="0.35">
      <c r="A77" s="5" t="s">
        <v>9</v>
      </c>
    </row>
    <row r="78" spans="1:23" x14ac:dyDescent="0.3">
      <c r="A78" s="11" t="s">
        <v>104</v>
      </c>
      <c r="B78" s="12"/>
      <c r="C78" s="12"/>
      <c r="D78" s="12"/>
      <c r="E78" s="12"/>
      <c r="F78" s="12"/>
      <c r="G78" s="13"/>
    </row>
    <row r="79" spans="1:23" x14ac:dyDescent="0.3">
      <c r="A79" s="46">
        <f>+F16</f>
        <v>17</v>
      </c>
      <c r="B79" s="73">
        <f>+H16</f>
        <v>17</v>
      </c>
      <c r="C79" s="7" t="s">
        <v>103</v>
      </c>
      <c r="D79" s="73" t="s">
        <v>105</v>
      </c>
      <c r="E79" s="7" t="s">
        <v>106</v>
      </c>
      <c r="F79" s="92" t="s">
        <v>131</v>
      </c>
      <c r="G79" s="94">
        <v>500</v>
      </c>
    </row>
    <row r="80" spans="1:23" x14ac:dyDescent="0.3">
      <c r="A80" s="46">
        <f>0.357*0.42*C41</f>
        <v>86.215499999999992</v>
      </c>
      <c r="B80" s="78">
        <v>3.9</v>
      </c>
      <c r="C80" s="78">
        <f>+A80*B80</f>
        <v>336.24044999999995</v>
      </c>
      <c r="D80" s="78">
        <v>0</v>
      </c>
      <c r="E80" s="78">
        <f>+C80+D80</f>
        <v>336.24044999999995</v>
      </c>
      <c r="F80" s="75" t="s">
        <v>107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17</v>
      </c>
      <c r="B82" s="73">
        <f>+B79</f>
        <v>17</v>
      </c>
      <c r="C82" s="7" t="s">
        <v>103</v>
      </c>
      <c r="D82" s="73" t="s">
        <v>105</v>
      </c>
      <c r="E82" s="7" t="s">
        <v>106</v>
      </c>
      <c r="F82" s="7" t="s">
        <v>108</v>
      </c>
      <c r="G82" s="8"/>
    </row>
    <row r="83" spans="1:18" x14ac:dyDescent="0.3">
      <c r="A83" s="46">
        <f>0.36*0.565*C41</f>
        <v>116.95499999999998</v>
      </c>
      <c r="B83" s="78">
        <f>3.9*2</f>
        <v>7.8</v>
      </c>
      <c r="C83" s="78">
        <f>+A83*B83</f>
        <v>912.24899999999991</v>
      </c>
      <c r="D83" s="78">
        <v>360</v>
      </c>
      <c r="E83" s="78">
        <f>+C83+D83</f>
        <v>1272.2489999999998</v>
      </c>
      <c r="F83" s="75" t="s">
        <v>109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zoomScale="80" zoomScaleNormal="80" workbookViewId="0">
      <selection activeCell="C16" sqref="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26 de diciembre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129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198</v>
      </c>
      <c r="D16" s="18"/>
      <c r="E16" s="18"/>
      <c r="F16" s="46">
        <f>2+F20+2</f>
        <v>22.5</v>
      </c>
      <c r="G16" s="73" t="s">
        <v>82</v>
      </c>
      <c r="H16" s="74">
        <f>2+H20+2</f>
        <v>22.5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163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160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100</v>
      </c>
      <c r="D20" s="18"/>
      <c r="E20" s="18"/>
      <c r="F20" s="46">
        <v>18.5</v>
      </c>
      <c r="G20" s="73" t="s">
        <v>82</v>
      </c>
      <c r="H20" s="74">
        <v>18.5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161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162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">
        <v>158</v>
      </c>
      <c r="D23" s="5" t="s">
        <v>14</v>
      </c>
      <c r="E23" s="22" t="s">
        <v>159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135</v>
      </c>
      <c r="D25" s="22" t="s">
        <v>16</v>
      </c>
      <c r="E25" s="24">
        <v>100</v>
      </c>
      <c r="F25" s="25">
        <f>+C25</f>
        <v>135</v>
      </c>
      <c r="G25" s="26" t="s">
        <v>16</v>
      </c>
      <c r="H25" s="26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22.5</v>
      </c>
      <c r="D26" s="28" t="s">
        <v>16</v>
      </c>
      <c r="E26" s="27">
        <f>+H16</f>
        <v>22.5</v>
      </c>
      <c r="F26" s="29">
        <f>+E26</f>
        <v>22.5</v>
      </c>
      <c r="G26" s="29" t="s">
        <v>16</v>
      </c>
      <c r="H26" s="29">
        <f>+C26</f>
        <v>22.5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6</v>
      </c>
      <c r="D27" s="33"/>
      <c r="E27" s="32">
        <f>+E25/E26</f>
        <v>4.4444444444444446</v>
      </c>
      <c r="F27" s="32">
        <f>+F25/F26</f>
        <v>6</v>
      </c>
      <c r="G27" s="33"/>
      <c r="H27" s="32">
        <f>+H25/H26</f>
        <v>4.4444444444444446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24</v>
      </c>
      <c r="E28" s="37"/>
      <c r="F28" s="38"/>
      <c r="G28" s="39">
        <v>24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158</v>
      </c>
      <c r="D30" s="41" t="s">
        <v>22</v>
      </c>
      <c r="E30" s="42">
        <v>35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38.5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24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500</v>
      </c>
      <c r="D40" s="24">
        <f>+'forro caja INT'!D40</f>
        <v>75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575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23.958333333333332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92</v>
      </c>
      <c r="C43" s="21">
        <f>+(C42*C38)*F17</f>
        <v>575</v>
      </c>
      <c r="F43" s="41" t="s">
        <v>44</v>
      </c>
      <c r="G43" s="23">
        <f>+C40/1000</f>
        <v>0.5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575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575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500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v>295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838.54166666666663</v>
      </c>
      <c r="C50" s="3"/>
      <c r="D50" s="21">
        <v>0</v>
      </c>
      <c r="E50" s="21">
        <v>0</v>
      </c>
      <c r="F50" s="21" t="s">
        <v>78</v>
      </c>
      <c r="G50" s="30">
        <v>140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620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350</v>
      </c>
      <c r="H52" s="30">
        <f t="shared" ref="H52:H59" si="0">+G52*E52</f>
        <v>350</v>
      </c>
      <c r="I52" s="30">
        <f>+(B73/100)*2</f>
        <v>187.96791666666664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400</v>
      </c>
      <c r="C53" s="3"/>
      <c r="D53" s="21">
        <v>0</v>
      </c>
      <c r="E53" s="21">
        <v>0</v>
      </c>
      <c r="F53" s="21" t="s">
        <v>111</v>
      </c>
      <c r="G53" s="30">
        <f>+O53</f>
        <v>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130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99</v>
      </c>
      <c r="B55" s="54">
        <v>0</v>
      </c>
      <c r="D55" s="21">
        <v>1</v>
      </c>
      <c r="E55" s="21">
        <v>1</v>
      </c>
      <c r="F55" s="21" t="s">
        <v>80</v>
      </c>
      <c r="G55" s="30">
        <v>135</v>
      </c>
      <c r="H55" s="30">
        <f t="shared" si="0"/>
        <v>135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98</v>
      </c>
      <c r="B56" s="54">
        <f>+((10*B48)*1.1)</f>
        <v>5500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7358.5416666666661</v>
      </c>
      <c r="C58" s="3"/>
      <c r="D58" s="21">
        <v>0</v>
      </c>
      <c r="E58" s="21">
        <v>0</v>
      </c>
      <c r="F58" s="3" t="s">
        <v>59</v>
      </c>
      <c r="G58" s="30">
        <f>+Q49</f>
        <v>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14.717083333333331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620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+B73/C40</f>
        <v>18.796791666666664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922.39583333333326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806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520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14.717083333333331</v>
      </c>
      <c r="H70" s="65">
        <f>+G70*B48</f>
        <v>7358.5416666666661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7150</v>
      </c>
      <c r="C71" s="66"/>
      <c r="F71" s="64" t="s">
        <v>75</v>
      </c>
      <c r="G71" s="32">
        <f>+C73</f>
        <v>18.796791666666664</v>
      </c>
      <c r="H71" s="65">
        <f>+G71*B48</f>
        <v>9398.3958333333321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76</v>
      </c>
      <c r="G72" s="68">
        <f>+G71-G70</f>
        <v>4.0797083333333326</v>
      </c>
      <c r="H72" s="82">
        <f>+G72*B48</f>
        <v>2039.8541666666663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58</v>
      </c>
      <c r="B73" s="57">
        <f>SUM(B65:B72)</f>
        <v>9398.3958333333321</v>
      </c>
      <c r="C73" s="68">
        <f>+B73/B48</f>
        <v>18.796791666666664</v>
      </c>
      <c r="D73" s="5" t="s">
        <v>135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x14ac:dyDescent="0.3">
      <c r="B77" s="69"/>
      <c r="C77" s="70"/>
    </row>
    <row r="81" spans="10:18" x14ac:dyDescent="0.3">
      <c r="J81" s="71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zoomScale="80" zoomScaleNormal="80" workbookViewId="0">
      <selection activeCell="C16" sqref="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26 de diciembre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129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198</v>
      </c>
      <c r="D16" s="18"/>
      <c r="E16" s="18"/>
      <c r="F16" s="46">
        <f>+F20</f>
        <v>17</v>
      </c>
      <c r="G16" s="73" t="s">
        <v>82</v>
      </c>
      <c r="H16" s="74">
        <f>+H20</f>
        <v>10.5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163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160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100</v>
      </c>
      <c r="D20" s="18"/>
      <c r="E20" s="18"/>
      <c r="F20" s="46">
        <v>17</v>
      </c>
      <c r="G20" s="73" t="s">
        <v>82</v>
      </c>
      <c r="H20" s="74">
        <v>10.5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161</v>
      </c>
      <c r="D21" s="18"/>
      <c r="E21" s="18"/>
      <c r="F21" s="72">
        <v>1</v>
      </c>
      <c r="G21" s="75" t="s">
        <v>83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162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">
        <v>158</v>
      </c>
      <c r="D23" s="5" t="s">
        <v>14</v>
      </c>
      <c r="E23" s="22" t="s">
        <v>159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135</v>
      </c>
      <c r="D25" s="22" t="s">
        <v>16</v>
      </c>
      <c r="E25" s="24">
        <v>100</v>
      </c>
      <c r="F25" s="25">
        <f>+C25</f>
        <v>135</v>
      </c>
      <c r="G25" s="26" t="s">
        <v>16</v>
      </c>
      <c r="H25" s="26">
        <f>+E25</f>
        <v>100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17</v>
      </c>
      <c r="D26" s="28" t="s">
        <v>16</v>
      </c>
      <c r="E26" s="27">
        <f>+H16</f>
        <v>10.5</v>
      </c>
      <c r="F26" s="29">
        <f>+E26</f>
        <v>10.5</v>
      </c>
      <c r="G26" s="29" t="s">
        <v>16</v>
      </c>
      <c r="H26" s="29">
        <f>+C26</f>
        <v>17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7.9411764705882355</v>
      </c>
      <c r="D27" s="33"/>
      <c r="E27" s="32">
        <f>+E25/E26</f>
        <v>9.5238095238095237</v>
      </c>
      <c r="F27" s="32">
        <f>+F25/F26</f>
        <v>12.857142857142858</v>
      </c>
      <c r="G27" s="33"/>
      <c r="H27" s="32">
        <f>+H25/H26</f>
        <v>5.882352941176471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63</v>
      </c>
      <c r="E28" s="37"/>
      <c r="F28" s="38"/>
      <c r="G28" s="39">
        <v>60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158</v>
      </c>
      <c r="D30" s="41" t="s">
        <v>22</v>
      </c>
      <c r="E30" s="42">
        <v>35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38.5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60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500</v>
      </c>
      <c r="D40" s="24"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600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92</v>
      </c>
      <c r="C43" s="21">
        <f>+(C42*C38)*F17</f>
        <v>600</v>
      </c>
      <c r="F43" s="41" t="s">
        <v>44</v>
      </c>
      <c r="G43" s="23">
        <f>+C40/1000</f>
        <v>0.5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600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600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500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1</v>
      </c>
      <c r="F49" s="21" t="s">
        <v>113</v>
      </c>
      <c r="G49" s="30">
        <v>240</v>
      </c>
      <c r="H49" s="30">
        <f>+(D49*E49)*G49</f>
        <v>240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350</v>
      </c>
      <c r="C50" s="3"/>
      <c r="D50" s="21">
        <v>1</v>
      </c>
      <c r="E50" s="21">
        <v>5</v>
      </c>
      <c r="F50" s="21" t="s">
        <v>78</v>
      </c>
      <c r="G50" s="30">
        <v>120</v>
      </c>
      <c r="H50" s="30">
        <f>+(D50*E50)*G50</f>
        <v>600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1190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350</v>
      </c>
      <c r="H52" s="30">
        <f t="shared" ref="H52:H59" si="0">+G52*E52</f>
        <v>350</v>
      </c>
      <c r="I52" s="30">
        <f>+(B73/100)*2</f>
        <v>38.64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111</v>
      </c>
      <c r="G53" s="30">
        <f>+O53</f>
        <v>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96</v>
      </c>
      <c r="B54" s="54">
        <v>0</v>
      </c>
      <c r="C54" s="3"/>
      <c r="D54" s="21">
        <v>0</v>
      </c>
      <c r="E54" s="21">
        <v>0</v>
      </c>
      <c r="F54" s="21" t="s">
        <v>80</v>
      </c>
      <c r="G54" s="30">
        <v>130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99</v>
      </c>
      <c r="B55" s="54">
        <v>0</v>
      </c>
      <c r="D55" s="21">
        <v>0</v>
      </c>
      <c r="E55" s="21">
        <v>0</v>
      </c>
      <c r="F55" s="21" t="s">
        <v>97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98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1540</v>
      </c>
      <c r="C58" s="3"/>
      <c r="D58" s="21">
        <v>0</v>
      </c>
      <c r="E58" s="21">
        <v>0</v>
      </c>
      <c r="F58" s="3" t="s">
        <v>59</v>
      </c>
      <c r="G58" s="30">
        <f>+Q49</f>
        <v>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3.08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1190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+B73/C40</f>
        <v>3.8639999999999999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385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1547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Placas HS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3.08</v>
      </c>
      <c r="H70" s="65">
        <f>+G70*B48</f>
        <v>1540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0</v>
      </c>
      <c r="C71" s="66"/>
      <c r="F71" s="64" t="s">
        <v>75</v>
      </c>
      <c r="G71" s="32">
        <f>+C73</f>
        <v>3.8639999999999999</v>
      </c>
      <c r="H71" s="65">
        <f>+G71*B48</f>
        <v>1932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76</v>
      </c>
      <c r="G72" s="68">
        <f>+G71-G70</f>
        <v>0.78399999999999981</v>
      </c>
      <c r="H72" s="82">
        <f>+G72*B48</f>
        <v>391.99999999999989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58</v>
      </c>
      <c r="B73" s="57">
        <f>SUM(B65:B72)</f>
        <v>1932</v>
      </c>
      <c r="C73" s="68">
        <f>+B73/B48</f>
        <v>3.8639999999999999</v>
      </c>
      <c r="D73" s="5" t="s">
        <v>112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C74" s="77"/>
      <c r="D74" s="5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x14ac:dyDescent="0.3">
      <c r="B77" s="69"/>
      <c r="C77" s="70"/>
    </row>
    <row r="81" spans="10:18" x14ac:dyDescent="0.3">
      <c r="J81" s="71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0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zoomScale="80" zoomScaleNormal="80" workbookViewId="0">
      <selection activeCell="C16" sqref="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4.5703125" style="1" customWidth="1"/>
    <col min="9" max="9" width="12.28515625" style="1" customWidth="1"/>
    <col min="10" max="10" width="12" style="1" customWidth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26 de diciembre de 2016.</v>
      </c>
      <c r="H9" s="5" t="s">
        <v>7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Joaquín García</v>
      </c>
      <c r="F11" s="5" t="s">
        <v>0</v>
      </c>
      <c r="J11"/>
      <c r="P11"/>
      <c r="Q11"/>
      <c r="R11"/>
    </row>
    <row r="12" spans="1:21" ht="15.75" x14ac:dyDescent="0.3">
      <c r="A12" s="5"/>
      <c r="F12" s="11"/>
      <c r="G12" s="12"/>
      <c r="H12" s="13"/>
      <c r="J12"/>
      <c r="P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11</v>
      </c>
      <c r="C15" s="19" t="s">
        <v>129</v>
      </c>
      <c r="D15" s="18"/>
      <c r="E15" s="18"/>
      <c r="F15" s="72" t="s">
        <v>5</v>
      </c>
      <c r="G15" s="7"/>
      <c r="H15" s="8"/>
      <c r="J15"/>
      <c r="P15"/>
      <c r="Q15"/>
      <c r="R15"/>
    </row>
    <row r="16" spans="1:21" ht="15.75" x14ac:dyDescent="0.3">
      <c r="C16" s="17" t="s">
        <v>198</v>
      </c>
      <c r="D16" s="18"/>
      <c r="E16" s="18"/>
      <c r="F16" s="46">
        <f>2+F20+2</f>
        <v>22.5</v>
      </c>
      <c r="G16" s="73" t="s">
        <v>82</v>
      </c>
      <c r="H16" s="74">
        <f>2+H20+2</f>
        <v>16</v>
      </c>
      <c r="J16"/>
      <c r="P16"/>
      <c r="Q16"/>
      <c r="R16"/>
    </row>
    <row r="17" spans="1:18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P17"/>
      <c r="Q17"/>
      <c r="R17"/>
    </row>
    <row r="18" spans="1:18" ht="15.75" x14ac:dyDescent="0.3">
      <c r="C18" s="17" t="s">
        <v>163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160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100</v>
      </c>
      <c r="D20" s="18"/>
      <c r="E20" s="18"/>
      <c r="F20" s="46">
        <v>18.5</v>
      </c>
      <c r="G20" s="73" t="s">
        <v>82</v>
      </c>
      <c r="H20" s="74">
        <v>12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161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6.5" thickBot="1" x14ac:dyDescent="0.35">
      <c r="C22" s="18" t="s">
        <v>162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8" ht="15.75" x14ac:dyDescent="0.3">
      <c r="A23" s="4" t="s">
        <v>13</v>
      </c>
      <c r="C23" s="80" t="s">
        <v>158</v>
      </c>
      <c r="D23" s="5" t="s">
        <v>14</v>
      </c>
      <c r="E23" s="22" t="s">
        <v>159</v>
      </c>
      <c r="J23"/>
      <c r="K23"/>
      <c r="L23"/>
      <c r="M23"/>
      <c r="N23"/>
      <c r="O23"/>
      <c r="P23"/>
      <c r="Q23"/>
      <c r="R23"/>
    </row>
    <row r="24" spans="1:18" ht="15.75" x14ac:dyDescent="0.3">
      <c r="J24"/>
      <c r="K24"/>
      <c r="L24"/>
      <c r="M24"/>
      <c r="N24"/>
      <c r="O24"/>
      <c r="P24"/>
      <c r="Q24"/>
      <c r="R24"/>
    </row>
    <row r="25" spans="1:18" ht="15.75" x14ac:dyDescent="0.3">
      <c r="A25" s="4" t="s">
        <v>15</v>
      </c>
      <c r="C25" s="23">
        <v>135</v>
      </c>
      <c r="D25" s="22" t="s">
        <v>16</v>
      </c>
      <c r="E25" s="24">
        <v>100</v>
      </c>
      <c r="F25" s="25">
        <f>+C25</f>
        <v>135</v>
      </c>
      <c r="G25" s="26" t="s">
        <v>16</v>
      </c>
      <c r="H25" s="26">
        <f>+E25</f>
        <v>100</v>
      </c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17</v>
      </c>
      <c r="B26" s="3"/>
      <c r="C26" s="27">
        <f>+F16</f>
        <v>22.5</v>
      </c>
      <c r="D26" s="28" t="s">
        <v>16</v>
      </c>
      <c r="E26" s="27">
        <f>+H16</f>
        <v>16</v>
      </c>
      <c r="F26" s="29">
        <f>+E26</f>
        <v>16</v>
      </c>
      <c r="G26" s="29" t="s">
        <v>16</v>
      </c>
      <c r="H26" s="29">
        <f>+C26</f>
        <v>22.5</v>
      </c>
      <c r="I26" s="30"/>
      <c r="J26"/>
      <c r="K26"/>
      <c r="L26"/>
      <c r="M26"/>
      <c r="N26"/>
      <c r="O26"/>
      <c r="P26"/>
      <c r="Q26"/>
      <c r="R26"/>
    </row>
    <row r="27" spans="1:18" ht="16.5" thickBot="1" x14ac:dyDescent="0.35">
      <c r="A27" s="3" t="s">
        <v>18</v>
      </c>
      <c r="B27" s="31"/>
      <c r="C27" s="32">
        <f>+C25/C26</f>
        <v>6</v>
      </c>
      <c r="D27" s="33"/>
      <c r="E27" s="32">
        <f>+E25/E26</f>
        <v>6.25</v>
      </c>
      <c r="F27" s="32">
        <f>+F25/F26</f>
        <v>8.4375</v>
      </c>
      <c r="G27" s="33"/>
      <c r="H27" s="32">
        <f>+H25/H26</f>
        <v>4.4444444444444446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19</v>
      </c>
      <c r="B28" s="34"/>
      <c r="C28" s="35"/>
      <c r="D28" s="36">
        <v>36</v>
      </c>
      <c r="E28" s="37"/>
      <c r="F28" s="38"/>
      <c r="G28" s="39">
        <v>32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8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8" ht="15.75" x14ac:dyDescent="0.3">
      <c r="A30" s="25" t="s">
        <v>21</v>
      </c>
      <c r="B30" s="25" t="s">
        <v>158</v>
      </c>
      <c r="D30" s="41" t="s">
        <v>22</v>
      </c>
      <c r="E30" s="42">
        <v>35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</row>
    <row r="31" spans="1:18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</row>
    <row r="32" spans="1:18" ht="15.75" x14ac:dyDescent="0.3">
      <c r="D32" s="44" t="s">
        <v>25</v>
      </c>
      <c r="E32" s="45">
        <f>+E30-E31</f>
        <v>35</v>
      </c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D34" s="41" t="s">
        <v>29</v>
      </c>
      <c r="E34" s="47">
        <f>+E32</f>
        <v>35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30</v>
      </c>
      <c r="E35" s="47">
        <f>+E34*1.1</f>
        <v>38.5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34</v>
      </c>
      <c r="C38" s="48">
        <v>32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38</v>
      </c>
      <c r="B40" s="5"/>
      <c r="C40" s="50">
        <f>+B48/F17</f>
        <v>500</v>
      </c>
      <c r="D40" s="24"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40</v>
      </c>
      <c r="C41" s="34">
        <f>+C40+D40</f>
        <v>600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42</v>
      </c>
      <c r="C42" s="34">
        <f>+C41/C38</f>
        <v>18.75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92</v>
      </c>
      <c r="C43" s="21">
        <f>+(C42*C38)*F17</f>
        <v>600</v>
      </c>
      <c r="F43" s="41" t="s">
        <v>44</v>
      </c>
      <c r="G43" s="23">
        <f>+C40/100</f>
        <v>5</v>
      </c>
      <c r="H43" s="3"/>
      <c r="J43"/>
      <c r="K43"/>
      <c r="L43"/>
      <c r="M43"/>
      <c r="N43"/>
      <c r="O43"/>
      <c r="P43"/>
      <c r="Q43" s="7"/>
      <c r="R43" s="7"/>
    </row>
    <row r="44" spans="1:19" x14ac:dyDescent="0.3">
      <c r="A44" s="4"/>
      <c r="C44" s="51"/>
      <c r="F44" s="44" t="s">
        <v>45</v>
      </c>
      <c r="G44" s="48">
        <f>+C41</f>
        <v>600</v>
      </c>
      <c r="H44" s="3"/>
      <c r="M44" s="7"/>
      <c r="N44" s="10"/>
      <c r="O44" s="73"/>
      <c r="P44" s="73"/>
      <c r="Q44" s="7"/>
      <c r="R44" s="7"/>
    </row>
    <row r="45" spans="1:19" x14ac:dyDescent="0.3">
      <c r="A45" s="4"/>
      <c r="C45" s="21"/>
      <c r="E45" s="44"/>
      <c r="F45" s="44"/>
      <c r="G45" s="30"/>
      <c r="I45" s="3"/>
      <c r="M45" s="7"/>
      <c r="N45" s="10"/>
      <c r="O45" s="73"/>
      <c r="P45" s="73"/>
      <c r="Q45" s="7"/>
      <c r="R45" s="7"/>
    </row>
    <row r="46" spans="1:19" x14ac:dyDescent="0.3">
      <c r="A46" s="4" t="s">
        <v>46</v>
      </c>
      <c r="C46" s="25">
        <f>+C42*C38</f>
        <v>600</v>
      </c>
      <c r="F46" s="44"/>
      <c r="G46" s="30"/>
      <c r="H46" s="3"/>
      <c r="M46" s="7"/>
      <c r="N46" s="10"/>
      <c r="O46" s="73"/>
      <c r="P46" s="73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77</v>
      </c>
      <c r="B48" s="21">
        <f>+'cartón caja'!B48</f>
        <v>500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2" t="s">
        <v>52</v>
      </c>
      <c r="B49" s="53"/>
      <c r="C49" s="3"/>
      <c r="D49" s="21">
        <v>1</v>
      </c>
      <c r="E49" s="21">
        <v>1</v>
      </c>
      <c r="F49" s="21" t="s">
        <v>113</v>
      </c>
      <c r="G49" s="30">
        <v>240</v>
      </c>
      <c r="H49" s="30">
        <f>+(D49*E49)*G49</f>
        <v>240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3" t="s">
        <v>54</v>
      </c>
      <c r="B50" s="54">
        <f>+E34*C42</f>
        <v>656.25</v>
      </c>
      <c r="C50" s="3"/>
      <c r="D50" s="21">
        <v>1</v>
      </c>
      <c r="E50" s="21">
        <v>5</v>
      </c>
      <c r="F50" s="21" t="s">
        <v>78</v>
      </c>
      <c r="G50" s="30">
        <v>120</v>
      </c>
      <c r="H50" s="30">
        <f>+(D50*E50)*G50</f>
        <v>600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12</v>
      </c>
      <c r="B51" s="54">
        <f>+H61</f>
        <v>1460</v>
      </c>
      <c r="C51" s="3"/>
      <c r="D51" s="21">
        <v>0</v>
      </c>
      <c r="E51" s="21">
        <v>0</v>
      </c>
      <c r="F51" s="21" t="s">
        <v>142</v>
      </c>
      <c r="G51" s="30">
        <v>140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101</v>
      </c>
      <c r="G52" s="30">
        <v>350</v>
      </c>
      <c r="H52" s="30">
        <f t="shared" ref="H52:H54" si="0">+G52*E52</f>
        <v>350</v>
      </c>
      <c r="I52" s="30">
        <f>+(B74/100)*2</f>
        <v>197.11750000000001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3" t="s">
        <v>139</v>
      </c>
      <c r="B53" s="54">
        <v>400</v>
      </c>
      <c r="C53" s="3"/>
      <c r="D53" s="21">
        <v>1</v>
      </c>
      <c r="E53" s="21">
        <v>1</v>
      </c>
      <c r="F53" s="21" t="s">
        <v>79</v>
      </c>
      <c r="G53" s="30">
        <v>135</v>
      </c>
      <c r="H53" s="30">
        <f t="shared" si="0"/>
        <v>135</v>
      </c>
      <c r="I53" s="55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6" t="s">
        <v>166</v>
      </c>
      <c r="B54" s="54">
        <f>+C102</f>
        <v>1040</v>
      </c>
      <c r="C54" s="3"/>
      <c r="D54" s="21">
        <v>1</v>
      </c>
      <c r="E54" s="21">
        <v>1</v>
      </c>
      <c r="F54" s="21" t="s">
        <v>80</v>
      </c>
      <c r="G54" s="30">
        <v>135</v>
      </c>
      <c r="H54" s="30">
        <f t="shared" si="0"/>
        <v>135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98</v>
      </c>
      <c r="B55" s="54">
        <f>(5*B48)*1.1</f>
        <v>2750</v>
      </c>
      <c r="D55" s="21">
        <v>0</v>
      </c>
      <c r="E55" s="21">
        <v>0</v>
      </c>
      <c r="F55" s="21" t="s">
        <v>137</v>
      </c>
      <c r="G55" s="30">
        <v>295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114</v>
      </c>
      <c r="B56" s="54">
        <v>400</v>
      </c>
      <c r="D56" s="21">
        <v>0</v>
      </c>
      <c r="E56" s="21">
        <v>0</v>
      </c>
      <c r="F56" s="21" t="s">
        <v>138</v>
      </c>
      <c r="G56" s="30">
        <v>200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128</v>
      </c>
      <c r="B57" s="54">
        <v>400</v>
      </c>
      <c r="D57" s="21">
        <v>0</v>
      </c>
      <c r="E57" s="21">
        <v>0</v>
      </c>
      <c r="F57" s="21" t="s">
        <v>56</v>
      </c>
      <c r="G57" s="30">
        <v>1.5</v>
      </c>
      <c r="H57" s="30">
        <f t="shared" ref="H57:H58" si="1">+G57*E57</f>
        <v>0</v>
      </c>
      <c r="O57"/>
      <c r="P57"/>
      <c r="Q57"/>
    </row>
    <row r="58" spans="1:21" ht="15.75" x14ac:dyDescent="0.3">
      <c r="A58" s="52" t="s">
        <v>58</v>
      </c>
      <c r="B58" s="57">
        <f>SUM(B50:B56)</f>
        <v>6706.25</v>
      </c>
      <c r="C58" s="3"/>
      <c r="D58" s="21">
        <v>0</v>
      </c>
      <c r="E58" s="21">
        <v>0</v>
      </c>
      <c r="F58" s="3" t="s">
        <v>59</v>
      </c>
      <c r="G58" s="30">
        <f>+P49</f>
        <v>0</v>
      </c>
      <c r="H58" s="30">
        <f t="shared" si="1"/>
        <v>0</v>
      </c>
      <c r="O58"/>
      <c r="P58"/>
      <c r="Q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O59"/>
      <c r="P59"/>
      <c r="Q59"/>
      <c r="S59"/>
      <c r="T59"/>
      <c r="U59"/>
    </row>
    <row r="60" spans="1:21" ht="15.75" x14ac:dyDescent="0.3">
      <c r="A60" s="9"/>
      <c r="B60" s="32">
        <f>+B58/B48</f>
        <v>13.4125</v>
      </c>
      <c r="C60" s="4" t="s">
        <v>61</v>
      </c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1460</v>
      </c>
      <c r="O61"/>
      <c r="P61"/>
      <c r="Q61"/>
      <c r="S61"/>
      <c r="T61"/>
      <c r="U61"/>
    </row>
    <row r="62" spans="1:21" ht="15.75" x14ac:dyDescent="0.3">
      <c r="D62" s="3"/>
      <c r="E62" s="3"/>
      <c r="G62" s="5" t="s">
        <v>63</v>
      </c>
      <c r="H62" s="76">
        <v>1.4</v>
      </c>
      <c r="O62"/>
      <c r="P62"/>
      <c r="Q62"/>
      <c r="S62"/>
      <c r="T62"/>
      <c r="U62"/>
    </row>
    <row r="63" spans="1:21" ht="15.75" x14ac:dyDescent="0.3">
      <c r="A63" s="4" t="s">
        <v>65</v>
      </c>
      <c r="B63" s="3"/>
      <c r="C63" s="3"/>
      <c r="E63" s="32">
        <f>+B74/C40</f>
        <v>19.711749999999999</v>
      </c>
      <c r="G63" s="1" t="s">
        <v>66</v>
      </c>
      <c r="H63" s="62">
        <v>1.75</v>
      </c>
      <c r="O63"/>
      <c r="P63"/>
      <c r="Q63"/>
      <c r="S63"/>
      <c r="T63"/>
      <c r="U63"/>
    </row>
    <row r="64" spans="1:21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O64"/>
      <c r="P64"/>
      <c r="Q64"/>
      <c r="S64"/>
      <c r="T64"/>
      <c r="U64"/>
    </row>
    <row r="65" spans="1:21" ht="15.75" x14ac:dyDescent="0.3">
      <c r="A65" s="52" t="s">
        <v>71</v>
      </c>
      <c r="B65" s="53"/>
      <c r="C65" s="3"/>
      <c r="D65" s="3">
        <f>+B74*C68</f>
        <v>0</v>
      </c>
      <c r="E65" s="3"/>
      <c r="F65" s="3"/>
      <c r="G65" s="5" t="s">
        <v>81</v>
      </c>
      <c r="H65" s="62">
        <v>2.5</v>
      </c>
      <c r="O65"/>
      <c r="P65"/>
      <c r="Q65"/>
      <c r="S65"/>
      <c r="T65"/>
      <c r="U65"/>
    </row>
    <row r="66" spans="1:21" ht="15.75" x14ac:dyDescent="0.3">
      <c r="A66" s="53" t="s">
        <v>54</v>
      </c>
      <c r="B66" s="54">
        <f>+E35*C42</f>
        <v>721.875</v>
      </c>
      <c r="C66" s="63"/>
      <c r="O66"/>
      <c r="P66"/>
      <c r="Q66"/>
      <c r="S66"/>
      <c r="T66"/>
      <c r="U66"/>
    </row>
    <row r="67" spans="1:21" ht="15.75" x14ac:dyDescent="0.3">
      <c r="A67" s="53" t="s">
        <v>12</v>
      </c>
      <c r="B67" s="54">
        <f>+H61*H62</f>
        <v>2043.9999999999998</v>
      </c>
      <c r="C67" s="63"/>
      <c r="O67"/>
      <c r="P67"/>
      <c r="Q67"/>
      <c r="S67"/>
      <c r="T67"/>
      <c r="U67"/>
    </row>
    <row r="68" spans="1:21" ht="15.75" x14ac:dyDescent="0.3">
      <c r="A68" s="53" t="str">
        <f>+A53</f>
        <v>Tabla de suaje + Placa</v>
      </c>
      <c r="B68" s="54">
        <f>+B53*H62</f>
        <v>560</v>
      </c>
      <c r="C68" s="63"/>
      <c r="O68"/>
      <c r="P68"/>
      <c r="Q68"/>
      <c r="S68"/>
      <c r="T68"/>
      <c r="U68"/>
    </row>
    <row r="69" spans="1:21" ht="15.75" x14ac:dyDescent="0.3">
      <c r="A69" s="53" t="str">
        <f>+A54</f>
        <v>Velcro</v>
      </c>
      <c r="B69" s="54">
        <f>+C103</f>
        <v>1560</v>
      </c>
      <c r="C69" s="63"/>
      <c r="O69"/>
      <c r="P69"/>
      <c r="Q69"/>
      <c r="S69"/>
      <c r="T69"/>
      <c r="U69"/>
    </row>
    <row r="70" spans="1:21" ht="15.75" x14ac:dyDescent="0.3">
      <c r="A70" s="53" t="str">
        <f>+A55</f>
        <v>Encuadernación</v>
      </c>
      <c r="B70" s="54">
        <f>+B55*H62</f>
        <v>3849.9999999999995</v>
      </c>
      <c r="C70" s="66"/>
      <c r="G70" s="64" t="s">
        <v>73</v>
      </c>
      <c r="H70" s="32">
        <f>+B60</f>
        <v>13.4125</v>
      </c>
      <c r="I70" s="65">
        <f>+H70*B48</f>
        <v>6706.25</v>
      </c>
      <c r="O70"/>
      <c r="P70"/>
      <c r="Q70"/>
      <c r="S70"/>
      <c r="T70"/>
      <c r="U70"/>
    </row>
    <row r="71" spans="1:21" ht="15.75" x14ac:dyDescent="0.3">
      <c r="A71" s="53"/>
      <c r="B71" s="54"/>
      <c r="C71" s="66"/>
      <c r="G71" s="64" t="s">
        <v>75</v>
      </c>
      <c r="H71" s="32">
        <f>+C74</f>
        <v>19.711749999999999</v>
      </c>
      <c r="I71" s="65">
        <f>+H71*B48</f>
        <v>9855.875</v>
      </c>
      <c r="O71"/>
      <c r="P71"/>
      <c r="Q71"/>
      <c r="S71"/>
      <c r="T71"/>
      <c r="U71"/>
    </row>
    <row r="72" spans="1:21" ht="15.75" x14ac:dyDescent="0.3">
      <c r="A72" s="53" t="str">
        <f>+A56</f>
        <v>Empaque</v>
      </c>
      <c r="B72" s="54">
        <f>+B56*H62</f>
        <v>560</v>
      </c>
      <c r="C72" s="66"/>
      <c r="G72" s="67" t="s">
        <v>76</v>
      </c>
      <c r="H72" s="68">
        <f>+H71-H70</f>
        <v>6.2992499999999989</v>
      </c>
      <c r="I72" s="82">
        <f>+H72*B48</f>
        <v>3149.6249999999995</v>
      </c>
      <c r="O72"/>
      <c r="P72"/>
      <c r="Q72"/>
      <c r="S72"/>
      <c r="T72"/>
      <c r="U72"/>
    </row>
    <row r="73" spans="1:21" ht="15.75" x14ac:dyDescent="0.3">
      <c r="A73" s="53" t="str">
        <f>+A57</f>
        <v>Envio</v>
      </c>
      <c r="B73" s="54">
        <f>+B57*H62</f>
        <v>560</v>
      </c>
      <c r="C73" s="68" t="s">
        <v>126</v>
      </c>
      <c r="D73" s="26"/>
      <c r="E73" s="26"/>
      <c r="F73" s="26" t="s">
        <v>73</v>
      </c>
      <c r="G73" s="124" t="s">
        <v>115</v>
      </c>
      <c r="H73" s="124"/>
      <c r="I73" s="85">
        <f>+(A82/100)*2.5</f>
        <v>704.12945361111099</v>
      </c>
      <c r="O73"/>
      <c r="P73"/>
      <c r="Q73"/>
      <c r="S73"/>
      <c r="T73"/>
      <c r="U73"/>
    </row>
    <row r="74" spans="1:21" ht="15.75" x14ac:dyDescent="0.3">
      <c r="A74" s="52" t="s">
        <v>58</v>
      </c>
      <c r="B74" s="57">
        <f>SUM(B65:B73)</f>
        <v>9855.875</v>
      </c>
      <c r="C74" s="68">
        <f>+B74/B48</f>
        <v>19.711749999999999</v>
      </c>
      <c r="D74" s="5" t="s">
        <v>136</v>
      </c>
      <c r="F74" s="77">
        <f>+B60</f>
        <v>13.4125</v>
      </c>
      <c r="G74" s="7"/>
      <c r="O74"/>
      <c r="P74"/>
      <c r="Q74"/>
      <c r="S74"/>
      <c r="T74"/>
      <c r="U74"/>
    </row>
    <row r="75" spans="1:21" ht="15.75" x14ac:dyDescent="0.3">
      <c r="C75" s="77">
        <f>+'forro cartera guarda'!C73</f>
        <v>3.8639999999999999</v>
      </c>
      <c r="D75" s="5" t="str">
        <f>+'forro cartera guarda'!D73</f>
        <v>forro guarda</v>
      </c>
      <c r="F75" s="77">
        <f>+'forro cartera guarda'!B60</f>
        <v>3.08</v>
      </c>
      <c r="O75"/>
      <c r="P75"/>
      <c r="Q75"/>
    </row>
    <row r="76" spans="1:21" ht="15.75" x14ac:dyDescent="0.3">
      <c r="C76" s="77">
        <f>+'forro caja EXT'!C73</f>
        <v>18.796791666666664</v>
      </c>
      <c r="D76" s="5" t="str">
        <f>+'forro caja EXT'!D73</f>
        <v>forro caja EXT</v>
      </c>
      <c r="E76" s="5"/>
      <c r="F76" s="77">
        <f>+'forro caja EXT'!B60</f>
        <v>14.717083333333331</v>
      </c>
      <c r="O76"/>
      <c r="P76"/>
      <c r="Q76"/>
    </row>
    <row r="77" spans="1:21" x14ac:dyDescent="0.3">
      <c r="A77" s="5"/>
      <c r="C77" s="77">
        <f>+'forro caja INT'!C73</f>
        <v>5.4828473999999998</v>
      </c>
      <c r="D77" s="5" t="str">
        <f>+'forro caja INT'!D73</f>
        <v>forro caja INT</v>
      </c>
      <c r="E77" s="5"/>
      <c r="F77" s="77">
        <f>+'forro caja INT'!B60</f>
        <v>4.3944979999999996</v>
      </c>
      <c r="J77" s="7"/>
    </row>
    <row r="78" spans="1:21" x14ac:dyDescent="0.3">
      <c r="A78" s="5"/>
      <c r="C78" s="77">
        <f>+'eva delgada base'!C72</f>
        <v>1.17234375</v>
      </c>
      <c r="D78" s="5" t="str">
        <f>+'eva delgada base'!D72</f>
        <v>eva delgada base</v>
      </c>
      <c r="E78" s="5"/>
      <c r="F78" s="77">
        <f>+'eva delgada base'!B60</f>
        <v>0.93849431818181828</v>
      </c>
      <c r="J78" s="7"/>
    </row>
    <row r="79" spans="1:21" x14ac:dyDescent="0.3">
      <c r="A79" s="5"/>
      <c r="C79" s="77">
        <f>+'eva 1.2 redonda'!C72</f>
        <v>3.9220000000000002</v>
      </c>
      <c r="D79" s="5" t="str">
        <f>+'eva 1.2 redonda'!D72</f>
        <v>eva redonda base</v>
      </c>
      <c r="E79" s="5"/>
      <c r="F79" s="77">
        <f>+'eva 1.2 redonda'!B60</f>
        <v>3.14</v>
      </c>
      <c r="J79" s="7"/>
    </row>
    <row r="80" spans="1:21" x14ac:dyDescent="0.3">
      <c r="B80" s="69"/>
      <c r="C80" s="77">
        <f>+'cartón cartera'!C72</f>
        <v>1.4528255555555556</v>
      </c>
      <c r="D80" s="5" t="str">
        <f>+'cartón cartera'!D72</f>
        <v>cartón cartera</v>
      </c>
      <c r="E80" s="5"/>
      <c r="F80" s="77">
        <f>+'cartón cartera'!B60</f>
        <v>1.1934777777777776</v>
      </c>
    </row>
    <row r="81" spans="1:18" x14ac:dyDescent="0.3">
      <c r="C81" s="79">
        <f>+'cartón caja'!C72</f>
        <v>1.9277979166666666</v>
      </c>
      <c r="D81" s="5" t="str">
        <f>+'cartón caja'!D72</f>
        <v>cartón caja</v>
      </c>
      <c r="E81" s="5"/>
      <c r="F81" s="79">
        <f>+'cartón caja'!B60</f>
        <v>1.6252708333333332</v>
      </c>
    </row>
    <row r="82" spans="1:18" ht="15.75" customHeight="1" x14ac:dyDescent="0.3">
      <c r="A82" s="123">
        <f>+C82*B48</f>
        <v>28165.178144444442</v>
      </c>
      <c r="B82" s="123"/>
      <c r="C82" s="81">
        <f>SUM(C74:C81)</f>
        <v>56.330356288888886</v>
      </c>
      <c r="D82" s="5" t="s">
        <v>102</v>
      </c>
      <c r="F82" s="83">
        <f>SUM(F74:F81)</f>
        <v>42.501324262626262</v>
      </c>
      <c r="G82" s="84">
        <f>+F82*B48</f>
        <v>21250.662131313133</v>
      </c>
      <c r="I82" s="122">
        <f>+A82-G82</f>
        <v>6914.5160131313096</v>
      </c>
      <c r="J82" s="122"/>
    </row>
    <row r="84" spans="1:18" x14ac:dyDescent="0.3">
      <c r="J84" s="71"/>
    </row>
    <row r="87" spans="1:18" ht="15" thickBot="1" x14ac:dyDescent="0.35"/>
    <row r="88" spans="1:18" ht="16.5" x14ac:dyDescent="0.3">
      <c r="A88" s="5" t="s">
        <v>57</v>
      </c>
      <c r="F88" s="125" t="s">
        <v>165</v>
      </c>
      <c r="G88" s="126"/>
      <c r="H88" s="126"/>
      <c r="I88" s="126"/>
      <c r="J88" s="127"/>
    </row>
    <row r="89" spans="1:18" x14ac:dyDescent="0.3">
      <c r="C89" s="5"/>
      <c r="F89" s="101"/>
      <c r="G89" s="95" t="s">
        <v>150</v>
      </c>
      <c r="H89" s="95" t="s">
        <v>151</v>
      </c>
      <c r="I89" s="95" t="s">
        <v>156</v>
      </c>
      <c r="J89" s="102" t="s">
        <v>155</v>
      </c>
    </row>
    <row r="90" spans="1:18" ht="16.5" x14ac:dyDescent="0.3">
      <c r="B90" s="61" t="s">
        <v>60</v>
      </c>
      <c r="C90" s="109" t="s">
        <v>166</v>
      </c>
      <c r="D90" s="110"/>
      <c r="F90" s="103" t="str">
        <f>+D74</f>
        <v>forro cartera</v>
      </c>
      <c r="G90" s="96" t="str">
        <f>+'forro cartera guarda'!C23</f>
        <v>Villatoro</v>
      </c>
      <c r="H90" s="97">
        <f>+E34</f>
        <v>35</v>
      </c>
      <c r="I90" s="98">
        <f>+C42</f>
        <v>18.75</v>
      </c>
      <c r="J90" s="104">
        <f>+H90*I90</f>
        <v>656.25</v>
      </c>
      <c r="M90" s="55"/>
      <c r="N90" s="55"/>
      <c r="O90" s="55"/>
      <c r="P90" s="55"/>
      <c r="Q90" s="55"/>
      <c r="R90" s="55"/>
    </row>
    <row r="91" spans="1:18" ht="16.5" x14ac:dyDescent="0.3">
      <c r="B91" s="41" t="s">
        <v>1</v>
      </c>
      <c r="C91" s="59"/>
      <c r="D91" s="60"/>
      <c r="F91" s="103" t="str">
        <f>+D75</f>
        <v>forro guarda</v>
      </c>
      <c r="G91" s="96" t="str">
        <f>+G90</f>
        <v>Villatoro</v>
      </c>
      <c r="H91" s="97">
        <f>+H90</f>
        <v>35</v>
      </c>
      <c r="I91" s="98">
        <f>+'forro cartera guarda'!C42</f>
        <v>10</v>
      </c>
      <c r="J91" s="104">
        <f>+J90</f>
        <v>656.25</v>
      </c>
      <c r="M91" s="55"/>
      <c r="N91" s="55"/>
      <c r="O91" s="55"/>
      <c r="P91" s="55"/>
      <c r="Q91" s="55"/>
      <c r="R91" s="55"/>
    </row>
    <row r="92" spans="1:18" ht="16.5" x14ac:dyDescent="0.3">
      <c r="B92" s="41" t="s">
        <v>14</v>
      </c>
      <c r="C92" s="86" t="s">
        <v>117</v>
      </c>
      <c r="D92" s="60"/>
      <c r="F92" s="103" t="str">
        <f>+D76</f>
        <v>forro caja EXT</v>
      </c>
      <c r="G92" s="96" t="str">
        <f>+C23</f>
        <v>Villatoro</v>
      </c>
      <c r="H92" s="97">
        <f>+H91</f>
        <v>35</v>
      </c>
      <c r="I92" s="98">
        <f>+'forro caja EXT'!C42</f>
        <v>23.958333333333332</v>
      </c>
      <c r="J92" s="104">
        <f>+J91</f>
        <v>656.25</v>
      </c>
      <c r="M92" s="55"/>
      <c r="N92" s="55"/>
      <c r="O92" s="55"/>
      <c r="P92" s="55"/>
      <c r="Q92" s="55"/>
      <c r="R92" s="55"/>
    </row>
    <row r="93" spans="1:18" ht="16.5" x14ac:dyDescent="0.3">
      <c r="B93" s="41" t="s">
        <v>64</v>
      </c>
      <c r="C93" s="86"/>
      <c r="D93" s="60" t="s">
        <v>118</v>
      </c>
      <c r="F93" s="103" t="str">
        <f>+D77</f>
        <v>forro caja INT</v>
      </c>
      <c r="G93" s="96" t="str">
        <f>+C23</f>
        <v>Villatoro</v>
      </c>
      <c r="H93" s="97">
        <f>+H92</f>
        <v>35</v>
      </c>
      <c r="I93" s="98">
        <v>17</v>
      </c>
      <c r="J93" s="104">
        <f>+J92</f>
        <v>656.25</v>
      </c>
      <c r="K93" s="66">
        <f>+'forro caja INT'!C42</f>
        <v>16.428571428571427</v>
      </c>
      <c r="M93" s="55"/>
      <c r="N93" s="55"/>
      <c r="O93" s="55"/>
      <c r="P93" s="55"/>
      <c r="Q93" s="55"/>
      <c r="R93" s="55"/>
    </row>
    <row r="94" spans="1:18" ht="16.5" x14ac:dyDescent="0.3">
      <c r="B94" s="41" t="s">
        <v>67</v>
      </c>
      <c r="C94" s="86" t="s">
        <v>167</v>
      </c>
      <c r="D94" s="60"/>
      <c r="F94" s="103" t="str">
        <f>+D78</f>
        <v>eva delgada base</v>
      </c>
      <c r="G94" s="96" t="s">
        <v>153</v>
      </c>
      <c r="H94" s="97">
        <f>+'eva delgada base'!E30</f>
        <v>18.25</v>
      </c>
      <c r="I94" s="98">
        <f>+'eva delgada base'!C42</f>
        <v>6.5340909090909092</v>
      </c>
      <c r="J94" s="104">
        <f t="shared" ref="J94:J97" si="3">+H94*I94</f>
        <v>119.24715909090909</v>
      </c>
      <c r="M94" s="55"/>
      <c r="N94" s="55"/>
      <c r="O94" s="55"/>
      <c r="P94" s="55"/>
      <c r="Q94" s="55"/>
      <c r="R94" s="55"/>
    </row>
    <row r="95" spans="1:18" ht="16.5" x14ac:dyDescent="0.3">
      <c r="B95" s="41" t="s">
        <v>70</v>
      </c>
      <c r="C95" s="86">
        <v>1</v>
      </c>
      <c r="D95" s="87">
        <f>+((B47*60)*2)</f>
        <v>0</v>
      </c>
      <c r="F95" s="103" t="str">
        <f>+D79</f>
        <v>eva redonda base</v>
      </c>
      <c r="G95" s="96" t="s">
        <v>154</v>
      </c>
      <c r="H95" s="97">
        <f>+'eva 1.2 redonda'!E30</f>
        <v>400</v>
      </c>
      <c r="I95" s="98">
        <f>+'eva 1.2 redonda'!C42</f>
        <v>1</v>
      </c>
      <c r="J95" s="104">
        <f t="shared" si="3"/>
        <v>400</v>
      </c>
      <c r="M95" s="55"/>
      <c r="N95" s="55"/>
      <c r="O95" s="55"/>
      <c r="P95" s="55"/>
      <c r="Q95" s="55"/>
      <c r="R95" s="55"/>
    </row>
    <row r="96" spans="1:18" ht="16.5" x14ac:dyDescent="0.3">
      <c r="B96" s="41" t="s">
        <v>72</v>
      </c>
      <c r="C96" s="88"/>
      <c r="D96" s="60"/>
      <c r="F96" s="103" t="str">
        <f>+D80</f>
        <v>cartón cartera</v>
      </c>
      <c r="G96" s="96" t="s">
        <v>152</v>
      </c>
      <c r="H96" s="97">
        <f>+'cartón cartera'!E34</f>
        <v>38.619999999999997</v>
      </c>
      <c r="I96" s="98">
        <v>7</v>
      </c>
      <c r="J96" s="104">
        <f t="shared" si="3"/>
        <v>270.33999999999997</v>
      </c>
      <c r="M96" s="55"/>
      <c r="N96" s="55"/>
      <c r="O96" s="55"/>
      <c r="P96" s="55"/>
      <c r="Q96" s="55"/>
      <c r="R96" s="55"/>
    </row>
    <row r="97" spans="2:18" ht="16.5" x14ac:dyDescent="0.3">
      <c r="B97" s="41" t="s">
        <v>119</v>
      </c>
      <c r="C97" s="88">
        <v>490</v>
      </c>
      <c r="D97" s="89" t="s">
        <v>120</v>
      </c>
      <c r="F97" s="103" t="str">
        <f>+D81</f>
        <v>cartón caja</v>
      </c>
      <c r="G97" s="96" t="s">
        <v>152</v>
      </c>
      <c r="H97" s="97">
        <f>+'cartón caja'!E34</f>
        <v>38.619999999999997</v>
      </c>
      <c r="I97" s="98">
        <v>12</v>
      </c>
      <c r="J97" s="104">
        <f t="shared" si="3"/>
        <v>463.43999999999994</v>
      </c>
      <c r="M97" s="55"/>
      <c r="N97" s="55"/>
      <c r="O97" s="55"/>
      <c r="P97" s="55"/>
      <c r="Q97" s="55"/>
      <c r="R97" s="55"/>
    </row>
    <row r="98" spans="2:18" ht="16.5" x14ac:dyDescent="0.3">
      <c r="B98" s="41" t="s">
        <v>74</v>
      </c>
      <c r="C98" s="88">
        <f>+C97*C95</f>
        <v>490</v>
      </c>
      <c r="D98" s="60"/>
      <c r="F98" s="103" t="str">
        <f>+A54</f>
        <v>Velcro</v>
      </c>
      <c r="G98" s="96" t="s">
        <v>169</v>
      </c>
      <c r="H98" s="97">
        <f>+C97</f>
        <v>490</v>
      </c>
      <c r="I98" s="98">
        <v>1</v>
      </c>
      <c r="J98" s="104">
        <f t="shared" ref="J98:J99" si="4">+H98*I98</f>
        <v>490</v>
      </c>
      <c r="M98" s="55"/>
      <c r="N98" s="55"/>
      <c r="O98" s="55"/>
      <c r="P98" s="55"/>
      <c r="Q98" s="55"/>
      <c r="R98" s="55"/>
    </row>
    <row r="99" spans="2:18" ht="16.5" x14ac:dyDescent="0.3">
      <c r="B99" s="41" t="s">
        <v>116</v>
      </c>
      <c r="C99" s="88">
        <v>0</v>
      </c>
      <c r="D99" s="60"/>
      <c r="F99" s="103" t="s">
        <v>164</v>
      </c>
      <c r="G99" s="96"/>
      <c r="H99" s="97">
        <f>+B53+'forro caja EXT'!B53</f>
        <v>800</v>
      </c>
      <c r="I99" s="98">
        <v>1</v>
      </c>
      <c r="J99" s="104">
        <f t="shared" si="4"/>
        <v>800</v>
      </c>
      <c r="M99" s="55"/>
      <c r="N99" s="55"/>
      <c r="O99" s="55"/>
      <c r="P99" s="55"/>
      <c r="Q99" s="55"/>
      <c r="R99" s="55"/>
    </row>
    <row r="100" spans="2:18" ht="16.5" thickBot="1" x14ac:dyDescent="0.35">
      <c r="B100" s="41" t="s">
        <v>121</v>
      </c>
      <c r="C100" s="88">
        <f>+((1*B48)*1.1)</f>
        <v>550</v>
      </c>
      <c r="D100" s="60"/>
      <c r="F100" s="105"/>
      <c r="G100" s="106"/>
      <c r="H100" s="106"/>
      <c r="I100" s="107"/>
      <c r="J100" s="108"/>
    </row>
    <row r="101" spans="2:18" ht="16.5" thickBot="1" x14ac:dyDescent="0.35">
      <c r="B101" s="1" t="s">
        <v>122</v>
      </c>
      <c r="C101" s="88">
        <v>0</v>
      </c>
      <c r="D101" s="60"/>
      <c r="F101"/>
      <c r="G101"/>
      <c r="H101"/>
      <c r="I101" s="99" t="s">
        <v>155</v>
      </c>
      <c r="J101" s="100">
        <f>SUM(J90:J100)</f>
        <v>5168.0271590909088</v>
      </c>
    </row>
    <row r="102" spans="2:18" x14ac:dyDescent="0.3">
      <c r="B102" s="41" t="s">
        <v>123</v>
      </c>
      <c r="C102" s="90">
        <f>+C100+C97</f>
        <v>1040</v>
      </c>
      <c r="D102" s="91">
        <f>+C102/B48</f>
        <v>2.08</v>
      </c>
      <c r="E102" s="1" t="s">
        <v>125</v>
      </c>
    </row>
    <row r="103" spans="2:18" x14ac:dyDescent="0.3">
      <c r="B103" s="41" t="s">
        <v>124</v>
      </c>
      <c r="C103" s="90">
        <f>+C102*1.5</f>
        <v>1560</v>
      </c>
      <c r="D103" s="91">
        <f>+C103/B48</f>
        <v>3.12</v>
      </c>
      <c r="E103" s="1" t="s">
        <v>125</v>
      </c>
    </row>
    <row r="104" spans="2:18" x14ac:dyDescent="0.3">
      <c r="C104" s="59"/>
      <c r="D104" s="60"/>
    </row>
    <row r="105" spans="2:18" x14ac:dyDescent="0.3">
      <c r="C105" s="59"/>
      <c r="D105" s="60"/>
    </row>
  </sheetData>
  <mergeCells count="4">
    <mergeCell ref="I82:J82"/>
    <mergeCell ref="A82:B82"/>
    <mergeCell ref="G73:H73"/>
    <mergeCell ref="F88:J88"/>
  </mergeCells>
  <pageMargins left="0.70866141732283472" right="0.70866141732283472" top="0.74803149606299213" bottom="0.74803149606299213" header="0.31496062992125984" footer="0.31496062992125984"/>
  <pageSetup scale="42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Desarrollo</vt:lpstr>
      <vt:lpstr>cartón caja</vt:lpstr>
      <vt:lpstr>cartón cartera</vt:lpstr>
      <vt:lpstr>eva delgada base</vt:lpstr>
      <vt:lpstr>eva 1.2 redonda</vt:lpstr>
      <vt:lpstr>forro caja INT</vt:lpstr>
      <vt:lpstr>forro caja EXT</vt:lpstr>
      <vt:lpstr>forro cartera guarda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2016-12-26T22:03:45Z</cp:lastPrinted>
  <dcterms:created xsi:type="dcterms:W3CDTF">2013-03-04T22:24:31Z</dcterms:created>
  <dcterms:modified xsi:type="dcterms:W3CDTF">2016-12-26T23:44:50Z</dcterms:modified>
</cp:coreProperties>
</file>