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6"/>
  </bookViews>
  <sheets>
    <sheet name="cartón cajón " sheetId="39" r:id="rId1"/>
    <sheet name="cartón tapa" sheetId="40" r:id="rId2"/>
    <sheet name="espuma" sheetId="44" r:id="rId3"/>
    <sheet name="forro cajón INT" sheetId="34" r:id="rId4"/>
    <sheet name="forro cajón EXT" sheetId="42" r:id="rId5"/>
    <sheet name="forro guarda" sheetId="43" r:id="rId6"/>
    <sheet name="forro tapa final" sheetId="38" r:id="rId7"/>
  </sheets>
  <calcPr calcId="145621" concurrentCalc="0"/>
</workbook>
</file>

<file path=xl/calcChain.xml><?xml version="1.0" encoding="utf-8"?>
<calcChain xmlns="http://schemas.openxmlformats.org/spreadsheetml/2006/main">
  <c r="E35" i="38" l="1"/>
  <c r="E31" i="42"/>
  <c r="E32" i="42"/>
  <c r="E34" i="42"/>
  <c r="E35" i="42"/>
  <c r="E35" i="43"/>
  <c r="C48" i="44"/>
  <c r="B55" i="38"/>
  <c r="L53" i="34"/>
  <c r="B56" i="42"/>
  <c r="B56" i="38"/>
  <c r="D78" i="38"/>
  <c r="H57" i="38"/>
  <c r="E35" i="39"/>
  <c r="E35" i="40"/>
  <c r="E31" i="34"/>
  <c r="E32" i="34"/>
  <c r="E34" i="34"/>
  <c r="E35" i="34"/>
  <c r="E31" i="43"/>
  <c r="E32" i="43"/>
  <c r="E34" i="43"/>
  <c r="L50" i="38"/>
  <c r="L50" i="43"/>
  <c r="L50" i="42"/>
  <c r="L50" i="34"/>
  <c r="F25" i="38"/>
  <c r="C41" i="43"/>
  <c r="K50" i="43"/>
  <c r="H16" i="43"/>
  <c r="F16" i="43"/>
  <c r="F25" i="43"/>
  <c r="F25" i="42"/>
  <c r="C9" i="43"/>
  <c r="K50" i="42"/>
  <c r="K50" i="34"/>
  <c r="C9" i="34"/>
  <c r="E30" i="40"/>
  <c r="C9" i="38"/>
  <c r="C9" i="42"/>
  <c r="C9" i="44"/>
  <c r="C9" i="40"/>
  <c r="A69" i="44"/>
  <c r="B68" i="44"/>
  <c r="A68" i="44"/>
  <c r="G54" i="44"/>
  <c r="H54" i="44"/>
  <c r="G53" i="44"/>
  <c r="H53" i="44"/>
  <c r="H53" i="38"/>
  <c r="H54" i="38"/>
  <c r="B48" i="43"/>
  <c r="B48" i="38"/>
  <c r="B48" i="42"/>
  <c r="B48" i="34"/>
  <c r="M19" i="44"/>
  <c r="B70" i="44"/>
  <c r="A70" i="44"/>
  <c r="H59" i="44"/>
  <c r="H58" i="44"/>
  <c r="H57" i="44"/>
  <c r="H56" i="44"/>
  <c r="H55" i="44"/>
  <c r="H52" i="44"/>
  <c r="H51" i="44"/>
  <c r="H50" i="44"/>
  <c r="H49" i="44"/>
  <c r="H61" i="44"/>
  <c r="E31" i="44"/>
  <c r="E32" i="44"/>
  <c r="E34" i="44"/>
  <c r="E35" i="44"/>
  <c r="E26" i="44"/>
  <c r="E27" i="44"/>
  <c r="C26" i="44"/>
  <c r="H26" i="44"/>
  <c r="H25" i="44"/>
  <c r="F25" i="44"/>
  <c r="H16" i="42"/>
  <c r="F16" i="42"/>
  <c r="H16" i="38"/>
  <c r="E26" i="38"/>
  <c r="F16" i="38"/>
  <c r="C26" i="38"/>
  <c r="C27" i="38"/>
  <c r="F26" i="38"/>
  <c r="F27" i="38"/>
  <c r="E27" i="38"/>
  <c r="H27" i="44"/>
  <c r="F26" i="44"/>
  <c r="F27" i="44"/>
  <c r="B67" i="44"/>
  <c r="B51" i="44"/>
  <c r="C27" i="44"/>
  <c r="L70" i="38"/>
  <c r="L69" i="38"/>
  <c r="L68" i="38"/>
  <c r="L67" i="38"/>
  <c r="M64" i="38"/>
  <c r="M19" i="38"/>
  <c r="K49" i="38"/>
  <c r="L49" i="38"/>
  <c r="L71" i="38"/>
  <c r="L72" i="38"/>
  <c r="M72" i="38"/>
  <c r="D80" i="38"/>
  <c r="D79" i="38"/>
  <c r="D77" i="38"/>
  <c r="D76" i="38"/>
  <c r="D75" i="38"/>
  <c r="H26" i="38"/>
  <c r="H25" i="38"/>
  <c r="A71" i="43"/>
  <c r="B70" i="43"/>
  <c r="A70" i="43"/>
  <c r="B69" i="43"/>
  <c r="A69" i="43"/>
  <c r="B68" i="43"/>
  <c r="A68" i="43"/>
  <c r="H59" i="43"/>
  <c r="H57" i="43"/>
  <c r="H56" i="43"/>
  <c r="B71" i="43"/>
  <c r="H55" i="43"/>
  <c r="H54" i="43"/>
  <c r="L53" i="43"/>
  <c r="H52" i="43"/>
  <c r="H51" i="43"/>
  <c r="H50" i="43"/>
  <c r="L49" i="43"/>
  <c r="L52" i="43"/>
  <c r="K49" i="43"/>
  <c r="K52" i="43"/>
  <c r="H49" i="43"/>
  <c r="C40" i="43"/>
  <c r="G43" i="43"/>
  <c r="E26" i="43"/>
  <c r="F26" i="43"/>
  <c r="C26" i="43"/>
  <c r="C27" i="43"/>
  <c r="H25" i="43"/>
  <c r="B71" i="42"/>
  <c r="H59" i="42"/>
  <c r="H57" i="42"/>
  <c r="H56" i="42"/>
  <c r="H55" i="42"/>
  <c r="H54" i="42"/>
  <c r="L53" i="42"/>
  <c r="H52" i="42"/>
  <c r="H51" i="42"/>
  <c r="H50" i="42"/>
  <c r="L49" i="42"/>
  <c r="L52" i="42"/>
  <c r="K49" i="42"/>
  <c r="K52" i="42"/>
  <c r="H49" i="42"/>
  <c r="H25" i="42"/>
  <c r="H52" i="40"/>
  <c r="M71" i="38"/>
  <c r="M50" i="43"/>
  <c r="O50" i="43"/>
  <c r="G58" i="43"/>
  <c r="H58" i="43"/>
  <c r="H27" i="38"/>
  <c r="H26" i="43"/>
  <c r="H27" i="43"/>
  <c r="F27" i="43"/>
  <c r="E27" i="43"/>
  <c r="G44" i="43"/>
  <c r="C42" i="43"/>
  <c r="B69" i="38"/>
  <c r="B71" i="38"/>
  <c r="B70" i="38"/>
  <c r="K53" i="43"/>
  <c r="M53" i="43"/>
  <c r="O53" i="43"/>
  <c r="G53" i="43"/>
  <c r="H53" i="43"/>
  <c r="H61" i="43"/>
  <c r="B67" i="43"/>
  <c r="C46" i="43"/>
  <c r="C43" i="43"/>
  <c r="B66" i="43"/>
  <c r="B50" i="43"/>
  <c r="B51" i="43"/>
  <c r="B58" i="43"/>
  <c r="B60" i="43"/>
  <c r="Q21" i="43"/>
  <c r="B73" i="43"/>
  <c r="C73" i="43"/>
  <c r="B68" i="38"/>
  <c r="C40" i="34"/>
  <c r="C41" i="34"/>
  <c r="K53" i="34"/>
  <c r="C40" i="42"/>
  <c r="C41" i="42"/>
  <c r="C40" i="38"/>
  <c r="G43" i="38"/>
  <c r="E63" i="43"/>
  <c r="D65" i="43"/>
  <c r="I52" i="43"/>
  <c r="C41" i="38"/>
  <c r="C42" i="42"/>
  <c r="C43" i="42"/>
  <c r="K53" i="42"/>
  <c r="M53" i="42"/>
  <c r="O53" i="42"/>
  <c r="G53" i="42"/>
  <c r="H53" i="42"/>
  <c r="M50" i="42"/>
  <c r="O50" i="42"/>
  <c r="G58" i="42"/>
  <c r="H58" i="42"/>
  <c r="H69" i="43"/>
  <c r="I69" i="43"/>
  <c r="F75" i="38"/>
  <c r="H70" i="43"/>
  <c r="I70" i="43"/>
  <c r="C75" i="38"/>
  <c r="C42" i="34"/>
  <c r="C43" i="34"/>
  <c r="L52" i="38"/>
  <c r="K52" i="38"/>
  <c r="A71" i="42"/>
  <c r="B70" i="42"/>
  <c r="A70" i="42"/>
  <c r="B69" i="42"/>
  <c r="A69" i="42"/>
  <c r="B68" i="42"/>
  <c r="A68" i="42"/>
  <c r="G43" i="42"/>
  <c r="E26" i="42"/>
  <c r="E27" i="42"/>
  <c r="C26" i="42"/>
  <c r="H26" i="42"/>
  <c r="B71" i="34"/>
  <c r="L49" i="34"/>
  <c r="L52" i="34"/>
  <c r="K49" i="34"/>
  <c r="K52" i="34"/>
  <c r="K50" i="38"/>
  <c r="M50" i="38"/>
  <c r="O50" i="38"/>
  <c r="G58" i="38"/>
  <c r="C42" i="38"/>
  <c r="C43" i="38"/>
  <c r="H71" i="43"/>
  <c r="I71" i="43"/>
  <c r="H61" i="42"/>
  <c r="H27" i="42"/>
  <c r="G44" i="42"/>
  <c r="C27" i="42"/>
  <c r="F26" i="42"/>
  <c r="F27" i="42"/>
  <c r="B50" i="42"/>
  <c r="B51" i="42"/>
  <c r="B67" i="42"/>
  <c r="Q21" i="42"/>
  <c r="B66" i="42"/>
  <c r="B58" i="42"/>
  <c r="B60" i="42"/>
  <c r="F76" i="38"/>
  <c r="C46" i="42"/>
  <c r="B73" i="42"/>
  <c r="C73" i="42"/>
  <c r="C76" i="38"/>
  <c r="I52" i="42"/>
  <c r="H69" i="42"/>
  <c r="I69" i="42"/>
  <c r="D65" i="42"/>
  <c r="E63" i="42"/>
  <c r="H70" i="42"/>
  <c r="I70" i="42"/>
  <c r="H71" i="42"/>
  <c r="I71" i="42"/>
  <c r="H50" i="34"/>
  <c r="G43" i="34"/>
  <c r="B48" i="40"/>
  <c r="H50" i="38"/>
  <c r="H58" i="38"/>
  <c r="H56" i="38"/>
  <c r="B68" i="34"/>
  <c r="H49" i="34"/>
  <c r="H52" i="34"/>
  <c r="C40" i="39"/>
  <c r="C41" i="39"/>
  <c r="G44" i="39"/>
  <c r="E31" i="38"/>
  <c r="E32" i="38"/>
  <c r="E34" i="38"/>
  <c r="H49" i="38"/>
  <c r="H55" i="38"/>
  <c r="H51" i="38"/>
  <c r="H52" i="38"/>
  <c r="H59" i="38"/>
  <c r="B72" i="38"/>
  <c r="A72" i="38"/>
  <c r="A71" i="38"/>
  <c r="A70" i="38"/>
  <c r="A69" i="38"/>
  <c r="A68" i="38"/>
  <c r="A68" i="34"/>
  <c r="E31" i="40"/>
  <c r="E32" i="40"/>
  <c r="E34" i="40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E31" i="39"/>
  <c r="E32" i="39"/>
  <c r="E34" i="39"/>
  <c r="H49" i="39"/>
  <c r="H50" i="39"/>
  <c r="H51" i="39"/>
  <c r="H52" i="39"/>
  <c r="H53" i="39"/>
  <c r="H54" i="39"/>
  <c r="H55" i="39"/>
  <c r="H56" i="39"/>
  <c r="H57" i="39"/>
  <c r="H58" i="39"/>
  <c r="H59" i="39"/>
  <c r="H61" i="39"/>
  <c r="Q21" i="39"/>
  <c r="B68" i="39"/>
  <c r="B69" i="39"/>
  <c r="B70" i="39"/>
  <c r="A70" i="39"/>
  <c r="A69" i="39"/>
  <c r="A68" i="39"/>
  <c r="H25" i="39"/>
  <c r="C26" i="39"/>
  <c r="H26" i="39"/>
  <c r="H27" i="39"/>
  <c r="F25" i="39"/>
  <c r="E26" i="39"/>
  <c r="F26" i="39"/>
  <c r="H51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/>
  <c r="F25" i="34"/>
  <c r="E26" i="34"/>
  <c r="E27" i="34"/>
  <c r="C40" i="40"/>
  <c r="C41" i="40"/>
  <c r="C42" i="40"/>
  <c r="B48" i="44"/>
  <c r="E27" i="39"/>
  <c r="C27" i="34"/>
  <c r="F27" i="39"/>
  <c r="H61" i="40"/>
  <c r="B67" i="40"/>
  <c r="C27" i="39"/>
  <c r="B51" i="39"/>
  <c r="B67" i="39"/>
  <c r="G43" i="39"/>
  <c r="G43" i="40"/>
  <c r="F26" i="40"/>
  <c r="F27" i="40"/>
  <c r="C27" i="40"/>
  <c r="H61" i="38"/>
  <c r="K53" i="38"/>
  <c r="M53" i="38"/>
  <c r="O53" i="38"/>
  <c r="G44" i="38"/>
  <c r="M53" i="34"/>
  <c r="O53" i="34"/>
  <c r="G53" i="34"/>
  <c r="H53" i="34"/>
  <c r="M50" i="34"/>
  <c r="O50" i="34"/>
  <c r="G58" i="34"/>
  <c r="H58" i="34"/>
  <c r="G44" i="34"/>
  <c r="F26" i="34"/>
  <c r="F27" i="34"/>
  <c r="H27" i="34"/>
  <c r="C42" i="39"/>
  <c r="H61" i="34"/>
  <c r="B67" i="34"/>
  <c r="G44" i="40"/>
  <c r="C40" i="44"/>
  <c r="B69" i="44"/>
  <c r="Q21" i="40"/>
  <c r="B51" i="40"/>
  <c r="B51" i="34"/>
  <c r="B67" i="38"/>
  <c r="B51" i="38"/>
  <c r="B50" i="38"/>
  <c r="C46" i="38"/>
  <c r="B66" i="38"/>
  <c r="C46" i="34"/>
  <c r="B66" i="34"/>
  <c r="B50" i="34"/>
  <c r="C50" i="34"/>
  <c r="B66" i="40"/>
  <c r="B72" i="40"/>
  <c r="I52" i="40"/>
  <c r="B50" i="40"/>
  <c r="C46" i="40"/>
  <c r="B50" i="39"/>
  <c r="B58" i="39"/>
  <c r="B60" i="39"/>
  <c r="F80" i="38"/>
  <c r="C46" i="39"/>
  <c r="B66" i="39"/>
  <c r="B72" i="39"/>
  <c r="I52" i="39"/>
  <c r="Q21" i="34"/>
  <c r="C41" i="44"/>
  <c r="G43" i="44"/>
  <c r="B58" i="40"/>
  <c r="B60" i="40"/>
  <c r="F79" i="38"/>
  <c r="H68" i="39"/>
  <c r="I68" i="39"/>
  <c r="B74" i="38"/>
  <c r="B58" i="38"/>
  <c r="B60" i="38"/>
  <c r="F74" i="38"/>
  <c r="B73" i="34"/>
  <c r="B58" i="34"/>
  <c r="B60" i="34"/>
  <c r="F77" i="38"/>
  <c r="C72" i="40"/>
  <c r="C79" i="38"/>
  <c r="E63" i="40"/>
  <c r="D65" i="40"/>
  <c r="C72" i="39"/>
  <c r="C80" i="38"/>
  <c r="D65" i="39"/>
  <c r="E63" i="39"/>
  <c r="G44" i="44"/>
  <c r="C42" i="44"/>
  <c r="H68" i="40"/>
  <c r="I68" i="40"/>
  <c r="C74" i="38"/>
  <c r="H71" i="38"/>
  <c r="I52" i="38"/>
  <c r="I52" i="34"/>
  <c r="C73" i="34"/>
  <c r="C77" i="38"/>
  <c r="H70" i="38"/>
  <c r="I70" i="38"/>
  <c r="E63" i="34"/>
  <c r="D65" i="38"/>
  <c r="E63" i="38"/>
  <c r="D65" i="34"/>
  <c r="H69" i="40"/>
  <c r="H69" i="39"/>
  <c r="I69" i="39"/>
  <c r="C46" i="44"/>
  <c r="B66" i="44"/>
  <c r="B72" i="44"/>
  <c r="B50" i="44"/>
  <c r="B58" i="44"/>
  <c r="H69" i="34"/>
  <c r="I69" i="34"/>
  <c r="H72" i="38"/>
  <c r="I72" i="38"/>
  <c r="I71" i="38"/>
  <c r="H70" i="34"/>
  <c r="I70" i="34"/>
  <c r="H70" i="40"/>
  <c r="I70" i="40"/>
  <c r="I69" i="40"/>
  <c r="H70" i="39"/>
  <c r="I70" i="39"/>
  <c r="C72" i="44"/>
  <c r="I52" i="44"/>
  <c r="D65" i="44"/>
  <c r="B60" i="44"/>
  <c r="F78" i="38"/>
  <c r="F81" i="38"/>
  <c r="G81" i="38"/>
  <c r="H71" i="34"/>
  <c r="I71" i="34"/>
  <c r="H68" i="44"/>
  <c r="I68" i="44"/>
  <c r="C78" i="38"/>
  <c r="C81" i="38"/>
  <c r="H69" i="44"/>
  <c r="A81" i="38"/>
  <c r="I81" i="38"/>
  <c r="I69" i="44"/>
  <c r="H70" i="44"/>
  <c r="I70" i="44"/>
  <c r="I73" i="38"/>
</calcChain>
</file>

<file path=xl/sharedStrings.xml><?xml version="1.0" encoding="utf-8"?>
<sst xmlns="http://schemas.openxmlformats.org/spreadsheetml/2006/main" count="1325" uniqueCount="217">
  <si>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</si>
  <si>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</si>
  <si>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</si>
  <si>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</si>
  <si>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</si>
  <si>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</si>
  <si>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</si>
  <si>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</si>
  <si>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</si>
  <si>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</si>
  <si>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</si>
  <si>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</si>
  <si>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</si>
  <si>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</si>
  <si>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</si>
  <si>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</si>
  <si>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</si>
  <si>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</si>
  <si>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</si>
  <si>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</si>
  <si>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</si>
  <si>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</si>
  <si>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</si>
  <si>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</si>
  <si>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</si>
  <si>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</si>
  <si>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</si>
  <si>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</si>
  <si>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</si>
  <si>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</si>
  <si>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</si>
  <si>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</si>
  <si>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</si>
  <si>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</si>
  <si>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</si>
  <si>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</si>
  <si>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</si>
  <si>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</si>
  <si>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</si>
  <si>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</si>
  <si>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</si>
  <si>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</si>
  <si>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</si>
  <si>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</si>
  <si>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</si>
  <si>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</si>
  <si>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</si>
  <si>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</si>
  <si>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</si>
  <si>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</si>
  <si>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</si>
  <si>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</si>
  <si>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</si>
  <si>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</si>
  <si>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</si>
  <si>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</si>
  <si>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</si>
  <si>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</si>
  <si>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</si>
  <si>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</si>
  <si>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</si>
  <si>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</si>
  <si>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</si>
  <si>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</si>
  <si>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</si>
  <si>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</si>
  <si>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</si>
  <si>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</si>
  <si>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</si>
  <si>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</si>
  <si>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</si>
  <si>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</si>
  <si>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</si>
  <si>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</si>
  <si>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</si>
  <si>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</si>
  <si>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</si>
  <si>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</si>
  <si>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</si>
  <si>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</si>
  <si>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</si>
  <si>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</si>
  <si>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</si>
  <si>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</si>
  <si>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</si>
  <si>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</si>
  <si>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</si>
  <si>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</si>
  <si>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</si>
  <si>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</si>
  <si>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</si>
  <si>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</si>
  <si>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</si>
  <si>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</si>
  <si>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</si>
  <si>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</si>
  <si>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</si>
  <si>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</si>
  <si>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</si>
  <si>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</si>
  <si>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</si>
  <si>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</si>
  <si>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</si>
  <si>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</si>
  <si>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</si>
  <si>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</si>
  <si>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</si>
  <si>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</si>
  <si>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</si>
  <si>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</si>
  <si>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</si>
  <si>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</si>
  <si>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</si>
  <si>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</si>
  <si>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</si>
  <si>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</si>
  <si>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</si>
  <si>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</si>
  <si>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</si>
  <si>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</si>
  <si>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</si>
  <si>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</si>
  <si>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</si>
  <si>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</si>
  <si>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</si>
  <si>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</si>
  <si>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</si>
  <si>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</si>
  <si>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</si>
  <si>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</si>
  <si>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</si>
  <si>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</si>
  <si>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</si>
  <si>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</si>
  <si>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</si>
  <si>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</si>
  <si>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</si>
  <si>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</si>
  <si>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</si>
  <si>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</si>
  <si>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</si>
  <si>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</si>
  <si>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</si>
  <si>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</si>
  <si>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</si>
  <si>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</si>
  <si>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</si>
  <si>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</si>
  <si>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</si>
  <si>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</si>
  <si>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</si>
  <si>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</si>
  <si>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 xml:space="preserve">forro </t>
  </si>
  <si>
    <t>Envio Fora</t>
  </si>
  <si>
    <t>Cartón Gris</t>
  </si>
  <si>
    <t xml:space="preserve">forrado en papel importación </t>
  </si>
  <si>
    <t>WHITE HOUSE</t>
  </si>
  <si>
    <t>empalme</t>
  </si>
  <si>
    <t>cartón cajón</t>
  </si>
  <si>
    <t>cartón tapa</t>
  </si>
  <si>
    <t>forro cajón INT</t>
  </si>
  <si>
    <t>forro guarda</t>
  </si>
  <si>
    <t>Arreglo</t>
  </si>
  <si>
    <t>Empaque</t>
  </si>
  <si>
    <t>forro cajón EXT</t>
  </si>
  <si>
    <t>Comisiones</t>
  </si>
  <si>
    <t>Cantidad</t>
  </si>
  <si>
    <t xml:space="preserve">Cientos </t>
  </si>
  <si>
    <t>Tinta 1</t>
  </si>
  <si>
    <t>Tinta 2</t>
  </si>
  <si>
    <t xml:space="preserve">Tamaños Piezas </t>
  </si>
  <si>
    <t xml:space="preserve">Unidad </t>
  </si>
  <si>
    <t>X Area</t>
  </si>
  <si>
    <t>Arreglo Suaje</t>
  </si>
  <si>
    <t>millar</t>
  </si>
  <si>
    <t>Suajado</t>
  </si>
  <si>
    <t>ciento</t>
  </si>
  <si>
    <t>Cosido</t>
  </si>
  <si>
    <t>LAMINADOS</t>
  </si>
  <si>
    <t>Ojillo Metálico</t>
  </si>
  <si>
    <t>Negro</t>
  </si>
  <si>
    <t>mt</t>
  </si>
  <si>
    <t>Precio por Paquete</t>
  </si>
  <si>
    <t>Esquineros</t>
  </si>
  <si>
    <t xml:space="preserve">Rainbow 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</si>
  <si>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</si>
  <si>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</si>
  <si>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</si>
  <si>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</si>
  <si>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</si>
  <si>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</si>
  <si>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</si>
  <si>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</si>
  <si>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Eva</t>
  </si>
  <si>
    <t>Kach</t>
  </si>
  <si>
    <t>Espuma</t>
  </si>
  <si>
    <t>Blanca</t>
  </si>
  <si>
    <t>Estuche Shampoo</t>
  </si>
  <si>
    <t>espuma para sujetar accesorios</t>
  </si>
  <si>
    <t xml:space="preserve">Couche </t>
  </si>
  <si>
    <t xml:space="preserve">Blanco </t>
  </si>
  <si>
    <t>150 gr.</t>
  </si>
  <si>
    <t>Couche Blanco</t>
  </si>
  <si>
    <t>#4</t>
  </si>
  <si>
    <t xml:space="preserve">impreso a 2  tinta Offset + 1 Hot stamping </t>
  </si>
  <si>
    <t>Placa HS</t>
  </si>
  <si>
    <t>espuma</t>
  </si>
  <si>
    <t>Papel Couche</t>
  </si>
  <si>
    <t>150 gr</t>
  </si>
  <si>
    <t>06 de octubre de 2016.</t>
  </si>
  <si>
    <t>tamaño extendido 33.5 X 53.2 cm.</t>
  </si>
  <si>
    <t>tamaño extendido 29.7 X 34.4 cm.</t>
  </si>
  <si>
    <t>tamaño extendido 10.9 X 34.4 cm.</t>
  </si>
  <si>
    <t>4 cm.</t>
  </si>
  <si>
    <t>tamaño 10.9 X 34.4 X 9.4 cm.</t>
  </si>
  <si>
    <t>forrado en papel couche blanco 150 gr.</t>
  </si>
  <si>
    <t>LOZANO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</si>
</sst>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3" fillId="0" borderId="0" xfId="0" applyNumberFormat="1" applyFont="1" applyAlignment="1">
      <alignment horizontal="center"/>
    </xf>
    <xf numFmtId="44" fontId="24" fillId="0" borderId="0" xfId="1" applyFont="1"/>
    <xf numFmtId="44" fontId="25" fillId="9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2" fontId="2" fillId="0" borderId="1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4" fillId="10" borderId="0" xfId="0" applyFont="1" applyFill="1" applyAlignment="1">
      <alignment horizontal="left"/>
    </xf>
    <xf numFmtId="0" fontId="6" fillId="10" borderId="0" xfId="0" applyFont="1" applyFill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44" fontId="5" fillId="10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5" fillId="9" borderId="0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14" zoomScale="80" zoomScaleNormal="80" workbookViewId="0">
      <selection activeCell="D41" sqref="D4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209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210</v>
      </c>
      <c r="D16" s="25"/>
      <c r="E16" s="25"/>
      <c r="F16" s="62">
        <v>33.5</v>
      </c>
      <c r="G16" s="102" t="s">
        <v>123</v>
      </c>
      <c r="H16" s="103">
        <v>53.2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500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154</v>
      </c>
      <c r="D23" s="5" t="s">
        <v>24</v>
      </c>
      <c r="E23" s="31" t="s">
        <v>136</v>
      </c>
      <c r="F23" s="1" t="s">
        <v>203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33.5</v>
      </c>
      <c r="D26" s="37" t="s">
        <v>29</v>
      </c>
      <c r="E26" s="36">
        <f>+H16</f>
        <v>53.2</v>
      </c>
      <c r="F26" s="38">
        <f>+E26</f>
        <v>53.2</v>
      </c>
      <c r="G26" s="38" t="s">
        <v>29</v>
      </c>
      <c r="H26" s="38">
        <f>+C26</f>
        <v>33.5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2.6865671641791047</v>
      </c>
      <c r="D27" s="42"/>
      <c r="E27" s="41">
        <f>+E25/E26</f>
        <v>2.4436090225563909</v>
      </c>
      <c r="F27" s="41">
        <f>+F25/F26</f>
        <v>1.6917293233082706</v>
      </c>
      <c r="G27" s="42"/>
      <c r="H27" s="41">
        <f>+H25/H26</f>
        <v>3.8805970149253732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3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35.975000000000001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35.975000000000001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35.975000000000001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39.572500000000005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60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1060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265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1060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1060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1000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9533.375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500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500</v>
      </c>
      <c r="H52" s="39">
        <f t="shared" ref="H52:H59" si="0">+G52*E52</f>
        <v>500</v>
      </c>
      <c r="I52" s="39">
        <f>+(B72/100)*2</f>
        <v>222.73425000000003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120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120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10033.375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10.033374999999999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500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11.136712500000002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10486.712500000001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650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10.033374999999999</v>
      </c>
      <c r="I68" s="91">
        <f>+H68*B48</f>
        <v>10033.375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11.136712500000002</v>
      </c>
      <c r="I69" s="91">
        <f>+H69*B48</f>
        <v>11136.712500000001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1.1033375000000021</v>
      </c>
      <c r="I70" s="91">
        <f>+H70*B48</f>
        <v>1103.3375000000021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11136.712500000001</v>
      </c>
      <c r="C72" s="96">
        <f>+B72/B48</f>
        <v>11.136712500000002</v>
      </c>
      <c r="D72" s="5" t="s">
        <v>158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2" zoomScale="80" zoomScaleNormal="80" workbookViewId="0">
      <selection activeCell="E73" sqref="E7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06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192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211</v>
      </c>
      <c r="D16" s="25"/>
      <c r="E16" s="25"/>
      <c r="F16" s="62">
        <v>29.7</v>
      </c>
      <c r="G16" s="102" t="s">
        <v>123</v>
      </c>
      <c r="H16" s="103">
        <v>34.4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500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154</v>
      </c>
      <c r="D23" s="5" t="s">
        <v>24</v>
      </c>
      <c r="E23" s="31" t="s">
        <v>136</v>
      </c>
      <c r="F23" s="1" t="s">
        <v>203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29.7</v>
      </c>
      <c r="D26" s="37" t="s">
        <v>29</v>
      </c>
      <c r="E26" s="36">
        <f>+H16</f>
        <v>34.4</v>
      </c>
      <c r="F26" s="38">
        <f>+E26</f>
        <v>34.4</v>
      </c>
      <c r="G26" s="38" t="s">
        <v>29</v>
      </c>
      <c r="H26" s="38">
        <f>+C26</f>
        <v>29.7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3.0303030303030303</v>
      </c>
      <c r="D27" s="42"/>
      <c r="E27" s="41">
        <f>+E25/E26</f>
        <v>3.7790697674418605</v>
      </c>
      <c r="F27" s="41">
        <f>+F25/F26</f>
        <v>2.6162790697674421</v>
      </c>
      <c r="G27" s="42"/>
      <c r="H27" s="41">
        <f>+H25/H26</f>
        <v>4.3771043771043772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9</v>
      </c>
      <c r="E28" s="46"/>
      <c r="F28" s="47"/>
      <c r="G28" s="48">
        <v>8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f>+'cartón cajón '!E30</f>
        <v>35.975000000000001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35.975000000000001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35.975000000000001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39.572500000000005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8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60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1060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132.5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1060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1060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1000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4766.6875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500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500</v>
      </c>
      <c r="H52" s="39">
        <f t="shared" ref="H52" si="0">+G52*E52</f>
        <v>500</v>
      </c>
      <c r="I52" s="39">
        <f>+(B72/100)*2</f>
        <v>117.86712500000002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130</v>
      </c>
      <c r="H53" s="39">
        <f t="shared" ref="H53:H59" si="1">+G53*E53</f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130</v>
      </c>
      <c r="H54" s="39">
        <f t="shared" si="1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1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1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1"/>
        <v>0</v>
      </c>
      <c r="J57" s="5" t="s">
        <v>89</v>
      </c>
    </row>
    <row r="58" spans="1:21" x14ac:dyDescent="0.3">
      <c r="A58" s="73" t="s">
        <v>90</v>
      </c>
      <c r="B58" s="78">
        <f>SUM(B50:B57)</f>
        <v>5266.6875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1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1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5.2666874999999997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500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5.893356250000001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5243.3562500000007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650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5.2666874999999997</v>
      </c>
      <c r="I68" s="91">
        <f>+H68*C46</f>
        <v>5582.6887499999993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5.893356250000001</v>
      </c>
      <c r="I69" s="91">
        <f>+H69*C46</f>
        <v>6246.9576250000009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0.62666875000000122</v>
      </c>
      <c r="I70" s="91">
        <f>+H70*C46</f>
        <v>664.26887500000134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5893.3562500000007</v>
      </c>
      <c r="C72" s="96">
        <f>+B72/B48</f>
        <v>5.893356250000001</v>
      </c>
      <c r="D72" s="5" t="s">
        <v>159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4" zoomScale="80" zoomScaleNormal="80" workbookViewId="0">
      <selection activeCell="A53" sqref="A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06 de octubre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194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193</v>
      </c>
      <c r="D15" s="25"/>
      <c r="E15" s="25"/>
      <c r="F15" s="101" t="s">
        <v>129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212</v>
      </c>
      <c r="D16" s="25"/>
      <c r="E16" s="25"/>
      <c r="F16" s="62">
        <v>10.9</v>
      </c>
      <c r="G16" s="102" t="s">
        <v>123</v>
      </c>
      <c r="H16" s="103">
        <v>34.4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/>
      <c r="D18" s="25"/>
      <c r="E18" s="25"/>
      <c r="F18" s="101"/>
      <c r="G18" s="12"/>
      <c r="H18" s="13"/>
      <c r="J18" s="29" t="s">
        <v>21</v>
      </c>
      <c r="K18" s="29" t="s">
        <v>27</v>
      </c>
      <c r="L18" s="1" t="s">
        <v>166</v>
      </c>
      <c r="M18" s="1" t="s">
        <v>167</v>
      </c>
      <c r="N18" s="1" t="s">
        <v>162</v>
      </c>
      <c r="O18" s="1" t="s">
        <v>168</v>
      </c>
      <c r="P18" s="1" t="s">
        <v>169</v>
      </c>
    </row>
    <row r="19" spans="1:18" x14ac:dyDescent="0.3">
      <c r="C19" s="27"/>
      <c r="D19" s="25"/>
      <c r="E19" s="25"/>
      <c r="F19" s="62"/>
      <c r="G19" s="102"/>
      <c r="H19" s="103"/>
      <c r="K19" s="50" t="s">
        <v>170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/>
      <c r="D20" s="25"/>
      <c r="E20" s="25"/>
      <c r="F20" s="101"/>
      <c r="G20" s="104"/>
      <c r="H20" s="13"/>
      <c r="K20" s="50" t="s">
        <v>30</v>
      </c>
    </row>
    <row r="21" spans="1:18" x14ac:dyDescent="0.3">
      <c r="C21" s="25"/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30" t="s">
        <v>195</v>
      </c>
      <c r="D23" s="5" t="s">
        <v>24</v>
      </c>
      <c r="E23" s="31" t="s">
        <v>196</v>
      </c>
      <c r="F23" s="1" t="s">
        <v>213</v>
      </c>
    </row>
    <row r="25" spans="1:18" ht="15" thickBot="1" x14ac:dyDescent="0.35">
      <c r="A25" s="4" t="s">
        <v>28</v>
      </c>
      <c r="C25" s="32">
        <v>100</v>
      </c>
      <c r="D25" s="31" t="s">
        <v>29</v>
      </c>
      <c r="E25" s="33">
        <v>200</v>
      </c>
      <c r="F25" s="34">
        <f>+C25</f>
        <v>100</v>
      </c>
      <c r="G25" s="35" t="s">
        <v>29</v>
      </c>
      <c r="H25" s="35">
        <f>+E25</f>
        <v>200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10.9</v>
      </c>
      <c r="D26" s="37" t="s">
        <v>29</v>
      </c>
      <c r="E26" s="36">
        <f>+H16</f>
        <v>34.4</v>
      </c>
      <c r="F26" s="38">
        <f>+E26</f>
        <v>34.4</v>
      </c>
      <c r="G26" s="38" t="s">
        <v>29</v>
      </c>
      <c r="H26" s="38">
        <f>+C26</f>
        <v>10.9</v>
      </c>
      <c r="I26" s="39"/>
      <c r="J26" s="29"/>
      <c r="M26" s="128" t="s">
        <v>104</v>
      </c>
      <c r="N26" s="129" t="s">
        <v>171</v>
      </c>
      <c r="O26" s="56"/>
    </row>
    <row r="27" spans="1:18" ht="15" thickBot="1" x14ac:dyDescent="0.35">
      <c r="A27" s="3" t="s">
        <v>34</v>
      </c>
      <c r="B27" s="40"/>
      <c r="C27" s="41">
        <f>+C25/C26</f>
        <v>9.1743119266055047</v>
      </c>
      <c r="D27" s="42"/>
      <c r="E27" s="41">
        <f>+E25/E26</f>
        <v>5.8139534883720936</v>
      </c>
      <c r="F27" s="41">
        <f>+F25/F26</f>
        <v>2.9069767441860468</v>
      </c>
      <c r="G27" s="42"/>
      <c r="H27" s="41">
        <f>+H25/H26</f>
        <v>18.348623853211009</v>
      </c>
      <c r="I27" s="39"/>
      <c r="K27" s="1" t="s">
        <v>45</v>
      </c>
      <c r="L27" s="1" t="s">
        <v>172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45</v>
      </c>
      <c r="E28" s="46"/>
      <c r="F28" s="47"/>
      <c r="G28" s="48">
        <v>36</v>
      </c>
      <c r="H28" s="49" t="s">
        <v>37</v>
      </c>
      <c r="K28" s="1" t="s">
        <v>173</v>
      </c>
      <c r="M28" s="131">
        <v>135</v>
      </c>
      <c r="N28" s="132" t="s">
        <v>174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175</v>
      </c>
      <c r="M29" s="131">
        <v>135</v>
      </c>
      <c r="N29" s="133" t="s">
        <v>174</v>
      </c>
      <c r="O29" s="61"/>
      <c r="P29" s="62"/>
      <c r="Q29" s="12"/>
      <c r="R29" s="13"/>
    </row>
    <row r="30" spans="1:18" x14ac:dyDescent="0.3">
      <c r="A30" s="34" t="s">
        <v>39</v>
      </c>
      <c r="B30" s="34"/>
      <c r="D30" s="50" t="s">
        <v>40</v>
      </c>
      <c r="E30" s="51">
        <v>250</v>
      </c>
      <c r="G30" s="1" t="s">
        <v>41</v>
      </c>
      <c r="H30" s="52">
        <v>0</v>
      </c>
      <c r="K30" s="1" t="s">
        <v>48</v>
      </c>
      <c r="M30" s="131">
        <v>200</v>
      </c>
      <c r="N30" s="133" t="s">
        <v>176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50</v>
      </c>
      <c r="L31" s="1" t="s">
        <v>172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250</v>
      </c>
      <c r="I32" s="39"/>
      <c r="K32" s="1" t="s">
        <v>52</v>
      </c>
      <c r="M32" s="131">
        <v>300</v>
      </c>
      <c r="N32" s="133" t="s">
        <v>176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172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250</v>
      </c>
      <c r="F34" s="64">
        <v>0</v>
      </c>
      <c r="G34" s="64">
        <v>0</v>
      </c>
      <c r="H34" s="64">
        <v>0</v>
      </c>
      <c r="K34" s="1" t="s">
        <v>60</v>
      </c>
      <c r="L34" s="1" t="s">
        <v>172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275</v>
      </c>
      <c r="F35" s="64">
        <v>0</v>
      </c>
      <c r="G35" s="64">
        <v>0</v>
      </c>
      <c r="H35" s="64">
        <v>0</v>
      </c>
      <c r="K35" s="1" t="s">
        <v>62</v>
      </c>
      <c r="L35" s="1" t="s">
        <v>172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172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172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40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172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172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100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174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1100</v>
      </c>
      <c r="F41" s="53" t="s">
        <v>67</v>
      </c>
      <c r="G41" s="32">
        <v>1</v>
      </c>
      <c r="H41" s="3"/>
      <c r="K41" s="1" t="s">
        <v>177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27.5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/>
      <c r="C43" s="30"/>
      <c r="F43" s="50" t="s">
        <v>72</v>
      </c>
      <c r="G43" s="32">
        <f>+C40/1000</f>
        <v>1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1100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1100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178</v>
      </c>
    </row>
    <row r="48" spans="1:18" x14ac:dyDescent="0.3">
      <c r="A48" s="4" t="s">
        <v>118</v>
      </c>
      <c r="B48" s="30">
        <f>+C48</f>
        <v>1000</v>
      </c>
      <c r="C48" s="30">
        <f>+'cartón tapa'!B48*1</f>
        <v>1000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6875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770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500</v>
      </c>
      <c r="H52" s="39">
        <f t="shared" ref="H52:H59" si="0">+G52*E52</f>
        <v>500</v>
      </c>
      <c r="I52" s="39">
        <f>+(B72/100)*2</f>
        <v>192.07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800</v>
      </c>
      <c r="C53" s="3"/>
      <c r="D53" s="30">
        <v>1</v>
      </c>
      <c r="E53" s="30">
        <v>1</v>
      </c>
      <c r="F53" s="30" t="s">
        <v>120</v>
      </c>
      <c r="G53" s="39">
        <f>+M28</f>
        <v>135</v>
      </c>
      <c r="H53" s="39">
        <f t="shared" ref="H53:H54" si="1">+(D53*E53)*G53</f>
        <v>135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186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f>+M29</f>
        <v>135</v>
      </c>
      <c r="H54" s="39">
        <f t="shared" si="1"/>
        <v>135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8445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+B58/'cartón tapa'!B48</f>
        <v>8.4450000000000003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770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/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7562.5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1001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1040</v>
      </c>
      <c r="C68" s="87"/>
      <c r="G68" s="90" t="s">
        <v>111</v>
      </c>
      <c r="H68" s="41">
        <f>+B60</f>
        <v>8.4450000000000003</v>
      </c>
      <c r="I68" s="91">
        <f>+H68*C46</f>
        <v>9289.5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Colocado</v>
      </c>
      <c r="B69" s="75">
        <f>+B54*H62</f>
        <v>0</v>
      </c>
      <c r="C69" s="87"/>
      <c r="G69" s="90" t="s">
        <v>113</v>
      </c>
      <c r="H69" s="41">
        <f>+C72</f>
        <v>9.6035000000000004</v>
      </c>
      <c r="I69" s="91">
        <f>+H69*C46</f>
        <v>10563.85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1.1585000000000001</v>
      </c>
      <c r="I70" s="91">
        <f>+H70*C46</f>
        <v>1274.3500000000001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9603.5</v>
      </c>
      <c r="C72" s="96">
        <f>+B72/'cartón tapa'!B48</f>
        <v>9.6035000000000004</v>
      </c>
      <c r="D72" s="5" t="s">
        <v>206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zoomScale="80" zoomScaleNormal="80" workbookViewId="0">
      <selection activeCell="C16" sqref="C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06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214</v>
      </c>
      <c r="D16" s="25"/>
      <c r="E16" s="25"/>
      <c r="F16" s="62">
        <v>33.5</v>
      </c>
      <c r="G16" s="102" t="s">
        <v>123</v>
      </c>
      <c r="H16" s="103">
        <v>53.2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215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204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198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141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4437.7249999999995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199</v>
      </c>
      <c r="D23" s="5" t="s">
        <v>24</v>
      </c>
      <c r="E23" s="31" t="s">
        <v>200</v>
      </c>
      <c r="F23" s="1" t="s">
        <v>201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57</v>
      </c>
      <c r="D25" s="31" t="s">
        <v>29</v>
      </c>
      <c r="E25" s="33">
        <v>87</v>
      </c>
      <c r="F25" s="34">
        <f>+C25</f>
        <v>57</v>
      </c>
      <c r="G25" s="35" t="s">
        <v>29</v>
      </c>
      <c r="H25" s="35">
        <f>+E25</f>
        <v>87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33.5</v>
      </c>
      <c r="D26" s="37" t="s">
        <v>29</v>
      </c>
      <c r="E26" s="36">
        <f>+H16</f>
        <v>53.2</v>
      </c>
      <c r="F26" s="38">
        <f>+E26</f>
        <v>53.2</v>
      </c>
      <c r="G26" s="38" t="s">
        <v>29</v>
      </c>
      <c r="H26" s="38">
        <f>+C26</f>
        <v>33.5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1.7014925373134329</v>
      </c>
      <c r="D27" s="42"/>
      <c r="E27" s="41">
        <f>+E25/E26</f>
        <v>1.6353383458646615</v>
      </c>
      <c r="F27" s="41">
        <f>+F25/F26</f>
        <v>1.0714285714285714</v>
      </c>
      <c r="G27" s="42"/>
      <c r="H27" s="41">
        <f>+H25/H26</f>
        <v>2.5970149253731343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156</v>
      </c>
      <c r="D30" s="50" t="s">
        <v>40</v>
      </c>
      <c r="E30" s="51">
        <v>2.7629999999999999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1.4643900000000001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1.2986099999999998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1.2986099999999998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1.4284709999999998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300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1300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1300</v>
      </c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1300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1300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1000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145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33.5</v>
      </c>
      <c r="L49" s="102">
        <f>+H16</f>
        <v>53.2</v>
      </c>
      <c r="M49" s="12" t="s">
        <v>144</v>
      </c>
      <c r="N49" s="102" t="s">
        <v>146</v>
      </c>
      <c r="O49" s="12" t="s">
        <v>147</v>
      </c>
      <c r="P49" s="12" t="s">
        <v>148</v>
      </c>
      <c r="Q49" s="12"/>
      <c r="R49" s="13"/>
    </row>
    <row r="50" spans="1:21" x14ac:dyDescent="0.3">
      <c r="A50" s="74" t="s">
        <v>86</v>
      </c>
      <c r="B50" s="75">
        <f>+E34*C42</f>
        <v>844.09649999999988</v>
      </c>
      <c r="C50" s="3">
        <f>+B50/2</f>
        <v>422.04824999999994</v>
      </c>
      <c r="D50" s="30">
        <v>1</v>
      </c>
      <c r="E50" s="30">
        <v>1</v>
      </c>
      <c r="F50" s="30" t="s">
        <v>119</v>
      </c>
      <c r="G50" s="39">
        <v>140</v>
      </c>
      <c r="H50" s="39">
        <f>+(D50*E50)*G50</f>
        <v>140</v>
      </c>
      <c r="J50" s="11"/>
      <c r="K50" s="102">
        <f>0.34*0.515*C41</f>
        <v>227.63</v>
      </c>
      <c r="L50" s="111">
        <f>3.9*1</f>
        <v>3.9</v>
      </c>
      <c r="M50" s="111">
        <f>+K50*L50</f>
        <v>887.75699999999995</v>
      </c>
      <c r="N50" s="111">
        <v>0</v>
      </c>
      <c r="O50" s="111">
        <f>+M50+N50</f>
        <v>887.75699999999995</v>
      </c>
      <c r="P50" s="104" t="s">
        <v>149</v>
      </c>
      <c r="Q50" s="12"/>
      <c r="R50" s="13"/>
    </row>
    <row r="51" spans="1:21" x14ac:dyDescent="0.3">
      <c r="A51" s="74" t="s">
        <v>21</v>
      </c>
      <c r="B51" s="75">
        <f>+H61</f>
        <v>4437.7249999999995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300</v>
      </c>
      <c r="H52" s="39">
        <f t="shared" ref="H52:H59" si="0">+G52*E52</f>
        <v>300</v>
      </c>
      <c r="I52" s="39">
        <f>+(B73/100)*2</f>
        <v>133.950973</v>
      </c>
      <c r="J52" s="11"/>
      <c r="K52" s="102">
        <f>+K49</f>
        <v>33.5</v>
      </c>
      <c r="L52" s="102">
        <f>+L49</f>
        <v>53.2</v>
      </c>
      <c r="M52" s="12" t="s">
        <v>144</v>
      </c>
      <c r="N52" s="102" t="s">
        <v>146</v>
      </c>
      <c r="O52" s="12" t="s">
        <v>147</v>
      </c>
      <c r="P52" s="12" t="s">
        <v>150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157</v>
      </c>
      <c r="G53" s="39">
        <f>+O53</f>
        <v>3109.9679999999994</v>
      </c>
      <c r="H53" s="39">
        <f t="shared" si="0"/>
        <v>3109.9679999999994</v>
      </c>
      <c r="I53" s="76"/>
      <c r="J53" s="11"/>
      <c r="K53" s="102">
        <f>0.48*0.565*C41</f>
        <v>352.55999999999995</v>
      </c>
      <c r="L53" s="111">
        <f>3.9*2</f>
        <v>7.8</v>
      </c>
      <c r="M53" s="111">
        <f>+K53*L53</f>
        <v>2749.9679999999994</v>
      </c>
      <c r="N53" s="111">
        <v>360</v>
      </c>
      <c r="O53" s="111">
        <f>+M53+N53</f>
        <v>3109.9679999999994</v>
      </c>
      <c r="P53" s="104" t="s">
        <v>151</v>
      </c>
      <c r="Q53" s="12"/>
      <c r="R53" s="13"/>
    </row>
    <row r="54" spans="1:21" x14ac:dyDescent="0.3">
      <c r="A54" s="77" t="s">
        <v>137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v>0</v>
      </c>
      <c r="D55" s="30">
        <v>0</v>
      </c>
      <c r="E55" s="30">
        <v>0</v>
      </c>
      <c r="F55" s="30" t="s">
        <v>138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139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5281.8214999999991</v>
      </c>
      <c r="C58" s="3"/>
      <c r="D58" s="30">
        <v>1</v>
      </c>
      <c r="E58" s="30">
        <v>1</v>
      </c>
      <c r="F58" s="3" t="s">
        <v>91</v>
      </c>
      <c r="G58" s="39">
        <f>+O50</f>
        <v>887.75699999999995</v>
      </c>
      <c r="H58" s="39">
        <f t="shared" si="0"/>
        <v>887.75699999999995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5.2818214999999995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4437.7249999999995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6.6975486499999999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928.50614999999993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5769.0424999999996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5.2818214999999995</v>
      </c>
      <c r="I69" s="91">
        <f>+H69*B48</f>
        <v>5281.8214999999991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6.6975486499999999</v>
      </c>
      <c r="I70" s="91">
        <f>+H70*B48</f>
        <v>6697.5486499999997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1.4157271500000004</v>
      </c>
      <c r="I71" s="115">
        <f>+H71*B48</f>
        <v>1415.7271500000004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6697.5486499999997</v>
      </c>
      <c r="C73" s="96">
        <f>+B73/B48</f>
        <v>6.6975486499999999</v>
      </c>
      <c r="D73" s="5" t="s">
        <v>160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10" zoomScale="80" zoomScaleNormal="80" workbookViewId="0">
      <selection activeCell="H31" sqref="H3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06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214</v>
      </c>
      <c r="D16" s="25"/>
      <c r="E16" s="25"/>
      <c r="F16" s="62">
        <f>2+F20+2</f>
        <v>38.700000000000003</v>
      </c>
      <c r="G16" s="102" t="s">
        <v>123</v>
      </c>
      <c r="H16" s="103">
        <f>2+H20+2</f>
        <v>62.2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204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198</v>
      </c>
      <c r="D20" s="25"/>
      <c r="E20" s="25"/>
      <c r="F20" s="62">
        <v>34.700000000000003</v>
      </c>
      <c r="G20" s="102" t="s">
        <v>123</v>
      </c>
      <c r="H20" s="103">
        <v>58.2</v>
      </c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141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2699.2655999999997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41" t="s">
        <v>207</v>
      </c>
      <c r="D23" s="142" t="s">
        <v>24</v>
      </c>
      <c r="E23" s="143" t="s">
        <v>202</v>
      </c>
      <c r="F23" s="144" t="s">
        <v>208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51</v>
      </c>
      <c r="D25" s="31" t="s">
        <v>29</v>
      </c>
      <c r="E25" s="33">
        <v>66</v>
      </c>
      <c r="F25" s="34">
        <f>+C25</f>
        <v>51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38.700000000000003</v>
      </c>
      <c r="D26" s="37" t="s">
        <v>29</v>
      </c>
      <c r="E26" s="36">
        <f>+H16</f>
        <v>62.2</v>
      </c>
      <c r="F26" s="38">
        <f>+E26</f>
        <v>62.2</v>
      </c>
      <c r="G26" s="38" t="s">
        <v>29</v>
      </c>
      <c r="H26" s="38">
        <f>+C26</f>
        <v>38.700000000000003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1.317829457364341</v>
      </c>
      <c r="D27" s="42"/>
      <c r="E27" s="41">
        <f>+E25/E26</f>
        <v>1.0610932475884245</v>
      </c>
      <c r="F27" s="41">
        <f>+F25/F26</f>
        <v>0.81993569131832789</v>
      </c>
      <c r="G27" s="42"/>
      <c r="H27" s="41">
        <f>+H25/H26</f>
        <v>1.7054263565891472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0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216</v>
      </c>
      <c r="D30" s="50" t="s">
        <v>40</v>
      </c>
      <c r="E30" s="145">
        <v>2.7629999999999999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1.4643900000000001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1.2986099999999998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1.2986099999999998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1.4934014999999996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1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400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1400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1400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1400</v>
      </c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1400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1400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1000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145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85</v>
      </c>
      <c r="G49" s="39">
        <v>295</v>
      </c>
      <c r="H49" s="39">
        <f>+(D49*E49)*G49</f>
        <v>295</v>
      </c>
      <c r="J49" s="11"/>
      <c r="K49" s="102">
        <f>+F16</f>
        <v>38.700000000000003</v>
      </c>
      <c r="L49" s="102">
        <f>+H16</f>
        <v>62.2</v>
      </c>
      <c r="M49" s="12" t="s">
        <v>144</v>
      </c>
      <c r="N49" s="102" t="s">
        <v>146</v>
      </c>
      <c r="O49" s="12" t="s">
        <v>147</v>
      </c>
      <c r="P49" s="12" t="s">
        <v>148</v>
      </c>
      <c r="Q49" s="12"/>
      <c r="R49" s="13"/>
    </row>
    <row r="50" spans="1:21" x14ac:dyDescent="0.3">
      <c r="A50" s="74" t="s">
        <v>86</v>
      </c>
      <c r="B50" s="75">
        <f>+E34*C42</f>
        <v>1818.0539999999999</v>
      </c>
      <c r="C50" s="3"/>
      <c r="D50" s="30">
        <v>1</v>
      </c>
      <c r="E50" s="30">
        <v>1</v>
      </c>
      <c r="F50" s="30" t="s">
        <v>119</v>
      </c>
      <c r="G50" s="39">
        <v>140</v>
      </c>
      <c r="H50" s="39">
        <f>+(D50*E50)*G50</f>
        <v>140</v>
      </c>
      <c r="J50" s="11"/>
      <c r="K50" s="102">
        <f>0.4256*0.6*C41</f>
        <v>357.50399999999996</v>
      </c>
      <c r="L50" s="111">
        <f>3.9*1</f>
        <v>3.9</v>
      </c>
      <c r="M50" s="111">
        <f>+K50*L50</f>
        <v>1394.2655999999997</v>
      </c>
      <c r="N50" s="111">
        <v>0</v>
      </c>
      <c r="O50" s="111">
        <f>+M50+N50</f>
        <v>1394.2655999999997</v>
      </c>
      <c r="P50" s="104" t="s">
        <v>149</v>
      </c>
      <c r="Q50" s="12"/>
      <c r="R50" s="13"/>
    </row>
    <row r="51" spans="1:21" x14ac:dyDescent="0.3">
      <c r="A51" s="74" t="s">
        <v>21</v>
      </c>
      <c r="B51" s="75">
        <f>+H61</f>
        <v>2699.2655999999997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600</v>
      </c>
      <c r="H52" s="39">
        <f t="shared" ref="H52:H59" si="0">+G52*E52</f>
        <v>600</v>
      </c>
      <c r="I52" s="39">
        <f>+(B73/100)*2</f>
        <v>552.69614760000002</v>
      </c>
      <c r="J52" s="11"/>
      <c r="K52" s="102">
        <f>+K49</f>
        <v>38.700000000000003</v>
      </c>
      <c r="L52" s="102">
        <f>+L49</f>
        <v>62.2</v>
      </c>
      <c r="M52" s="12" t="s">
        <v>144</v>
      </c>
      <c r="N52" s="102" t="s">
        <v>146</v>
      </c>
      <c r="O52" s="12" t="s">
        <v>147</v>
      </c>
      <c r="P52" s="12" t="s">
        <v>150</v>
      </c>
      <c r="Q52" s="12"/>
      <c r="R52" s="13"/>
    </row>
    <row r="53" spans="1:21" ht="16.5" x14ac:dyDescent="0.3">
      <c r="A53" s="74" t="s">
        <v>45</v>
      </c>
      <c r="B53" s="75">
        <v>1200</v>
      </c>
      <c r="C53" s="3"/>
      <c r="D53" s="30">
        <v>0</v>
      </c>
      <c r="E53" s="30">
        <v>0</v>
      </c>
      <c r="F53" s="30" t="s">
        <v>157</v>
      </c>
      <c r="G53" s="39">
        <f>+O53</f>
        <v>1850.5800000000002</v>
      </c>
      <c r="H53" s="39">
        <f t="shared" si="0"/>
        <v>0</v>
      </c>
      <c r="I53" s="76"/>
      <c r="J53" s="11"/>
      <c r="K53" s="102">
        <f>0.28*0.325*C41</f>
        <v>127.40000000000002</v>
      </c>
      <c r="L53" s="111">
        <f>3.9*3</f>
        <v>11.7</v>
      </c>
      <c r="M53" s="111">
        <f>+K53*L53</f>
        <v>1490.5800000000002</v>
      </c>
      <c r="N53" s="111">
        <v>360</v>
      </c>
      <c r="O53" s="111">
        <f>+M53+N53</f>
        <v>1850.5800000000002</v>
      </c>
      <c r="P53" s="104" t="s">
        <v>151</v>
      </c>
      <c r="Q53" s="12"/>
      <c r="R53" s="13"/>
    </row>
    <row r="54" spans="1:21" x14ac:dyDescent="0.3">
      <c r="A54" s="77" t="s">
        <v>137</v>
      </c>
      <c r="B54" s="75">
        <v>0</v>
      </c>
      <c r="C54" s="3"/>
      <c r="D54" s="30">
        <v>1</v>
      </c>
      <c r="E54" s="30">
        <v>1</v>
      </c>
      <c r="F54" s="30" t="s">
        <v>173</v>
      </c>
      <c r="G54" s="39">
        <v>135</v>
      </c>
      <c r="H54" s="39">
        <f t="shared" si="0"/>
        <v>135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v>0</v>
      </c>
      <c r="D55" s="30">
        <v>1</v>
      </c>
      <c r="E55" s="30">
        <v>1</v>
      </c>
      <c r="F55" s="30" t="s">
        <v>121</v>
      </c>
      <c r="G55" s="39">
        <v>135</v>
      </c>
      <c r="H55" s="39">
        <f>+G55*E55</f>
        <v>135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139</v>
      </c>
      <c r="B56" s="75">
        <f>+((15*B48)*1.05)</f>
        <v>15750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21467.319599999999</v>
      </c>
      <c r="C58" s="3"/>
      <c r="D58" s="30">
        <v>1</v>
      </c>
      <c r="E58" s="30">
        <v>1</v>
      </c>
      <c r="F58" s="3" t="s">
        <v>91</v>
      </c>
      <c r="G58" s="39">
        <f>+O50</f>
        <v>1394.2655999999997</v>
      </c>
      <c r="H58" s="39">
        <f t="shared" si="0"/>
        <v>1394.2655999999997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21.4673196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2699.2655999999997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27.634807379999998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2090.7620999999995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3509.0452799999998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1560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21.4673196</v>
      </c>
      <c r="I69" s="91">
        <f>+H69*B48</f>
        <v>21467.319599999999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27.634807379999998</v>
      </c>
      <c r="I70" s="91">
        <f>+H70*B48</f>
        <v>27634.807379999998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20475</v>
      </c>
      <c r="C71" s="93"/>
      <c r="G71" s="95" t="s">
        <v>114</v>
      </c>
      <c r="H71" s="96">
        <f>+H70-H69</f>
        <v>6.1674877799999983</v>
      </c>
      <c r="I71" s="115">
        <f>+H71*B48</f>
        <v>6167.4877799999986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27634.807379999998</v>
      </c>
      <c r="C73" s="96">
        <f>+B73/B48</f>
        <v>27.634807379999998</v>
      </c>
      <c r="D73" s="5" t="s">
        <v>164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zoomScale="80" zoomScaleNormal="80" workbookViewId="0">
      <selection activeCell="B30" sqref="B30:H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06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214</v>
      </c>
      <c r="D16" s="25"/>
      <c r="E16" s="25"/>
      <c r="F16" s="62">
        <f>1+F20+1</f>
        <v>31.7</v>
      </c>
      <c r="G16" s="102" t="s">
        <v>123</v>
      </c>
      <c r="H16" s="103">
        <f>1+H20+1</f>
        <v>36.4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204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198</v>
      </c>
      <c r="D20" s="25"/>
      <c r="E20" s="25"/>
      <c r="F20" s="62">
        <v>29.7</v>
      </c>
      <c r="G20" s="102" t="s">
        <v>123</v>
      </c>
      <c r="H20" s="103">
        <v>34.4</v>
      </c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141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921.49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199</v>
      </c>
      <c r="D23" s="5" t="s">
        <v>24</v>
      </c>
      <c r="E23" s="31" t="s">
        <v>200</v>
      </c>
      <c r="F23" s="1" t="s">
        <v>201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57</v>
      </c>
      <c r="D25" s="31" t="s">
        <v>29</v>
      </c>
      <c r="E25" s="33">
        <v>87</v>
      </c>
      <c r="F25" s="34">
        <f>+C25</f>
        <v>57</v>
      </c>
      <c r="G25" s="35" t="s">
        <v>29</v>
      </c>
      <c r="H25" s="35">
        <f>+E25</f>
        <v>87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31.7</v>
      </c>
      <c r="D26" s="37" t="s">
        <v>29</v>
      </c>
      <c r="E26" s="36">
        <f>+H16</f>
        <v>36.4</v>
      </c>
      <c r="F26" s="38">
        <f>+E26</f>
        <v>36.4</v>
      </c>
      <c r="G26" s="38" t="s">
        <v>29</v>
      </c>
      <c r="H26" s="38">
        <f>+C26</f>
        <v>31.7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1.7981072555205049</v>
      </c>
      <c r="D27" s="42"/>
      <c r="E27" s="41">
        <f>+E25/E26</f>
        <v>2.3901098901098901</v>
      </c>
      <c r="F27" s="41">
        <f>+F25/F26</f>
        <v>1.5659340659340659</v>
      </c>
      <c r="G27" s="42"/>
      <c r="H27" s="41">
        <f>+H25/H26</f>
        <v>2.7444794952681391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216</v>
      </c>
      <c r="D30" s="50" t="s">
        <v>40</v>
      </c>
      <c r="E30" s="51">
        <v>2.7629999999999999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1.4643900000000001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1.2986099999999998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1.2986099999999998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1.4934014999999996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200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1200</v>
      </c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1000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145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31.7</v>
      </c>
      <c r="L49" s="102">
        <f>+H16</f>
        <v>36.4</v>
      </c>
      <c r="M49" s="12" t="s">
        <v>144</v>
      </c>
      <c r="N49" s="102" t="s">
        <v>146</v>
      </c>
      <c r="O49" s="12" t="s">
        <v>147</v>
      </c>
      <c r="P49" s="12" t="s">
        <v>148</v>
      </c>
      <c r="Q49" s="12"/>
      <c r="R49" s="13"/>
    </row>
    <row r="50" spans="1:21" x14ac:dyDescent="0.3">
      <c r="A50" s="74" t="s">
        <v>86</v>
      </c>
      <c r="B50" s="75">
        <f>+E34*C42</f>
        <v>779.16599999999994</v>
      </c>
      <c r="C50" s="3"/>
      <c r="D50" s="30">
        <v>1</v>
      </c>
      <c r="E50" s="30">
        <v>1</v>
      </c>
      <c r="F50" s="30" t="s">
        <v>119</v>
      </c>
      <c r="G50" s="39">
        <v>140</v>
      </c>
      <c r="H50" s="39">
        <f>+(D50*E50)*G50</f>
        <v>140</v>
      </c>
      <c r="J50" s="11"/>
      <c r="K50" s="102">
        <f>0.355*0.35*C41</f>
        <v>149.1</v>
      </c>
      <c r="L50" s="111">
        <f>3.9*1</f>
        <v>3.9</v>
      </c>
      <c r="M50" s="111">
        <f>+K50*L50</f>
        <v>581.49</v>
      </c>
      <c r="N50" s="111">
        <v>0</v>
      </c>
      <c r="O50" s="111">
        <f>+M50+N50</f>
        <v>581.49</v>
      </c>
      <c r="P50" s="104" t="s">
        <v>149</v>
      </c>
      <c r="Q50" s="12"/>
      <c r="R50" s="13"/>
    </row>
    <row r="51" spans="1:21" x14ac:dyDescent="0.3">
      <c r="A51" s="74" t="s">
        <v>21</v>
      </c>
      <c r="B51" s="75">
        <f>+H61</f>
        <v>921.49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200</v>
      </c>
      <c r="H52" s="39">
        <f t="shared" ref="H52:H59" si="0">+G52*E52</f>
        <v>200</v>
      </c>
      <c r="I52" s="39">
        <f>+(B73/100)*2</f>
        <v>41.879557999999996</v>
      </c>
      <c r="J52" s="11"/>
      <c r="K52" s="102">
        <f>+K49</f>
        <v>31.7</v>
      </c>
      <c r="L52" s="102">
        <f>+L49</f>
        <v>36.4</v>
      </c>
      <c r="M52" s="12" t="s">
        <v>144</v>
      </c>
      <c r="N52" s="102" t="s">
        <v>146</v>
      </c>
      <c r="O52" s="12" t="s">
        <v>147</v>
      </c>
      <c r="P52" s="12" t="s">
        <v>150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157</v>
      </c>
      <c r="G53" s="39">
        <f>+O53</f>
        <v>1637.64</v>
      </c>
      <c r="H53" s="39">
        <f t="shared" si="0"/>
        <v>0</v>
      </c>
      <c r="I53" s="76"/>
      <c r="J53" s="11"/>
      <c r="K53" s="102">
        <f>0.28*0.325*C41</f>
        <v>109.20000000000002</v>
      </c>
      <c r="L53" s="111">
        <f>3.9*3</f>
        <v>11.7</v>
      </c>
      <c r="M53" s="111">
        <f>+K53*L53</f>
        <v>1277.6400000000001</v>
      </c>
      <c r="N53" s="111">
        <v>360</v>
      </c>
      <c r="O53" s="111">
        <f>+M53+N53</f>
        <v>1637.64</v>
      </c>
      <c r="P53" s="104" t="s">
        <v>151</v>
      </c>
      <c r="Q53" s="12"/>
      <c r="R53" s="13"/>
    </row>
    <row r="54" spans="1:21" x14ac:dyDescent="0.3">
      <c r="A54" s="77" t="s">
        <v>137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v>0</v>
      </c>
      <c r="D55" s="30">
        <v>0</v>
      </c>
      <c r="E55" s="30">
        <v>0</v>
      </c>
      <c r="F55" s="30" t="s">
        <v>138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139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1700.6559999999999</v>
      </c>
      <c r="C58" s="3"/>
      <c r="D58" s="30">
        <v>1</v>
      </c>
      <c r="E58" s="30">
        <v>1</v>
      </c>
      <c r="F58" s="3" t="s">
        <v>91</v>
      </c>
      <c r="G58" s="39">
        <f>+O50</f>
        <v>581.49</v>
      </c>
      <c r="H58" s="39">
        <f t="shared" si="0"/>
        <v>581.49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1.7006559999999999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921.49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2.0939779000000001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896.04089999999974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1197.9370000000001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1.7006559999999999</v>
      </c>
      <c r="I69" s="91">
        <f>+H69*B48</f>
        <v>1700.6559999999999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2.0939779000000001</v>
      </c>
      <c r="I70" s="91">
        <f>+H70*B48</f>
        <v>2093.9778999999999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0</v>
      </c>
      <c r="C71" s="93"/>
      <c r="G71" s="95" t="s">
        <v>114</v>
      </c>
      <c r="H71" s="96">
        <f>+H70-H69</f>
        <v>0.39332190000000011</v>
      </c>
      <c r="I71" s="115">
        <f>+H71*B48</f>
        <v>393.32190000000014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2093.9778999999999</v>
      </c>
      <c r="C73" s="96">
        <f>+B73/B48</f>
        <v>2.0939779000000001</v>
      </c>
      <c r="D73" s="5" t="s">
        <v>161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topLeftCell="A57" zoomScale="80" zoomScaleNormal="80" workbookViewId="0">
      <selection activeCell="A63" sqref="A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06 de octubre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194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214</v>
      </c>
      <c r="D16" s="25"/>
      <c r="E16" s="25"/>
      <c r="F16" s="62">
        <f>2+F20+2</f>
        <v>38.700000000000003</v>
      </c>
      <c r="G16" s="102" t="s">
        <v>123</v>
      </c>
      <c r="H16" s="103">
        <f>2+H20+2</f>
        <v>42.9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 t="s">
        <v>155</v>
      </c>
      <c r="D18" s="25"/>
      <c r="E18" s="25"/>
      <c r="F18" s="11"/>
      <c r="G18" s="12"/>
      <c r="H18" s="13"/>
      <c r="J18" s="29" t="s">
        <v>21</v>
      </c>
      <c r="K18" s="29" t="s">
        <v>27</v>
      </c>
      <c r="L18" s="1" t="s">
        <v>166</v>
      </c>
      <c r="M18" s="1" t="s">
        <v>167</v>
      </c>
      <c r="N18" s="1" t="s">
        <v>162</v>
      </c>
      <c r="O18" s="1" t="s">
        <v>168</v>
      </c>
      <c r="P18" s="1" t="s">
        <v>169</v>
      </c>
    </row>
    <row r="19" spans="1:18" x14ac:dyDescent="0.3">
      <c r="C19" s="24" t="s">
        <v>204</v>
      </c>
      <c r="D19" s="25"/>
      <c r="E19" s="25"/>
      <c r="F19" s="11"/>
      <c r="G19" s="12"/>
      <c r="H19" s="13"/>
      <c r="K19" s="50" t="s">
        <v>170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 t="s">
        <v>198</v>
      </c>
      <c r="D20" s="25"/>
      <c r="E20" s="25"/>
      <c r="F20" s="62">
        <v>34.700000000000003</v>
      </c>
      <c r="G20" s="102" t="s">
        <v>123</v>
      </c>
      <c r="H20" s="103">
        <v>38.9</v>
      </c>
      <c r="K20" s="50" t="s">
        <v>30</v>
      </c>
    </row>
    <row r="21" spans="1:18" x14ac:dyDescent="0.3">
      <c r="C21" s="25" t="s">
        <v>141</v>
      </c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113" t="s">
        <v>199</v>
      </c>
      <c r="D23" s="5" t="s">
        <v>24</v>
      </c>
      <c r="E23" s="31" t="s">
        <v>200</v>
      </c>
      <c r="F23" s="1" t="s">
        <v>201</v>
      </c>
    </row>
    <row r="25" spans="1:18" ht="15" thickBot="1" x14ac:dyDescent="0.35">
      <c r="A25" s="4" t="s">
        <v>28</v>
      </c>
      <c r="C25" s="32">
        <v>57</v>
      </c>
      <c r="D25" s="31" t="s">
        <v>29</v>
      </c>
      <c r="E25" s="33">
        <v>87</v>
      </c>
      <c r="F25" s="34">
        <f>+C25</f>
        <v>57</v>
      </c>
      <c r="G25" s="35" t="s">
        <v>29</v>
      </c>
      <c r="H25" s="35">
        <f>+E25</f>
        <v>87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38.700000000000003</v>
      </c>
      <c r="D26" s="37" t="s">
        <v>29</v>
      </c>
      <c r="E26" s="36">
        <f>+H16</f>
        <v>42.9</v>
      </c>
      <c r="F26" s="38">
        <f>+E26</f>
        <v>42.9</v>
      </c>
      <c r="G26" s="38" t="s">
        <v>29</v>
      </c>
      <c r="H26" s="38">
        <f>+C26</f>
        <v>38.700000000000003</v>
      </c>
      <c r="I26" s="39"/>
      <c r="J26" s="29"/>
      <c r="M26" s="128" t="s">
        <v>104</v>
      </c>
      <c r="N26" s="129" t="s">
        <v>171</v>
      </c>
      <c r="O26" s="56"/>
    </row>
    <row r="27" spans="1:18" ht="15" thickBot="1" x14ac:dyDescent="0.35">
      <c r="A27" s="3" t="s">
        <v>34</v>
      </c>
      <c r="B27" s="40"/>
      <c r="C27" s="41">
        <f>+C25/C26</f>
        <v>1.4728682170542635</v>
      </c>
      <c r="D27" s="42"/>
      <c r="E27" s="41">
        <f>+E25/E26</f>
        <v>2.0279720279720279</v>
      </c>
      <c r="F27" s="41">
        <f>+F25/F26</f>
        <v>1.3286713286713288</v>
      </c>
      <c r="G27" s="42"/>
      <c r="H27" s="41">
        <f>+H25/H26</f>
        <v>2.248062015503876</v>
      </c>
      <c r="I27" s="39"/>
      <c r="K27" s="1" t="s">
        <v>45</v>
      </c>
      <c r="L27" s="1" t="s">
        <v>172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2</v>
      </c>
      <c r="H28" s="49" t="s">
        <v>37</v>
      </c>
      <c r="K28" s="1" t="s">
        <v>173</v>
      </c>
      <c r="M28" s="131">
        <v>135</v>
      </c>
      <c r="N28" s="132" t="s">
        <v>174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175</v>
      </c>
      <c r="M29" s="131">
        <v>135</v>
      </c>
      <c r="N29" s="133" t="s">
        <v>174</v>
      </c>
      <c r="O29" s="61"/>
      <c r="P29" s="62"/>
      <c r="Q29" s="12"/>
      <c r="R29" s="13"/>
    </row>
    <row r="30" spans="1:18" x14ac:dyDescent="0.3">
      <c r="A30" s="34" t="s">
        <v>39</v>
      </c>
      <c r="B30" s="34" t="s">
        <v>216</v>
      </c>
      <c r="D30" s="50" t="s">
        <v>40</v>
      </c>
      <c r="E30" s="51">
        <v>2.7629999999999999</v>
      </c>
      <c r="G30" s="1" t="s">
        <v>41</v>
      </c>
      <c r="H30" s="52">
        <v>0.53</v>
      </c>
      <c r="K30" s="1" t="s">
        <v>48</v>
      </c>
      <c r="M30" s="131">
        <v>200</v>
      </c>
      <c r="N30" s="133" t="s">
        <v>176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1.4643900000000001</v>
      </c>
      <c r="H31" s="52"/>
      <c r="I31" s="39"/>
      <c r="K31" s="1" t="s">
        <v>50</v>
      </c>
      <c r="L31" s="1" t="s">
        <v>172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1.2986099999999998</v>
      </c>
      <c r="I32" s="39"/>
      <c r="K32" s="1" t="s">
        <v>52</v>
      </c>
      <c r="M32" s="131">
        <v>300</v>
      </c>
      <c r="N32" s="133" t="s">
        <v>176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172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1.2986099999999998</v>
      </c>
      <c r="F34" s="64">
        <v>0</v>
      </c>
      <c r="G34" s="64">
        <v>0</v>
      </c>
      <c r="H34" s="64">
        <v>0</v>
      </c>
      <c r="K34" s="1" t="s">
        <v>60</v>
      </c>
      <c r="L34" s="1" t="s">
        <v>172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1.4934014999999996</v>
      </c>
      <c r="F35" s="64">
        <v>0</v>
      </c>
      <c r="G35" s="64">
        <v>0</v>
      </c>
      <c r="H35" s="64">
        <v>0</v>
      </c>
      <c r="K35" s="1" t="s">
        <v>62</v>
      </c>
      <c r="L35" s="1" t="s">
        <v>172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172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172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172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172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500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174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1500</v>
      </c>
      <c r="F41" s="53" t="s">
        <v>67</v>
      </c>
      <c r="G41" s="32">
        <v>2</v>
      </c>
      <c r="H41" s="3"/>
      <c r="K41" s="1" t="s">
        <v>177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750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 t="s">
        <v>133</v>
      </c>
      <c r="C43" s="30">
        <f>+(C42*C38)*F17</f>
        <v>1500</v>
      </c>
      <c r="F43" s="50" t="s">
        <v>72</v>
      </c>
      <c r="G43" s="32">
        <f>+C40/1000</f>
        <v>1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1500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1500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178</v>
      </c>
    </row>
    <row r="48" spans="1:18" x14ac:dyDescent="0.3">
      <c r="A48" s="4" t="s">
        <v>118</v>
      </c>
      <c r="B48" s="30">
        <f>+'cartón cajón '!B48</f>
        <v>1000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145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3</v>
      </c>
      <c r="E49" s="30">
        <v>1</v>
      </c>
      <c r="F49" s="30" t="s">
        <v>162</v>
      </c>
      <c r="G49" s="39">
        <v>295</v>
      </c>
      <c r="H49" s="39">
        <f>+(D49*E49)*G49</f>
        <v>885</v>
      </c>
      <c r="J49" s="11"/>
      <c r="K49" s="102">
        <f>+F16</f>
        <v>38.700000000000003</v>
      </c>
      <c r="L49" s="102">
        <f>+H16</f>
        <v>42.9</v>
      </c>
      <c r="M49" s="12" t="s">
        <v>144</v>
      </c>
      <c r="N49" s="102" t="s">
        <v>146</v>
      </c>
      <c r="O49" s="12" t="s">
        <v>147</v>
      </c>
      <c r="P49" s="12" t="s">
        <v>148</v>
      </c>
      <c r="Q49" s="12"/>
      <c r="R49" s="13"/>
    </row>
    <row r="50" spans="1:21" x14ac:dyDescent="0.3">
      <c r="A50" s="74" t="s">
        <v>86</v>
      </c>
      <c r="B50" s="75">
        <f>+E34*C42</f>
        <v>973.95749999999987</v>
      </c>
      <c r="C50" s="3"/>
      <c r="D50" s="30">
        <v>3</v>
      </c>
      <c r="E50" s="30">
        <v>1</v>
      </c>
      <c r="F50" s="30" t="s">
        <v>119</v>
      </c>
      <c r="G50" s="39">
        <v>140</v>
      </c>
      <c r="H50" s="39">
        <f>+(D50*E50)*G50</f>
        <v>420</v>
      </c>
      <c r="J50" s="11"/>
      <c r="K50" s="102">
        <f>0.425*0.419*C41</f>
        <v>267.11249999999995</v>
      </c>
      <c r="L50" s="111">
        <f>3.9*1</f>
        <v>3.9</v>
      </c>
      <c r="M50" s="111">
        <f>+K50*L50</f>
        <v>1041.7387499999998</v>
      </c>
      <c r="N50" s="111">
        <v>0</v>
      </c>
      <c r="O50" s="111">
        <f>+M50+N50</f>
        <v>1041.7387499999998</v>
      </c>
      <c r="P50" s="104" t="s">
        <v>149</v>
      </c>
      <c r="Q50" s="12"/>
      <c r="R50" s="13"/>
    </row>
    <row r="51" spans="1:21" x14ac:dyDescent="0.3">
      <c r="A51" s="74" t="s">
        <v>21</v>
      </c>
      <c r="B51" s="75">
        <f>+H61</f>
        <v>5911.7387499999995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142</v>
      </c>
      <c r="G52" s="39">
        <v>700</v>
      </c>
      <c r="H52" s="39">
        <f t="shared" ref="H52:H54" si="0">+G52*E52</f>
        <v>700</v>
      </c>
      <c r="I52" s="39">
        <f>+(B74/100)*2</f>
        <v>680.50622999999996</v>
      </c>
      <c r="J52" s="11"/>
      <c r="K52" s="102">
        <f>+K49</f>
        <v>38.700000000000003</v>
      </c>
      <c r="L52" s="102">
        <f>+L49</f>
        <v>42.9</v>
      </c>
      <c r="M52" s="12" t="s">
        <v>144</v>
      </c>
      <c r="N52" s="102" t="s">
        <v>146</v>
      </c>
      <c r="O52" s="12" t="s">
        <v>147</v>
      </c>
      <c r="P52" s="12" t="s">
        <v>150</v>
      </c>
      <c r="Q52" s="12"/>
      <c r="R52" s="13"/>
    </row>
    <row r="53" spans="1:21" ht="16.5" x14ac:dyDescent="0.3">
      <c r="A53" s="74" t="s">
        <v>45</v>
      </c>
      <c r="B53" s="75">
        <v>600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 s="11"/>
      <c r="K53" s="102">
        <f>0.65*0.36*C41</f>
        <v>351</v>
      </c>
      <c r="L53" s="111">
        <v>2.5</v>
      </c>
      <c r="M53" s="111">
        <f>+K53*L53</f>
        <v>877.5</v>
      </c>
      <c r="N53" s="111">
        <v>360</v>
      </c>
      <c r="O53" s="111">
        <f>+M53+N53</f>
        <v>1237.5</v>
      </c>
      <c r="P53" s="104" t="s">
        <v>151</v>
      </c>
      <c r="Q53" s="12"/>
      <c r="R53" s="13"/>
    </row>
    <row r="54" spans="1:21" x14ac:dyDescent="0.3">
      <c r="A54" s="77" t="s">
        <v>153</v>
      </c>
      <c r="B54" s="75">
        <v>1200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f>(6*B48)*1.05</f>
        <v>6300</v>
      </c>
      <c r="D55" s="30">
        <v>1</v>
      </c>
      <c r="E55" s="30">
        <v>1</v>
      </c>
      <c r="F55" s="30" t="s">
        <v>138</v>
      </c>
      <c r="G55" s="39">
        <v>295</v>
      </c>
      <c r="H55" s="39">
        <f>+G55*E55</f>
        <v>295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139</v>
      </c>
      <c r="B56" s="75">
        <f>(10*B48)*1.05</f>
        <v>10500</v>
      </c>
      <c r="D56" s="30">
        <v>1</v>
      </c>
      <c r="E56" s="30">
        <v>1</v>
      </c>
      <c r="F56" s="30" t="s">
        <v>52</v>
      </c>
      <c r="G56" s="39">
        <v>1500</v>
      </c>
      <c r="H56" s="39">
        <f>+G56*E56</f>
        <v>1500</v>
      </c>
    </row>
    <row r="57" spans="1:21" x14ac:dyDescent="0.3">
      <c r="A57" s="77" t="s">
        <v>163</v>
      </c>
      <c r="B57" s="75">
        <v>800</v>
      </c>
      <c r="D57" s="30">
        <v>1</v>
      </c>
      <c r="E57" s="30">
        <v>1</v>
      </c>
      <c r="F57" s="30" t="s">
        <v>205</v>
      </c>
      <c r="G57" s="39">
        <v>800</v>
      </c>
      <c r="H57" s="39">
        <f t="shared" ref="H57" si="1">+G57*E57</f>
        <v>800</v>
      </c>
      <c r="J57" s="5" t="s">
        <v>89</v>
      </c>
    </row>
    <row r="58" spans="1:21" x14ac:dyDescent="0.3">
      <c r="A58" s="73" t="s">
        <v>90</v>
      </c>
      <c r="B58" s="78">
        <f>SUM(B50:B57)</f>
        <v>26285.696250000001</v>
      </c>
      <c r="C58" s="3"/>
      <c r="D58" s="30">
        <v>1</v>
      </c>
      <c r="E58" s="30">
        <v>1</v>
      </c>
      <c r="F58" s="3" t="s">
        <v>91</v>
      </c>
      <c r="G58" s="39">
        <f>+O50</f>
        <v>1041.7387499999998</v>
      </c>
      <c r="H58" s="39">
        <f t="shared" ref="H58" si="2">+G58*E58</f>
        <v>1041.7387499999998</v>
      </c>
      <c r="L58" s="5"/>
    </row>
    <row r="59" spans="1:21" ht="15.75" x14ac:dyDescent="0.3">
      <c r="A59" s="16"/>
      <c r="B59" s="79"/>
      <c r="C59" s="3"/>
      <c r="D59" s="30"/>
      <c r="E59" s="30"/>
      <c r="F59" s="3"/>
      <c r="G59" s="3"/>
      <c r="H59" s="39">
        <f t="shared" ref="H59" si="3">+G59*E59</f>
        <v>0</v>
      </c>
      <c r="K59" s="82" t="s">
        <v>92</v>
      </c>
      <c r="L59" s="149" t="s">
        <v>183</v>
      </c>
      <c r="M59" s="150"/>
      <c r="O59" s="82" t="s">
        <v>92</v>
      </c>
      <c r="P59" s="149" t="s">
        <v>179</v>
      </c>
      <c r="Q59" s="150"/>
      <c r="S59"/>
      <c r="T59"/>
      <c r="U59"/>
    </row>
    <row r="60" spans="1:21" ht="15.75" x14ac:dyDescent="0.3">
      <c r="A60" s="16"/>
      <c r="B60" s="41">
        <f>+B58/B48</f>
        <v>26.285696250000001</v>
      </c>
      <c r="C60" s="4" t="s">
        <v>93</v>
      </c>
      <c r="D60" s="3"/>
      <c r="E60" s="3"/>
      <c r="F60" s="3"/>
      <c r="G60" s="3"/>
      <c r="K60" s="50" t="s">
        <v>3</v>
      </c>
      <c r="L60" s="80" t="s">
        <v>184</v>
      </c>
      <c r="M60" s="81"/>
      <c r="O60" s="50" t="s">
        <v>3</v>
      </c>
      <c r="P60" s="80"/>
      <c r="Q60" s="81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82" t="s">
        <v>94</v>
      </c>
      <c r="H61" s="39">
        <f>SUM(H49:H60)</f>
        <v>5911.7387499999995</v>
      </c>
      <c r="K61" s="50" t="s">
        <v>24</v>
      </c>
      <c r="L61" s="134" t="s">
        <v>180</v>
      </c>
      <c r="M61" s="81"/>
      <c r="O61" s="50" t="s">
        <v>24</v>
      </c>
      <c r="P61" s="80"/>
      <c r="Q61" s="81"/>
      <c r="S61"/>
      <c r="T61"/>
      <c r="U61"/>
    </row>
    <row r="62" spans="1:21" ht="15.75" x14ac:dyDescent="0.3">
      <c r="D62" s="3"/>
      <c r="E62" s="3"/>
      <c r="G62" s="5" t="s">
        <v>95</v>
      </c>
      <c r="H62" s="109">
        <v>1.3</v>
      </c>
      <c r="K62" s="50" t="s">
        <v>96</v>
      </c>
      <c r="L62" s="134"/>
      <c r="M62" s="81" t="s">
        <v>181</v>
      </c>
      <c r="O62" s="50" t="s">
        <v>96</v>
      </c>
      <c r="P62" s="80"/>
      <c r="Q62" s="81"/>
      <c r="S62"/>
      <c r="T62"/>
      <c r="U62"/>
    </row>
    <row r="63" spans="1:21" ht="15.75" x14ac:dyDescent="0.3">
      <c r="A63" s="4" t="s">
        <v>97</v>
      </c>
      <c r="B63" s="3"/>
      <c r="C63" s="3"/>
      <c r="E63" s="41">
        <f>+B74/C40</f>
        <v>34.025311499999994</v>
      </c>
      <c r="G63" s="1" t="s">
        <v>98</v>
      </c>
      <c r="H63" s="83">
        <v>1.75</v>
      </c>
      <c r="K63" s="50" t="s">
        <v>99</v>
      </c>
      <c r="L63" s="134"/>
      <c r="M63" s="81"/>
      <c r="O63" s="50" t="s">
        <v>99</v>
      </c>
      <c r="P63" s="80"/>
      <c r="Q63" s="81"/>
      <c r="S63"/>
      <c r="T63"/>
      <c r="U63"/>
    </row>
    <row r="64" spans="1:21" ht="15.75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K64" s="50" t="s">
        <v>103</v>
      </c>
      <c r="L64" s="134">
        <v>3</v>
      </c>
      <c r="M64" s="135">
        <f>+((B47*60)*2)</f>
        <v>0</v>
      </c>
      <c r="O64" s="50" t="s">
        <v>103</v>
      </c>
      <c r="P64" s="80"/>
      <c r="Q64" s="81"/>
      <c r="S64"/>
      <c r="T64"/>
      <c r="U64"/>
    </row>
    <row r="65" spans="1:21" ht="15.75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K65" s="50" t="s">
        <v>108</v>
      </c>
      <c r="L65" s="136"/>
      <c r="M65" s="81"/>
      <c r="O65" s="50" t="s">
        <v>108</v>
      </c>
      <c r="P65" s="137"/>
      <c r="Q65" s="81"/>
      <c r="S65"/>
      <c r="T65"/>
      <c r="U65"/>
    </row>
    <row r="66" spans="1:21" ht="15.75" x14ac:dyDescent="0.3">
      <c r="A66" s="74" t="s">
        <v>86</v>
      </c>
      <c r="B66" s="75">
        <f>+E35*C42</f>
        <v>1120.0511249999997</v>
      </c>
      <c r="C66" s="87"/>
      <c r="K66" s="50" t="s">
        <v>182</v>
      </c>
      <c r="L66" s="136">
        <v>54</v>
      </c>
      <c r="M66" s="138" t="s">
        <v>185</v>
      </c>
      <c r="O66" s="50" t="s">
        <v>182</v>
      </c>
      <c r="P66" s="137"/>
      <c r="Q66" s="138"/>
      <c r="S66"/>
      <c r="T66"/>
      <c r="U66"/>
    </row>
    <row r="67" spans="1:21" ht="15.75" x14ac:dyDescent="0.3">
      <c r="A67" s="74" t="s">
        <v>21</v>
      </c>
      <c r="B67" s="75">
        <f>+H61*H62</f>
        <v>7685.2603749999998</v>
      </c>
      <c r="C67" s="87"/>
      <c r="K67" s="50" t="s">
        <v>112</v>
      </c>
      <c r="L67" s="136">
        <f>+L66*L64</f>
        <v>162</v>
      </c>
      <c r="M67" s="81"/>
      <c r="O67" s="50" t="s">
        <v>112</v>
      </c>
      <c r="P67" s="137"/>
      <c r="Q67" s="81"/>
      <c r="S67"/>
      <c r="T67"/>
      <c r="U67"/>
    </row>
    <row r="68" spans="1:21" ht="15.75" x14ac:dyDescent="0.3">
      <c r="A68" s="74" t="str">
        <f>+A53</f>
        <v>Tabla de suaje</v>
      </c>
      <c r="B68" s="75">
        <f>+B53*H62</f>
        <v>780</v>
      </c>
      <c r="C68" s="87"/>
      <c r="K68" s="50" t="s">
        <v>175</v>
      </c>
      <c r="L68" s="136">
        <f>+M28+M29</f>
        <v>270</v>
      </c>
      <c r="M68" s="81"/>
      <c r="O68" s="50"/>
      <c r="P68" s="80"/>
      <c r="Q68" s="81"/>
      <c r="S68"/>
      <c r="T68"/>
      <c r="U68"/>
    </row>
    <row r="69" spans="1:21" ht="15.75" x14ac:dyDescent="0.3">
      <c r="A69" s="74" t="str">
        <f>+A54</f>
        <v>Envio Fora</v>
      </c>
      <c r="B69" s="75">
        <f>+B54*H62</f>
        <v>1560</v>
      </c>
      <c r="C69" s="87"/>
      <c r="K69" s="50" t="s">
        <v>186</v>
      </c>
      <c r="L69" s="136">
        <f>+((2*4)*B48)*1.1</f>
        <v>8800</v>
      </c>
      <c r="M69" s="81"/>
      <c r="O69" s="50"/>
      <c r="P69" s="80"/>
      <c r="Q69" s="81"/>
      <c r="S69"/>
      <c r="T69"/>
      <c r="U69"/>
    </row>
    <row r="70" spans="1:21" ht="15.75" x14ac:dyDescent="0.3">
      <c r="A70" s="74" t="str">
        <f>+A55</f>
        <v>Imán</v>
      </c>
      <c r="B70" s="75">
        <f>+B55*H62</f>
        <v>8190</v>
      </c>
      <c r="C70" s="93"/>
      <c r="G70" s="90" t="s">
        <v>111</v>
      </c>
      <c r="H70" s="41">
        <f>+B60</f>
        <v>26.285696250000001</v>
      </c>
      <c r="I70" s="91">
        <f>+H70*B48</f>
        <v>26285.696250000001</v>
      </c>
      <c r="K70" s="1" t="s">
        <v>187</v>
      </c>
      <c r="L70" s="136">
        <f>+((2*1)*B48)*1.1</f>
        <v>2200</v>
      </c>
      <c r="M70" s="81"/>
      <c r="P70" s="80"/>
      <c r="Q70" s="81"/>
      <c r="S70"/>
      <c r="T70"/>
      <c r="U70"/>
    </row>
    <row r="71" spans="1:21" ht="15.75" x14ac:dyDescent="0.3">
      <c r="A71" s="74" t="str">
        <f>+A56</f>
        <v>Encuadernación</v>
      </c>
      <c r="B71" s="75">
        <f>+B56*H62</f>
        <v>13650</v>
      </c>
      <c r="C71" s="93"/>
      <c r="G71" s="90" t="s">
        <v>113</v>
      </c>
      <c r="H71" s="41">
        <f>+C74</f>
        <v>34.025311499999994</v>
      </c>
      <c r="I71" s="91">
        <f>+H71*B48</f>
        <v>34025.311499999996</v>
      </c>
      <c r="K71" s="50" t="s">
        <v>188</v>
      </c>
      <c r="L71" s="139">
        <f>+L70+L69</f>
        <v>11000</v>
      </c>
      <c r="M71" s="140">
        <f>+L71/B48</f>
        <v>11</v>
      </c>
      <c r="N71" s="1" t="s">
        <v>190</v>
      </c>
      <c r="P71" s="80"/>
      <c r="Q71" s="81"/>
      <c r="S71"/>
      <c r="T71"/>
      <c r="U71"/>
    </row>
    <row r="72" spans="1:21" ht="15.75" x14ac:dyDescent="0.3">
      <c r="A72" s="74" t="str">
        <f>+A57</f>
        <v>Empaque</v>
      </c>
      <c r="B72" s="75">
        <f>+B57*H62</f>
        <v>1040</v>
      </c>
      <c r="C72" s="93"/>
      <c r="G72" s="95" t="s">
        <v>114</v>
      </c>
      <c r="H72" s="96">
        <f>+H71-H70</f>
        <v>7.7396152499999928</v>
      </c>
      <c r="I72" s="115">
        <f>+H72*B48</f>
        <v>7739.6152499999926</v>
      </c>
      <c r="K72" s="50" t="s">
        <v>189</v>
      </c>
      <c r="L72" s="139">
        <f>+L71*1.5</f>
        <v>16500</v>
      </c>
      <c r="M72" s="140">
        <f>+L72/B48</f>
        <v>16.5</v>
      </c>
      <c r="N72" s="1" t="s">
        <v>190</v>
      </c>
      <c r="P72" s="80"/>
      <c r="Q72" s="81"/>
      <c r="S72"/>
      <c r="T72"/>
      <c r="U72"/>
    </row>
    <row r="73" spans="1:21" ht="15.75" x14ac:dyDescent="0.3">
      <c r="A73" s="74"/>
      <c r="B73" s="75"/>
      <c r="C73" s="96" t="s">
        <v>191</v>
      </c>
      <c r="D73" s="35"/>
      <c r="E73" s="35"/>
      <c r="F73" s="35" t="s">
        <v>111</v>
      </c>
      <c r="G73" s="148" t="s">
        <v>165</v>
      </c>
      <c r="H73" s="148"/>
      <c r="I73" s="118">
        <f>+(A81/100)*2.5</f>
        <v>2427.1303544999996</v>
      </c>
      <c r="L73" s="80"/>
      <c r="M73" s="81"/>
      <c r="P73" s="80"/>
      <c r="Q73" s="81"/>
      <c r="S73"/>
      <c r="T73"/>
      <c r="U73"/>
    </row>
    <row r="74" spans="1:21" ht="15.75" x14ac:dyDescent="0.3">
      <c r="A74" s="73" t="s">
        <v>90</v>
      </c>
      <c r="B74" s="78">
        <f>SUM(B65:B73)</f>
        <v>34025.311499999996</v>
      </c>
      <c r="C74" s="96">
        <f>+B74/B48</f>
        <v>34.025311499999994</v>
      </c>
      <c r="D74" s="5" t="s">
        <v>152</v>
      </c>
      <c r="F74" s="110">
        <f>+B60</f>
        <v>26.285696250000001</v>
      </c>
      <c r="G74" s="12"/>
      <c r="L74" s="80"/>
      <c r="M74" s="81"/>
      <c r="P74" s="80"/>
      <c r="Q74" s="81"/>
      <c r="S74"/>
      <c r="T74"/>
      <c r="U74"/>
    </row>
    <row r="75" spans="1:21" x14ac:dyDescent="0.3">
      <c r="C75" s="110">
        <f>+'forro guarda'!C73</f>
        <v>2.0939779000000001</v>
      </c>
      <c r="D75" s="5" t="str">
        <f>+'forro guarda'!D73</f>
        <v>forro guarda</v>
      </c>
      <c r="F75" s="110">
        <f>+'forro guarda'!B60</f>
        <v>1.7006559999999999</v>
      </c>
    </row>
    <row r="76" spans="1:21" x14ac:dyDescent="0.3">
      <c r="C76" s="110">
        <f>+'forro cajón EXT'!C73</f>
        <v>27.634807379999998</v>
      </c>
      <c r="D76" s="5" t="str">
        <f>+'forro cajón EXT'!D73</f>
        <v>forro cajón EXT</v>
      </c>
      <c r="E76" s="5"/>
      <c r="F76" s="110">
        <f>+'forro cajón EXT'!B60</f>
        <v>21.4673196</v>
      </c>
    </row>
    <row r="77" spans="1:21" x14ac:dyDescent="0.3">
      <c r="A77" s="5"/>
      <c r="C77" s="110">
        <f>+'forro cajón INT'!C73</f>
        <v>6.6975486499999999</v>
      </c>
      <c r="D77" s="5" t="str">
        <f>+'forro cajón INT'!D73</f>
        <v>forro cajón INT</v>
      </c>
      <c r="E77" s="5"/>
      <c r="F77" s="110">
        <f>+'forro cajón INT'!B60</f>
        <v>5.2818214999999995</v>
      </c>
      <c r="J77" s="12"/>
    </row>
    <row r="78" spans="1:21" x14ac:dyDescent="0.3">
      <c r="A78" s="5"/>
      <c r="C78" s="110">
        <f>+espuma!C72</f>
        <v>9.6035000000000004</v>
      </c>
      <c r="D78" s="5" t="str">
        <f>+espuma!D72</f>
        <v>espuma</v>
      </c>
      <c r="E78" s="5"/>
      <c r="F78" s="110">
        <f>+espuma!B60</f>
        <v>8.4450000000000003</v>
      </c>
      <c r="J78" s="12"/>
    </row>
    <row r="79" spans="1:21" x14ac:dyDescent="0.3">
      <c r="B79" s="98"/>
      <c r="C79" s="110">
        <f>+'cartón tapa'!C72</f>
        <v>5.893356250000001</v>
      </c>
      <c r="D79" s="5" t="str">
        <f>+'cartón tapa'!D72</f>
        <v>cartón tapa</v>
      </c>
      <c r="E79" s="5"/>
      <c r="F79" s="110">
        <f>+'cartón tapa'!B60</f>
        <v>5.2666874999999997</v>
      </c>
    </row>
    <row r="80" spans="1:21" x14ac:dyDescent="0.3">
      <c r="C80" s="112">
        <f>+'cartón cajón '!C72</f>
        <v>11.136712500000002</v>
      </c>
      <c r="D80" s="5" t="str">
        <f>+'cartón cajón '!D72</f>
        <v>cartón cajón</v>
      </c>
      <c r="E80" s="5"/>
      <c r="F80" s="112">
        <f>+'cartón cajón '!B60</f>
        <v>10.033374999999999</v>
      </c>
    </row>
    <row r="81" spans="1:18" ht="15.75" customHeight="1" x14ac:dyDescent="0.3">
      <c r="A81" s="147">
        <f>+C81*B48</f>
        <v>97085.214179999981</v>
      </c>
      <c r="B81" s="147"/>
      <c r="C81" s="114">
        <f>SUM(C74:C80)</f>
        <v>97.08521417999998</v>
      </c>
      <c r="D81" s="5" t="s">
        <v>143</v>
      </c>
      <c r="F81" s="116">
        <f>SUM(F74:F80)</f>
        <v>78.480555850000002</v>
      </c>
      <c r="G81" s="117">
        <f>+F81*B48</f>
        <v>78480.555850000004</v>
      </c>
      <c r="I81" s="146">
        <f>+A81-G81</f>
        <v>18604.658329999977</v>
      </c>
      <c r="J81" s="146"/>
    </row>
    <row r="83" spans="1:18" x14ac:dyDescent="0.3">
      <c r="J83" s="100"/>
    </row>
    <row r="89" spans="1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mergeCells count="5">
    <mergeCell ref="I81:J81"/>
    <mergeCell ref="A81:B81"/>
    <mergeCell ref="G73:H73"/>
    <mergeCell ref="L59:M59"/>
    <mergeCell ref="P59:Q59"/>
  </mergeCells>
  <pageMargins left="0.70866141732283472" right="0.70866141732283472" top="0.74803149606299213" bottom="0.74803149606299213" header="0.31496062992125984" footer="0.31496062992125984"/>
  <pageSetup scale="42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cartón cajón </vt:lpstr>
      <vt:lpstr>cartón tapa</vt:lpstr>
      <vt:lpstr>espuma</vt:lpstr>
      <vt:lpstr>forro cajón INT</vt:lpstr>
      <vt:lpstr>forro cajón EXT</vt:lpstr>
      <vt:lpstr>forro guarda</vt:lpstr>
      <vt:lpstr>forro tapa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2016-09-24T17:37:03Z</cp:lastPrinted>
  <dcterms:created xsi:type="dcterms:W3CDTF">2013-03-04T22:24:31Z</dcterms:created>
  <dcterms:modified xsi:type="dcterms:W3CDTF">2016-10-06T23:33:04Z</dcterms:modified>
</cp:coreProperties>
</file>