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550" windowHeight="4035" activeTab="6"/>
  </bookViews>
  <sheets>
    <sheet name="cartón cajón " sheetId="39" r:id="rId1"/>
    <sheet name="cartón tapa" sheetId="40" r:id="rId2"/>
    <sheet name="espuma" sheetId="44" r:id="rId3"/>
    <sheet name="forro cajón INT" sheetId="34" r:id="rId4"/>
    <sheet name="forro cajón EXT" sheetId="42" r:id="rId5"/>
    <sheet name="forro guarda" sheetId="43" r:id="rId6"/>
    <sheet name="forro tapa final" sheetId="38" r:id="rId7"/>
  </sheets>
  <calcPr calcId="145621" concurrentCalc="0"/>
</workbook>
</file>

<file path=xl/calcChain.xml><?xml version="1.0" encoding="utf-8"?>
<calcChain xmlns="http://schemas.openxmlformats.org/spreadsheetml/2006/main">
  <c r="E35" i="38" l="1"/>
  <c r="E31" i="42"/>
  <c r="E32" i="42"/>
  <c r="E34" i="42"/>
  <c r="E35" i="42"/>
  <c r="E35" i="43"/>
  <c r="C48" i="44"/>
  <c r="B55" i="38"/>
  <c r="L53" i="34"/>
  <c r="B56" i="42"/>
  <c r="B56" i="38"/>
  <c r="D78" i="38"/>
  <c r="H57" i="38"/>
  <c r="E35" i="39"/>
  <c r="E35" i="40"/>
  <c r="E31" i="34"/>
  <c r="E32" i="34"/>
  <c r="E34" i="34"/>
  <c r="E35" i="34"/>
  <c r="E31" i="43"/>
  <c r="E32" i="43"/>
  <c r="E34" i="43"/>
  <c r="L50" i="38"/>
  <c r="L50" i="43"/>
  <c r="L50" i="42"/>
  <c r="L50" i="34"/>
  <c r="F25" i="38"/>
  <c r="C41" i="43"/>
  <c r="K50" i="43"/>
  <c r="H16" i="43"/>
  <c r="F16" i="43"/>
  <c r="F25" i="43"/>
  <c r="F25" i="42"/>
  <c r="C9" i="43"/>
  <c r="K50" i="42"/>
  <c r="K50" i="34"/>
  <c r="C9" i="34"/>
  <c r="E30" i="40"/>
  <c r="C9" i="38"/>
  <c r="C9" i="42"/>
  <c r="C9" i="44"/>
  <c r="C9" i="40"/>
  <c r="A69" i="44"/>
  <c r="B68" i="44"/>
  <c r="A68" i="44"/>
  <c r="G54" i="44"/>
  <c r="H54" i="44"/>
  <c r="G53" i="44"/>
  <c r="H53" i="44"/>
  <c r="H53" i="38"/>
  <c r="H54" i="38"/>
  <c r="B48" i="43"/>
  <c r="B48" i="38"/>
  <c r="B48" i="42"/>
  <c r="B48" i="34"/>
  <c r="M19" i="44"/>
  <c r="B70" i="44"/>
  <c r="A70" i="44"/>
  <c r="H59" i="44"/>
  <c r="H58" i="44"/>
  <c r="H57" i="44"/>
  <c r="H56" i="44"/>
  <c r="H55" i="44"/>
  <c r="H52" i="44"/>
  <c r="H51" i="44"/>
  <c r="H50" i="44"/>
  <c r="H49" i="44"/>
  <c r="H61" i="44"/>
  <c r="E31" i="44"/>
  <c r="E32" i="44"/>
  <c r="E34" i="44"/>
  <c r="E35" i="44"/>
  <c r="E26" i="44"/>
  <c r="E27" i="44"/>
  <c r="C26" i="44"/>
  <c r="H26" i="44"/>
  <c r="H25" i="44"/>
  <c r="F25" i="44"/>
  <c r="H16" i="42"/>
  <c r="F16" i="42"/>
  <c r="H16" i="38"/>
  <c r="E26" i="38"/>
  <c r="F16" i="38"/>
  <c r="C26" i="38"/>
  <c r="C27" i="38"/>
  <c r="F26" i="38"/>
  <c r="F27" i="38"/>
  <c r="E27" i="38"/>
  <c r="H27" i="44"/>
  <c r="F26" i="44"/>
  <c r="F27" i="44"/>
  <c r="B67" i="44"/>
  <c r="B51" i="44"/>
  <c r="C27" i="44"/>
  <c r="L70" i="38"/>
  <c r="L69" i="38"/>
  <c r="L68" i="38"/>
  <c r="L67" i="38"/>
  <c r="M64" i="38"/>
  <c r="M19" i="38"/>
  <c r="K49" i="38"/>
  <c r="L49" i="38"/>
  <c r="L71" i="38"/>
  <c r="L72" i="38"/>
  <c r="M72" i="38"/>
  <c r="D80" i="38"/>
  <c r="D79" i="38"/>
  <c r="D77" i="38"/>
  <c r="D76" i="38"/>
  <c r="D75" i="38"/>
  <c r="H26" i="38"/>
  <c r="H25" i="38"/>
  <c r="A71" i="43"/>
  <c r="B70" i="43"/>
  <c r="A70" i="43"/>
  <c r="B69" i="43"/>
  <c r="A69" i="43"/>
  <c r="B68" i="43"/>
  <c r="A68" i="43"/>
  <c r="H59" i="43"/>
  <c r="H57" i="43"/>
  <c r="H56" i="43"/>
  <c r="B71" i="43"/>
  <c r="H55" i="43"/>
  <c r="H54" i="43"/>
  <c r="L53" i="43"/>
  <c r="H52" i="43"/>
  <c r="H51" i="43"/>
  <c r="H50" i="43"/>
  <c r="L49" i="43"/>
  <c r="L52" i="43"/>
  <c r="K49" i="43"/>
  <c r="K52" i="43"/>
  <c r="H49" i="43"/>
  <c r="C40" i="43"/>
  <c r="G43" i="43"/>
  <c r="E26" i="43"/>
  <c r="F26" i="43"/>
  <c r="C26" i="43"/>
  <c r="C27" i="43"/>
  <c r="H25" i="43"/>
  <c r="B71" i="42"/>
  <c r="H59" i="42"/>
  <c r="H57" i="42"/>
  <c r="H56" i="42"/>
  <c r="H55" i="42"/>
  <c r="H54" i="42"/>
  <c r="L53" i="42"/>
  <c r="H52" i="42"/>
  <c r="H51" i="42"/>
  <c r="H50" i="42"/>
  <c r="L49" i="42"/>
  <c r="L52" i="42"/>
  <c r="K49" i="42"/>
  <c r="K52" i="42"/>
  <c r="H49" i="42"/>
  <c r="H25" i="42"/>
  <c r="H52" i="40"/>
  <c r="M71" i="38"/>
  <c r="M50" i="43"/>
  <c r="O50" i="43"/>
  <c r="G58" i="43"/>
  <c r="H58" i="43"/>
  <c r="H27" i="38"/>
  <c r="H26" i="43"/>
  <c r="H27" i="43"/>
  <c r="F27" i="43"/>
  <c r="E27" i="43"/>
  <c r="G44" i="43"/>
  <c r="C42" i="43"/>
  <c r="B69" i="38"/>
  <c r="B71" i="38"/>
  <c r="B70" i="38"/>
  <c r="K53" i="43"/>
  <c r="M53" i="43"/>
  <c r="O53" i="43"/>
  <c r="G53" i="43"/>
  <c r="H53" i="43"/>
  <c r="H61" i="43"/>
  <c r="B67" i="43"/>
  <c r="C46" i="43"/>
  <c r="C43" i="43"/>
  <c r="B66" i="43"/>
  <c r="B50" i="43"/>
  <c r="B51" i="43"/>
  <c r="B58" i="43"/>
  <c r="B60" i="43"/>
  <c r="Q21" i="43"/>
  <c r="B73" i="43"/>
  <c r="C73" i="43"/>
  <c r="B68" i="38"/>
  <c r="C40" i="34"/>
  <c r="C41" i="34"/>
  <c r="K53" i="34"/>
  <c r="C40" i="42"/>
  <c r="C41" i="42"/>
  <c r="C40" i="38"/>
  <c r="G43" i="38"/>
  <c r="E63" i="43"/>
  <c r="D65" i="43"/>
  <c r="I52" i="43"/>
  <c r="C41" i="38"/>
  <c r="C42" i="42"/>
  <c r="C43" i="42"/>
  <c r="K53" i="42"/>
  <c r="M53" i="42"/>
  <c r="O53" i="42"/>
  <c r="G53" i="42"/>
  <c r="H53" i="42"/>
  <c r="M50" i="42"/>
  <c r="O50" i="42"/>
  <c r="G58" i="42"/>
  <c r="H58" i="42"/>
  <c r="H69" i="43"/>
  <c r="I69" i="43"/>
  <c r="F75" i="38"/>
  <c r="H70" i="43"/>
  <c r="I70" i="43"/>
  <c r="C75" i="38"/>
  <c r="C42" i="34"/>
  <c r="C43" i="34"/>
  <c r="L52" i="38"/>
  <c r="K52" i="38"/>
  <c r="A71" i="42"/>
  <c r="B70" i="42"/>
  <c r="A70" i="42"/>
  <c r="B69" i="42"/>
  <c r="A69" i="42"/>
  <c r="B68" i="42"/>
  <c r="A68" i="42"/>
  <c r="G43" i="42"/>
  <c r="E26" i="42"/>
  <c r="E27" i="42"/>
  <c r="C26" i="42"/>
  <c r="H26" i="42"/>
  <c r="B71" i="34"/>
  <c r="L49" i="34"/>
  <c r="L52" i="34"/>
  <c r="K49" i="34"/>
  <c r="K52" i="34"/>
  <c r="K50" i="38"/>
  <c r="M50" i="38"/>
  <c r="O50" i="38"/>
  <c r="G58" i="38"/>
  <c r="C42" i="38"/>
  <c r="C43" i="38"/>
  <c r="H71" i="43"/>
  <c r="I71" i="43"/>
  <c r="H61" i="42"/>
  <c r="H27" i="42"/>
  <c r="G44" i="42"/>
  <c r="C27" i="42"/>
  <c r="F26" i="42"/>
  <c r="F27" i="42"/>
  <c r="B50" i="42"/>
  <c r="B51" i="42"/>
  <c r="B67" i="42"/>
  <c r="Q21" i="42"/>
  <c r="B66" i="42"/>
  <c r="B58" i="42"/>
  <c r="B60" i="42"/>
  <c r="F76" i="38"/>
  <c r="C46" i="42"/>
  <c r="B73" i="42"/>
  <c r="C73" i="42"/>
  <c r="C76" i="38"/>
  <c r="I52" i="42"/>
  <c r="H69" i="42"/>
  <c r="I69" i="42"/>
  <c r="D65" i="42"/>
  <c r="E63" i="42"/>
  <c r="H70" i="42"/>
  <c r="I70" i="42"/>
  <c r="H71" i="42"/>
  <c r="I71" i="42"/>
  <c r="H50" i="34"/>
  <c r="G43" i="34"/>
  <c r="B48" i="40"/>
  <c r="H50" i="38"/>
  <c r="H58" i="38"/>
  <c r="H56" i="38"/>
  <c r="B68" i="34"/>
  <c r="H49" i="34"/>
  <c r="H52" i="34"/>
  <c r="C40" i="39"/>
  <c r="C41" i="39"/>
  <c r="G44" i="39"/>
  <c r="E31" i="38"/>
  <c r="E32" i="38"/>
  <c r="E34" i="38"/>
  <c r="H49" i="38"/>
  <c r="H55" i="38"/>
  <c r="H51" i="38"/>
  <c r="H52" i="38"/>
  <c r="H59" i="38"/>
  <c r="B72" i="38"/>
  <c r="A72" i="38"/>
  <c r="A71" i="38"/>
  <c r="A70" i="38"/>
  <c r="A69" i="38"/>
  <c r="A68" i="38"/>
  <c r="A68" i="34"/>
  <c r="E31" i="40"/>
  <c r="E32" i="40"/>
  <c r="E34" i="40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/>
  <c r="H27" i="40"/>
  <c r="F25" i="40"/>
  <c r="E26" i="40"/>
  <c r="E27" i="40"/>
  <c r="E31" i="39"/>
  <c r="E32" i="39"/>
  <c r="E34" i="39"/>
  <c r="H49" i="39"/>
  <c r="H50" i="39"/>
  <c r="H51" i="39"/>
  <c r="H52" i="39"/>
  <c r="H53" i="39"/>
  <c r="H54" i="39"/>
  <c r="H55" i="39"/>
  <c r="H56" i="39"/>
  <c r="H57" i="39"/>
  <c r="H58" i="39"/>
  <c r="H59" i="39"/>
  <c r="H61" i="39"/>
  <c r="Q21" i="39"/>
  <c r="B68" i="39"/>
  <c r="B69" i="39"/>
  <c r="B70" i="39"/>
  <c r="A70" i="39"/>
  <c r="A69" i="39"/>
  <c r="A68" i="39"/>
  <c r="H25" i="39"/>
  <c r="C26" i="39"/>
  <c r="H26" i="39"/>
  <c r="H27" i="39"/>
  <c r="F25" i="39"/>
  <c r="E26" i="39"/>
  <c r="F26" i="39"/>
  <c r="H51" i="34"/>
  <c r="H54" i="34"/>
  <c r="H55" i="34"/>
  <c r="H56" i="34"/>
  <c r="H57" i="34"/>
  <c r="H59" i="34"/>
  <c r="B69" i="34"/>
  <c r="B70" i="34"/>
  <c r="A71" i="34"/>
  <c r="A70" i="34"/>
  <c r="A69" i="34"/>
  <c r="H25" i="34"/>
  <c r="C26" i="34"/>
  <c r="H26" i="34"/>
  <c r="F25" i="34"/>
  <c r="E26" i="34"/>
  <c r="E27" i="34"/>
  <c r="C40" i="40"/>
  <c r="C41" i="40"/>
  <c r="C42" i="40"/>
  <c r="B48" i="44"/>
  <c r="E27" i="39"/>
  <c r="C27" i="34"/>
  <c r="F27" i="39"/>
  <c r="H61" i="40"/>
  <c r="B67" i="40"/>
  <c r="C27" i="39"/>
  <c r="B51" i="39"/>
  <c r="B67" i="39"/>
  <c r="G43" i="39"/>
  <c r="G43" i="40"/>
  <c r="F26" i="40"/>
  <c r="F27" i="40"/>
  <c r="C27" i="40"/>
  <c r="H61" i="38"/>
  <c r="K53" i="38"/>
  <c r="M53" i="38"/>
  <c r="O53" i="38"/>
  <c r="G44" i="38"/>
  <c r="M53" i="34"/>
  <c r="O53" i="34"/>
  <c r="G53" i="34"/>
  <c r="H53" i="34"/>
  <c r="M50" i="34"/>
  <c r="O50" i="34"/>
  <c r="G58" i="34"/>
  <c r="H58" i="34"/>
  <c r="G44" i="34"/>
  <c r="F26" i="34"/>
  <c r="F27" i="34"/>
  <c r="H27" i="34"/>
  <c r="C42" i="39"/>
  <c r="H61" i="34"/>
  <c r="B67" i="34"/>
  <c r="G44" i="40"/>
  <c r="C40" i="44"/>
  <c r="B69" i="44"/>
  <c r="Q21" i="40"/>
  <c r="B51" i="40"/>
  <c r="B51" i="34"/>
  <c r="B67" i="38"/>
  <c r="B51" i="38"/>
  <c r="B50" i="38"/>
  <c r="C46" i="38"/>
  <c r="B66" i="38"/>
  <c r="C46" i="34"/>
  <c r="B66" i="34"/>
  <c r="B50" i="34"/>
  <c r="C50" i="34"/>
  <c r="B66" i="40"/>
  <c r="B72" i="40"/>
  <c r="I52" i="40"/>
  <c r="B50" i="40"/>
  <c r="C46" i="40"/>
  <c r="B50" i="39"/>
  <c r="B58" i="39"/>
  <c r="B60" i="39"/>
  <c r="F80" i="38"/>
  <c r="C46" i="39"/>
  <c r="B66" i="39"/>
  <c r="B72" i="39"/>
  <c r="I52" i="39"/>
  <c r="Q21" i="34"/>
  <c r="C41" i="44"/>
  <c r="G43" i="44"/>
  <c r="B58" i="40"/>
  <c r="B60" i="40"/>
  <c r="F79" i="38"/>
  <c r="H68" i="39"/>
  <c r="I68" i="39"/>
  <c r="B74" i="38"/>
  <c r="B58" i="38"/>
  <c r="B60" i="38"/>
  <c r="F74" i="38"/>
  <c r="B73" i="34"/>
  <c r="B58" i="34"/>
  <c r="B60" i="34"/>
  <c r="F77" i="38"/>
  <c r="C72" i="40"/>
  <c r="C79" i="38"/>
  <c r="E63" i="40"/>
  <c r="D65" i="40"/>
  <c r="C72" i="39"/>
  <c r="C80" i="38"/>
  <c r="D65" i="39"/>
  <c r="E63" i="39"/>
  <c r="G44" i="44"/>
  <c r="C42" i="44"/>
  <c r="H68" i="40"/>
  <c r="I68" i="40"/>
  <c r="C74" i="38"/>
  <c r="H71" i="38"/>
  <c r="I52" i="38"/>
  <c r="I52" i="34"/>
  <c r="C73" i="34"/>
  <c r="C77" i="38"/>
  <c r="H70" i="38"/>
  <c r="I70" i="38"/>
  <c r="E63" i="34"/>
  <c r="D65" i="38"/>
  <c r="E63" i="38"/>
  <c r="D65" i="34"/>
  <c r="H69" i="40"/>
  <c r="H69" i="39"/>
  <c r="I69" i="39"/>
  <c r="C46" i="44"/>
  <c r="B66" i="44"/>
  <c r="B72" i="44"/>
  <c r="B50" i="44"/>
  <c r="B58" i="44"/>
  <c r="H69" i="34"/>
  <c r="I69" i="34"/>
  <c r="H72" i="38"/>
  <c r="I72" i="38"/>
  <c r="I71" i="38"/>
  <c r="H70" i="34"/>
  <c r="I70" i="34"/>
  <c r="H70" i="40"/>
  <c r="I70" i="40"/>
  <c r="I69" i="40"/>
  <c r="H70" i="39"/>
  <c r="I70" i="39"/>
  <c r="C72" i="44"/>
  <c r="I52" i="44"/>
  <c r="D65" i="44"/>
  <c r="B60" i="44"/>
  <c r="F78" i="38"/>
  <c r="F81" i="38"/>
  <c r="G81" i="38"/>
  <c r="H71" i="34"/>
  <c r="I71" i="34"/>
  <c r="H68" i="44"/>
  <c r="I68" i="44"/>
  <c r="C78" i="38"/>
  <c r="C81" i="38"/>
  <c r="H69" i="44"/>
  <c r="A81" i="38"/>
  <c r="I81" i="38"/>
  <c r="I69" i="44"/>
  <c r="H70" i="44"/>
  <c r="I70" i="44"/>
  <c r="I73" i="38"/>
</calcChain>
</file>

<file path=xl/sharedStrings.xml><?xml version="1.0" encoding="utf-8"?>
<sst xmlns="http://schemas.openxmlformats.org/spreadsheetml/2006/main" count="1325" uniqueCount="217">
  <si>
    <t>FICHA TECNICA</t>
  </si>
  <si>
    <t>Observaciones</t>
  </si>
  <si>
    <t>Parte 1</t>
  </si>
  <si>
    <t xml:space="preserve">Material </t>
  </si>
  <si>
    <t>Presupuesto</t>
  </si>
  <si>
    <t>Elabora</t>
  </si>
  <si>
    <t>Lourdes Velasco</t>
  </si>
  <si>
    <t>Color</t>
  </si>
  <si>
    <t xml:space="preserve">Tamaño final </t>
  </si>
  <si>
    <t>Tamaño extendido</t>
  </si>
  <si>
    <t xml:space="preserve">Ancho </t>
  </si>
  <si>
    <t>Fecha</t>
  </si>
  <si>
    <t>ODT</t>
  </si>
  <si>
    <t xml:space="preserve">Alto </t>
  </si>
  <si>
    <t xml:space="preserve">Largo </t>
  </si>
  <si>
    <t>Cliente</t>
  </si>
  <si>
    <t xml:space="preserve">Grafico </t>
  </si>
  <si>
    <t>Proyecto</t>
  </si>
  <si>
    <t>Descripción</t>
  </si>
  <si>
    <t xml:space="preserve">Frente </t>
  </si>
  <si>
    <t>Vuelta</t>
  </si>
  <si>
    <t>Impresión</t>
  </si>
  <si>
    <t xml:space="preserve">Formato de impresión </t>
  </si>
  <si>
    <t>Papel:</t>
  </si>
  <si>
    <t xml:space="preserve">Color </t>
  </si>
  <si>
    <t xml:space="preserve">Tamaños o paginas por pliego </t>
  </si>
  <si>
    <t xml:space="preserve">Tipo de impresión </t>
  </si>
  <si>
    <t>Serigrafía</t>
  </si>
  <si>
    <t>Medida pliego</t>
  </si>
  <si>
    <t xml:space="preserve">X </t>
  </si>
  <si>
    <t>Tintas</t>
  </si>
  <si>
    <t>1 tinta</t>
  </si>
  <si>
    <t>Tamaño Extendido</t>
  </si>
  <si>
    <t>Tiros a imprimir</t>
  </si>
  <si>
    <t xml:space="preserve">Salen por lado </t>
  </si>
  <si>
    <t>Cantidad pzas finales</t>
  </si>
  <si>
    <t xml:space="preserve">Tamaños por pliego </t>
  </si>
  <si>
    <t>* calculo manual</t>
  </si>
  <si>
    <t xml:space="preserve">Procesos adicionales </t>
  </si>
  <si>
    <t>Proveedor:</t>
  </si>
  <si>
    <t>Precio Lista</t>
  </si>
  <si>
    <t>Monto desc.</t>
  </si>
  <si>
    <t xml:space="preserve">Monto descuento </t>
  </si>
  <si>
    <t>Suaje</t>
  </si>
  <si>
    <t>Costo  a Historias en Papel</t>
  </si>
  <si>
    <t>Tabla de suaje</t>
  </si>
  <si>
    <t>Original</t>
  </si>
  <si>
    <t>Copia</t>
  </si>
  <si>
    <t xml:space="preserve">Grabado </t>
  </si>
  <si>
    <t>costo de compra</t>
  </si>
  <si>
    <t xml:space="preserve">Placa de grabado </t>
  </si>
  <si>
    <t>precio de venta</t>
  </si>
  <si>
    <t>Hot stamping</t>
  </si>
  <si>
    <t>Placa de Hot Stamping</t>
  </si>
  <si>
    <t>Nota p/offset</t>
  </si>
  <si>
    <t xml:space="preserve">500 piezas siempre de sobrante para correr, </t>
  </si>
  <si>
    <t>Barniz Máquina</t>
  </si>
  <si>
    <t>Tamaños por pliego</t>
  </si>
  <si>
    <t>* manual</t>
  </si>
  <si>
    <t xml:space="preserve">aun cuando sean menos de 100 tiros. </t>
  </si>
  <si>
    <t>Barniz uv mate plasta</t>
  </si>
  <si>
    <t>Para correr</t>
  </si>
  <si>
    <t>Barniz uv brillante plasta</t>
  </si>
  <si>
    <t xml:space="preserve">Tamaños requeridos </t>
  </si>
  <si>
    <t>Formato impresión</t>
  </si>
  <si>
    <t>Barniz uv mate registro</t>
  </si>
  <si>
    <t xml:space="preserve">Tamaños a correr </t>
  </si>
  <si>
    <t>Salen por tamaño</t>
  </si>
  <si>
    <t>Barniz uv brillante registro</t>
  </si>
  <si>
    <t>Pliegos Requeridos</t>
  </si>
  <si>
    <t>Cientos a imprimir</t>
  </si>
  <si>
    <t>Laminado frente</t>
  </si>
  <si>
    <t>Millares a imprimir</t>
  </si>
  <si>
    <t>laminado vuelta</t>
  </si>
  <si>
    <t>Cant. Pzas.</t>
  </si>
  <si>
    <t>Grapa a caballo</t>
  </si>
  <si>
    <t>Cocido</t>
  </si>
  <si>
    <t>Tamaños en Total</t>
  </si>
  <si>
    <t>Wire ´o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</si>
  <si>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</si>
  <si>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</si>
  <si>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</si>
  <si>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</si>
  <si>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</si>
  <si>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</si>
  <si>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</si>
  <si>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</si>
  <si>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</si>
  <si>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</si>
  <si>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</si>
  <si>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</si>
  <si>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</si>
  <si>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</si>
  <si>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</si>
  <si>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</si>
  <si>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</si>
  <si>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</si>
  <si>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</si>
  <si>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</si>
  <si>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</si>
  <si>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</si>
  <si>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</si>
  <si>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Tamaños o medidas necesarias</t>
  </si>
  <si>
    <t>Cantidad a comprar</t>
  </si>
  <si>
    <t>Precio</t>
  </si>
  <si>
    <t>Rollos necesarios</t>
  </si>
  <si>
    <t xml:space="preserve">Precio por </t>
  </si>
  <si>
    <t xml:space="preserve">rollo </t>
  </si>
  <si>
    <t xml:space="preserve">Precio por pza. </t>
  </si>
  <si>
    <t>Bolsa</t>
  </si>
  <si>
    <t>Precio por tamaño</t>
  </si>
  <si>
    <t>Costo</t>
  </si>
  <si>
    <t>Importe de la compra</t>
  </si>
  <si>
    <t>Precio final</t>
  </si>
  <si>
    <t>Utilidad</t>
  </si>
  <si>
    <t xml:space="preserve">Costo </t>
  </si>
  <si>
    <t>Ganancia %</t>
  </si>
  <si>
    <t xml:space="preserve">Precio 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</si>
  <si>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</si>
  <si>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</si>
  <si>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</si>
  <si>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</si>
  <si>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</si>
  <si>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</si>
  <si>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</si>
  <si>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</si>
  <si>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</si>
  <si>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</si>
  <si>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</si>
  <si>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</si>
  <si>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</si>
  <si>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</si>
  <si>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</si>
  <si>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</si>
  <si>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</si>
  <si>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</si>
  <si>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gris</t>
  </si>
  <si>
    <t>Placas HS</t>
  </si>
  <si>
    <t>Arreglo HS</t>
  </si>
  <si>
    <t>Encuadernación</t>
  </si>
  <si>
    <t>Imán</t>
  </si>
  <si>
    <t xml:space="preserve">tapa con imán para cierre </t>
  </si>
  <si>
    <t>corte</t>
  </si>
  <si>
    <t>TOTAL</t>
  </si>
  <si>
    <t>Area</t>
  </si>
  <si>
    <t>area + cantidad de hojas</t>
  </si>
  <si>
    <t>arreglo</t>
  </si>
  <si>
    <t>total a pagar</t>
  </si>
  <si>
    <t>minimo 500.00</t>
  </si>
  <si>
    <t xml:space="preserve">laminado mate </t>
  </si>
  <si>
    <t>minimo 1500.00</t>
  </si>
  <si>
    <t>uv brillante a registro</t>
  </si>
  <si>
    <t xml:space="preserve">forro </t>
  </si>
  <si>
    <t>Envio Fora</t>
  </si>
  <si>
    <t>Cartón Gris</t>
  </si>
  <si>
    <t xml:space="preserve">forrado en papel importación </t>
  </si>
  <si>
    <t>WHITE HOUSE</t>
  </si>
  <si>
    <t>empalme</t>
  </si>
  <si>
    <t>cartón cajón</t>
  </si>
  <si>
    <t>cartón tapa</t>
  </si>
  <si>
    <t>forro cajón INT</t>
  </si>
  <si>
    <t>forro guarda</t>
  </si>
  <si>
    <t>Arreglo</t>
  </si>
  <si>
    <t>Empaque</t>
  </si>
  <si>
    <t>forro cajón EXT</t>
  </si>
  <si>
    <t>Comisiones</t>
  </si>
  <si>
    <t>Cantidad</t>
  </si>
  <si>
    <t xml:space="preserve">Cientos </t>
  </si>
  <si>
    <t>Tinta 1</t>
  </si>
  <si>
    <t>Tinta 2</t>
  </si>
  <si>
    <t xml:space="preserve">Tamaños Piezas </t>
  </si>
  <si>
    <t xml:space="preserve">Unidad </t>
  </si>
  <si>
    <t>X Area</t>
  </si>
  <si>
    <t>Arreglo Suaje</t>
  </si>
  <si>
    <t>millar</t>
  </si>
  <si>
    <t>Suajado</t>
  </si>
  <si>
    <t>ciento</t>
  </si>
  <si>
    <t>Cosido</t>
  </si>
  <si>
    <t>LAMINADOS</t>
  </si>
  <si>
    <t>Ojillo Metálico</t>
  </si>
  <si>
    <t>Negro</t>
  </si>
  <si>
    <t>mt</t>
  </si>
  <si>
    <t>Precio por Paquete</t>
  </si>
  <si>
    <t>Esquineros</t>
  </si>
  <si>
    <t xml:space="preserve">Rainbow </t>
  </si>
  <si>
    <t>* MT</t>
  </si>
  <si>
    <t>Colocado</t>
  </si>
  <si>
    <t>Maquila Armado</t>
  </si>
  <si>
    <t>TT Costo</t>
  </si>
  <si>
    <t>TT Utilidad</t>
  </si>
  <si>
    <t>Unitario</t>
  </si>
  <si>
    <t>Venta</t>
  </si>
  <si>
    <t>Cartera</t>
  </si>
  <si>
    <t>Eva</t>
  </si>
  <si>
    <t>Kach</t>
  </si>
  <si>
    <t>Espuma</t>
  </si>
  <si>
    <t>Blanca</t>
  </si>
  <si>
    <t>Estuche Shampoo</t>
  </si>
  <si>
    <t>espuma para sujetar accesorios</t>
  </si>
  <si>
    <t xml:space="preserve">Couche </t>
  </si>
  <si>
    <t xml:space="preserve">Blanco </t>
  </si>
  <si>
    <t>150 gr.</t>
  </si>
  <si>
    <t>Couche Blanco</t>
  </si>
  <si>
    <t>#4</t>
  </si>
  <si>
    <t xml:space="preserve">impreso a 2  tinta Offset + 1 Hot stamping </t>
  </si>
  <si>
    <t>Placa HS</t>
  </si>
  <si>
    <t>espuma</t>
  </si>
  <si>
    <t>Papel Couche</t>
  </si>
  <si>
    <t>150 gr</t>
  </si>
  <si>
    <t>06 de octubre de 2016.</t>
  </si>
  <si>
    <t>tamaño extendido 33.5 X 53.2 cm.</t>
  </si>
  <si>
    <t>tamaño extendido 29.7 X 34.4 cm.</t>
  </si>
  <si>
    <t>tamaño extendido 10.9 X 34.4 cm.</t>
  </si>
  <si>
    <t>4 cm.</t>
  </si>
  <si>
    <t>tamaño 10.9 X 34.4 X 9.4 cm.</t>
  </si>
  <si>
    <t>forrado en papel couche blanco 150 gr.</t>
  </si>
  <si>
    <t>LOZANO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</si>
</sst>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"/>
    <numFmt numFmtId="165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2"/>
      <color rgb="FFFF000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5" borderId="22" applyNumberFormat="0" applyAlignment="0" applyProtection="0"/>
    <xf numFmtId="0" fontId="16" fillId="6" borderId="23" applyNumberFormat="0" applyAlignment="0" applyProtection="0"/>
    <xf numFmtId="0" fontId="17" fillId="7" borderId="0" applyNumberFormat="0" applyBorder="0" applyAlignment="0" applyProtection="0"/>
    <xf numFmtId="0" fontId="18" fillId="0" borderId="24" applyNumberFormat="0" applyFill="0" applyAlignment="0" applyProtection="0"/>
    <xf numFmtId="0" fontId="19" fillId="0" borderId="25" applyNumberFormat="0" applyFill="0" applyAlignment="0" applyProtection="0"/>
    <xf numFmtId="0" fontId="20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2" fillId="8" borderId="27" applyNumberFormat="0" applyFont="0" applyAlignment="0" applyProtection="0"/>
  </cellStyleXfs>
  <cellXfs count="15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4" fillId="0" borderId="0" xfId="0" applyFont="1" applyFill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Fill="1" applyBorder="1"/>
    <xf numFmtId="2" fontId="2" fillId="0" borderId="0" xfId="0" applyNumberFormat="1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2" fontId="2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5" fillId="0" borderId="0" xfId="1" applyFont="1" applyAlignment="1">
      <alignment horizontal="center"/>
    </xf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5" fillId="0" borderId="15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0" fontId="2" fillId="2" borderId="20" xfId="0" applyFont="1" applyFill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2" fontId="4" fillId="0" borderId="0" xfId="0" applyNumberFormat="1" applyFont="1" applyAlignment="1">
      <alignment horizontal="left"/>
    </xf>
    <xf numFmtId="2" fontId="2" fillId="2" borderId="20" xfId="0" applyNumberFormat="1" applyFont="1" applyFill="1" applyBorder="1" applyAlignment="1">
      <alignment horizontal="right"/>
    </xf>
    <xf numFmtId="165" fontId="2" fillId="2" borderId="2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6" fillId="0" borderId="20" xfId="0" applyFont="1" applyBorder="1" applyAlignment="1">
      <alignment horizontal="right"/>
    </xf>
    <xf numFmtId="2" fontId="2" fillId="0" borderId="0" xfId="0" applyNumberFormat="1" applyFont="1" applyAlignment="1">
      <alignment horizontal="left"/>
    </xf>
    <xf numFmtId="0" fontId="2" fillId="0" borderId="20" xfId="0" applyFont="1" applyBorder="1" applyAlignment="1">
      <alignment horizontal="center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left"/>
    </xf>
    <xf numFmtId="0" fontId="13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3" fillId="0" borderId="0" xfId="0" applyNumberFormat="1" applyFont="1" applyAlignment="1">
      <alignment horizontal="center"/>
    </xf>
    <xf numFmtId="44" fontId="24" fillId="0" borderId="0" xfId="1" applyFont="1"/>
    <xf numFmtId="44" fontId="25" fillId="9" borderId="0" xfId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6" fillId="0" borderId="11" xfId="0" applyNumberFormat="1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2" fontId="2" fillId="0" borderId="11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center"/>
    </xf>
    <xf numFmtId="44" fontId="2" fillId="0" borderId="20" xfId="1" applyFont="1" applyBorder="1" applyAlignment="1">
      <alignment horizontal="left"/>
    </xf>
    <xf numFmtId="44" fontId="2" fillId="0" borderId="20" xfId="1" applyFont="1" applyBorder="1"/>
    <xf numFmtId="0" fontId="6" fillId="0" borderId="21" xfId="0" applyFont="1" applyBorder="1"/>
    <xf numFmtId="44" fontId="2" fillId="0" borderId="20" xfId="0" applyNumberFormat="1" applyFont="1" applyBorder="1"/>
    <xf numFmtId="44" fontId="2" fillId="0" borderId="21" xfId="1" applyFont="1" applyBorder="1" applyAlignment="1">
      <alignment horizontal="right"/>
    </xf>
    <xf numFmtId="0" fontId="4" fillId="10" borderId="0" xfId="0" applyFont="1" applyFill="1" applyAlignment="1">
      <alignment horizontal="left"/>
    </xf>
    <xf numFmtId="0" fontId="6" fillId="10" borderId="0" xfId="0" applyFont="1" applyFill="1"/>
    <xf numFmtId="0" fontId="2" fillId="10" borderId="0" xfId="0" applyFont="1" applyFill="1" applyAlignment="1">
      <alignment horizontal="center"/>
    </xf>
    <xf numFmtId="0" fontId="2" fillId="10" borderId="0" xfId="0" applyFont="1" applyFill="1"/>
    <xf numFmtId="44" fontId="5" fillId="10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2" fontId="25" fillId="9" borderId="0" xfId="0" applyNumberFormat="1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14" zoomScale="80" zoomScaleNormal="80" workbookViewId="0">
      <selection activeCell="D41" sqref="D4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209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134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210</v>
      </c>
      <c r="D16" s="25"/>
      <c r="E16" s="25"/>
      <c r="F16" s="62">
        <v>33.5</v>
      </c>
      <c r="G16" s="102" t="s">
        <v>123</v>
      </c>
      <c r="H16" s="103">
        <v>53.2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500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154</v>
      </c>
      <c r="D23" s="5" t="s">
        <v>24</v>
      </c>
      <c r="E23" s="31" t="s">
        <v>136</v>
      </c>
      <c r="F23" s="1" t="s">
        <v>203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33.5</v>
      </c>
      <c r="D26" s="37" t="s">
        <v>29</v>
      </c>
      <c r="E26" s="36">
        <f>+H16</f>
        <v>53.2</v>
      </c>
      <c r="F26" s="38">
        <f>+E26</f>
        <v>53.2</v>
      </c>
      <c r="G26" s="38" t="s">
        <v>29</v>
      </c>
      <c r="H26" s="38">
        <f>+C26</f>
        <v>33.5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2.6865671641791047</v>
      </c>
      <c r="D27" s="42"/>
      <c r="E27" s="41">
        <f>+E25/E26</f>
        <v>2.4436090225563909</v>
      </c>
      <c r="F27" s="41">
        <f>+F25/F26</f>
        <v>1.6917293233082706</v>
      </c>
      <c r="G27" s="42"/>
      <c r="H27" s="41">
        <f>+H25/H26</f>
        <v>3.8805970149253732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4</v>
      </c>
      <c r="E28" s="46"/>
      <c r="F28" s="47"/>
      <c r="G28" s="48">
        <v>3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130</v>
      </c>
      <c r="D30" s="50" t="s">
        <v>40</v>
      </c>
      <c r="E30" s="51">
        <v>35.975000000000001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35.975000000000001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35.975000000000001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</f>
        <v>39.572500000000005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4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1000</v>
      </c>
      <c r="D40" s="33">
        <v>60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1060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265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1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1060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1060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v>1000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9533.375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500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142</v>
      </c>
      <c r="G52" s="39">
        <v>500</v>
      </c>
      <c r="H52" s="39">
        <f t="shared" ref="H52:H59" si="0">+G52*E52</f>
        <v>500</v>
      </c>
      <c r="I52" s="39">
        <f>+(B72/100)*2</f>
        <v>222.73425000000003</v>
      </c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0</v>
      </c>
      <c r="F53" s="30" t="s">
        <v>120</v>
      </c>
      <c r="G53" s="39">
        <v>120</v>
      </c>
      <c r="H53" s="39">
        <f t="shared" si="0"/>
        <v>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0</v>
      </c>
      <c r="F54" s="30" t="s">
        <v>121</v>
      </c>
      <c r="G54" s="39">
        <v>120</v>
      </c>
      <c r="H54" s="39">
        <f t="shared" si="0"/>
        <v>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10033.375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10.033374999999999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500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1.3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11.136712500000002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10486.712500000001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650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10.033374999999999</v>
      </c>
      <c r="I68" s="91">
        <f>+H68*B48</f>
        <v>10033.375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11.136712500000002</v>
      </c>
      <c r="I69" s="91">
        <f>+H69*B48</f>
        <v>11136.712500000001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1.1033375000000021</v>
      </c>
      <c r="I70" s="91">
        <f>+H70*B48</f>
        <v>1103.3375000000021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11136.712500000001</v>
      </c>
      <c r="C72" s="96">
        <f>+B72/B48</f>
        <v>11.136712500000002</v>
      </c>
      <c r="D72" s="5" t="s">
        <v>158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42" zoomScale="80" zoomScaleNormal="80" workbookViewId="0">
      <selection activeCell="E73" sqref="E7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tr">
        <f>+'cartón cajón '!C9</f>
        <v>06 de octubre de 2016.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192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211</v>
      </c>
      <c r="D16" s="25"/>
      <c r="E16" s="25"/>
      <c r="F16" s="62">
        <v>29.7</v>
      </c>
      <c r="G16" s="102" t="s">
        <v>123</v>
      </c>
      <c r="H16" s="103">
        <v>34.4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500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154</v>
      </c>
      <c r="D23" s="5" t="s">
        <v>24</v>
      </c>
      <c r="E23" s="31" t="s">
        <v>136</v>
      </c>
      <c r="F23" s="1" t="s">
        <v>203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29.7</v>
      </c>
      <c r="D26" s="37" t="s">
        <v>29</v>
      </c>
      <c r="E26" s="36">
        <f>+H16</f>
        <v>34.4</v>
      </c>
      <c r="F26" s="38">
        <f>+E26</f>
        <v>34.4</v>
      </c>
      <c r="G26" s="38" t="s">
        <v>29</v>
      </c>
      <c r="H26" s="38">
        <f>+C26</f>
        <v>29.7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3.0303030303030303</v>
      </c>
      <c r="D27" s="42"/>
      <c r="E27" s="41">
        <f>+E25/E26</f>
        <v>3.7790697674418605</v>
      </c>
      <c r="F27" s="41">
        <f>+F25/F26</f>
        <v>2.6162790697674421</v>
      </c>
      <c r="G27" s="42"/>
      <c r="H27" s="41">
        <f>+H25/H26</f>
        <v>4.3771043771043772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9</v>
      </c>
      <c r="E28" s="46"/>
      <c r="F28" s="47"/>
      <c r="G28" s="48">
        <v>8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130</v>
      </c>
      <c r="D30" s="50" t="s">
        <v>40</v>
      </c>
      <c r="E30" s="51">
        <f>+'cartón cajón '!E30</f>
        <v>35.975000000000001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35.975000000000001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35.975000000000001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</f>
        <v>39.572500000000005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8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1000</v>
      </c>
      <c r="D40" s="33">
        <v>60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1060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132.5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1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1060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1060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+'cartón cajón '!B48</f>
        <v>1000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4766.6875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500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142</v>
      </c>
      <c r="G52" s="39">
        <v>500</v>
      </c>
      <c r="H52" s="39">
        <f t="shared" ref="H52" si="0">+G52*E52</f>
        <v>500</v>
      </c>
      <c r="I52" s="39">
        <f>+(B72/100)*2</f>
        <v>117.86712500000002</v>
      </c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0</v>
      </c>
      <c r="F53" s="30" t="s">
        <v>120</v>
      </c>
      <c r="G53" s="39">
        <v>130</v>
      </c>
      <c r="H53" s="39">
        <f t="shared" ref="H53:H59" si="1">+G53*E53</f>
        <v>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0</v>
      </c>
      <c r="F54" s="30" t="s">
        <v>121</v>
      </c>
      <c r="G54" s="39">
        <v>130</v>
      </c>
      <c r="H54" s="39">
        <f t="shared" si="1"/>
        <v>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1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1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1"/>
        <v>0</v>
      </c>
      <c r="J57" s="5" t="s">
        <v>89</v>
      </c>
    </row>
    <row r="58" spans="1:21" x14ac:dyDescent="0.3">
      <c r="A58" s="73" t="s">
        <v>90</v>
      </c>
      <c r="B58" s="78">
        <f>SUM(B50:B57)</f>
        <v>5266.6875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1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1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5.2666874999999997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500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1.3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5.893356250000001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5243.3562500000007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650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5.2666874999999997</v>
      </c>
      <c r="I68" s="91">
        <f>+H68*C46</f>
        <v>5582.6887499999993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5.893356250000001</v>
      </c>
      <c r="I69" s="91">
        <f>+H69*C46</f>
        <v>6246.9576250000009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0.62666875000000122</v>
      </c>
      <c r="I70" s="91">
        <f>+H70*C46</f>
        <v>664.26887500000134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5893.3562500000007</v>
      </c>
      <c r="C72" s="96">
        <f>+B72/B48</f>
        <v>5.893356250000001</v>
      </c>
      <c r="D72" s="5" t="s">
        <v>159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13" zoomScale="80" zoomScaleNormal="80" workbookViewId="0">
      <selection activeCell="D41" sqref="D4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 t="s">
        <v>1</v>
      </c>
      <c r="P2" s="3"/>
    </row>
    <row r="3" spans="1:21" ht="16.5" thickBot="1" x14ac:dyDescent="0.35">
      <c r="J3" s="5" t="s">
        <v>16</v>
      </c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 s="119"/>
      <c r="K4" s="120"/>
      <c r="L4" s="120"/>
      <c r="M4" s="120"/>
      <c r="N4" s="120"/>
      <c r="O4" s="120"/>
      <c r="P4" s="121"/>
      <c r="Q4"/>
      <c r="R4"/>
    </row>
    <row r="5" spans="1:21" ht="15.75" x14ac:dyDescent="0.3">
      <c r="A5" s="5"/>
      <c r="J5" s="122"/>
      <c r="K5" s="123"/>
      <c r="L5" s="123"/>
      <c r="M5" s="123"/>
      <c r="N5" s="123"/>
      <c r="O5" s="123"/>
      <c r="P5" s="124"/>
      <c r="Q5"/>
      <c r="R5"/>
    </row>
    <row r="6" spans="1:21" ht="18.75" x14ac:dyDescent="0.3">
      <c r="A6" s="2" t="s">
        <v>4</v>
      </c>
      <c r="E6" s="5" t="s">
        <v>5</v>
      </c>
      <c r="F6" s="1" t="s">
        <v>6</v>
      </c>
      <c r="J6" s="122"/>
      <c r="K6" s="123"/>
      <c r="L6" s="123"/>
      <c r="M6" s="123"/>
      <c r="N6" s="123"/>
      <c r="O6" s="123"/>
      <c r="P6" s="124"/>
      <c r="Q6"/>
      <c r="R6"/>
    </row>
    <row r="7" spans="1:21" ht="15.75" x14ac:dyDescent="0.3">
      <c r="J7" s="122"/>
      <c r="K7" s="123"/>
      <c r="L7" s="123"/>
      <c r="M7" s="123"/>
      <c r="N7" s="123"/>
      <c r="O7" s="123"/>
      <c r="P7" s="124"/>
      <c r="Q7"/>
      <c r="R7"/>
    </row>
    <row r="8" spans="1:21" ht="15.75" x14ac:dyDescent="0.3">
      <c r="J8" s="122"/>
      <c r="K8" s="123"/>
      <c r="L8" s="123"/>
      <c r="M8" s="123"/>
      <c r="N8" s="123"/>
      <c r="O8" s="123"/>
      <c r="P8" s="124"/>
      <c r="Q8"/>
      <c r="R8"/>
    </row>
    <row r="9" spans="1:21" s="5" customFormat="1" ht="15.75" x14ac:dyDescent="0.3">
      <c r="A9" s="5" t="s">
        <v>11</v>
      </c>
      <c r="C9" s="5" t="str">
        <f>+'cartón cajón '!C9</f>
        <v>06 de octubre de 2016.</v>
      </c>
      <c r="H9" s="5" t="s">
        <v>12</v>
      </c>
      <c r="J9" s="122"/>
      <c r="K9" s="123"/>
      <c r="L9" s="123"/>
      <c r="M9" s="123"/>
      <c r="N9" s="123"/>
      <c r="O9" s="123"/>
      <c r="P9" s="124"/>
      <c r="Q9"/>
      <c r="R9"/>
      <c r="S9" s="1"/>
      <c r="T9" s="1"/>
      <c r="U9" s="1"/>
    </row>
    <row r="10" spans="1:21" ht="15.75" x14ac:dyDescent="0.3">
      <c r="J10" s="122"/>
      <c r="K10" s="123"/>
      <c r="L10" s="123"/>
      <c r="M10" s="123"/>
      <c r="N10" s="123"/>
      <c r="O10" s="123"/>
      <c r="P10" s="124"/>
      <c r="Q10"/>
      <c r="R10"/>
    </row>
    <row r="11" spans="1:21" ht="16.5" thickBot="1" x14ac:dyDescent="0.35">
      <c r="A11" s="5" t="s">
        <v>15</v>
      </c>
      <c r="C11" s="1" t="s">
        <v>194</v>
      </c>
      <c r="F11" s="5" t="s">
        <v>1</v>
      </c>
      <c r="J11" s="122"/>
      <c r="K11" s="123"/>
      <c r="L11" s="123"/>
      <c r="M11" s="123"/>
      <c r="N11" s="123"/>
      <c r="O11" s="123"/>
      <c r="P11" s="124"/>
      <c r="Q11"/>
      <c r="R11"/>
    </row>
    <row r="12" spans="1:21" ht="15.75" x14ac:dyDescent="0.3">
      <c r="A12" s="5"/>
      <c r="F12" s="18"/>
      <c r="G12" s="19"/>
      <c r="H12" s="20"/>
      <c r="J12" s="122"/>
      <c r="K12" s="123"/>
      <c r="L12" s="123"/>
      <c r="M12" s="123"/>
      <c r="N12" s="123"/>
      <c r="O12" s="123"/>
      <c r="P12" s="124"/>
      <c r="Q12"/>
      <c r="R12"/>
    </row>
    <row r="13" spans="1:21" ht="15.75" x14ac:dyDescent="0.3">
      <c r="A13" s="5" t="s">
        <v>17</v>
      </c>
      <c r="F13" s="11"/>
      <c r="G13" s="12"/>
      <c r="H13" s="13"/>
      <c r="J13" s="122"/>
      <c r="K13" s="123"/>
      <c r="L13" s="123"/>
      <c r="M13" s="123"/>
      <c r="N13" s="123"/>
      <c r="O13" s="123"/>
      <c r="P13" s="124"/>
      <c r="Q13"/>
      <c r="R13"/>
    </row>
    <row r="14" spans="1:21" ht="15.75" x14ac:dyDescent="0.3">
      <c r="A14" s="5"/>
      <c r="F14" s="11"/>
      <c r="G14" s="12"/>
      <c r="H14" s="13"/>
      <c r="J14" s="122"/>
      <c r="K14" s="123"/>
      <c r="L14" s="123"/>
      <c r="M14" s="123"/>
      <c r="N14" s="123"/>
      <c r="O14" s="123"/>
      <c r="P14" s="124"/>
      <c r="Q14"/>
      <c r="R14"/>
    </row>
    <row r="15" spans="1:21" ht="15.75" x14ac:dyDescent="0.3">
      <c r="A15" s="5" t="s">
        <v>18</v>
      </c>
      <c r="C15" s="26" t="s">
        <v>193</v>
      </c>
      <c r="D15" s="25"/>
      <c r="E15" s="25"/>
      <c r="F15" s="101" t="s">
        <v>129</v>
      </c>
      <c r="G15" s="12"/>
      <c r="H15" s="13"/>
      <c r="J15" s="122"/>
      <c r="K15" s="123"/>
      <c r="L15" s="123"/>
      <c r="M15" s="123"/>
      <c r="N15" s="123"/>
      <c r="O15" s="123"/>
      <c r="P15" s="124"/>
      <c r="Q15"/>
      <c r="R15"/>
    </row>
    <row r="16" spans="1:21" ht="16.5" thickBot="1" x14ac:dyDescent="0.35">
      <c r="C16" s="24" t="s">
        <v>212</v>
      </c>
      <c r="D16" s="25"/>
      <c r="E16" s="25"/>
      <c r="F16" s="62">
        <v>10.9</v>
      </c>
      <c r="G16" s="102" t="s">
        <v>123</v>
      </c>
      <c r="H16" s="103">
        <v>34.4</v>
      </c>
      <c r="J16" s="125"/>
      <c r="K16" s="126"/>
      <c r="L16" s="126"/>
      <c r="M16" s="126"/>
      <c r="N16" s="126"/>
      <c r="O16" s="126"/>
      <c r="P16" s="127"/>
      <c r="Q16"/>
      <c r="R16"/>
    </row>
    <row r="17" spans="1:18" ht="15.75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/>
      <c r="K17"/>
      <c r="L17"/>
      <c r="M17"/>
      <c r="N17"/>
      <c r="O17"/>
      <c r="P17"/>
      <c r="Q17"/>
      <c r="R17"/>
    </row>
    <row r="18" spans="1:18" x14ac:dyDescent="0.3">
      <c r="C18" s="24"/>
      <c r="D18" s="25"/>
      <c r="E18" s="25"/>
      <c r="F18" s="101"/>
      <c r="G18" s="12"/>
      <c r="H18" s="13"/>
      <c r="J18" s="29" t="s">
        <v>21</v>
      </c>
      <c r="K18" s="29" t="s">
        <v>27</v>
      </c>
      <c r="L18" s="1" t="s">
        <v>166</v>
      </c>
      <c r="M18" s="1" t="s">
        <v>167</v>
      </c>
      <c r="N18" s="1" t="s">
        <v>162</v>
      </c>
      <c r="O18" s="1" t="s">
        <v>168</v>
      </c>
      <c r="P18" s="1" t="s">
        <v>169</v>
      </c>
    </row>
    <row r="19" spans="1:18" x14ac:dyDescent="0.3">
      <c r="C19" s="27"/>
      <c r="D19" s="25"/>
      <c r="E19" s="25"/>
      <c r="F19" s="62"/>
      <c r="G19" s="102"/>
      <c r="H19" s="103"/>
      <c r="K19" s="50" t="s">
        <v>170</v>
      </c>
      <c r="M19" s="91">
        <f>+L19/100</f>
        <v>0</v>
      </c>
      <c r="N19" s="91">
        <v>120</v>
      </c>
      <c r="O19" s="91">
        <v>120</v>
      </c>
      <c r="P19" s="91">
        <v>120</v>
      </c>
    </row>
    <row r="20" spans="1:18" x14ac:dyDescent="0.3">
      <c r="C20" s="25"/>
      <c r="D20" s="25"/>
      <c r="E20" s="25"/>
      <c r="F20" s="101"/>
      <c r="G20" s="104"/>
      <c r="H20" s="13"/>
      <c r="K20" s="50" t="s">
        <v>30</v>
      </c>
    </row>
    <row r="21" spans="1:18" x14ac:dyDescent="0.3">
      <c r="C21" s="25"/>
      <c r="D21" s="25"/>
      <c r="E21" s="25"/>
      <c r="F21" s="11"/>
      <c r="G21" s="12"/>
      <c r="H21" s="13"/>
      <c r="K21" s="50" t="s">
        <v>33</v>
      </c>
    </row>
    <row r="22" spans="1:18" ht="15" thickBot="1" x14ac:dyDescent="0.35">
      <c r="C22" s="25"/>
      <c r="D22" s="25"/>
      <c r="E22" s="25"/>
      <c r="F22" s="21"/>
      <c r="G22" s="22"/>
      <c r="H22" s="23"/>
      <c r="K22" s="50" t="s">
        <v>35</v>
      </c>
    </row>
    <row r="23" spans="1:18" x14ac:dyDescent="0.3">
      <c r="A23" s="4" t="s">
        <v>23</v>
      </c>
      <c r="C23" s="30" t="s">
        <v>195</v>
      </c>
      <c r="D23" s="5" t="s">
        <v>24</v>
      </c>
      <c r="E23" s="31" t="s">
        <v>196</v>
      </c>
      <c r="F23" s="1" t="s">
        <v>213</v>
      </c>
    </row>
    <row r="25" spans="1:18" ht="15" thickBot="1" x14ac:dyDescent="0.35">
      <c r="A25" s="4" t="s">
        <v>28</v>
      </c>
      <c r="C25" s="32">
        <v>100</v>
      </c>
      <c r="D25" s="31" t="s">
        <v>29</v>
      </c>
      <c r="E25" s="33">
        <v>200</v>
      </c>
      <c r="F25" s="34">
        <f>+C25</f>
        <v>100</v>
      </c>
      <c r="G25" s="35" t="s">
        <v>29</v>
      </c>
      <c r="H25" s="35">
        <f>+E25</f>
        <v>200</v>
      </c>
      <c r="J25" s="29" t="s">
        <v>38</v>
      </c>
    </row>
    <row r="26" spans="1:18" ht="15" thickBot="1" x14ac:dyDescent="0.35">
      <c r="A26" s="4" t="s">
        <v>32</v>
      </c>
      <c r="B26" s="3"/>
      <c r="C26" s="36">
        <f>+F16</f>
        <v>10.9</v>
      </c>
      <c r="D26" s="37" t="s">
        <v>29</v>
      </c>
      <c r="E26" s="36">
        <f>+H16</f>
        <v>34.4</v>
      </c>
      <c r="F26" s="38">
        <f>+E26</f>
        <v>34.4</v>
      </c>
      <c r="G26" s="38" t="s">
        <v>29</v>
      </c>
      <c r="H26" s="38">
        <f>+C26</f>
        <v>10.9</v>
      </c>
      <c r="I26" s="39"/>
      <c r="J26" s="29"/>
      <c r="M26" s="128" t="s">
        <v>104</v>
      </c>
      <c r="N26" s="129" t="s">
        <v>171</v>
      </c>
      <c r="O26" s="56"/>
    </row>
    <row r="27" spans="1:18" ht="15" thickBot="1" x14ac:dyDescent="0.35">
      <c r="A27" s="3" t="s">
        <v>34</v>
      </c>
      <c r="B27" s="40"/>
      <c r="C27" s="41">
        <f>+C25/C26</f>
        <v>9.1743119266055047</v>
      </c>
      <c r="D27" s="42"/>
      <c r="E27" s="41">
        <f>+E25/E26</f>
        <v>5.8139534883720936</v>
      </c>
      <c r="F27" s="41">
        <f>+F25/F26</f>
        <v>2.9069767441860468</v>
      </c>
      <c r="G27" s="42"/>
      <c r="H27" s="41">
        <f>+H25/H26</f>
        <v>18.348623853211009</v>
      </c>
      <c r="I27" s="39"/>
      <c r="K27" s="1" t="s">
        <v>45</v>
      </c>
      <c r="L27" s="1" t="s">
        <v>172</v>
      </c>
      <c r="M27" s="130"/>
      <c r="N27" s="55"/>
      <c r="O27" s="56"/>
      <c r="P27" s="57"/>
      <c r="Q27" s="19"/>
      <c r="R27" s="20"/>
    </row>
    <row r="28" spans="1:18" ht="15" thickBot="1" x14ac:dyDescent="0.35">
      <c r="A28" s="3" t="s">
        <v>36</v>
      </c>
      <c r="B28" s="43"/>
      <c r="C28" s="44"/>
      <c r="D28" s="45">
        <v>45</v>
      </c>
      <c r="E28" s="46"/>
      <c r="F28" s="47"/>
      <c r="G28" s="48">
        <v>36</v>
      </c>
      <c r="H28" s="49" t="s">
        <v>37</v>
      </c>
      <c r="K28" s="1" t="s">
        <v>173</v>
      </c>
      <c r="M28" s="131">
        <v>135</v>
      </c>
      <c r="N28" s="132" t="s">
        <v>174</v>
      </c>
      <c r="O28" s="61"/>
      <c r="P28" s="62"/>
      <c r="Q28" s="12"/>
      <c r="R28" s="13"/>
    </row>
    <row r="29" spans="1:18" x14ac:dyDescent="0.3">
      <c r="A29" s="3"/>
      <c r="B29" s="30"/>
      <c r="C29" s="39"/>
      <c r="G29" s="50"/>
      <c r="H29" s="39"/>
      <c r="K29" s="1" t="s">
        <v>175</v>
      </c>
      <c r="M29" s="131">
        <v>135</v>
      </c>
      <c r="N29" s="133" t="s">
        <v>174</v>
      </c>
      <c r="O29" s="61"/>
      <c r="P29" s="62"/>
      <c r="Q29" s="12"/>
      <c r="R29" s="13"/>
    </row>
    <row r="30" spans="1:18" x14ac:dyDescent="0.3">
      <c r="A30" s="34" t="s">
        <v>39</v>
      </c>
      <c r="B30" s="34"/>
      <c r="D30" s="50" t="s">
        <v>40</v>
      </c>
      <c r="E30" s="51">
        <v>250</v>
      </c>
      <c r="G30" s="1" t="s">
        <v>41</v>
      </c>
      <c r="H30" s="52">
        <v>0</v>
      </c>
      <c r="K30" s="1" t="s">
        <v>48</v>
      </c>
      <c r="M30" s="131">
        <v>200</v>
      </c>
      <c r="N30" s="133" t="s">
        <v>176</v>
      </c>
      <c r="O30" s="61"/>
      <c r="P30" s="62"/>
      <c r="Q30" s="12"/>
      <c r="R30" s="13"/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50</v>
      </c>
      <c r="L31" s="1" t="s">
        <v>172</v>
      </c>
      <c r="M31" s="131"/>
      <c r="N31" s="133"/>
      <c r="O31" s="61"/>
      <c r="P31" s="62"/>
      <c r="Q31" s="12"/>
      <c r="R31" s="13"/>
    </row>
    <row r="32" spans="1:18" x14ac:dyDescent="0.3">
      <c r="D32" s="53" t="s">
        <v>44</v>
      </c>
      <c r="E32" s="58">
        <f>+E30-E31</f>
        <v>250</v>
      </c>
      <c r="I32" s="39"/>
      <c r="K32" s="1" t="s">
        <v>52</v>
      </c>
      <c r="M32" s="131">
        <v>300</v>
      </c>
      <c r="N32" s="133" t="s">
        <v>176</v>
      </c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53</v>
      </c>
      <c r="L33" s="1" t="s">
        <v>172</v>
      </c>
      <c r="M33" s="131"/>
      <c r="N33" s="13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250</v>
      </c>
      <c r="F34" s="64">
        <v>0</v>
      </c>
      <c r="G34" s="64">
        <v>0</v>
      </c>
      <c r="H34" s="64">
        <v>0</v>
      </c>
      <c r="K34" s="1" t="s">
        <v>60</v>
      </c>
      <c r="L34" s="1" t="s">
        <v>172</v>
      </c>
      <c r="M34" s="131"/>
      <c r="N34" s="133"/>
      <c r="O34" s="61"/>
      <c r="P34" s="62"/>
      <c r="Q34" s="12"/>
      <c r="R34" s="13"/>
    </row>
    <row r="35" spans="1:18" x14ac:dyDescent="0.3">
      <c r="D35" s="50" t="s">
        <v>51</v>
      </c>
      <c r="E35" s="64">
        <f>+E34*1.1</f>
        <v>275</v>
      </c>
      <c r="F35" s="64">
        <v>0</v>
      </c>
      <c r="G35" s="64">
        <v>0</v>
      </c>
      <c r="H35" s="64">
        <v>0</v>
      </c>
      <c r="K35" s="1" t="s">
        <v>62</v>
      </c>
      <c r="L35" s="1" t="s">
        <v>172</v>
      </c>
      <c r="M35" s="131"/>
      <c r="N35" s="13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65</v>
      </c>
      <c r="L36" s="1" t="s">
        <v>172</v>
      </c>
      <c r="M36" s="131"/>
      <c r="N36" s="13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68</v>
      </c>
      <c r="L37" s="1" t="s">
        <v>172</v>
      </c>
      <c r="M37" s="131"/>
      <c r="N37" s="13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40</v>
      </c>
      <c r="D38" s="66" t="s">
        <v>58</v>
      </c>
      <c r="E38" s="21"/>
      <c r="F38" s="22" t="s">
        <v>59</v>
      </c>
      <c r="G38" s="22"/>
      <c r="H38" s="23"/>
      <c r="K38" s="1" t="s">
        <v>71</v>
      </c>
      <c r="L38" s="1" t="s">
        <v>172</v>
      </c>
      <c r="M38" s="131"/>
      <c r="N38" s="13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73</v>
      </c>
      <c r="L39" s="1" t="s">
        <v>172</v>
      </c>
      <c r="M39" s="131"/>
      <c r="N39" s="13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1000</v>
      </c>
      <c r="D40" s="33">
        <v>200</v>
      </c>
      <c r="F40" s="53" t="s">
        <v>64</v>
      </c>
      <c r="G40" s="32">
        <v>1</v>
      </c>
      <c r="H40" s="3"/>
      <c r="K40" s="1" t="s">
        <v>75</v>
      </c>
      <c r="M40" s="131">
        <v>120</v>
      </c>
      <c r="N40" s="133" t="s">
        <v>174</v>
      </c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1200</v>
      </c>
      <c r="F41" s="53" t="s">
        <v>67</v>
      </c>
      <c r="G41" s="32">
        <v>1</v>
      </c>
      <c r="H41" s="3"/>
      <c r="K41" s="1" t="s">
        <v>177</v>
      </c>
      <c r="M41" s="59"/>
      <c r="N41" s="63"/>
      <c r="O41" s="61"/>
      <c r="P41" s="62"/>
      <c r="Q41" s="12"/>
      <c r="R41" s="13"/>
    </row>
    <row r="42" spans="1:18" ht="15" thickBot="1" x14ac:dyDescent="0.35">
      <c r="A42" s="4" t="s">
        <v>69</v>
      </c>
      <c r="C42" s="43">
        <f>+C41/C38</f>
        <v>30</v>
      </c>
      <c r="F42" s="53" t="s">
        <v>70</v>
      </c>
      <c r="G42" s="32"/>
      <c r="H42" s="3"/>
      <c r="K42" s="1" t="s">
        <v>78</v>
      </c>
      <c r="M42" s="69"/>
      <c r="N42" s="70"/>
      <c r="O42" s="71"/>
      <c r="P42" s="72"/>
      <c r="Q42" s="22"/>
      <c r="R42" s="23"/>
    </row>
    <row r="43" spans="1:18" x14ac:dyDescent="0.3">
      <c r="A43" s="4"/>
      <c r="C43" s="30"/>
      <c r="F43" s="50" t="s">
        <v>72</v>
      </c>
      <c r="G43" s="32">
        <f>+C40/1000</f>
        <v>1</v>
      </c>
      <c r="H43" s="3"/>
      <c r="M43" s="12"/>
      <c r="N43" s="17"/>
      <c r="O43" s="102"/>
      <c r="P43" s="102"/>
      <c r="Q43" s="12"/>
      <c r="R43" s="12"/>
    </row>
    <row r="44" spans="1:18" x14ac:dyDescent="0.3">
      <c r="A44" s="4"/>
      <c r="C44" s="68"/>
      <c r="F44" s="53" t="s">
        <v>74</v>
      </c>
      <c r="G44" s="65">
        <f>+C41</f>
        <v>1200</v>
      </c>
      <c r="H44" s="3"/>
      <c r="M44" s="12"/>
      <c r="N44" s="17"/>
      <c r="O44" s="102"/>
      <c r="P44" s="102"/>
      <c r="Q44" s="12"/>
      <c r="R44" s="12"/>
    </row>
    <row r="45" spans="1:18" x14ac:dyDescent="0.3">
      <c r="A45" s="4"/>
      <c r="C45" s="30"/>
      <c r="E45" s="53"/>
      <c r="F45" s="53"/>
      <c r="G45" s="39"/>
      <c r="I45" s="3"/>
      <c r="M45" s="12"/>
      <c r="N45" s="17"/>
      <c r="O45" s="102"/>
      <c r="P45" s="102"/>
      <c r="Q45" s="12"/>
      <c r="R45" s="12"/>
    </row>
    <row r="46" spans="1:18" x14ac:dyDescent="0.3">
      <c r="A46" s="4" t="s">
        <v>77</v>
      </c>
      <c r="C46" s="34">
        <f>+C42*C38</f>
        <v>1200</v>
      </c>
      <c r="F46" s="53"/>
      <c r="G46" s="39"/>
      <c r="H46" s="3"/>
      <c r="M46" s="12"/>
      <c r="N46" s="17"/>
      <c r="O46" s="102"/>
      <c r="P46" s="102"/>
      <c r="Q46" s="12"/>
      <c r="R46" s="12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178</v>
      </c>
    </row>
    <row r="48" spans="1:18" x14ac:dyDescent="0.3">
      <c r="A48" s="4" t="s">
        <v>118</v>
      </c>
      <c r="B48" s="30">
        <f>+C48</f>
        <v>1000</v>
      </c>
      <c r="C48" s="30">
        <f>+'cartón tapa'!B48*1</f>
        <v>1000</v>
      </c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7500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770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142</v>
      </c>
      <c r="G52" s="39">
        <v>500</v>
      </c>
      <c r="H52" s="39">
        <f t="shared" ref="H52:H59" si="0">+G52*E52</f>
        <v>500</v>
      </c>
      <c r="I52" s="39">
        <f>+(B72/100)*2</f>
        <v>205.82</v>
      </c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800</v>
      </c>
      <c r="C53" s="3"/>
      <c r="D53" s="30">
        <v>1</v>
      </c>
      <c r="E53" s="30">
        <v>1</v>
      </c>
      <c r="F53" s="30" t="s">
        <v>120</v>
      </c>
      <c r="G53" s="39">
        <f>+M28</f>
        <v>135</v>
      </c>
      <c r="H53" s="39">
        <f t="shared" ref="H53:H54" si="1">+(D53*E53)*G53</f>
        <v>135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186</v>
      </c>
      <c r="B54" s="75">
        <v>0</v>
      </c>
      <c r="C54" s="3"/>
      <c r="D54" s="30">
        <v>1</v>
      </c>
      <c r="E54" s="30">
        <v>1</v>
      </c>
      <c r="F54" s="30" t="s">
        <v>121</v>
      </c>
      <c r="G54" s="39">
        <f>+M29</f>
        <v>135</v>
      </c>
      <c r="H54" s="39">
        <f t="shared" si="1"/>
        <v>135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9070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+B58/'cartón tapa'!B48</f>
        <v>9.07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770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1.3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/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8250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1001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1040</v>
      </c>
      <c r="C68" s="87"/>
      <c r="G68" s="90" t="s">
        <v>111</v>
      </c>
      <c r="H68" s="41">
        <f>+B60</f>
        <v>9.07</v>
      </c>
      <c r="I68" s="91">
        <f>+H68*C46</f>
        <v>10884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+A54</f>
        <v>Colocado</v>
      </c>
      <c r="B69" s="75">
        <f>+B54*H62</f>
        <v>0</v>
      </c>
      <c r="C69" s="87"/>
      <c r="G69" s="90" t="s">
        <v>113</v>
      </c>
      <c r="H69" s="41">
        <f>+C72</f>
        <v>10.291</v>
      </c>
      <c r="I69" s="91">
        <f>+H69*C46</f>
        <v>12349.2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1.2210000000000001</v>
      </c>
      <c r="I70" s="91">
        <f>+H70*C46</f>
        <v>1465.2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10291</v>
      </c>
      <c r="C72" s="96">
        <f>+B72/'cartón tapa'!B48</f>
        <v>10.291</v>
      </c>
      <c r="D72" s="5" t="s">
        <v>206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zoomScale="80" zoomScaleNormal="80" workbookViewId="0">
      <selection activeCell="C16" sqref="C1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tr">
        <f>+'cartón cajón '!C9</f>
        <v>06 de octubre de 2016.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197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214</v>
      </c>
      <c r="D16" s="25"/>
      <c r="E16" s="25"/>
      <c r="F16" s="62">
        <v>33.5</v>
      </c>
      <c r="G16" s="102" t="s">
        <v>123</v>
      </c>
      <c r="H16" s="103">
        <v>53.2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215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204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 t="s">
        <v>198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141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4437.7249999999995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199</v>
      </c>
      <c r="D23" s="5" t="s">
        <v>24</v>
      </c>
      <c r="E23" s="31" t="s">
        <v>200</v>
      </c>
      <c r="F23" s="1" t="s">
        <v>201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57</v>
      </c>
      <c r="D25" s="31" t="s">
        <v>29</v>
      </c>
      <c r="E25" s="33">
        <v>87</v>
      </c>
      <c r="F25" s="34">
        <f>+C25</f>
        <v>57</v>
      </c>
      <c r="G25" s="35" t="s">
        <v>29</v>
      </c>
      <c r="H25" s="35">
        <f>+E25</f>
        <v>87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33.5</v>
      </c>
      <c r="D26" s="37" t="s">
        <v>29</v>
      </c>
      <c r="E26" s="36">
        <f>+H16</f>
        <v>53.2</v>
      </c>
      <c r="F26" s="38">
        <f>+E26</f>
        <v>53.2</v>
      </c>
      <c r="G26" s="38" t="s">
        <v>29</v>
      </c>
      <c r="H26" s="38">
        <f>+C26</f>
        <v>33.5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1.7014925373134329</v>
      </c>
      <c r="D27" s="42"/>
      <c r="E27" s="41">
        <f>+E25/E26</f>
        <v>1.6353383458646615</v>
      </c>
      <c r="F27" s="41">
        <f>+F25/F26</f>
        <v>1.0714285714285714</v>
      </c>
      <c r="G27" s="42"/>
      <c r="H27" s="41">
        <f>+H25/H26</f>
        <v>2.5970149253731343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1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156</v>
      </c>
      <c r="D30" s="50" t="s">
        <v>40</v>
      </c>
      <c r="E30" s="51">
        <v>2.7629999999999999</v>
      </c>
      <c r="G30" s="1" t="s">
        <v>41</v>
      </c>
      <c r="H30" s="52">
        <v>0.53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1.4643900000000001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1.2986099999999998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1.2986099999999998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</f>
        <v>1.4284709999999998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1000</v>
      </c>
      <c r="D40" s="33">
        <v>300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1300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650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1300</v>
      </c>
      <c r="F43" s="50" t="s">
        <v>72</v>
      </c>
      <c r="G43" s="32">
        <f>+C40/1000</f>
        <v>1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1300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1300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+'cartón cajón '!B48</f>
        <v>1000</v>
      </c>
      <c r="C48" s="30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145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0</v>
      </c>
      <c r="E49" s="30">
        <v>0</v>
      </c>
      <c r="F49" s="30" t="s">
        <v>85</v>
      </c>
      <c r="G49" s="39">
        <v>295</v>
      </c>
      <c r="H49" s="39">
        <f>+(D49*E49)*G49</f>
        <v>0</v>
      </c>
      <c r="J49" s="11"/>
      <c r="K49" s="102">
        <f>+F16</f>
        <v>33.5</v>
      </c>
      <c r="L49" s="102">
        <f>+H16</f>
        <v>53.2</v>
      </c>
      <c r="M49" s="12" t="s">
        <v>144</v>
      </c>
      <c r="N49" s="102" t="s">
        <v>146</v>
      </c>
      <c r="O49" s="12" t="s">
        <v>147</v>
      </c>
      <c r="P49" s="12" t="s">
        <v>148</v>
      </c>
      <c r="Q49" s="12"/>
      <c r="R49" s="13"/>
    </row>
    <row r="50" spans="1:21" x14ac:dyDescent="0.3">
      <c r="A50" s="74" t="s">
        <v>86</v>
      </c>
      <c r="B50" s="75">
        <f>+E34*C42</f>
        <v>844.09649999999988</v>
      </c>
      <c r="C50" s="3">
        <f>+B50/2</f>
        <v>422.04824999999994</v>
      </c>
      <c r="D50" s="30">
        <v>1</v>
      </c>
      <c r="E50" s="30">
        <v>1</v>
      </c>
      <c r="F50" s="30" t="s">
        <v>119</v>
      </c>
      <c r="G50" s="39">
        <v>140</v>
      </c>
      <c r="H50" s="39">
        <f>+(D50*E50)*G50</f>
        <v>140</v>
      </c>
      <c r="J50" s="11"/>
      <c r="K50" s="102">
        <f>0.34*0.515*C41</f>
        <v>227.63</v>
      </c>
      <c r="L50" s="111">
        <f>3.9*1</f>
        <v>3.9</v>
      </c>
      <c r="M50" s="111">
        <f>+K50*L50</f>
        <v>887.75699999999995</v>
      </c>
      <c r="N50" s="111">
        <v>0</v>
      </c>
      <c r="O50" s="111">
        <f>+M50+N50</f>
        <v>887.75699999999995</v>
      </c>
      <c r="P50" s="104" t="s">
        <v>149</v>
      </c>
      <c r="Q50" s="12"/>
      <c r="R50" s="13"/>
    </row>
    <row r="51" spans="1:21" x14ac:dyDescent="0.3">
      <c r="A51" s="74" t="s">
        <v>21</v>
      </c>
      <c r="B51" s="75">
        <f>+H61</f>
        <v>4437.7249999999995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142</v>
      </c>
      <c r="G52" s="39">
        <v>300</v>
      </c>
      <c r="H52" s="39">
        <f t="shared" ref="H52:H59" si="0">+G52*E52</f>
        <v>300</v>
      </c>
      <c r="I52" s="39">
        <f>+(B73/100)*2</f>
        <v>133.950973</v>
      </c>
      <c r="J52" s="11"/>
      <c r="K52" s="102">
        <f>+K49</f>
        <v>33.5</v>
      </c>
      <c r="L52" s="102">
        <f>+L49</f>
        <v>53.2</v>
      </c>
      <c r="M52" s="12" t="s">
        <v>144</v>
      </c>
      <c r="N52" s="102" t="s">
        <v>146</v>
      </c>
      <c r="O52" s="12" t="s">
        <v>147</v>
      </c>
      <c r="P52" s="12" t="s">
        <v>150</v>
      </c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1</v>
      </c>
      <c r="F53" s="30" t="s">
        <v>157</v>
      </c>
      <c r="G53" s="39">
        <f>+O53</f>
        <v>3109.9679999999994</v>
      </c>
      <c r="H53" s="39">
        <f t="shared" si="0"/>
        <v>3109.9679999999994</v>
      </c>
      <c r="I53" s="76"/>
      <c r="J53" s="11"/>
      <c r="K53" s="102">
        <f>0.48*0.565*C41</f>
        <v>352.55999999999995</v>
      </c>
      <c r="L53" s="111">
        <f>3.9*2</f>
        <v>7.8</v>
      </c>
      <c r="M53" s="111">
        <f>+K53*L53</f>
        <v>2749.9679999999994</v>
      </c>
      <c r="N53" s="111">
        <v>360</v>
      </c>
      <c r="O53" s="111">
        <f>+M53+N53</f>
        <v>3109.9679999999994</v>
      </c>
      <c r="P53" s="104" t="s">
        <v>151</v>
      </c>
      <c r="Q53" s="12"/>
      <c r="R53" s="13"/>
    </row>
    <row r="54" spans="1:21" x14ac:dyDescent="0.3">
      <c r="A54" s="77" t="s">
        <v>137</v>
      </c>
      <c r="B54" s="75">
        <v>0</v>
      </c>
      <c r="C54" s="3"/>
      <c r="D54" s="30">
        <v>0</v>
      </c>
      <c r="E54" s="30">
        <v>0</v>
      </c>
      <c r="F54" s="30" t="s">
        <v>121</v>
      </c>
      <c r="G54" s="39">
        <v>130</v>
      </c>
      <c r="H54" s="39">
        <f t="shared" si="0"/>
        <v>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140</v>
      </c>
      <c r="B55" s="75">
        <v>0</v>
      </c>
      <c r="D55" s="30">
        <v>0</v>
      </c>
      <c r="E55" s="30">
        <v>0</v>
      </c>
      <c r="F55" s="30" t="s">
        <v>138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139</v>
      </c>
      <c r="B56" s="75">
        <v>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5281.8214999999991</v>
      </c>
      <c r="C58" s="3"/>
      <c r="D58" s="30">
        <v>1</v>
      </c>
      <c r="E58" s="30">
        <v>1</v>
      </c>
      <c r="F58" s="3" t="s">
        <v>91</v>
      </c>
      <c r="G58" s="39">
        <f>+O50</f>
        <v>887.75699999999995</v>
      </c>
      <c r="H58" s="39">
        <f t="shared" si="0"/>
        <v>887.75699999999995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5.2818214999999995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4437.7249999999995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1.3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6.6975486499999999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928.50614999999993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5769.0424999999996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5.2818214999999995</v>
      </c>
      <c r="I69" s="91">
        <f>+H69*B48</f>
        <v>5281.8214999999991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6.6975486499999999</v>
      </c>
      <c r="I70" s="91">
        <f>+H70*B48</f>
        <v>6697.5486499999997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+B56*1.2</f>
        <v>0</v>
      </c>
      <c r="C71" s="93"/>
      <c r="G71" s="95" t="s">
        <v>114</v>
      </c>
      <c r="H71" s="96">
        <f>+H70-H69</f>
        <v>1.4157271500000004</v>
      </c>
      <c r="I71" s="115">
        <f>+H71*B48</f>
        <v>1415.7271500000004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6697.5486499999997</v>
      </c>
      <c r="C73" s="96">
        <f>+B73/B48</f>
        <v>6.6975486499999999</v>
      </c>
      <c r="D73" s="5" t="s">
        <v>160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42" zoomScale="80" zoomScaleNormal="80" workbookViewId="0">
      <selection activeCell="H63" sqref="H6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tr">
        <f>+'cartón cajón '!C9</f>
        <v>06 de octubre de 2016.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197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214</v>
      </c>
      <c r="D16" s="25"/>
      <c r="E16" s="25"/>
      <c r="F16" s="62">
        <f>2+F20+2</f>
        <v>38.700000000000003</v>
      </c>
      <c r="G16" s="102" t="s">
        <v>123</v>
      </c>
      <c r="H16" s="103">
        <f>2+H20+2</f>
        <v>62.2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155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204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 t="s">
        <v>198</v>
      </c>
      <c r="D20" s="25"/>
      <c r="E20" s="25"/>
      <c r="F20" s="62">
        <v>34.700000000000003</v>
      </c>
      <c r="G20" s="102" t="s">
        <v>123</v>
      </c>
      <c r="H20" s="103">
        <v>58.2</v>
      </c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141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2699.2655999999997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41" t="s">
        <v>207</v>
      </c>
      <c r="D23" s="142" t="s">
        <v>24</v>
      </c>
      <c r="E23" s="143" t="s">
        <v>202</v>
      </c>
      <c r="F23" s="144" t="s">
        <v>208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51</v>
      </c>
      <c r="D25" s="31" t="s">
        <v>29</v>
      </c>
      <c r="E25" s="33">
        <v>66</v>
      </c>
      <c r="F25" s="34">
        <f>+C25</f>
        <v>51</v>
      </c>
      <c r="G25" s="35" t="s">
        <v>29</v>
      </c>
      <c r="H25" s="35">
        <f>+E25</f>
        <v>66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38.700000000000003</v>
      </c>
      <c r="D26" s="37" t="s">
        <v>29</v>
      </c>
      <c r="E26" s="36">
        <f>+H16</f>
        <v>62.2</v>
      </c>
      <c r="F26" s="38">
        <f>+E26</f>
        <v>62.2</v>
      </c>
      <c r="G26" s="38" t="s">
        <v>29</v>
      </c>
      <c r="H26" s="38">
        <f>+C26</f>
        <v>38.700000000000003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1.317829457364341</v>
      </c>
      <c r="D27" s="42"/>
      <c r="E27" s="41">
        <f>+E25/E26</f>
        <v>1.0610932475884245</v>
      </c>
      <c r="F27" s="41">
        <f>+F25/F26</f>
        <v>0.81993569131832789</v>
      </c>
      <c r="G27" s="42"/>
      <c r="H27" s="41">
        <f>+H25/H26</f>
        <v>1.7054263565891472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1</v>
      </c>
      <c r="E28" s="46"/>
      <c r="F28" s="47"/>
      <c r="G28" s="48">
        <v>0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216</v>
      </c>
      <c r="D30" s="50" t="s">
        <v>40</v>
      </c>
      <c r="E30" s="145">
        <v>2.7629999999999999</v>
      </c>
      <c r="G30" s="1" t="s">
        <v>41</v>
      </c>
      <c r="H30" s="52">
        <v>0.53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1.4643900000000001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1.2986099999999998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1.2986099999999998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1.4934014999999996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1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1000</v>
      </c>
      <c r="D40" s="33">
        <v>400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1400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1400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1400</v>
      </c>
      <c r="F43" s="50" t="s">
        <v>72</v>
      </c>
      <c r="G43" s="32">
        <f>+C40/1000</f>
        <v>1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1400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1400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+'cartón cajón '!B48</f>
        <v>1000</v>
      </c>
      <c r="C48" s="30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145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1</v>
      </c>
      <c r="F49" s="30" t="s">
        <v>85</v>
      </c>
      <c r="G49" s="39">
        <v>295</v>
      </c>
      <c r="H49" s="39">
        <f>+(D49*E49)*G49</f>
        <v>295</v>
      </c>
      <c r="J49" s="11"/>
      <c r="K49" s="102">
        <f>+F16</f>
        <v>38.700000000000003</v>
      </c>
      <c r="L49" s="102">
        <f>+H16</f>
        <v>62.2</v>
      </c>
      <c r="M49" s="12" t="s">
        <v>144</v>
      </c>
      <c r="N49" s="102" t="s">
        <v>146</v>
      </c>
      <c r="O49" s="12" t="s">
        <v>147</v>
      </c>
      <c r="P49" s="12" t="s">
        <v>148</v>
      </c>
      <c r="Q49" s="12"/>
      <c r="R49" s="13"/>
    </row>
    <row r="50" spans="1:21" x14ac:dyDescent="0.3">
      <c r="A50" s="74" t="s">
        <v>86</v>
      </c>
      <c r="B50" s="75">
        <f>+E34*C42</f>
        <v>1818.0539999999999</v>
      </c>
      <c r="C50" s="3"/>
      <c r="D50" s="30">
        <v>1</v>
      </c>
      <c r="E50" s="30">
        <v>1</v>
      </c>
      <c r="F50" s="30" t="s">
        <v>119</v>
      </c>
      <c r="G50" s="39">
        <v>140</v>
      </c>
      <c r="H50" s="39">
        <f>+(D50*E50)*G50</f>
        <v>140</v>
      </c>
      <c r="J50" s="11"/>
      <c r="K50" s="102">
        <f>0.4256*0.6*C41</f>
        <v>357.50399999999996</v>
      </c>
      <c r="L50" s="111">
        <f>3.9*1</f>
        <v>3.9</v>
      </c>
      <c r="M50" s="111">
        <f>+K50*L50</f>
        <v>1394.2655999999997</v>
      </c>
      <c r="N50" s="111">
        <v>0</v>
      </c>
      <c r="O50" s="111">
        <f>+M50+N50</f>
        <v>1394.2655999999997</v>
      </c>
      <c r="P50" s="104" t="s">
        <v>149</v>
      </c>
      <c r="Q50" s="12"/>
      <c r="R50" s="13"/>
    </row>
    <row r="51" spans="1:21" x14ac:dyDescent="0.3">
      <c r="A51" s="74" t="s">
        <v>21</v>
      </c>
      <c r="B51" s="75">
        <f>+H61</f>
        <v>2699.2655999999997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142</v>
      </c>
      <c r="G52" s="39">
        <v>600</v>
      </c>
      <c r="H52" s="39">
        <f t="shared" ref="H52:H59" si="0">+G52*E52</f>
        <v>600</v>
      </c>
      <c r="I52" s="39">
        <f>+(B73/100)*2</f>
        <v>552.69614760000002</v>
      </c>
      <c r="J52" s="11"/>
      <c r="K52" s="102">
        <f>+K49</f>
        <v>38.700000000000003</v>
      </c>
      <c r="L52" s="102">
        <f>+L49</f>
        <v>62.2</v>
      </c>
      <c r="M52" s="12" t="s">
        <v>144</v>
      </c>
      <c r="N52" s="102" t="s">
        <v>146</v>
      </c>
      <c r="O52" s="12" t="s">
        <v>147</v>
      </c>
      <c r="P52" s="12" t="s">
        <v>150</v>
      </c>
      <c r="Q52" s="12"/>
      <c r="R52" s="13"/>
    </row>
    <row r="53" spans="1:21" ht="16.5" x14ac:dyDescent="0.3">
      <c r="A53" s="74" t="s">
        <v>45</v>
      </c>
      <c r="B53" s="75">
        <v>1200</v>
      </c>
      <c r="C53" s="3"/>
      <c r="D53" s="30">
        <v>0</v>
      </c>
      <c r="E53" s="30">
        <v>0</v>
      </c>
      <c r="F53" s="30" t="s">
        <v>157</v>
      </c>
      <c r="G53" s="39">
        <f>+O53</f>
        <v>1850.5800000000002</v>
      </c>
      <c r="H53" s="39">
        <f t="shared" si="0"/>
        <v>0</v>
      </c>
      <c r="I53" s="76"/>
      <c r="J53" s="11"/>
      <c r="K53" s="102">
        <f>0.28*0.325*C41</f>
        <v>127.40000000000002</v>
      </c>
      <c r="L53" s="111">
        <f>3.9*3</f>
        <v>11.7</v>
      </c>
      <c r="M53" s="111">
        <f>+K53*L53</f>
        <v>1490.5800000000002</v>
      </c>
      <c r="N53" s="111">
        <v>360</v>
      </c>
      <c r="O53" s="111">
        <f>+M53+N53</f>
        <v>1850.5800000000002</v>
      </c>
      <c r="P53" s="104" t="s">
        <v>151</v>
      </c>
      <c r="Q53" s="12"/>
      <c r="R53" s="13"/>
    </row>
    <row r="54" spans="1:21" x14ac:dyDescent="0.3">
      <c r="A54" s="77" t="s">
        <v>137</v>
      </c>
      <c r="B54" s="75">
        <v>0</v>
      </c>
      <c r="C54" s="3"/>
      <c r="D54" s="30">
        <v>1</v>
      </c>
      <c r="E54" s="30">
        <v>1</v>
      </c>
      <c r="F54" s="30" t="s">
        <v>173</v>
      </c>
      <c r="G54" s="39">
        <v>135</v>
      </c>
      <c r="H54" s="39">
        <f t="shared" si="0"/>
        <v>135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140</v>
      </c>
      <c r="B55" s="75">
        <v>0</v>
      </c>
      <c r="D55" s="30">
        <v>1</v>
      </c>
      <c r="E55" s="30">
        <v>1</v>
      </c>
      <c r="F55" s="30" t="s">
        <v>121</v>
      </c>
      <c r="G55" s="39">
        <v>135</v>
      </c>
      <c r="H55" s="39">
        <f>+G55*E55</f>
        <v>135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139</v>
      </c>
      <c r="B56" s="75">
        <f>+((15*B48)*1.05)</f>
        <v>15750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21467.319599999999</v>
      </c>
      <c r="C58" s="3"/>
      <c r="D58" s="30">
        <v>1</v>
      </c>
      <c r="E58" s="30">
        <v>1</v>
      </c>
      <c r="F58" s="3" t="s">
        <v>91</v>
      </c>
      <c r="G58" s="39">
        <f>+O50</f>
        <v>1394.2655999999997</v>
      </c>
      <c r="H58" s="39">
        <f t="shared" si="0"/>
        <v>1394.2655999999997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21.4673196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2699.2655999999997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1.3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27.634807379999998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2090.7620999999995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3509.0452799999998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1560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21.4673196</v>
      </c>
      <c r="I69" s="91">
        <f>+H69*B48</f>
        <v>21467.319599999999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27.634807379999998</v>
      </c>
      <c r="I70" s="91">
        <f>+H70*B48</f>
        <v>27634.807379999998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+B56*H62</f>
        <v>20475</v>
      </c>
      <c r="C71" s="93"/>
      <c r="G71" s="95" t="s">
        <v>114</v>
      </c>
      <c r="H71" s="96">
        <f>+H70-H69</f>
        <v>6.1674877799999983</v>
      </c>
      <c r="I71" s="115">
        <f>+H71*B48</f>
        <v>6167.4877799999986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27634.807379999998</v>
      </c>
      <c r="C73" s="96">
        <f>+B73/B48</f>
        <v>27.634807379999998</v>
      </c>
      <c r="D73" s="5" t="s">
        <v>164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32" zoomScale="80" zoomScaleNormal="80" workbookViewId="0">
      <selection activeCell="B62" sqref="B6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tr">
        <f>+'cartón cajón '!C9</f>
        <v>06 de octubre de 2016.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197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214</v>
      </c>
      <c r="D16" s="25"/>
      <c r="E16" s="25"/>
      <c r="F16" s="62">
        <f>1+F20+1</f>
        <v>31.7</v>
      </c>
      <c r="G16" s="102" t="s">
        <v>123</v>
      </c>
      <c r="H16" s="103">
        <f>1+H20+1</f>
        <v>36.4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155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204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 t="s">
        <v>198</v>
      </c>
      <c r="D20" s="25"/>
      <c r="E20" s="25"/>
      <c r="F20" s="62">
        <v>29.7</v>
      </c>
      <c r="G20" s="102" t="s">
        <v>123</v>
      </c>
      <c r="H20" s="103">
        <v>34.4</v>
      </c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141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921.49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199</v>
      </c>
      <c r="D23" s="5" t="s">
        <v>24</v>
      </c>
      <c r="E23" s="31" t="s">
        <v>200</v>
      </c>
      <c r="F23" s="1" t="s">
        <v>201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57</v>
      </c>
      <c r="D25" s="31" t="s">
        <v>29</v>
      </c>
      <c r="E25" s="33">
        <v>87</v>
      </c>
      <c r="F25" s="34">
        <f>+C25</f>
        <v>57</v>
      </c>
      <c r="G25" s="35" t="s">
        <v>29</v>
      </c>
      <c r="H25" s="35">
        <f>+E25</f>
        <v>87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31.7</v>
      </c>
      <c r="D26" s="37" t="s">
        <v>29</v>
      </c>
      <c r="E26" s="36">
        <f>+H16</f>
        <v>36.4</v>
      </c>
      <c r="F26" s="38">
        <f>+E26</f>
        <v>36.4</v>
      </c>
      <c r="G26" s="38" t="s">
        <v>29</v>
      </c>
      <c r="H26" s="38">
        <f>+C26</f>
        <v>31.7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1.7981072555205049</v>
      </c>
      <c r="D27" s="42"/>
      <c r="E27" s="41">
        <f>+E25/E26</f>
        <v>2.3901098901098901</v>
      </c>
      <c r="F27" s="41">
        <f>+F25/F26</f>
        <v>1.5659340659340659</v>
      </c>
      <c r="G27" s="42"/>
      <c r="H27" s="41">
        <f>+H25/H26</f>
        <v>2.7444794952681391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2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216</v>
      </c>
      <c r="D30" s="50" t="s">
        <v>40</v>
      </c>
      <c r="E30" s="51">
        <v>2.7629999999999999</v>
      </c>
      <c r="G30" s="1" t="s">
        <v>41</v>
      </c>
      <c r="H30" s="52">
        <v>0.53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1.4643900000000001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1.2986099999999998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1.2986099999999998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1.4934014999999996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1000</v>
      </c>
      <c r="D40" s="33">
        <v>200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1200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600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1200</v>
      </c>
      <c r="F43" s="50" t="s">
        <v>72</v>
      </c>
      <c r="G43" s="32">
        <f>+C40/1000</f>
        <v>1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1200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1200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+'cartón cajón '!B48</f>
        <v>1000</v>
      </c>
      <c r="C48" s="30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145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0</v>
      </c>
      <c r="E49" s="30">
        <v>0</v>
      </c>
      <c r="F49" s="30" t="s">
        <v>85</v>
      </c>
      <c r="G49" s="39">
        <v>295</v>
      </c>
      <c r="H49" s="39">
        <f>+(D49*E49)*G49</f>
        <v>0</v>
      </c>
      <c r="J49" s="11"/>
      <c r="K49" s="102">
        <f>+F16</f>
        <v>31.7</v>
      </c>
      <c r="L49" s="102">
        <f>+H16</f>
        <v>36.4</v>
      </c>
      <c r="M49" s="12" t="s">
        <v>144</v>
      </c>
      <c r="N49" s="102" t="s">
        <v>146</v>
      </c>
      <c r="O49" s="12" t="s">
        <v>147</v>
      </c>
      <c r="P49" s="12" t="s">
        <v>148</v>
      </c>
      <c r="Q49" s="12"/>
      <c r="R49" s="13"/>
    </row>
    <row r="50" spans="1:21" x14ac:dyDescent="0.3">
      <c r="A50" s="74" t="s">
        <v>86</v>
      </c>
      <c r="B50" s="75">
        <f>+E34*C42</f>
        <v>779.16599999999994</v>
      </c>
      <c r="C50" s="3"/>
      <c r="D50" s="30">
        <v>1</v>
      </c>
      <c r="E50" s="30">
        <v>1</v>
      </c>
      <c r="F50" s="30" t="s">
        <v>119</v>
      </c>
      <c r="G50" s="39">
        <v>140</v>
      </c>
      <c r="H50" s="39">
        <f>+(D50*E50)*G50</f>
        <v>140</v>
      </c>
      <c r="J50" s="11"/>
      <c r="K50" s="102">
        <f>0.355*0.35*C41</f>
        <v>149.1</v>
      </c>
      <c r="L50" s="111">
        <f>3.9*1</f>
        <v>3.9</v>
      </c>
      <c r="M50" s="111">
        <f>+K50*L50</f>
        <v>581.49</v>
      </c>
      <c r="N50" s="111">
        <v>0</v>
      </c>
      <c r="O50" s="111">
        <f>+M50+N50</f>
        <v>581.49</v>
      </c>
      <c r="P50" s="104" t="s">
        <v>149</v>
      </c>
      <c r="Q50" s="12"/>
      <c r="R50" s="13"/>
    </row>
    <row r="51" spans="1:21" x14ac:dyDescent="0.3">
      <c r="A51" s="74" t="s">
        <v>21</v>
      </c>
      <c r="B51" s="75">
        <f>+H61</f>
        <v>921.49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142</v>
      </c>
      <c r="G52" s="39">
        <v>200</v>
      </c>
      <c r="H52" s="39">
        <f t="shared" ref="H52:H59" si="0">+G52*E52</f>
        <v>200</v>
      </c>
      <c r="I52" s="39">
        <f>+(B73/100)*2</f>
        <v>41.879557999999996</v>
      </c>
      <c r="J52" s="11"/>
      <c r="K52" s="102">
        <f>+K49</f>
        <v>31.7</v>
      </c>
      <c r="L52" s="102">
        <f>+L49</f>
        <v>36.4</v>
      </c>
      <c r="M52" s="12" t="s">
        <v>144</v>
      </c>
      <c r="N52" s="102" t="s">
        <v>146</v>
      </c>
      <c r="O52" s="12" t="s">
        <v>147</v>
      </c>
      <c r="P52" s="12" t="s">
        <v>150</v>
      </c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0</v>
      </c>
      <c r="E53" s="30">
        <v>0</v>
      </c>
      <c r="F53" s="30" t="s">
        <v>157</v>
      </c>
      <c r="G53" s="39">
        <f>+O53</f>
        <v>1637.64</v>
      </c>
      <c r="H53" s="39">
        <f t="shared" si="0"/>
        <v>0</v>
      </c>
      <c r="I53" s="76"/>
      <c r="J53" s="11"/>
      <c r="K53" s="102">
        <f>0.28*0.325*C41</f>
        <v>109.20000000000002</v>
      </c>
      <c r="L53" s="111">
        <f>3.9*3</f>
        <v>11.7</v>
      </c>
      <c r="M53" s="111">
        <f>+K53*L53</f>
        <v>1277.6400000000001</v>
      </c>
      <c r="N53" s="111">
        <v>360</v>
      </c>
      <c r="O53" s="111">
        <f>+M53+N53</f>
        <v>1637.64</v>
      </c>
      <c r="P53" s="104" t="s">
        <v>151</v>
      </c>
      <c r="Q53" s="12"/>
      <c r="R53" s="13"/>
    </row>
    <row r="54" spans="1:21" x14ac:dyDescent="0.3">
      <c r="A54" s="77" t="s">
        <v>137</v>
      </c>
      <c r="B54" s="75">
        <v>0</v>
      </c>
      <c r="C54" s="3"/>
      <c r="D54" s="30">
        <v>0</v>
      </c>
      <c r="E54" s="30">
        <v>0</v>
      </c>
      <c r="F54" s="30" t="s">
        <v>121</v>
      </c>
      <c r="G54" s="39">
        <v>130</v>
      </c>
      <c r="H54" s="39">
        <f t="shared" si="0"/>
        <v>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140</v>
      </c>
      <c r="B55" s="75">
        <v>0</v>
      </c>
      <c r="D55" s="30">
        <v>0</v>
      </c>
      <c r="E55" s="30">
        <v>0</v>
      </c>
      <c r="F55" s="30" t="s">
        <v>138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139</v>
      </c>
      <c r="B56" s="75">
        <v>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1700.6559999999999</v>
      </c>
      <c r="C58" s="3"/>
      <c r="D58" s="30">
        <v>1</v>
      </c>
      <c r="E58" s="30">
        <v>1</v>
      </c>
      <c r="F58" s="3" t="s">
        <v>91</v>
      </c>
      <c r="G58" s="39">
        <f>+O50</f>
        <v>581.49</v>
      </c>
      <c r="H58" s="39">
        <f t="shared" si="0"/>
        <v>581.49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1.7006559999999999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921.49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1.3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2.0939779000000001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896.04089999999974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1197.9370000000001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1.7006559999999999</v>
      </c>
      <c r="I69" s="91">
        <f>+H69*B48</f>
        <v>1700.6559999999999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2.0939779000000001</v>
      </c>
      <c r="I70" s="91">
        <f>+H70*B48</f>
        <v>2093.9778999999999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+B56*H62</f>
        <v>0</v>
      </c>
      <c r="C71" s="93"/>
      <c r="G71" s="95" t="s">
        <v>114</v>
      </c>
      <c r="H71" s="96">
        <f>+H70-H69</f>
        <v>0.39332190000000011</v>
      </c>
      <c r="I71" s="115">
        <f>+H71*B48</f>
        <v>393.32190000000014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2093.9778999999999</v>
      </c>
      <c r="C73" s="96">
        <f>+B73/B48</f>
        <v>2.0939779000000001</v>
      </c>
      <c r="D73" s="5" t="s">
        <v>161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8"/>
  <sheetViews>
    <sheetView tabSelected="1" topLeftCell="A58" zoomScale="80" zoomScaleNormal="80" workbookViewId="0">
      <selection activeCell="E75" sqref="E75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 t="s">
        <v>1</v>
      </c>
      <c r="P2" s="3"/>
    </row>
    <row r="3" spans="1:21" ht="16.5" thickBot="1" x14ac:dyDescent="0.35">
      <c r="J3" s="5" t="s">
        <v>16</v>
      </c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 s="119"/>
      <c r="K4" s="120"/>
      <c r="L4" s="120"/>
      <c r="M4" s="120"/>
      <c r="N4" s="120"/>
      <c r="O4" s="120"/>
      <c r="P4" s="121"/>
      <c r="Q4"/>
      <c r="R4"/>
    </row>
    <row r="5" spans="1:21" ht="15.75" x14ac:dyDescent="0.3">
      <c r="A5" s="5"/>
      <c r="J5" s="122"/>
      <c r="K5" s="123"/>
      <c r="L5" s="123"/>
      <c r="M5" s="123"/>
      <c r="N5" s="123"/>
      <c r="O5" s="123"/>
      <c r="P5" s="124"/>
      <c r="Q5"/>
      <c r="R5"/>
    </row>
    <row r="6" spans="1:21" ht="18.75" x14ac:dyDescent="0.3">
      <c r="A6" s="2" t="s">
        <v>4</v>
      </c>
      <c r="E6" s="5" t="s">
        <v>5</v>
      </c>
      <c r="F6" s="1" t="s">
        <v>6</v>
      </c>
      <c r="J6" s="122"/>
      <c r="K6" s="123"/>
      <c r="L6" s="123"/>
      <c r="M6" s="123"/>
      <c r="N6" s="123"/>
      <c r="O6" s="123"/>
      <c r="P6" s="124"/>
      <c r="Q6"/>
      <c r="R6"/>
    </row>
    <row r="7" spans="1:21" ht="15.75" x14ac:dyDescent="0.3">
      <c r="J7" s="122"/>
      <c r="K7" s="123"/>
      <c r="L7" s="123"/>
      <c r="M7" s="123"/>
      <c r="N7" s="123"/>
      <c r="O7" s="123"/>
      <c r="P7" s="124"/>
      <c r="Q7"/>
      <c r="R7"/>
    </row>
    <row r="8" spans="1:21" ht="15.75" x14ac:dyDescent="0.3">
      <c r="J8" s="122"/>
      <c r="K8" s="123"/>
      <c r="L8" s="123"/>
      <c r="M8" s="123"/>
      <c r="N8" s="123"/>
      <c r="O8" s="123"/>
      <c r="P8" s="124"/>
      <c r="Q8"/>
      <c r="R8"/>
    </row>
    <row r="9" spans="1:21" s="5" customFormat="1" ht="15.75" x14ac:dyDescent="0.3">
      <c r="A9" s="5" t="s">
        <v>11</v>
      </c>
      <c r="C9" s="5" t="str">
        <f>+'cartón cajón '!C9</f>
        <v>06 de octubre de 2016.</v>
      </c>
      <c r="H9" s="5" t="s">
        <v>12</v>
      </c>
      <c r="J9" s="122"/>
      <c r="K9" s="123"/>
      <c r="L9" s="123"/>
      <c r="M9" s="123"/>
      <c r="N9" s="123"/>
      <c r="O9" s="123"/>
      <c r="P9" s="124"/>
      <c r="Q9"/>
      <c r="R9"/>
      <c r="S9" s="1"/>
      <c r="T9" s="1"/>
      <c r="U9" s="1"/>
    </row>
    <row r="10" spans="1:21" ht="15.75" x14ac:dyDescent="0.3">
      <c r="J10" s="122"/>
      <c r="K10" s="123"/>
      <c r="L10" s="123"/>
      <c r="M10" s="123"/>
      <c r="N10" s="123"/>
      <c r="O10" s="123"/>
      <c r="P10" s="124"/>
      <c r="Q10"/>
      <c r="R10"/>
    </row>
    <row r="11" spans="1:21" ht="16.5" thickBot="1" x14ac:dyDescent="0.35">
      <c r="A11" s="5" t="s">
        <v>15</v>
      </c>
      <c r="C11" s="1" t="s">
        <v>194</v>
      </c>
      <c r="F11" s="5" t="s">
        <v>1</v>
      </c>
      <c r="J11" s="122"/>
      <c r="K11" s="123"/>
      <c r="L11" s="123"/>
      <c r="M11" s="123"/>
      <c r="N11" s="123"/>
      <c r="O11" s="123"/>
      <c r="P11" s="124"/>
      <c r="Q11"/>
      <c r="R11"/>
    </row>
    <row r="12" spans="1:21" ht="15.75" x14ac:dyDescent="0.3">
      <c r="A12" s="5"/>
      <c r="F12" s="18"/>
      <c r="G12" s="19"/>
      <c r="H12" s="20"/>
      <c r="J12" s="122"/>
      <c r="K12" s="123"/>
      <c r="L12" s="123"/>
      <c r="M12" s="123"/>
      <c r="N12" s="123"/>
      <c r="O12" s="123"/>
      <c r="P12" s="124"/>
      <c r="Q12"/>
      <c r="R12"/>
    </row>
    <row r="13" spans="1:21" ht="15.75" x14ac:dyDescent="0.3">
      <c r="A13" s="5" t="s">
        <v>17</v>
      </c>
      <c r="F13" s="11"/>
      <c r="G13" s="12"/>
      <c r="H13" s="13"/>
      <c r="J13" s="122"/>
      <c r="K13" s="123"/>
      <c r="L13" s="123"/>
      <c r="M13" s="123"/>
      <c r="N13" s="123"/>
      <c r="O13" s="123"/>
      <c r="P13" s="124"/>
      <c r="Q13"/>
      <c r="R13"/>
    </row>
    <row r="14" spans="1:21" ht="15.75" x14ac:dyDescent="0.3">
      <c r="A14" s="5"/>
      <c r="F14" s="11"/>
      <c r="G14" s="12"/>
      <c r="H14" s="13"/>
      <c r="J14" s="122"/>
      <c r="K14" s="123"/>
      <c r="L14" s="123"/>
      <c r="M14" s="123"/>
      <c r="N14" s="123"/>
      <c r="O14" s="123"/>
      <c r="P14" s="124"/>
      <c r="Q14"/>
      <c r="R14"/>
    </row>
    <row r="15" spans="1:21" ht="15.75" x14ac:dyDescent="0.3">
      <c r="A15" s="5" t="s">
        <v>18</v>
      </c>
      <c r="C15" s="26" t="s">
        <v>197</v>
      </c>
      <c r="D15" s="25"/>
      <c r="E15" s="25"/>
      <c r="F15" s="101" t="s">
        <v>9</v>
      </c>
      <c r="G15" s="12"/>
      <c r="H15" s="13"/>
      <c r="J15" s="122"/>
      <c r="K15" s="123"/>
      <c r="L15" s="123"/>
      <c r="M15" s="123"/>
      <c r="N15" s="123"/>
      <c r="O15" s="123"/>
      <c r="P15" s="124"/>
      <c r="Q15"/>
      <c r="R15"/>
    </row>
    <row r="16" spans="1:21" ht="16.5" thickBot="1" x14ac:dyDescent="0.35">
      <c r="C16" s="24" t="s">
        <v>214</v>
      </c>
      <c r="D16" s="25"/>
      <c r="E16" s="25"/>
      <c r="F16" s="62">
        <f>2+F20+2</f>
        <v>38.700000000000003</v>
      </c>
      <c r="G16" s="102" t="s">
        <v>123</v>
      </c>
      <c r="H16" s="103">
        <f>2+H20+2</f>
        <v>42.9</v>
      </c>
      <c r="J16" s="125"/>
      <c r="K16" s="126"/>
      <c r="L16" s="126"/>
      <c r="M16" s="126"/>
      <c r="N16" s="126"/>
      <c r="O16" s="126"/>
      <c r="P16" s="127"/>
      <c r="Q16"/>
      <c r="R16"/>
    </row>
    <row r="17" spans="1:18" ht="15.75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/>
      <c r="K17"/>
      <c r="L17"/>
      <c r="M17"/>
      <c r="N17"/>
      <c r="O17"/>
      <c r="P17"/>
      <c r="Q17"/>
      <c r="R17"/>
    </row>
    <row r="18" spans="1:18" x14ac:dyDescent="0.3">
      <c r="C18" s="24" t="s">
        <v>155</v>
      </c>
      <c r="D18" s="25"/>
      <c r="E18" s="25"/>
      <c r="F18" s="11"/>
      <c r="G18" s="12"/>
      <c r="H18" s="13"/>
      <c r="J18" s="29" t="s">
        <v>21</v>
      </c>
      <c r="K18" s="29" t="s">
        <v>27</v>
      </c>
      <c r="L18" s="1" t="s">
        <v>166</v>
      </c>
      <c r="M18" s="1" t="s">
        <v>167</v>
      </c>
      <c r="N18" s="1" t="s">
        <v>162</v>
      </c>
      <c r="O18" s="1" t="s">
        <v>168</v>
      </c>
      <c r="P18" s="1" t="s">
        <v>169</v>
      </c>
    </row>
    <row r="19" spans="1:18" x14ac:dyDescent="0.3">
      <c r="C19" s="24" t="s">
        <v>204</v>
      </c>
      <c r="D19" s="25"/>
      <c r="E19" s="25"/>
      <c r="F19" s="11"/>
      <c r="G19" s="12"/>
      <c r="H19" s="13"/>
      <c r="K19" s="50" t="s">
        <v>170</v>
      </c>
      <c r="M19" s="91">
        <f>+L19/100</f>
        <v>0</v>
      </c>
      <c r="N19" s="91">
        <v>120</v>
      </c>
      <c r="O19" s="91">
        <v>120</v>
      </c>
      <c r="P19" s="91">
        <v>120</v>
      </c>
    </row>
    <row r="20" spans="1:18" x14ac:dyDescent="0.3">
      <c r="C20" s="25" t="s">
        <v>198</v>
      </c>
      <c r="D20" s="25"/>
      <c r="E20" s="25"/>
      <c r="F20" s="62">
        <v>34.700000000000003</v>
      </c>
      <c r="G20" s="102" t="s">
        <v>123</v>
      </c>
      <c r="H20" s="103">
        <v>38.9</v>
      </c>
      <c r="K20" s="50" t="s">
        <v>30</v>
      </c>
    </row>
    <row r="21" spans="1:18" x14ac:dyDescent="0.3">
      <c r="C21" s="25" t="s">
        <v>141</v>
      </c>
      <c r="D21" s="25"/>
      <c r="E21" s="25"/>
      <c r="F21" s="11"/>
      <c r="G21" s="12"/>
      <c r="H21" s="13"/>
      <c r="K21" s="50" t="s">
        <v>33</v>
      </c>
    </row>
    <row r="22" spans="1:18" ht="15" thickBot="1" x14ac:dyDescent="0.35">
      <c r="C22" s="25"/>
      <c r="D22" s="25"/>
      <c r="E22" s="25"/>
      <c r="F22" s="21"/>
      <c r="G22" s="22"/>
      <c r="H22" s="23"/>
      <c r="K22" s="50" t="s">
        <v>35</v>
      </c>
    </row>
    <row r="23" spans="1:18" x14ac:dyDescent="0.3">
      <c r="A23" s="4" t="s">
        <v>23</v>
      </c>
      <c r="C23" s="113" t="s">
        <v>199</v>
      </c>
      <c r="D23" s="5" t="s">
        <v>24</v>
      </c>
      <c r="E23" s="31" t="s">
        <v>200</v>
      </c>
      <c r="F23" s="1" t="s">
        <v>201</v>
      </c>
    </row>
    <row r="25" spans="1:18" ht="15" thickBot="1" x14ac:dyDescent="0.35">
      <c r="A25" s="4" t="s">
        <v>28</v>
      </c>
      <c r="C25" s="32">
        <v>57</v>
      </c>
      <c r="D25" s="31" t="s">
        <v>29</v>
      </c>
      <c r="E25" s="33">
        <v>87</v>
      </c>
      <c r="F25" s="34">
        <f>+C25</f>
        <v>57</v>
      </c>
      <c r="G25" s="35" t="s">
        <v>29</v>
      </c>
      <c r="H25" s="35">
        <f>+E25</f>
        <v>87</v>
      </c>
      <c r="J25" s="29" t="s">
        <v>38</v>
      </c>
    </row>
    <row r="26" spans="1:18" ht="15" thickBot="1" x14ac:dyDescent="0.35">
      <c r="A26" s="4" t="s">
        <v>32</v>
      </c>
      <c r="B26" s="3"/>
      <c r="C26" s="36">
        <f>+F16</f>
        <v>38.700000000000003</v>
      </c>
      <c r="D26" s="37" t="s">
        <v>29</v>
      </c>
      <c r="E26" s="36">
        <f>+H16</f>
        <v>42.9</v>
      </c>
      <c r="F26" s="38">
        <f>+E26</f>
        <v>42.9</v>
      </c>
      <c r="G26" s="38" t="s">
        <v>29</v>
      </c>
      <c r="H26" s="38">
        <f>+C26</f>
        <v>38.700000000000003</v>
      </c>
      <c r="I26" s="39"/>
      <c r="J26" s="29"/>
      <c r="M26" s="128" t="s">
        <v>104</v>
      </c>
      <c r="N26" s="129" t="s">
        <v>171</v>
      </c>
      <c r="O26" s="56"/>
    </row>
    <row r="27" spans="1:18" ht="15" thickBot="1" x14ac:dyDescent="0.35">
      <c r="A27" s="3" t="s">
        <v>34</v>
      </c>
      <c r="B27" s="40"/>
      <c r="C27" s="41">
        <f>+C25/C26</f>
        <v>1.4728682170542635</v>
      </c>
      <c r="D27" s="42"/>
      <c r="E27" s="41">
        <f>+E25/E26</f>
        <v>2.0279720279720279</v>
      </c>
      <c r="F27" s="41">
        <f>+F25/F26</f>
        <v>1.3286713286713288</v>
      </c>
      <c r="G27" s="42"/>
      <c r="H27" s="41">
        <f>+H25/H26</f>
        <v>2.248062015503876</v>
      </c>
      <c r="I27" s="39"/>
      <c r="K27" s="1" t="s">
        <v>45</v>
      </c>
      <c r="L27" s="1" t="s">
        <v>172</v>
      </c>
      <c r="M27" s="130"/>
      <c r="N27" s="55"/>
      <c r="O27" s="56"/>
      <c r="P27" s="57"/>
      <c r="Q27" s="19"/>
      <c r="R27" s="20"/>
    </row>
    <row r="28" spans="1:18" ht="15" thickBot="1" x14ac:dyDescent="0.35">
      <c r="A28" s="3" t="s">
        <v>36</v>
      </c>
      <c r="B28" s="43"/>
      <c r="C28" s="44"/>
      <c r="D28" s="45">
        <v>2</v>
      </c>
      <c r="E28" s="46"/>
      <c r="F28" s="47"/>
      <c r="G28" s="48">
        <v>2</v>
      </c>
      <c r="H28" s="49" t="s">
        <v>37</v>
      </c>
      <c r="K28" s="1" t="s">
        <v>173</v>
      </c>
      <c r="M28" s="131">
        <v>135</v>
      </c>
      <c r="N28" s="132" t="s">
        <v>174</v>
      </c>
      <c r="O28" s="61"/>
      <c r="P28" s="62"/>
      <c r="Q28" s="12"/>
      <c r="R28" s="13"/>
    </row>
    <row r="29" spans="1:18" x14ac:dyDescent="0.3">
      <c r="A29" s="3"/>
      <c r="B29" s="30"/>
      <c r="C29" s="39"/>
      <c r="G29" s="50"/>
      <c r="H29" s="39"/>
      <c r="K29" s="1" t="s">
        <v>175</v>
      </c>
      <c r="M29" s="131">
        <v>135</v>
      </c>
      <c r="N29" s="133" t="s">
        <v>174</v>
      </c>
      <c r="O29" s="61"/>
      <c r="P29" s="62"/>
      <c r="Q29" s="12"/>
      <c r="R29" s="13"/>
    </row>
    <row r="30" spans="1:18" x14ac:dyDescent="0.3">
      <c r="A30" s="34" t="s">
        <v>39</v>
      </c>
      <c r="B30" s="34" t="s">
        <v>216</v>
      </c>
      <c r="D30" s="50" t="s">
        <v>40</v>
      </c>
      <c r="E30" s="51">
        <v>2.7629999999999999</v>
      </c>
      <c r="G30" s="1" t="s">
        <v>41</v>
      </c>
      <c r="H30" s="52">
        <v>0.53</v>
      </c>
      <c r="K30" s="1" t="s">
        <v>48</v>
      </c>
      <c r="M30" s="131">
        <v>200</v>
      </c>
      <c r="N30" s="133" t="s">
        <v>176</v>
      </c>
      <c r="O30" s="61"/>
      <c r="P30" s="62"/>
      <c r="Q30" s="12"/>
      <c r="R30" s="13"/>
    </row>
    <row r="31" spans="1:18" x14ac:dyDescent="0.3">
      <c r="A31" s="3"/>
      <c r="B31" s="3"/>
      <c r="C31" s="3"/>
      <c r="D31" s="53" t="s">
        <v>42</v>
      </c>
      <c r="E31" s="51">
        <f>+H30*E30</f>
        <v>1.4643900000000001</v>
      </c>
      <c r="H31" s="52"/>
      <c r="I31" s="39"/>
      <c r="K31" s="1" t="s">
        <v>50</v>
      </c>
      <c r="L31" s="1" t="s">
        <v>172</v>
      </c>
      <c r="M31" s="131"/>
      <c r="N31" s="133"/>
      <c r="O31" s="61"/>
      <c r="P31" s="62"/>
      <c r="Q31" s="12"/>
      <c r="R31" s="13"/>
    </row>
    <row r="32" spans="1:18" x14ac:dyDescent="0.3">
      <c r="D32" s="53" t="s">
        <v>44</v>
      </c>
      <c r="E32" s="58">
        <f>+E30-E31</f>
        <v>1.2986099999999998</v>
      </c>
      <c r="I32" s="39"/>
      <c r="K32" s="1" t="s">
        <v>52</v>
      </c>
      <c r="M32" s="131">
        <v>300</v>
      </c>
      <c r="N32" s="133" t="s">
        <v>176</v>
      </c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53</v>
      </c>
      <c r="L33" s="1" t="s">
        <v>172</v>
      </c>
      <c r="M33" s="131"/>
      <c r="N33" s="13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1.2986099999999998</v>
      </c>
      <c r="F34" s="64">
        <v>0</v>
      </c>
      <c r="G34" s="64">
        <v>0</v>
      </c>
      <c r="H34" s="64">
        <v>0</v>
      </c>
      <c r="K34" s="1" t="s">
        <v>60</v>
      </c>
      <c r="L34" s="1" t="s">
        <v>172</v>
      </c>
      <c r="M34" s="131"/>
      <c r="N34" s="13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1.4934014999999996</v>
      </c>
      <c r="F35" s="64">
        <v>0</v>
      </c>
      <c r="G35" s="64">
        <v>0</v>
      </c>
      <c r="H35" s="64">
        <v>0</v>
      </c>
      <c r="K35" s="1" t="s">
        <v>62</v>
      </c>
      <c r="L35" s="1" t="s">
        <v>172</v>
      </c>
      <c r="M35" s="131"/>
      <c r="N35" s="13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65</v>
      </c>
      <c r="L36" s="1" t="s">
        <v>172</v>
      </c>
      <c r="M36" s="131"/>
      <c r="N36" s="13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68</v>
      </c>
      <c r="L37" s="1" t="s">
        <v>172</v>
      </c>
      <c r="M37" s="131"/>
      <c r="N37" s="13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71</v>
      </c>
      <c r="L38" s="1" t="s">
        <v>172</v>
      </c>
      <c r="M38" s="131"/>
      <c r="N38" s="13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73</v>
      </c>
      <c r="L39" s="1" t="s">
        <v>172</v>
      </c>
      <c r="M39" s="131"/>
      <c r="N39" s="13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1000</v>
      </c>
      <c r="D40" s="33">
        <v>500</v>
      </c>
      <c r="F40" s="53" t="s">
        <v>64</v>
      </c>
      <c r="G40" s="32">
        <v>1</v>
      </c>
      <c r="H40" s="3"/>
      <c r="K40" s="1" t="s">
        <v>75</v>
      </c>
      <c r="M40" s="131">
        <v>120</v>
      </c>
      <c r="N40" s="133" t="s">
        <v>174</v>
      </c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1500</v>
      </c>
      <c r="F41" s="53" t="s">
        <v>67</v>
      </c>
      <c r="G41" s="32">
        <v>2</v>
      </c>
      <c r="H41" s="3"/>
      <c r="K41" s="1" t="s">
        <v>177</v>
      </c>
      <c r="M41" s="59"/>
      <c r="N41" s="63"/>
      <c r="O41" s="61"/>
      <c r="P41" s="62"/>
      <c r="Q41" s="12"/>
      <c r="R41" s="13"/>
    </row>
    <row r="42" spans="1:18" ht="15" thickBot="1" x14ac:dyDescent="0.35">
      <c r="A42" s="4" t="s">
        <v>69</v>
      </c>
      <c r="C42" s="43">
        <f>+C41/C38</f>
        <v>750</v>
      </c>
      <c r="F42" s="53" t="s">
        <v>70</v>
      </c>
      <c r="G42" s="32"/>
      <c r="H42" s="3"/>
      <c r="K42" s="1" t="s">
        <v>78</v>
      </c>
      <c r="M42" s="69"/>
      <c r="N42" s="70"/>
      <c r="O42" s="71"/>
      <c r="P42" s="72"/>
      <c r="Q42" s="22"/>
      <c r="R42" s="23"/>
    </row>
    <row r="43" spans="1:18" x14ac:dyDescent="0.3">
      <c r="A43" s="4" t="s">
        <v>133</v>
      </c>
      <c r="C43" s="30">
        <f>+(C42*C38)*F17</f>
        <v>1500</v>
      </c>
      <c r="F43" s="50" t="s">
        <v>72</v>
      </c>
      <c r="G43" s="32">
        <f>+C40/1000</f>
        <v>1</v>
      </c>
      <c r="H43" s="3"/>
      <c r="M43" s="12"/>
      <c r="N43" s="17"/>
      <c r="O43" s="102"/>
      <c r="P43" s="102"/>
      <c r="Q43" s="12"/>
      <c r="R43" s="12"/>
    </row>
    <row r="44" spans="1:18" x14ac:dyDescent="0.3">
      <c r="A44" s="4"/>
      <c r="C44" s="68"/>
      <c r="F44" s="53" t="s">
        <v>74</v>
      </c>
      <c r="G44" s="65">
        <f>+C41</f>
        <v>1500</v>
      </c>
      <c r="H44" s="3"/>
      <c r="M44" s="12"/>
      <c r="N44" s="17"/>
      <c r="O44" s="102"/>
      <c r="P44" s="102"/>
      <c r="Q44" s="12"/>
      <c r="R44" s="12"/>
    </row>
    <row r="45" spans="1:18" x14ac:dyDescent="0.3">
      <c r="A45" s="4"/>
      <c r="C45" s="30"/>
      <c r="E45" s="53"/>
      <c r="F45" s="53"/>
      <c r="G45" s="39"/>
      <c r="I45" s="3"/>
      <c r="M45" s="12"/>
      <c r="N45" s="17"/>
      <c r="O45" s="102"/>
      <c r="P45" s="102"/>
      <c r="Q45" s="12"/>
      <c r="R45" s="12"/>
    </row>
    <row r="46" spans="1:18" x14ac:dyDescent="0.3">
      <c r="A46" s="4" t="s">
        <v>77</v>
      </c>
      <c r="C46" s="34">
        <f>+C42*C38</f>
        <v>1500</v>
      </c>
      <c r="F46" s="53"/>
      <c r="G46" s="39"/>
      <c r="H46" s="3"/>
      <c r="M46" s="12"/>
      <c r="N46" s="17"/>
      <c r="O46" s="102"/>
      <c r="P46" s="102"/>
      <c r="Q46" s="12"/>
      <c r="R46" s="12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178</v>
      </c>
    </row>
    <row r="48" spans="1:18" x14ac:dyDescent="0.3">
      <c r="A48" s="4" t="s">
        <v>118</v>
      </c>
      <c r="B48" s="30">
        <f>+'cartón cajón '!B48</f>
        <v>1000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145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3</v>
      </c>
      <c r="E49" s="30">
        <v>1</v>
      </c>
      <c r="F49" s="30" t="s">
        <v>162</v>
      </c>
      <c r="G49" s="39">
        <v>295</v>
      </c>
      <c r="H49" s="39">
        <f>+(D49*E49)*G49</f>
        <v>885</v>
      </c>
      <c r="J49" s="11"/>
      <c r="K49" s="102">
        <f>+F16</f>
        <v>38.700000000000003</v>
      </c>
      <c r="L49" s="102">
        <f>+H16</f>
        <v>42.9</v>
      </c>
      <c r="M49" s="12" t="s">
        <v>144</v>
      </c>
      <c r="N49" s="102" t="s">
        <v>146</v>
      </c>
      <c r="O49" s="12" t="s">
        <v>147</v>
      </c>
      <c r="P49" s="12" t="s">
        <v>148</v>
      </c>
      <c r="Q49" s="12"/>
      <c r="R49" s="13"/>
    </row>
    <row r="50" spans="1:21" x14ac:dyDescent="0.3">
      <c r="A50" s="74" t="s">
        <v>86</v>
      </c>
      <c r="B50" s="75">
        <f>+E34*C42</f>
        <v>973.95749999999987</v>
      </c>
      <c r="C50" s="3"/>
      <c r="D50" s="30">
        <v>3</v>
      </c>
      <c r="E50" s="30">
        <v>1</v>
      </c>
      <c r="F50" s="30" t="s">
        <v>119</v>
      </c>
      <c r="G50" s="39">
        <v>140</v>
      </c>
      <c r="H50" s="39">
        <f>+(D50*E50)*G50</f>
        <v>420</v>
      </c>
      <c r="J50" s="11"/>
      <c r="K50" s="102">
        <f>0.425*0.419*C41</f>
        <v>267.11249999999995</v>
      </c>
      <c r="L50" s="111">
        <f>3.9*1</f>
        <v>3.9</v>
      </c>
      <c r="M50" s="111">
        <f>+K50*L50</f>
        <v>1041.7387499999998</v>
      </c>
      <c r="N50" s="111">
        <v>0</v>
      </c>
      <c r="O50" s="111">
        <f>+M50+N50</f>
        <v>1041.7387499999998</v>
      </c>
      <c r="P50" s="104" t="s">
        <v>149</v>
      </c>
      <c r="Q50" s="12"/>
      <c r="R50" s="13"/>
    </row>
    <row r="51" spans="1:21" x14ac:dyDescent="0.3">
      <c r="A51" s="74" t="s">
        <v>21</v>
      </c>
      <c r="B51" s="75">
        <f>+H61</f>
        <v>5911.7387499999995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142</v>
      </c>
      <c r="G52" s="39">
        <v>700</v>
      </c>
      <c r="H52" s="39">
        <f t="shared" ref="H52:H54" si="0">+G52*E52</f>
        <v>700</v>
      </c>
      <c r="I52" s="39">
        <f>+(B74/100)*2</f>
        <v>680.50622999999996</v>
      </c>
      <c r="J52" s="11"/>
      <c r="K52" s="102">
        <f>+K49</f>
        <v>38.700000000000003</v>
      </c>
      <c r="L52" s="102">
        <f>+L49</f>
        <v>42.9</v>
      </c>
      <c r="M52" s="12" t="s">
        <v>144</v>
      </c>
      <c r="N52" s="102" t="s">
        <v>146</v>
      </c>
      <c r="O52" s="12" t="s">
        <v>147</v>
      </c>
      <c r="P52" s="12" t="s">
        <v>150</v>
      </c>
      <c r="Q52" s="12"/>
      <c r="R52" s="13"/>
    </row>
    <row r="53" spans="1:21" ht="16.5" x14ac:dyDescent="0.3">
      <c r="A53" s="74" t="s">
        <v>45</v>
      </c>
      <c r="B53" s="75">
        <v>600</v>
      </c>
      <c r="C53" s="3"/>
      <c r="D53" s="30">
        <v>1</v>
      </c>
      <c r="E53" s="30">
        <v>1</v>
      </c>
      <c r="F53" s="30" t="s">
        <v>120</v>
      </c>
      <c r="G53" s="39">
        <v>135</v>
      </c>
      <c r="H53" s="39">
        <f t="shared" si="0"/>
        <v>135</v>
      </c>
      <c r="I53" s="76"/>
      <c r="J53" s="11"/>
      <c r="K53" s="102">
        <f>0.65*0.36*C41</f>
        <v>351</v>
      </c>
      <c r="L53" s="111">
        <v>2.5</v>
      </c>
      <c r="M53" s="111">
        <f>+K53*L53</f>
        <v>877.5</v>
      </c>
      <c r="N53" s="111">
        <v>360</v>
      </c>
      <c r="O53" s="111">
        <f>+M53+N53</f>
        <v>1237.5</v>
      </c>
      <c r="P53" s="104" t="s">
        <v>151</v>
      </c>
      <c r="Q53" s="12"/>
      <c r="R53" s="13"/>
    </row>
    <row r="54" spans="1:21" x14ac:dyDescent="0.3">
      <c r="A54" s="77" t="s">
        <v>153</v>
      </c>
      <c r="B54" s="75">
        <v>1200</v>
      </c>
      <c r="C54" s="3"/>
      <c r="D54" s="30">
        <v>1</v>
      </c>
      <c r="E54" s="30">
        <v>1</v>
      </c>
      <c r="F54" s="30" t="s">
        <v>121</v>
      </c>
      <c r="G54" s="39">
        <v>135</v>
      </c>
      <c r="H54" s="39">
        <f t="shared" si="0"/>
        <v>135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140</v>
      </c>
      <c r="B55" s="75">
        <f>(6*B48)*1.05</f>
        <v>6300</v>
      </c>
      <c r="D55" s="30">
        <v>1</v>
      </c>
      <c r="E55" s="30">
        <v>1</v>
      </c>
      <c r="F55" s="30" t="s">
        <v>138</v>
      </c>
      <c r="G55" s="39">
        <v>295</v>
      </c>
      <c r="H55" s="39">
        <f>+G55*E55</f>
        <v>295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139</v>
      </c>
      <c r="B56" s="75">
        <f>(10*B48)*1.05</f>
        <v>10500</v>
      </c>
      <c r="D56" s="30">
        <v>1</v>
      </c>
      <c r="E56" s="30">
        <v>1</v>
      </c>
      <c r="F56" s="30" t="s">
        <v>52</v>
      </c>
      <c r="G56" s="39">
        <v>1500</v>
      </c>
      <c r="H56" s="39">
        <f>+G56*E56</f>
        <v>1500</v>
      </c>
    </row>
    <row r="57" spans="1:21" x14ac:dyDescent="0.3">
      <c r="A57" s="77" t="s">
        <v>163</v>
      </c>
      <c r="B57" s="75">
        <v>800</v>
      </c>
      <c r="D57" s="30">
        <v>1</v>
      </c>
      <c r="E57" s="30">
        <v>1</v>
      </c>
      <c r="F57" s="30" t="s">
        <v>205</v>
      </c>
      <c r="G57" s="39">
        <v>800</v>
      </c>
      <c r="H57" s="39">
        <f t="shared" ref="H57" si="1">+G57*E57</f>
        <v>800</v>
      </c>
      <c r="J57" s="5" t="s">
        <v>89</v>
      </c>
    </row>
    <row r="58" spans="1:21" x14ac:dyDescent="0.3">
      <c r="A58" s="73" t="s">
        <v>90</v>
      </c>
      <c r="B58" s="78">
        <f>SUM(B50:B57)</f>
        <v>26285.696250000001</v>
      </c>
      <c r="C58" s="3"/>
      <c r="D58" s="30">
        <v>1</v>
      </c>
      <c r="E58" s="30">
        <v>1</v>
      </c>
      <c r="F58" s="3" t="s">
        <v>91</v>
      </c>
      <c r="G58" s="39">
        <f>+O50</f>
        <v>1041.7387499999998</v>
      </c>
      <c r="H58" s="39">
        <f t="shared" ref="H58" si="2">+G58*E58</f>
        <v>1041.7387499999998</v>
      </c>
      <c r="L58" s="5"/>
    </row>
    <row r="59" spans="1:21" ht="15.75" x14ac:dyDescent="0.3">
      <c r="A59" s="16"/>
      <c r="B59" s="79"/>
      <c r="C59" s="3"/>
      <c r="D59" s="30"/>
      <c r="E59" s="30"/>
      <c r="F59" s="3"/>
      <c r="G59" s="3"/>
      <c r="H59" s="39">
        <f t="shared" ref="H59" si="3">+G59*E59</f>
        <v>0</v>
      </c>
      <c r="K59" s="82" t="s">
        <v>92</v>
      </c>
      <c r="L59" s="149" t="s">
        <v>183</v>
      </c>
      <c r="M59" s="150"/>
      <c r="O59" s="82" t="s">
        <v>92</v>
      </c>
      <c r="P59" s="149" t="s">
        <v>179</v>
      </c>
      <c r="Q59" s="150"/>
      <c r="S59"/>
      <c r="T59"/>
      <c r="U59"/>
    </row>
    <row r="60" spans="1:21" ht="15.75" x14ac:dyDescent="0.3">
      <c r="A60" s="16"/>
      <c r="B60" s="41">
        <f>+B58/B48</f>
        <v>26.285696250000001</v>
      </c>
      <c r="C60" s="4" t="s">
        <v>93</v>
      </c>
      <c r="D60" s="3"/>
      <c r="E60" s="3"/>
      <c r="F60" s="3"/>
      <c r="G60" s="3"/>
      <c r="K60" s="50" t="s">
        <v>3</v>
      </c>
      <c r="L60" s="80" t="s">
        <v>184</v>
      </c>
      <c r="M60" s="81"/>
      <c r="O60" s="50" t="s">
        <v>3</v>
      </c>
      <c r="P60" s="80"/>
      <c r="Q60" s="81"/>
      <c r="S60"/>
      <c r="T60"/>
      <c r="U60"/>
    </row>
    <row r="61" spans="1:21" ht="15.75" x14ac:dyDescent="0.3">
      <c r="A61" s="3"/>
      <c r="B61" s="3"/>
      <c r="D61" s="3"/>
      <c r="E61" s="3"/>
      <c r="F61" s="3"/>
      <c r="G61" s="82" t="s">
        <v>94</v>
      </c>
      <c r="H61" s="39">
        <f>SUM(H49:H60)</f>
        <v>5911.7387499999995</v>
      </c>
      <c r="K61" s="50" t="s">
        <v>24</v>
      </c>
      <c r="L61" s="134" t="s">
        <v>180</v>
      </c>
      <c r="M61" s="81"/>
      <c r="O61" s="50" t="s">
        <v>24</v>
      </c>
      <c r="P61" s="80"/>
      <c r="Q61" s="81"/>
      <c r="S61"/>
      <c r="T61"/>
      <c r="U61"/>
    </row>
    <row r="62" spans="1:21" ht="15.75" x14ac:dyDescent="0.3">
      <c r="D62" s="3"/>
      <c r="E62" s="3"/>
      <c r="G62" s="5" t="s">
        <v>95</v>
      </c>
      <c r="H62" s="109">
        <v>1.3</v>
      </c>
      <c r="K62" s="50" t="s">
        <v>96</v>
      </c>
      <c r="L62" s="134"/>
      <c r="M62" s="81" t="s">
        <v>181</v>
      </c>
      <c r="O62" s="50" t="s">
        <v>96</v>
      </c>
      <c r="P62" s="80"/>
      <c r="Q62" s="81"/>
      <c r="S62"/>
      <c r="T62"/>
      <c r="U62"/>
    </row>
    <row r="63" spans="1:21" ht="15.75" x14ac:dyDescent="0.3">
      <c r="A63" s="4" t="s">
        <v>97</v>
      </c>
      <c r="B63" s="3"/>
      <c r="C63" s="3"/>
      <c r="E63" s="41">
        <f>+B74/C40</f>
        <v>34.025311499999994</v>
      </c>
      <c r="G63" s="1" t="s">
        <v>98</v>
      </c>
      <c r="H63" s="83">
        <v>1.75</v>
      </c>
      <c r="K63" s="50" t="s">
        <v>99</v>
      </c>
      <c r="L63" s="134"/>
      <c r="M63" s="81"/>
      <c r="O63" s="50" t="s">
        <v>99</v>
      </c>
      <c r="P63" s="80"/>
      <c r="Q63" s="81"/>
      <c r="S63"/>
      <c r="T63"/>
      <c r="U63"/>
    </row>
    <row r="64" spans="1:21" ht="15.75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K64" s="50" t="s">
        <v>103</v>
      </c>
      <c r="L64" s="134">
        <v>3</v>
      </c>
      <c r="M64" s="135">
        <f>+((B47*60)*2)</f>
        <v>0</v>
      </c>
      <c r="O64" s="50" t="s">
        <v>103</v>
      </c>
      <c r="P64" s="80"/>
      <c r="Q64" s="81"/>
      <c r="S64"/>
      <c r="T64"/>
      <c r="U64"/>
    </row>
    <row r="65" spans="1:21" ht="15.75" x14ac:dyDescent="0.3">
      <c r="A65" s="73" t="s">
        <v>104</v>
      </c>
      <c r="B65" s="74"/>
      <c r="C65" s="3"/>
      <c r="D65" s="3">
        <f>+B74*C68</f>
        <v>0</v>
      </c>
      <c r="E65" s="3"/>
      <c r="F65" s="3"/>
      <c r="G65" s="5" t="s">
        <v>122</v>
      </c>
      <c r="H65" s="83">
        <v>2.5</v>
      </c>
      <c r="K65" s="50" t="s">
        <v>108</v>
      </c>
      <c r="L65" s="136"/>
      <c r="M65" s="81"/>
      <c r="O65" s="50" t="s">
        <v>108</v>
      </c>
      <c r="P65" s="137"/>
      <c r="Q65" s="81"/>
      <c r="S65"/>
      <c r="T65"/>
      <c r="U65"/>
    </row>
    <row r="66" spans="1:21" ht="15.75" x14ac:dyDescent="0.3">
      <c r="A66" s="74" t="s">
        <v>86</v>
      </c>
      <c r="B66" s="75">
        <f>+E35*C42</f>
        <v>1120.0511249999997</v>
      </c>
      <c r="C66" s="87"/>
      <c r="K66" s="50" t="s">
        <v>182</v>
      </c>
      <c r="L66" s="136">
        <v>54</v>
      </c>
      <c r="M66" s="138" t="s">
        <v>185</v>
      </c>
      <c r="O66" s="50" t="s">
        <v>182</v>
      </c>
      <c r="P66" s="137"/>
      <c r="Q66" s="138"/>
      <c r="S66"/>
      <c r="T66"/>
      <c r="U66"/>
    </row>
    <row r="67" spans="1:21" ht="15.75" x14ac:dyDescent="0.3">
      <c r="A67" s="74" t="s">
        <v>21</v>
      </c>
      <c r="B67" s="75">
        <f>+H61*H62</f>
        <v>7685.2603749999998</v>
      </c>
      <c r="C67" s="87"/>
      <c r="K67" s="50" t="s">
        <v>112</v>
      </c>
      <c r="L67" s="136">
        <f>+L66*L64</f>
        <v>162</v>
      </c>
      <c r="M67" s="81"/>
      <c r="O67" s="50" t="s">
        <v>112</v>
      </c>
      <c r="P67" s="137"/>
      <c r="Q67" s="81"/>
      <c r="S67"/>
      <c r="T67"/>
      <c r="U67"/>
    </row>
    <row r="68" spans="1:21" ht="15.75" x14ac:dyDescent="0.3">
      <c r="A68" s="74" t="str">
        <f>+A53</f>
        <v>Tabla de suaje</v>
      </c>
      <c r="B68" s="75">
        <f>+B53*H62</f>
        <v>780</v>
      </c>
      <c r="C68" s="87"/>
      <c r="K68" s="50" t="s">
        <v>175</v>
      </c>
      <c r="L68" s="136">
        <f>+M28+M29</f>
        <v>270</v>
      </c>
      <c r="M68" s="81"/>
      <c r="O68" s="50"/>
      <c r="P68" s="80"/>
      <c r="Q68" s="81"/>
      <c r="S68"/>
      <c r="T68"/>
      <c r="U68"/>
    </row>
    <row r="69" spans="1:21" ht="15.75" x14ac:dyDescent="0.3">
      <c r="A69" s="74" t="str">
        <f>+A54</f>
        <v>Envio Fora</v>
      </c>
      <c r="B69" s="75">
        <f>+B54*H62</f>
        <v>1560</v>
      </c>
      <c r="C69" s="87"/>
      <c r="K69" s="50" t="s">
        <v>186</v>
      </c>
      <c r="L69" s="136">
        <f>+((2*4)*B48)*1.1</f>
        <v>8800</v>
      </c>
      <c r="M69" s="81"/>
      <c r="O69" s="50"/>
      <c r="P69" s="80"/>
      <c r="Q69" s="81"/>
      <c r="S69"/>
      <c r="T69"/>
      <c r="U69"/>
    </row>
    <row r="70" spans="1:21" ht="15.75" x14ac:dyDescent="0.3">
      <c r="A70" s="74" t="str">
        <f>+A55</f>
        <v>Imán</v>
      </c>
      <c r="B70" s="75">
        <f>+B55*H62</f>
        <v>8190</v>
      </c>
      <c r="C70" s="93"/>
      <c r="G70" s="90" t="s">
        <v>111</v>
      </c>
      <c r="H70" s="41">
        <f>+B60</f>
        <v>26.285696250000001</v>
      </c>
      <c r="I70" s="91">
        <f>+H70*B48</f>
        <v>26285.696250000001</v>
      </c>
      <c r="K70" s="1" t="s">
        <v>187</v>
      </c>
      <c r="L70" s="136">
        <f>+((2*1)*B48)*1.1</f>
        <v>2200</v>
      </c>
      <c r="M70" s="81"/>
      <c r="P70" s="80"/>
      <c r="Q70" s="81"/>
      <c r="S70"/>
      <c r="T70"/>
      <c r="U70"/>
    </row>
    <row r="71" spans="1:21" ht="15.75" x14ac:dyDescent="0.3">
      <c r="A71" s="74" t="str">
        <f>+A56</f>
        <v>Encuadernación</v>
      </c>
      <c r="B71" s="75">
        <f>+B56*H62</f>
        <v>13650</v>
      </c>
      <c r="C71" s="93"/>
      <c r="G71" s="90" t="s">
        <v>113</v>
      </c>
      <c r="H71" s="41">
        <f>+C74</f>
        <v>34.025311499999994</v>
      </c>
      <c r="I71" s="91">
        <f>+H71*B48</f>
        <v>34025.311499999996</v>
      </c>
      <c r="K71" s="50" t="s">
        <v>188</v>
      </c>
      <c r="L71" s="139">
        <f>+L70+L69</f>
        <v>11000</v>
      </c>
      <c r="M71" s="140">
        <f>+L71/B48</f>
        <v>11</v>
      </c>
      <c r="N71" s="1" t="s">
        <v>190</v>
      </c>
      <c r="P71" s="80"/>
      <c r="Q71" s="81"/>
      <c r="S71"/>
      <c r="T71"/>
      <c r="U71"/>
    </row>
    <row r="72" spans="1:21" ht="15.75" x14ac:dyDescent="0.3">
      <c r="A72" s="74" t="str">
        <f>+A57</f>
        <v>Empaque</v>
      </c>
      <c r="B72" s="75">
        <f>+B57*H62</f>
        <v>1040</v>
      </c>
      <c r="C72" s="93"/>
      <c r="G72" s="95" t="s">
        <v>114</v>
      </c>
      <c r="H72" s="96">
        <f>+H71-H70</f>
        <v>7.7396152499999928</v>
      </c>
      <c r="I72" s="115">
        <f>+H72*B48</f>
        <v>7739.6152499999926</v>
      </c>
      <c r="K72" s="50" t="s">
        <v>189</v>
      </c>
      <c r="L72" s="139">
        <f>+L71*1.5</f>
        <v>16500</v>
      </c>
      <c r="M72" s="140">
        <f>+L72/B48</f>
        <v>16.5</v>
      </c>
      <c r="N72" s="1" t="s">
        <v>190</v>
      </c>
      <c r="P72" s="80"/>
      <c r="Q72" s="81"/>
      <c r="S72"/>
      <c r="T72"/>
      <c r="U72"/>
    </row>
    <row r="73" spans="1:21" ht="15.75" x14ac:dyDescent="0.3">
      <c r="A73" s="74"/>
      <c r="B73" s="75"/>
      <c r="C73" s="96" t="s">
        <v>191</v>
      </c>
      <c r="D73" s="35"/>
      <c r="E73" s="35"/>
      <c r="F73" s="35" t="s">
        <v>111</v>
      </c>
      <c r="G73" s="148" t="s">
        <v>165</v>
      </c>
      <c r="H73" s="148"/>
      <c r="I73" s="118">
        <f>+(A81/100)*2.5</f>
        <v>2444.3178544999996</v>
      </c>
      <c r="L73" s="80"/>
      <c r="M73" s="81"/>
      <c r="P73" s="80"/>
      <c r="Q73" s="81"/>
      <c r="S73"/>
      <c r="T73"/>
      <c r="U73"/>
    </row>
    <row r="74" spans="1:21" ht="15.75" x14ac:dyDescent="0.3">
      <c r="A74" s="73" t="s">
        <v>90</v>
      </c>
      <c r="B74" s="78">
        <f>SUM(B65:B73)</f>
        <v>34025.311499999996</v>
      </c>
      <c r="C74" s="96">
        <f>+B74/B48</f>
        <v>34.025311499999994</v>
      </c>
      <c r="D74" s="5" t="s">
        <v>152</v>
      </c>
      <c r="F74" s="110">
        <f>+B60</f>
        <v>26.285696250000001</v>
      </c>
      <c r="G74" s="12"/>
      <c r="L74" s="80"/>
      <c r="M74" s="81"/>
      <c r="P74" s="80"/>
      <c r="Q74" s="81"/>
      <c r="S74"/>
      <c r="T74"/>
      <c r="U74"/>
    </row>
    <row r="75" spans="1:21" x14ac:dyDescent="0.3">
      <c r="C75" s="110">
        <f>+'forro guarda'!C73</f>
        <v>2.0939779000000001</v>
      </c>
      <c r="D75" s="5" t="str">
        <f>+'forro guarda'!D73</f>
        <v>forro guarda</v>
      </c>
      <c r="F75" s="110">
        <f>+'forro guarda'!B60</f>
        <v>1.7006559999999999</v>
      </c>
    </row>
    <row r="76" spans="1:21" x14ac:dyDescent="0.3">
      <c r="C76" s="110">
        <f>+'forro cajón EXT'!C73</f>
        <v>27.634807379999998</v>
      </c>
      <c r="D76" s="5" t="str">
        <f>+'forro cajón EXT'!D73</f>
        <v>forro cajón EXT</v>
      </c>
      <c r="E76" s="5"/>
      <c r="F76" s="110">
        <f>+'forro cajón EXT'!B60</f>
        <v>21.4673196</v>
      </c>
    </row>
    <row r="77" spans="1:21" x14ac:dyDescent="0.3">
      <c r="A77" s="5"/>
      <c r="C77" s="110">
        <f>+'forro cajón INT'!C73</f>
        <v>6.6975486499999999</v>
      </c>
      <c r="D77" s="5" t="str">
        <f>+'forro cajón INT'!D73</f>
        <v>forro cajón INT</v>
      </c>
      <c r="E77" s="5"/>
      <c r="F77" s="110">
        <f>+'forro cajón INT'!B60</f>
        <v>5.2818214999999995</v>
      </c>
      <c r="J77" s="12"/>
    </row>
    <row r="78" spans="1:21" x14ac:dyDescent="0.3">
      <c r="A78" s="5"/>
      <c r="C78" s="110">
        <f>+espuma!C72</f>
        <v>10.291</v>
      </c>
      <c r="D78" s="5" t="str">
        <f>+espuma!D72</f>
        <v>espuma</v>
      </c>
      <c r="E78" s="5"/>
      <c r="F78" s="110">
        <f>+espuma!B60</f>
        <v>9.07</v>
      </c>
      <c r="J78" s="12"/>
    </row>
    <row r="79" spans="1:21" x14ac:dyDescent="0.3">
      <c r="B79" s="98"/>
      <c r="C79" s="110">
        <f>+'cartón tapa'!C72</f>
        <v>5.893356250000001</v>
      </c>
      <c r="D79" s="5" t="str">
        <f>+'cartón tapa'!D72</f>
        <v>cartón tapa</v>
      </c>
      <c r="E79" s="5"/>
      <c r="F79" s="110">
        <f>+'cartón tapa'!B60</f>
        <v>5.2666874999999997</v>
      </c>
    </row>
    <row r="80" spans="1:21" x14ac:dyDescent="0.3">
      <c r="C80" s="112">
        <f>+'cartón cajón '!C72</f>
        <v>11.136712500000002</v>
      </c>
      <c r="D80" s="5" t="str">
        <f>+'cartón cajón '!D72</f>
        <v>cartón cajón</v>
      </c>
      <c r="E80" s="5"/>
      <c r="F80" s="112">
        <f>+'cartón cajón '!B60</f>
        <v>10.033374999999999</v>
      </c>
    </row>
    <row r="81" spans="1:18" ht="15.75" customHeight="1" x14ac:dyDescent="0.3">
      <c r="A81" s="147">
        <f>+C81*B48</f>
        <v>97772.714179999981</v>
      </c>
      <c r="B81" s="147"/>
      <c r="C81" s="114">
        <f>SUM(C74:C80)</f>
        <v>97.77271417999998</v>
      </c>
      <c r="D81" s="5" t="s">
        <v>143</v>
      </c>
      <c r="F81" s="116">
        <f>SUM(F74:F80)</f>
        <v>79.105555850000002</v>
      </c>
      <c r="G81" s="117">
        <f>+F81*B48</f>
        <v>79105.555850000004</v>
      </c>
      <c r="I81" s="146">
        <f>+A81-G81</f>
        <v>18667.158329999977</v>
      </c>
      <c r="J81" s="146"/>
    </row>
    <row r="83" spans="1:18" x14ac:dyDescent="0.3">
      <c r="J83" s="100"/>
    </row>
    <row r="89" spans="1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  <row r="97" spans="10:18" ht="16.5" x14ac:dyDescent="0.3">
      <c r="J97" s="76"/>
      <c r="K97" s="76"/>
      <c r="L97" s="76"/>
      <c r="M97" s="76"/>
      <c r="N97" s="76"/>
      <c r="O97" s="76"/>
      <c r="P97" s="76"/>
      <c r="Q97" s="76"/>
      <c r="R97" s="76"/>
    </row>
    <row r="98" spans="10:18" ht="16.5" x14ac:dyDescent="0.3">
      <c r="J98" s="76"/>
      <c r="K98" s="76"/>
      <c r="L98" s="76"/>
      <c r="M98" s="76"/>
      <c r="N98" s="76"/>
      <c r="O98" s="76"/>
      <c r="P98" s="76"/>
      <c r="Q98" s="76"/>
      <c r="R98" s="76"/>
    </row>
  </sheetData>
  <mergeCells count="5">
    <mergeCell ref="I81:J81"/>
    <mergeCell ref="A81:B81"/>
    <mergeCell ref="G73:H73"/>
    <mergeCell ref="L59:M59"/>
    <mergeCell ref="P59:Q59"/>
  </mergeCells>
  <pageMargins left="0.70866141732283472" right="0.70866141732283472" top="0.74803149606299213" bottom="0.74803149606299213" header="0.31496062992125984" footer="0.31496062992125984"/>
  <pageSetup scale="42" orientation="landscape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cartón cajón </vt:lpstr>
      <vt:lpstr>cartón tapa</vt:lpstr>
      <vt:lpstr>espuma</vt:lpstr>
      <vt:lpstr>forro cajón INT</vt:lpstr>
      <vt:lpstr>forro cajón EXT</vt:lpstr>
      <vt:lpstr>forro guarda</vt:lpstr>
      <vt:lpstr>forro tapa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2016-10-06T23:34:21Z</cp:lastPrinted>
  <dcterms:created xsi:type="dcterms:W3CDTF">2013-03-04T22:24:31Z</dcterms:created>
  <dcterms:modified xsi:type="dcterms:W3CDTF">2016-10-07T00:07:24Z</dcterms:modified>
</cp:coreProperties>
</file>