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5" yWindow="-15" windowWidth="20520" windowHeight="4065" firstSheet="1" activeTab="6"/>
  </bookViews>
  <sheets>
    <sheet name="Desarrollo" sheetId="45" r:id="rId1"/>
    <sheet name="cartón caja" sheetId="39" r:id="rId2"/>
    <sheet name="cartón cartera" sheetId="40" r:id="rId3"/>
    <sheet name="Empalme Caja INT" sheetId="34" r:id="rId4"/>
    <sheet name="Forro Caja EXT" sheetId="42" r:id="rId5"/>
    <sheet name="forro cartera guarda" sheetId="44" r:id="rId6"/>
    <sheet name="forro cartera ext" sheetId="38" r:id="rId7"/>
  </sheets>
  <externalReferences>
    <externalReference r:id="rId8"/>
  </externalReferences>
  <calcPr calcId="145621"/>
</workbook>
</file>

<file path=xl/calcChain.xml><?xml version="1.0" encoding="utf-8"?>
<calcChain xmlns="http://schemas.openxmlformats.org/spreadsheetml/2006/main">
  <c r="G31" i="45" l="1"/>
  <c r="B30" i="38" l="1"/>
  <c r="C23" i="38"/>
  <c r="E30" i="44"/>
  <c r="E30" i="38" s="1"/>
  <c r="B30" i="44"/>
  <c r="C23" i="44"/>
  <c r="G85" i="45"/>
  <c r="G45" i="45"/>
  <c r="G38" i="45"/>
  <c r="D11" i="45"/>
  <c r="C11" i="45"/>
  <c r="F93" i="38" l="1"/>
  <c r="G99" i="45" l="1"/>
  <c r="E25" i="44" l="1"/>
  <c r="C25" i="44"/>
  <c r="C66" i="45"/>
  <c r="G57" i="34" l="1"/>
  <c r="H50" i="44" l="1"/>
  <c r="G49" i="44"/>
  <c r="H49" i="44" s="1"/>
  <c r="G58" i="38" l="1"/>
  <c r="E25" i="38"/>
  <c r="C25" i="38"/>
  <c r="G58" i="44"/>
  <c r="C13" i="44"/>
  <c r="C13" i="38" s="1"/>
  <c r="C11" i="44"/>
  <c r="C9" i="44"/>
  <c r="B30" i="42"/>
  <c r="E30" i="42"/>
  <c r="E25" i="42"/>
  <c r="C25" i="42"/>
  <c r="C23" i="42"/>
  <c r="C13" i="42"/>
  <c r="C11" i="42"/>
  <c r="C9" i="42"/>
  <c r="E30" i="34"/>
  <c r="E25" i="34"/>
  <c r="C25" i="34"/>
  <c r="C23" i="34"/>
  <c r="C13" i="34"/>
  <c r="C9" i="39"/>
  <c r="C9" i="40"/>
  <c r="C9" i="34"/>
  <c r="C13" i="39"/>
  <c r="C13" i="40" s="1"/>
  <c r="C11" i="39"/>
  <c r="C11" i="40" s="1"/>
  <c r="B48" i="38" l="1"/>
  <c r="D80" i="38"/>
  <c r="D79" i="38"/>
  <c r="A70" i="38"/>
  <c r="B48" i="44"/>
  <c r="B48" i="42"/>
  <c r="B56" i="42" s="1"/>
  <c r="B48" i="34"/>
  <c r="B54" i="38" l="1"/>
  <c r="B55" i="38"/>
  <c r="D78" i="38"/>
  <c r="F89" i="38" s="1"/>
  <c r="D77" i="38"/>
  <c r="F88" i="38" s="1"/>
  <c r="D76" i="38"/>
  <c r="F87" i="38" s="1"/>
  <c r="B109" i="38"/>
  <c r="A109" i="38"/>
  <c r="C109" i="38" s="1"/>
  <c r="E109" i="38" s="1"/>
  <c r="J92" i="38"/>
  <c r="F92" i="38"/>
  <c r="D91" i="38"/>
  <c r="G89" i="38"/>
  <c r="G88" i="38"/>
  <c r="G86" i="38"/>
  <c r="G87" i="38" s="1"/>
  <c r="F86" i="38"/>
  <c r="F91" i="38"/>
  <c r="F90" i="38"/>
  <c r="B74" i="38"/>
  <c r="A74" i="38"/>
  <c r="B73" i="38"/>
  <c r="A73" i="38"/>
  <c r="A72" i="38"/>
  <c r="B69" i="38"/>
  <c r="A69" i="38"/>
  <c r="H59" i="38"/>
  <c r="H57" i="38"/>
  <c r="H56" i="38"/>
  <c r="H55" i="38"/>
  <c r="H54" i="38"/>
  <c r="H53" i="38"/>
  <c r="H52" i="38"/>
  <c r="H51" i="38"/>
  <c r="H50" i="38"/>
  <c r="H49" i="38"/>
  <c r="G49" i="38"/>
  <c r="C11" i="38"/>
  <c r="B83" i="44"/>
  <c r="B71" i="44"/>
  <c r="A71" i="44"/>
  <c r="B70" i="44"/>
  <c r="A70" i="44"/>
  <c r="A69" i="44"/>
  <c r="B68" i="44"/>
  <c r="A68" i="44"/>
  <c r="H59" i="44"/>
  <c r="H56" i="44"/>
  <c r="H55" i="44"/>
  <c r="H54" i="44"/>
  <c r="H53" i="44"/>
  <c r="H52" i="44"/>
  <c r="H51" i="44"/>
  <c r="B83" i="42"/>
  <c r="A71" i="42"/>
  <c r="B70" i="42"/>
  <c r="A70" i="42"/>
  <c r="A69" i="42"/>
  <c r="B68" i="42"/>
  <c r="A68" i="42"/>
  <c r="H59" i="42"/>
  <c r="H56" i="42"/>
  <c r="H55" i="42"/>
  <c r="H54" i="42"/>
  <c r="H53" i="42"/>
  <c r="H52" i="42"/>
  <c r="H51" i="42"/>
  <c r="H50" i="42"/>
  <c r="G49" i="42"/>
  <c r="H49" i="42" s="1"/>
  <c r="B83" i="34"/>
  <c r="B71" i="34"/>
  <c r="A71" i="34"/>
  <c r="B70" i="34"/>
  <c r="A70" i="34"/>
  <c r="A69" i="34"/>
  <c r="B68" i="34"/>
  <c r="A68" i="34"/>
  <c r="H59" i="34"/>
  <c r="H56" i="34"/>
  <c r="H55" i="34"/>
  <c r="H54" i="34"/>
  <c r="H53" i="34"/>
  <c r="H52" i="34"/>
  <c r="H51" i="34"/>
  <c r="H50" i="34"/>
  <c r="G49" i="34"/>
  <c r="H49" i="34" s="1"/>
  <c r="C11" i="34"/>
  <c r="D40" i="40"/>
  <c r="F23" i="39"/>
  <c r="C23" i="39"/>
  <c r="E30" i="39"/>
  <c r="E30" i="40"/>
  <c r="B48" i="39"/>
  <c r="D40" i="39"/>
  <c r="F66" i="45"/>
  <c r="E66" i="45"/>
  <c r="D66" i="45"/>
  <c r="H96" i="45" l="1"/>
  <c r="G92" i="45"/>
  <c r="H89" i="45"/>
  <c r="F82" i="45"/>
  <c r="H82" i="45" s="1"/>
  <c r="F73" i="45"/>
  <c r="F76" i="45"/>
  <c r="E69" i="45"/>
  <c r="F70" i="45"/>
  <c r="H43" i="45"/>
  <c r="H36" i="45"/>
  <c r="H29" i="45"/>
  <c r="E26" i="45"/>
  <c r="G24" i="45"/>
  <c r="C24" i="45"/>
  <c r="G19" i="45"/>
  <c r="C19" i="45"/>
  <c r="G16" i="45"/>
  <c r="H26" i="45" s="1"/>
  <c r="E30" i="45" s="1"/>
  <c r="C16" i="45"/>
  <c r="E14" i="45"/>
  <c r="B70" i="45" l="1"/>
  <c r="C94" i="45"/>
  <c r="C87" i="45"/>
  <c r="E94" i="45"/>
  <c r="E97" i="45" s="1"/>
  <c r="H16" i="38" s="1"/>
  <c r="B105" i="38" s="1"/>
  <c r="B108" i="38" s="1"/>
  <c r="E87" i="45"/>
  <c r="H16" i="39"/>
  <c r="H19" i="39"/>
  <c r="H79" i="45"/>
  <c r="H20" i="38"/>
  <c r="C41" i="45"/>
  <c r="E31" i="45"/>
  <c r="E32" i="45"/>
  <c r="B15" i="45"/>
  <c r="C30" i="45" s="1"/>
  <c r="E34" i="45"/>
  <c r="E41" i="45"/>
  <c r="C83" i="45"/>
  <c r="E83" i="45"/>
  <c r="C34" i="45"/>
  <c r="E31" i="44"/>
  <c r="E32" i="44" s="1"/>
  <c r="E34" i="44" s="1"/>
  <c r="H87" i="38" s="1"/>
  <c r="H25" i="44"/>
  <c r="F25" i="44"/>
  <c r="E31" i="38"/>
  <c r="E32" i="38" s="1"/>
  <c r="H25" i="38"/>
  <c r="F25" i="38"/>
  <c r="H25" i="42"/>
  <c r="F25" i="42"/>
  <c r="E98" i="45" l="1"/>
  <c r="E99" i="45"/>
  <c r="E26" i="38"/>
  <c r="E27" i="38" s="1"/>
  <c r="F16" i="39"/>
  <c r="F19" i="39"/>
  <c r="H16" i="40"/>
  <c r="H19" i="40"/>
  <c r="F16" i="40"/>
  <c r="F19" i="40"/>
  <c r="E90" i="45"/>
  <c r="H16" i="44" s="1"/>
  <c r="H20" i="44"/>
  <c r="E37" i="45"/>
  <c r="H16" i="34" s="1"/>
  <c r="B79" i="34" s="1"/>
  <c r="B82" i="34" s="1"/>
  <c r="H20" i="34"/>
  <c r="E44" i="45"/>
  <c r="H16" i="42" s="1"/>
  <c r="H20" i="42"/>
  <c r="C90" i="45"/>
  <c r="F16" i="44" s="1"/>
  <c r="F20" i="44"/>
  <c r="C44" i="45"/>
  <c r="F20" i="42"/>
  <c r="C37" i="45"/>
  <c r="F16" i="34" s="1"/>
  <c r="F20" i="34"/>
  <c r="C97" i="45"/>
  <c r="F20" i="38"/>
  <c r="C9" i="38"/>
  <c r="C84" i="45"/>
  <c r="C85" i="45"/>
  <c r="E85" i="45"/>
  <c r="E84" i="45"/>
  <c r="C32" i="45"/>
  <c r="C31" i="45"/>
  <c r="E35" i="44"/>
  <c r="F26" i="38" l="1"/>
  <c r="F27" i="38" s="1"/>
  <c r="C39" i="45"/>
  <c r="E38" i="45"/>
  <c r="E45" i="45"/>
  <c r="E39" i="45"/>
  <c r="E92" i="45"/>
  <c r="E46" i="45"/>
  <c r="E91" i="45"/>
  <c r="B54" i="44"/>
  <c r="B69" i="44" s="1"/>
  <c r="B53" i="38"/>
  <c r="B79" i="44"/>
  <c r="B82" i="44" s="1"/>
  <c r="E26" i="44"/>
  <c r="B79" i="42"/>
  <c r="B82" i="42" s="1"/>
  <c r="E26" i="42"/>
  <c r="C92" i="45"/>
  <c r="C38" i="45"/>
  <c r="C91" i="45"/>
  <c r="C99" i="45"/>
  <c r="F16" i="38"/>
  <c r="C98" i="45"/>
  <c r="A79" i="34"/>
  <c r="A82" i="34" s="1"/>
  <c r="B69" i="34"/>
  <c r="C46" i="45"/>
  <c r="F16" i="42"/>
  <c r="C45" i="45"/>
  <c r="A79" i="44"/>
  <c r="A82" i="44" s="1"/>
  <c r="C26" i="44"/>
  <c r="E31" i="42"/>
  <c r="E32" i="42" s="1"/>
  <c r="E34" i="42" s="1"/>
  <c r="H88" i="38" s="1"/>
  <c r="B70" i="38" l="1"/>
  <c r="H93" i="38"/>
  <c r="J93" i="38" s="1"/>
  <c r="E27" i="42"/>
  <c r="F26" i="42"/>
  <c r="F27" i="42" s="1"/>
  <c r="F26" i="44"/>
  <c r="F27" i="44" s="1"/>
  <c r="E27" i="44"/>
  <c r="C27" i="44"/>
  <c r="H26" i="44"/>
  <c r="H27" i="44" s="1"/>
  <c r="A105" i="38"/>
  <c r="A108" i="38" s="1"/>
  <c r="C26" i="38"/>
  <c r="B69" i="42"/>
  <c r="A79" i="42"/>
  <c r="A82" i="42" s="1"/>
  <c r="C26" i="42"/>
  <c r="E35" i="42"/>
  <c r="H26" i="42" l="1"/>
  <c r="H27" i="42" s="1"/>
  <c r="C27" i="42"/>
  <c r="H26" i="38"/>
  <c r="H27" i="38" s="1"/>
  <c r="C27" i="38"/>
  <c r="B48" i="40"/>
  <c r="C40" i="40" s="1"/>
  <c r="C41" i="40" s="1"/>
  <c r="C42" i="40" s="1"/>
  <c r="I90" i="38" s="1"/>
  <c r="E31" i="34"/>
  <c r="E32" i="34" s="1"/>
  <c r="E34" i="34" s="1"/>
  <c r="C40" i="39"/>
  <c r="C41" i="39" s="1"/>
  <c r="G44" i="39" s="1"/>
  <c r="H52" i="40"/>
  <c r="E34" i="38"/>
  <c r="H86" i="38" s="1"/>
  <c r="E31" i="40"/>
  <c r="E32" i="40" s="1"/>
  <c r="E34" i="40" s="1"/>
  <c r="E35" i="40" s="1"/>
  <c r="H49" i="40"/>
  <c r="H50" i="40"/>
  <c r="H51" i="40"/>
  <c r="H53" i="40"/>
  <c r="H54" i="40"/>
  <c r="H55" i="40"/>
  <c r="H56" i="40"/>
  <c r="H57" i="40"/>
  <c r="H58" i="40"/>
  <c r="H59" i="40"/>
  <c r="B68" i="40"/>
  <c r="B69" i="40"/>
  <c r="B70" i="40"/>
  <c r="A70" i="40"/>
  <c r="A69" i="40"/>
  <c r="A68" i="40"/>
  <c r="H25" i="40"/>
  <c r="C26" i="40"/>
  <c r="H26" i="40" s="1"/>
  <c r="H27" i="40" s="1"/>
  <c r="F25" i="40"/>
  <c r="E26" i="40"/>
  <c r="E27" i="40" s="1"/>
  <c r="E31" i="39"/>
  <c r="E32" i="39" s="1"/>
  <c r="E34" i="39" s="1"/>
  <c r="E35" i="39" s="1"/>
  <c r="H49" i="39"/>
  <c r="H50" i="39"/>
  <c r="H51" i="39"/>
  <c r="H52" i="39"/>
  <c r="H53" i="39"/>
  <c r="H54" i="39"/>
  <c r="H55" i="39"/>
  <c r="H56" i="39"/>
  <c r="H57" i="39"/>
  <c r="H58" i="39"/>
  <c r="H59" i="39"/>
  <c r="B68" i="39"/>
  <c r="B69" i="39"/>
  <c r="B70" i="39"/>
  <c r="A70" i="39"/>
  <c r="A69" i="39"/>
  <c r="A68" i="39"/>
  <c r="H25" i="39"/>
  <c r="C26" i="39"/>
  <c r="C27" i="39" s="1"/>
  <c r="F25" i="39"/>
  <c r="E26" i="39"/>
  <c r="F26" i="39" s="1"/>
  <c r="F27" i="39" s="1"/>
  <c r="H25" i="34"/>
  <c r="C26" i="34"/>
  <c r="H26" i="34" s="1"/>
  <c r="F25" i="34"/>
  <c r="E26" i="34"/>
  <c r="E27" i="34" s="1"/>
  <c r="E35" i="34" l="1"/>
  <c r="H89" i="38"/>
  <c r="C27" i="40"/>
  <c r="H61" i="39"/>
  <c r="B51" i="39" s="1"/>
  <c r="E27" i="39"/>
  <c r="H61" i="40"/>
  <c r="B67" i="40" s="1"/>
  <c r="G43" i="39"/>
  <c r="G44" i="40"/>
  <c r="G43" i="40"/>
  <c r="C27" i="34"/>
  <c r="F26" i="40"/>
  <c r="F27" i="40" s="1"/>
  <c r="H26" i="39"/>
  <c r="H27" i="39" s="1"/>
  <c r="F26" i="34"/>
  <c r="F27" i="34" s="1"/>
  <c r="H27" i="34"/>
  <c r="E35" i="38"/>
  <c r="C42" i="39"/>
  <c r="I91" i="38" s="1"/>
  <c r="B51" i="40" l="1"/>
  <c r="B67" i="39"/>
  <c r="B66" i="40"/>
  <c r="B72" i="40" s="1"/>
  <c r="C72" i="40" s="1"/>
  <c r="B50" i="40"/>
  <c r="C46" i="40"/>
  <c r="B50" i="39"/>
  <c r="B58" i="39" s="1"/>
  <c r="B60" i="39" s="1"/>
  <c r="F80" i="38" s="1"/>
  <c r="C46" i="39"/>
  <c r="B66" i="39"/>
  <c r="G70" i="40" l="1"/>
  <c r="H70" i="40" s="1"/>
  <c r="C79" i="38"/>
  <c r="B58" i="40"/>
  <c r="B60" i="40" s="1"/>
  <c r="B72" i="39"/>
  <c r="C72" i="39" s="1"/>
  <c r="C80" i="38" s="1"/>
  <c r="G70" i="39"/>
  <c r="H70" i="39" s="1"/>
  <c r="E63" i="40"/>
  <c r="D65" i="40"/>
  <c r="E63" i="39" l="1"/>
  <c r="G69" i="40"/>
  <c r="H69" i="40" s="1"/>
  <c r="F79" i="38"/>
  <c r="G71" i="40"/>
  <c r="H71" i="40" s="1"/>
  <c r="D65" i="39"/>
  <c r="G71" i="39"/>
  <c r="H71" i="39" s="1"/>
  <c r="G72" i="39" l="1"/>
  <c r="H72" i="39" s="1"/>
  <c r="C40" i="44" l="1"/>
  <c r="C40" i="34"/>
  <c r="C41" i="34" l="1"/>
  <c r="G43" i="34"/>
  <c r="G44" i="44"/>
  <c r="C41" i="44"/>
  <c r="B71" i="42"/>
  <c r="C40" i="42"/>
  <c r="C91" i="38"/>
  <c r="C94" i="38" s="1"/>
  <c r="C98" i="38" s="1"/>
  <c r="B72" i="38"/>
  <c r="C40" i="38"/>
  <c r="C41" i="38" l="1"/>
  <c r="G44" i="38"/>
  <c r="C41" i="42"/>
  <c r="G43" i="42"/>
  <c r="A83" i="44"/>
  <c r="C83" i="44" s="1"/>
  <c r="E83" i="44" s="1"/>
  <c r="G57" i="44" s="1"/>
  <c r="H57" i="44" s="1"/>
  <c r="A80" i="44"/>
  <c r="C80" i="44" s="1"/>
  <c r="E80" i="44" s="1"/>
  <c r="H58" i="44" s="1"/>
  <c r="G45" i="44"/>
  <c r="C42" i="44"/>
  <c r="I87" i="38" s="1"/>
  <c r="C99" i="38"/>
  <c r="D98" i="38"/>
  <c r="A83" i="34"/>
  <c r="C83" i="34" s="1"/>
  <c r="E83" i="34" s="1"/>
  <c r="H57" i="34" s="1"/>
  <c r="C42" i="34"/>
  <c r="I89" i="38" s="1"/>
  <c r="A80" i="34"/>
  <c r="C80" i="34" s="1"/>
  <c r="E80" i="34" s="1"/>
  <c r="G58" i="34" s="1"/>
  <c r="H58" i="34" s="1"/>
  <c r="G44" i="34"/>
  <c r="H61" i="44" l="1"/>
  <c r="B51" i="44" s="1"/>
  <c r="H91" i="38"/>
  <c r="J91" i="38" s="1"/>
  <c r="B66" i="34"/>
  <c r="C43" i="34"/>
  <c r="B50" i="34"/>
  <c r="C46" i="34"/>
  <c r="B50" i="44"/>
  <c r="C43" i="44"/>
  <c r="B66" i="44"/>
  <c r="C46" i="44"/>
  <c r="H90" i="38"/>
  <c r="J90" i="38" s="1"/>
  <c r="H61" i="34"/>
  <c r="D99" i="38"/>
  <c r="B71" i="38"/>
  <c r="A80" i="42"/>
  <c r="C80" i="42" s="1"/>
  <c r="E80" i="42" s="1"/>
  <c r="G58" i="42" s="1"/>
  <c r="H58" i="42" s="1"/>
  <c r="C42" i="42"/>
  <c r="I88" i="38" s="1"/>
  <c r="A83" i="42"/>
  <c r="C83" i="42" s="1"/>
  <c r="E83" i="42" s="1"/>
  <c r="G57" i="42" s="1"/>
  <c r="H57" i="42" s="1"/>
  <c r="H61" i="42" s="1"/>
  <c r="G44" i="42"/>
  <c r="A106" i="38"/>
  <c r="C106" i="38" s="1"/>
  <c r="E106" i="38" s="1"/>
  <c r="H58" i="38" s="1"/>
  <c r="H64" i="38" s="1"/>
  <c r="C42" i="38"/>
  <c r="I86" i="38" s="1"/>
  <c r="J86" i="38" s="1"/>
  <c r="J87" i="38" s="1"/>
  <c r="J88" i="38" s="1"/>
  <c r="J89" i="38" s="1"/>
  <c r="G45" i="38"/>
  <c r="J96" i="38" l="1"/>
  <c r="B67" i="44"/>
  <c r="B73" i="44" s="1"/>
  <c r="B51" i="38"/>
  <c r="B68" i="38"/>
  <c r="B51" i="42"/>
  <c r="B67" i="42"/>
  <c r="C43" i="38"/>
  <c r="B67" i="38"/>
  <c r="B50" i="38"/>
  <c r="B58" i="38" s="1"/>
  <c r="B60" i="38" s="1"/>
  <c r="C46" i="38"/>
  <c r="B66" i="42"/>
  <c r="C43" i="42"/>
  <c r="B50" i="42"/>
  <c r="B58" i="42" s="1"/>
  <c r="B60" i="42" s="1"/>
  <c r="C46" i="42"/>
  <c r="B67" i="34"/>
  <c r="B73" i="34" s="1"/>
  <c r="B51" i="34"/>
  <c r="B58" i="34" s="1"/>
  <c r="B60" i="34" s="1"/>
  <c r="B58" i="44"/>
  <c r="B60" i="44" s="1"/>
  <c r="B75" i="38" l="1"/>
  <c r="C75" i="38" s="1"/>
  <c r="B73" i="42"/>
  <c r="C73" i="42" s="1"/>
  <c r="E63" i="34"/>
  <c r="I52" i="34"/>
  <c r="D65" i="34"/>
  <c r="C73" i="34"/>
  <c r="F76" i="38"/>
  <c r="G70" i="44"/>
  <c r="H70" i="44" s="1"/>
  <c r="G70" i="34"/>
  <c r="H70" i="34" s="1"/>
  <c r="F78" i="38"/>
  <c r="D65" i="44"/>
  <c r="E63" i="44"/>
  <c r="C73" i="44"/>
  <c r="I52" i="44"/>
  <c r="G70" i="42"/>
  <c r="H70" i="42" s="1"/>
  <c r="F77" i="38"/>
  <c r="F75" i="38"/>
  <c r="H71" i="38"/>
  <c r="I71" i="38" s="1"/>
  <c r="I52" i="38" l="1"/>
  <c r="E63" i="42"/>
  <c r="D65" i="42"/>
  <c r="I52" i="42"/>
  <c r="H72" i="38"/>
  <c r="G71" i="34"/>
  <c r="C78" i="38"/>
  <c r="F81" i="38"/>
  <c r="G81" i="38" s="1"/>
  <c r="G71" i="42"/>
  <c r="C77" i="38"/>
  <c r="G71" i="44"/>
  <c r="C76" i="38"/>
  <c r="C81" i="38" l="1"/>
  <c r="A81" i="38" s="1"/>
  <c r="H71" i="44"/>
  <c r="G72" i="44"/>
  <c r="H72" i="44" s="1"/>
  <c r="H71" i="42"/>
  <c r="G72" i="42"/>
  <c r="H72" i="42" s="1"/>
  <c r="G72" i="34"/>
  <c r="H72" i="34" s="1"/>
  <c r="H71" i="34"/>
  <c r="I72" i="38"/>
  <c r="H73" i="38"/>
  <c r="I73" i="38" s="1"/>
  <c r="I74" i="38" l="1"/>
  <c r="I81" i="38"/>
</calcChain>
</file>

<file path=xl/sharedStrings.xml><?xml version="1.0" encoding="utf-8"?>
<sst xmlns="http://schemas.openxmlformats.org/spreadsheetml/2006/main" count="736" uniqueCount="183">
  <si>
    <t>Observaciones</t>
  </si>
  <si>
    <t>Presupuesto</t>
  </si>
  <si>
    <t>Elabora</t>
  </si>
  <si>
    <t>Lourdes Velasco</t>
  </si>
  <si>
    <t>Tamaño extendido</t>
  </si>
  <si>
    <t>Fecha</t>
  </si>
  <si>
    <t>ODT</t>
  </si>
  <si>
    <t>Cliente</t>
  </si>
  <si>
    <t>Proyecto</t>
  </si>
  <si>
    <t>Descripción</t>
  </si>
  <si>
    <t>Impresión</t>
  </si>
  <si>
    <t>Papel:</t>
  </si>
  <si>
    <t xml:space="preserve">Color </t>
  </si>
  <si>
    <t>Medida pliego</t>
  </si>
  <si>
    <t xml:space="preserve">X </t>
  </si>
  <si>
    <t>Tamaño Extendido</t>
  </si>
  <si>
    <t xml:space="preserve">Salen por lado </t>
  </si>
  <si>
    <t xml:space="preserve">Tamaños por pliego </t>
  </si>
  <si>
    <t>* calculo manual</t>
  </si>
  <si>
    <t>Proveedor:</t>
  </si>
  <si>
    <t>Precio Lista</t>
  </si>
  <si>
    <t>Monto desc.</t>
  </si>
  <si>
    <t xml:space="preserve">Monto descuento </t>
  </si>
  <si>
    <t>Costo  a Historias en Papel</t>
  </si>
  <si>
    <t>Tabla de suaje</t>
  </si>
  <si>
    <t>Original</t>
  </si>
  <si>
    <t>Copia</t>
  </si>
  <si>
    <t>costo de compra</t>
  </si>
  <si>
    <t>precio de venta</t>
  </si>
  <si>
    <t>Hot stamping</t>
  </si>
  <si>
    <t>Nota p/offset</t>
  </si>
  <si>
    <t xml:space="preserve">500 piezas siempre de sobrante para correr, </t>
  </si>
  <si>
    <t>Tamaños por pliego</t>
  </si>
  <si>
    <t>* manual</t>
  </si>
  <si>
    <t xml:space="preserve">aun cuando sean menos de 100 tiros. </t>
  </si>
  <si>
    <t>Para correr</t>
  </si>
  <si>
    <t xml:space="preserve">Tamaños requeridos </t>
  </si>
  <si>
    <t>Formato impresión</t>
  </si>
  <si>
    <t xml:space="preserve">Tamaños a correr </t>
  </si>
  <si>
    <t>Salen por tamaño</t>
  </si>
  <si>
    <t>Pliegos Requeridos</t>
  </si>
  <si>
    <t>Cientos a imprimir</t>
  </si>
  <si>
    <t>Millares a imprimir</t>
  </si>
  <si>
    <t>Cant. Pzas.</t>
  </si>
  <si>
    <t>Tamaños en Total</t>
  </si>
  <si>
    <t>tintas</t>
  </si>
  <si>
    <t>millares a imp</t>
  </si>
  <si>
    <t>concepto</t>
  </si>
  <si>
    <t>$ Millar</t>
  </si>
  <si>
    <t>total</t>
  </si>
  <si>
    <t xml:space="preserve">Costos </t>
  </si>
  <si>
    <t>laminas</t>
  </si>
  <si>
    <t>Papel</t>
  </si>
  <si>
    <t>pegado</t>
  </si>
  <si>
    <t xml:space="preserve">Colocar liston </t>
  </si>
  <si>
    <t>Total</t>
  </si>
  <si>
    <t>Laminado</t>
  </si>
  <si>
    <t>costo unitario</t>
  </si>
  <si>
    <t xml:space="preserve">Costo proceso </t>
  </si>
  <si>
    <t xml:space="preserve">Porcentaje Despacho </t>
  </si>
  <si>
    <t>PRECIO DE VENTA FINAL</t>
  </si>
  <si>
    <t>Porcentaje Final</t>
  </si>
  <si>
    <t xml:space="preserve">Importe total </t>
  </si>
  <si>
    <t xml:space="preserve">Unitario </t>
  </si>
  <si>
    <t>Precio</t>
  </si>
  <si>
    <t>Costo</t>
  </si>
  <si>
    <t>Precio final</t>
  </si>
  <si>
    <t>Utilidad</t>
  </si>
  <si>
    <t>Total Piezas</t>
  </si>
  <si>
    <t>Tinta F</t>
  </si>
  <si>
    <t>arreglo suaje</t>
  </si>
  <si>
    <t>suajado</t>
  </si>
  <si>
    <t>Urgencia</t>
  </si>
  <si>
    <t>X</t>
  </si>
  <si>
    <t>por tamaño</t>
  </si>
  <si>
    <t>Tinta MET</t>
  </si>
  <si>
    <t>Placas</t>
  </si>
  <si>
    <t>Mensajeria</t>
  </si>
  <si>
    <t>Listón</t>
  </si>
  <si>
    <t>Tamaño extendido papel</t>
  </si>
  <si>
    <t>LUMEN</t>
  </si>
  <si>
    <t>Imp Fte</t>
  </si>
  <si>
    <t>Imp Vta</t>
  </si>
  <si>
    <t>Cantidad de piezas a imp.</t>
  </si>
  <si>
    <t xml:space="preserve">Cajón </t>
  </si>
  <si>
    <t>cartoné</t>
  </si>
  <si>
    <t>Cartoné</t>
  </si>
  <si>
    <t>gris</t>
  </si>
  <si>
    <t>Arreglo HS</t>
  </si>
  <si>
    <t>Encuadernación</t>
  </si>
  <si>
    <t>Imán</t>
  </si>
  <si>
    <t>Caja Almeja</t>
  </si>
  <si>
    <t xml:space="preserve">tapa con imán para cierre </t>
  </si>
  <si>
    <t>corte</t>
  </si>
  <si>
    <t>TOTAL</t>
  </si>
  <si>
    <t>Tapa</t>
  </si>
  <si>
    <t>Area</t>
  </si>
  <si>
    <t>area + cantidad de hojas</t>
  </si>
  <si>
    <t>arreglo</t>
  </si>
  <si>
    <t>total a pagar</t>
  </si>
  <si>
    <t>#4</t>
  </si>
  <si>
    <t>cartón caja</t>
  </si>
  <si>
    <t>cartón cartera</t>
  </si>
  <si>
    <t>Fecha:</t>
  </si>
  <si>
    <t>Cliente:</t>
  </si>
  <si>
    <t>Marca</t>
  </si>
  <si>
    <t>Proyecto:</t>
  </si>
  <si>
    <t>Cantidad:</t>
  </si>
  <si>
    <t>piezas</t>
  </si>
  <si>
    <t>merma</t>
  </si>
  <si>
    <t>CAJA</t>
  </si>
  <si>
    <t>Medida Caja</t>
  </si>
  <si>
    <t>Base(frente)</t>
  </si>
  <si>
    <t>Profundidad</t>
  </si>
  <si>
    <t>Altura</t>
  </si>
  <si>
    <t>TT Horizontal</t>
  </si>
  <si>
    <t>TT Vertical</t>
  </si>
  <si>
    <t>TT Pliegos</t>
  </si>
  <si>
    <t>Empalme Interior</t>
  </si>
  <si>
    <t>Forro Exterior</t>
  </si>
  <si>
    <t>falta  merma</t>
  </si>
  <si>
    <t>Cartera</t>
  </si>
  <si>
    <t>Lado 1</t>
  </si>
  <si>
    <t>Lado 2</t>
  </si>
  <si>
    <t>Medida Tapa</t>
  </si>
  <si>
    <t>Guarda Interior Cartera</t>
  </si>
  <si>
    <t>Forro Exterior Cartera</t>
  </si>
  <si>
    <t xml:space="preserve">Cartón Gris </t>
  </si>
  <si>
    <t>EMPALME caja INT</t>
  </si>
  <si>
    <t>Pruebas de color</t>
  </si>
  <si>
    <t>empalme</t>
  </si>
  <si>
    <t>LAMINADOS7 BARNIZ UV/ EMPALMES</t>
  </si>
  <si>
    <t xml:space="preserve">minimo </t>
  </si>
  <si>
    <t>LAMINADO MATE</t>
  </si>
  <si>
    <t>EMPALME</t>
  </si>
  <si>
    <t>forro caja EXT</t>
  </si>
  <si>
    <t>forro cartera guarda</t>
  </si>
  <si>
    <t>Tabla de suaje + Placa</t>
  </si>
  <si>
    <t>Iman</t>
  </si>
  <si>
    <t>Arreglo Grabado</t>
  </si>
  <si>
    <t>Empaque</t>
  </si>
  <si>
    <t>Grabado</t>
  </si>
  <si>
    <t>Envio</t>
  </si>
  <si>
    <t>Venta</t>
  </si>
  <si>
    <t>Comisiones</t>
  </si>
  <si>
    <t>Partes Adiconales</t>
  </si>
  <si>
    <t xml:space="preserve">Costo Basicos </t>
  </si>
  <si>
    <t>Material</t>
  </si>
  <si>
    <t>$ compra dcto</t>
  </si>
  <si>
    <t>Pliegos</t>
  </si>
  <si>
    <t>TT</t>
  </si>
  <si>
    <t xml:space="preserve">Producto </t>
  </si>
  <si>
    <t>Imanes</t>
  </si>
  <si>
    <t xml:space="preserve">Material </t>
  </si>
  <si>
    <t>plata</t>
  </si>
  <si>
    <t>Tamaño Final</t>
  </si>
  <si>
    <t>mt</t>
  </si>
  <si>
    <t xml:space="preserve">Presentación </t>
  </si>
  <si>
    <t>Cantidad a comprar</t>
  </si>
  <si>
    <t>Gris #4</t>
  </si>
  <si>
    <t xml:space="preserve">Precio por pza. </t>
  </si>
  <si>
    <t>Precio por Paquete</t>
  </si>
  <si>
    <t>* MT</t>
  </si>
  <si>
    <t>Importe de la compra</t>
  </si>
  <si>
    <t>Suajado</t>
  </si>
  <si>
    <t>Colocado</t>
  </si>
  <si>
    <t>Maquila Armado</t>
  </si>
  <si>
    <t>TT Costo</t>
  </si>
  <si>
    <t>Unitario</t>
  </si>
  <si>
    <t>TT Utilidad</t>
  </si>
  <si>
    <t>forro cartera EXT.</t>
  </si>
  <si>
    <t>Prueba de Color</t>
  </si>
  <si>
    <t>White House</t>
  </si>
  <si>
    <t>Megadealer</t>
  </si>
  <si>
    <t>KIA</t>
  </si>
  <si>
    <t>Rainbow Blanco</t>
  </si>
  <si>
    <t>tamaño 42  X 34 cm.</t>
  </si>
  <si>
    <t>tamaño 32.5 X 35 cm.</t>
  </si>
  <si>
    <t>tamaño final 32 X 24 X 5.25 cm.</t>
  </si>
  <si>
    <t>cajón forrado en papel importación blanco</t>
  </si>
  <si>
    <t>tapa: forrada en papel importación blanco</t>
  </si>
  <si>
    <t>impresa a 1 X 0 tintas serigrafía +</t>
  </si>
  <si>
    <t>12 de julio de 2017.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</si>
</sst>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0.0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entury Gothic"/>
      <family val="2"/>
    </font>
    <font>
      <b/>
      <sz val="14"/>
      <color theme="3" tint="-0.499984740745262"/>
      <name val="Century Gothic"/>
      <family val="2"/>
    </font>
    <font>
      <sz val="9"/>
      <name val="Century Gothic"/>
      <family val="2"/>
    </font>
    <font>
      <b/>
      <sz val="9"/>
      <name val="Century Gothic"/>
      <family val="2"/>
    </font>
    <font>
      <b/>
      <sz val="9"/>
      <color theme="1"/>
      <name val="Century Gothic"/>
      <family val="2"/>
    </font>
    <font>
      <sz val="9"/>
      <color rgb="FFFF0000"/>
      <name val="Century Gothic"/>
      <family val="2"/>
    </font>
    <font>
      <i/>
      <sz val="9"/>
      <name val="Century Gothic"/>
      <family val="2"/>
    </font>
    <font>
      <sz val="11"/>
      <color theme="1"/>
      <name val="Century Gothic"/>
      <family val="2"/>
    </font>
    <font>
      <b/>
      <sz val="9"/>
      <color rgb="FFFF0000"/>
      <name val="Century Gothic"/>
      <family val="2"/>
    </font>
    <font>
      <sz val="8"/>
      <color theme="1"/>
      <name val="Century Gothic"/>
      <family val="2"/>
    </font>
    <font>
      <sz val="12"/>
      <color indexed="10"/>
      <name val="Calibri"/>
      <family val="2"/>
    </font>
    <font>
      <b/>
      <sz val="12"/>
      <color indexed="52"/>
      <name val="Calibri"/>
      <family val="2"/>
    </font>
    <font>
      <b/>
      <sz val="12"/>
      <color indexed="9"/>
      <name val="Calibri"/>
      <family val="2"/>
    </font>
    <font>
      <sz val="12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i/>
      <sz val="12"/>
      <color indexed="23"/>
      <name val="Calibri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theme="1"/>
      <name val="Century Gothic"/>
      <family val="2"/>
    </font>
    <font>
      <b/>
      <sz val="16"/>
      <color theme="1"/>
      <name val="Century Gothic"/>
      <family val="2"/>
    </font>
    <font>
      <sz val="14"/>
      <name val="Century Gothic"/>
      <family val="2"/>
    </font>
    <font>
      <sz val="9"/>
      <name val="Arial"/>
      <family val="2"/>
    </font>
    <font>
      <b/>
      <sz val="9"/>
      <color theme="0"/>
      <name val="Century Gothic"/>
      <family val="2"/>
    </font>
    <font>
      <b/>
      <sz val="8"/>
      <color rgb="FFFF0000"/>
      <name val="Century Gothic"/>
      <family val="2"/>
    </font>
    <font>
      <sz val="8"/>
      <color rgb="FFFF0000"/>
      <name val="Century Gothic"/>
      <family val="2"/>
    </font>
    <font>
      <b/>
      <sz val="12"/>
      <color theme="1"/>
      <name val="Century Gothic"/>
      <family val="2"/>
    </font>
    <font>
      <sz val="10"/>
      <color theme="1"/>
      <name val="Century Gothic"/>
      <family val="2"/>
    </font>
    <font>
      <b/>
      <sz val="10"/>
      <color theme="1"/>
      <name val="Century Gothic"/>
      <family val="2"/>
    </font>
  </fonts>
  <fills count="9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43"/>
      </patternFill>
    </fill>
    <fill>
      <patternFill patternType="solid">
        <fgColor theme="0" tint="-0.34998626667073579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4" borderId="12" applyNumberFormat="0" applyAlignment="0" applyProtection="0"/>
    <xf numFmtId="0" fontId="14" fillId="5" borderId="13" applyNumberFormat="0" applyAlignment="0" applyProtection="0"/>
    <xf numFmtId="0" fontId="15" fillId="6" borderId="0" applyNumberFormat="0" applyBorder="0" applyAlignment="0" applyProtection="0"/>
    <xf numFmtId="0" fontId="16" fillId="0" borderId="14" applyNumberFormat="0" applyFill="0" applyAlignment="0" applyProtection="0"/>
    <xf numFmtId="0" fontId="17" fillId="0" borderId="15" applyNumberFormat="0" applyFill="0" applyAlignment="0" applyProtection="0"/>
    <xf numFmtId="0" fontId="18" fillId="0" borderId="16" applyNumberFormat="0" applyFill="0" applyAlignment="0" applyProtection="0"/>
    <xf numFmtId="0" fontId="19" fillId="0" borderId="0" applyNumberFormat="0" applyFill="0" applyBorder="0" applyAlignment="0" applyProtection="0"/>
    <xf numFmtId="0" fontId="20" fillId="0" borderId="0"/>
    <xf numFmtId="0" fontId="20" fillId="7" borderId="17" applyNumberFormat="0" applyFont="0" applyAlignment="0" applyProtection="0"/>
    <xf numFmtId="44" fontId="20" fillId="0" borderId="0" applyFont="0" applyFill="0" applyBorder="0" applyAlignment="0" applyProtection="0"/>
  </cellStyleXfs>
  <cellXfs count="131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2" fillId="0" borderId="4" xfId="0" applyFont="1" applyBorder="1"/>
    <xf numFmtId="0" fontId="2" fillId="0" borderId="0" xfId="0" applyFont="1" applyBorder="1"/>
    <xf numFmtId="0" fontId="2" fillId="0" borderId="5" xfId="0" applyFont="1" applyBorder="1"/>
    <xf numFmtId="0" fontId="5" fillId="0" borderId="0" xfId="0" applyFont="1" applyBorder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2" fontId="4" fillId="2" borderId="0" xfId="0" applyNumberFormat="1" applyFont="1" applyFill="1" applyBorder="1" applyAlignment="1">
      <alignment horizontal="left"/>
    </xf>
    <xf numFmtId="0" fontId="2" fillId="2" borderId="0" xfId="0" applyFont="1" applyFill="1"/>
    <xf numFmtId="2" fontId="5" fillId="2" borderId="0" xfId="0" applyNumberFormat="1" applyFont="1" applyFill="1" applyBorder="1" applyAlignment="1">
      <alignment horizontal="left"/>
    </xf>
    <xf numFmtId="2" fontId="4" fillId="2" borderId="0" xfId="0" applyNumberFormat="1" applyFont="1" applyFill="1"/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2" fontId="4" fillId="0" borderId="0" xfId="0" applyNumberFormat="1" applyFont="1" applyAlignment="1">
      <alignment horizontal="center"/>
    </xf>
    <xf numFmtId="1" fontId="5" fillId="0" borderId="0" xfId="0" applyNumberFormat="1" applyFont="1" applyAlignment="1">
      <alignment horizontal="center"/>
    </xf>
    <xf numFmtId="2" fontId="5" fillId="0" borderId="0" xfId="0" applyNumberFormat="1" applyFont="1" applyAlignment="1">
      <alignment horizontal="center"/>
    </xf>
    <xf numFmtId="164" fontId="6" fillId="0" borderId="0" xfId="0" applyNumberFormat="1" applyFont="1"/>
    <xf numFmtId="1" fontId="4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1" fontId="2" fillId="2" borderId="10" xfId="0" applyNumberFormat="1" applyFont="1" applyFill="1" applyBorder="1" applyAlignment="1">
      <alignment horizontal="center"/>
    </xf>
    <xf numFmtId="164" fontId="2" fillId="0" borderId="0" xfId="0" applyNumberFormat="1" applyFont="1" applyAlignment="1"/>
    <xf numFmtId="0" fontId="2" fillId="0" borderId="0" xfId="0" applyFont="1" applyAlignment="1"/>
    <xf numFmtId="0" fontId="2" fillId="2" borderId="10" xfId="0" applyFont="1" applyFill="1" applyBorder="1" applyAlignment="1">
      <alignment horizontal="center"/>
    </xf>
    <xf numFmtId="2" fontId="7" fillId="0" borderId="0" xfId="0" applyNumberFormat="1" applyFont="1" applyAlignment="1"/>
    <xf numFmtId="0" fontId="2" fillId="0" borderId="0" xfId="0" applyFont="1" applyAlignment="1">
      <alignment horizontal="right"/>
    </xf>
    <xf numFmtId="44" fontId="4" fillId="2" borderId="0" xfId="1" applyFont="1" applyFill="1" applyAlignment="1">
      <alignment horizontal="center"/>
    </xf>
    <xf numFmtId="9" fontId="2" fillId="0" borderId="0" xfId="2" applyFont="1" applyAlignment="1">
      <alignment horizontal="center"/>
    </xf>
    <xf numFmtId="0" fontId="4" fillId="0" borderId="0" xfId="0" applyFont="1" applyAlignment="1">
      <alignment horizontal="right"/>
    </xf>
    <xf numFmtId="44" fontId="5" fillId="0" borderId="0" xfId="1" applyFont="1" applyAlignment="1">
      <alignment horizontal="center"/>
    </xf>
    <xf numFmtId="0" fontId="2" fillId="0" borderId="4" xfId="0" applyFont="1" applyBorder="1" applyAlignment="1">
      <alignment horizontal="center"/>
    </xf>
    <xf numFmtId="44" fontId="4" fillId="0" borderId="0" xfId="1" applyFont="1" applyAlignment="1">
      <alignment horizontal="center"/>
    </xf>
    <xf numFmtId="1" fontId="4" fillId="2" borderId="0" xfId="0" applyNumberFormat="1" applyFont="1" applyFill="1" applyAlignment="1">
      <alignment horizontal="center"/>
    </xf>
    <xf numFmtId="0" fontId="7" fillId="0" borderId="0" xfId="0" applyFont="1"/>
    <xf numFmtId="0" fontId="5" fillId="2" borderId="0" xfId="0" applyFont="1" applyFill="1" applyAlignment="1">
      <alignment horizontal="center"/>
    </xf>
    <xf numFmtId="1" fontId="8" fillId="0" borderId="0" xfId="0" applyNumberFormat="1" applyFont="1" applyAlignment="1">
      <alignment horizontal="center"/>
    </xf>
    <xf numFmtId="0" fontId="5" fillId="0" borderId="11" xfId="0" applyFont="1" applyBorder="1"/>
    <xf numFmtId="0" fontId="4" fillId="0" borderId="11" xfId="0" applyFont="1" applyBorder="1"/>
    <xf numFmtId="2" fontId="4" fillId="0" borderId="11" xfId="0" applyNumberFormat="1" applyFont="1" applyBorder="1" applyAlignment="1">
      <alignment horizontal="center"/>
    </xf>
    <xf numFmtId="0" fontId="9" fillId="0" borderId="0" xfId="0" applyFont="1"/>
    <xf numFmtId="0" fontId="2" fillId="0" borderId="11" xfId="0" applyFont="1" applyBorder="1"/>
    <xf numFmtId="2" fontId="5" fillId="0" borderId="11" xfId="0" applyNumberFormat="1" applyFont="1" applyBorder="1" applyAlignment="1">
      <alignment horizontal="center"/>
    </xf>
    <xf numFmtId="2" fontId="5" fillId="0" borderId="0" xfId="0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9" fontId="2" fillId="0" borderId="0" xfId="0" applyNumberFormat="1" applyFont="1"/>
    <xf numFmtId="2" fontId="4" fillId="0" borderId="0" xfId="0" applyNumberFormat="1" applyFont="1" applyAlignment="1">
      <alignment horizontal="left"/>
    </xf>
    <xf numFmtId="0" fontId="5" fillId="0" borderId="0" xfId="0" applyFont="1" applyAlignment="1">
      <alignment horizontal="right"/>
    </xf>
    <xf numFmtId="2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left"/>
    </xf>
    <xf numFmtId="2" fontId="5" fillId="3" borderId="0" xfId="0" applyNumberFormat="1" applyFont="1" applyFill="1" applyAlignment="1">
      <alignment horizontal="center"/>
    </xf>
    <xf numFmtId="2" fontId="6" fillId="0" borderId="0" xfId="0" applyNumberFormat="1" applyFont="1" applyAlignment="1">
      <alignment horizontal="center"/>
    </xf>
    <xf numFmtId="2" fontId="10" fillId="0" borderId="0" xfId="0" applyNumberFormat="1" applyFont="1" applyAlignment="1">
      <alignment horizontal="center"/>
    </xf>
    <xf numFmtId="2" fontId="10" fillId="0" borderId="0" xfId="0" applyNumberFormat="1" applyFont="1" applyAlignment="1">
      <alignment horizontal="left"/>
    </xf>
    <xf numFmtId="0" fontId="11" fillId="0" borderId="0" xfId="0" applyFont="1"/>
    <xf numFmtId="0" fontId="6" fillId="0" borderId="4" xfId="0" applyFont="1" applyBorder="1"/>
    <xf numFmtId="0" fontId="2" fillId="0" borderId="0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6" fillId="0" borderId="0" xfId="0" applyFont="1" applyBorder="1"/>
    <xf numFmtId="9" fontId="6" fillId="0" borderId="0" xfId="0" applyNumberFormat="1" applyFont="1"/>
    <xf numFmtId="2" fontId="2" fillId="0" borderId="0" xfId="0" applyNumberFormat="1" applyFont="1" applyBorder="1" applyAlignment="1">
      <alignment horizontal="center"/>
    </xf>
    <xf numFmtId="44" fontId="2" fillId="0" borderId="0" xfId="1" applyFont="1" applyBorder="1" applyAlignment="1">
      <alignment horizontal="center"/>
    </xf>
    <xf numFmtId="2" fontId="2" fillId="0" borderId="9" xfId="0" applyNumberFormat="1" applyFont="1" applyBorder="1" applyAlignment="1">
      <alignment horizontal="center"/>
    </xf>
    <xf numFmtId="0" fontId="4" fillId="0" borderId="0" xfId="0" applyFont="1" applyAlignment="1">
      <alignment horizontal="left"/>
    </xf>
    <xf numFmtId="2" fontId="6" fillId="0" borderId="0" xfId="0" applyNumberFormat="1" applyFont="1" applyBorder="1" applyAlignment="1">
      <alignment horizontal="center"/>
    </xf>
    <xf numFmtId="44" fontId="6" fillId="0" borderId="0" xfId="1" applyFont="1" applyBorder="1" applyAlignment="1">
      <alignment horizontal="center"/>
    </xf>
    <xf numFmtId="44" fontId="2" fillId="0" borderId="5" xfId="1" applyFont="1" applyBorder="1" applyAlignment="1">
      <alignment horizontal="center"/>
    </xf>
    <xf numFmtId="0" fontId="22" fillId="0" borderId="0" xfId="0" applyFont="1" applyAlignment="1">
      <alignment horizontal="right"/>
    </xf>
    <xf numFmtId="0" fontId="9" fillId="0" borderId="0" xfId="0" applyFont="1" applyAlignment="1">
      <alignment horizontal="center"/>
    </xf>
    <xf numFmtId="0" fontId="23" fillId="0" borderId="0" xfId="0" applyFont="1"/>
    <xf numFmtId="0" fontId="22" fillId="0" borderId="0" xfId="0" applyFont="1"/>
    <xf numFmtId="0" fontId="22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0" fontId="22" fillId="0" borderId="0" xfId="0" applyFont="1" applyAlignment="1">
      <alignment horizontal="left"/>
    </xf>
    <xf numFmtId="44" fontId="9" fillId="0" borderId="0" xfId="1" applyFont="1"/>
    <xf numFmtId="44" fontId="22" fillId="0" borderId="0" xfId="1" applyFont="1"/>
    <xf numFmtId="2" fontId="9" fillId="0" borderId="0" xfId="0" applyNumberFormat="1" applyFont="1" applyAlignment="1">
      <alignment horizontal="center"/>
    </xf>
    <xf numFmtId="0" fontId="24" fillId="0" borderId="0" xfId="0" applyFont="1"/>
    <xf numFmtId="44" fontId="25" fillId="0" borderId="5" xfId="13" applyFont="1" applyFill="1" applyBorder="1" applyAlignment="1">
      <alignment vertical="center"/>
    </xf>
    <xf numFmtId="44" fontId="2" fillId="0" borderId="0" xfId="1" applyFont="1" applyAlignment="1">
      <alignment horizontal="center"/>
    </xf>
    <xf numFmtId="0" fontId="6" fillId="0" borderId="0" xfId="0" applyFont="1" applyBorder="1" applyAlignment="1">
      <alignment horizontal="right"/>
    </xf>
    <xf numFmtId="44" fontId="26" fillId="8" borderId="0" xfId="1" applyFont="1" applyFill="1"/>
    <xf numFmtId="2" fontId="27" fillId="0" borderId="0" xfId="0" applyNumberFormat="1" applyFont="1" applyAlignment="1">
      <alignment horizontal="center"/>
    </xf>
    <xf numFmtId="44" fontId="28" fillId="0" borderId="0" xfId="1" applyFont="1"/>
    <xf numFmtId="0" fontId="30" fillId="0" borderId="21" xfId="0" applyFont="1" applyBorder="1" applyAlignment="1">
      <alignment horizontal="center"/>
    </xf>
    <xf numFmtId="0" fontId="31" fillId="0" borderId="11" xfId="0" applyFont="1" applyBorder="1" applyAlignment="1">
      <alignment horizontal="center"/>
    </xf>
    <xf numFmtId="0" fontId="31" fillId="0" borderId="22" xfId="0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0" fontId="6" fillId="0" borderId="24" xfId="0" applyFont="1" applyBorder="1" applyAlignment="1">
      <alignment horizontal="center"/>
    </xf>
    <xf numFmtId="0" fontId="30" fillId="0" borderId="21" xfId="0" applyFont="1" applyBorder="1" applyAlignment="1">
      <alignment horizontal="right"/>
    </xf>
    <xf numFmtId="0" fontId="30" fillId="0" borderId="11" xfId="0" applyFont="1" applyBorder="1" applyAlignment="1">
      <alignment horizontal="left"/>
    </xf>
    <xf numFmtId="44" fontId="30" fillId="0" borderId="11" xfId="0" applyNumberFormat="1" applyFont="1" applyBorder="1" applyAlignment="1">
      <alignment horizontal="center"/>
    </xf>
    <xf numFmtId="1" fontId="30" fillId="0" borderId="11" xfId="0" applyNumberFormat="1" applyFont="1" applyBorder="1" applyAlignment="1">
      <alignment horizontal="center"/>
    </xf>
    <xf numFmtId="44" fontId="30" fillId="0" borderId="22" xfId="0" applyNumberFormat="1" applyFont="1" applyBorder="1" applyAlignment="1">
      <alignment horizontal="center"/>
    </xf>
    <xf numFmtId="0" fontId="2" fillId="0" borderId="23" xfId="0" applyFont="1" applyBorder="1"/>
    <xf numFmtId="0" fontId="2" fillId="0" borderId="24" xfId="0" applyFont="1" applyBorder="1"/>
    <xf numFmtId="0" fontId="2" fillId="0" borderId="23" xfId="0" applyFont="1" applyBorder="1" applyAlignment="1">
      <alignment horizontal="left"/>
    </xf>
    <xf numFmtId="0" fontId="2" fillId="0" borderId="24" xfId="0" applyFont="1" applyBorder="1" applyAlignment="1">
      <alignment horizontal="center"/>
    </xf>
    <xf numFmtId="44" fontId="2" fillId="0" borderId="23" xfId="1" applyFont="1" applyBorder="1" applyAlignment="1">
      <alignment horizontal="left"/>
    </xf>
    <xf numFmtId="0" fontId="6" fillId="0" borderId="24" xfId="0" applyFont="1" applyBorder="1"/>
    <xf numFmtId="0" fontId="0" fillId="0" borderId="25" xfId="0" applyBorder="1"/>
    <xf numFmtId="0" fontId="0" fillId="0" borderId="26" xfId="0" applyBorder="1"/>
    <xf numFmtId="0" fontId="2" fillId="0" borderId="26" xfId="0" applyFont="1" applyBorder="1"/>
    <xf numFmtId="0" fontId="2" fillId="0" borderId="27" xfId="0" applyFont="1" applyBorder="1"/>
    <xf numFmtId="0" fontId="21" fillId="0" borderId="28" xfId="0" applyFont="1" applyBorder="1"/>
    <xf numFmtId="44" fontId="21" fillId="0" borderId="29" xfId="0" applyNumberFormat="1" applyFont="1" applyBorder="1"/>
    <xf numFmtId="44" fontId="2" fillId="0" borderId="23" xfId="0" applyNumberFormat="1" applyFont="1" applyBorder="1"/>
    <xf numFmtId="44" fontId="2" fillId="0" borderId="24" xfId="1" applyFont="1" applyBorder="1" applyAlignment="1">
      <alignment horizontal="right"/>
    </xf>
    <xf numFmtId="44" fontId="6" fillId="0" borderId="5" xfId="1" applyFont="1" applyBorder="1" applyAlignment="1">
      <alignment horizontal="center"/>
    </xf>
    <xf numFmtId="44" fontId="6" fillId="0" borderId="0" xfId="1" applyFont="1"/>
    <xf numFmtId="0" fontId="0" fillId="0" borderId="5" xfId="0" applyBorder="1"/>
    <xf numFmtId="2" fontId="26" fillId="8" borderId="0" xfId="0" applyNumberFormat="1" applyFont="1" applyFill="1" applyBorder="1" applyAlignment="1">
      <alignment horizontal="center"/>
    </xf>
    <xf numFmtId="44" fontId="6" fillId="0" borderId="0" xfId="1" applyFont="1" applyAlignment="1">
      <alignment horizontal="center"/>
    </xf>
    <xf numFmtId="44" fontId="2" fillId="0" borderId="0" xfId="1" applyFont="1" applyAlignment="1">
      <alignment horizontal="center"/>
    </xf>
    <xf numFmtId="0" fontId="29" fillId="0" borderId="18" xfId="0" applyFont="1" applyBorder="1" applyAlignment="1">
      <alignment horizontal="center"/>
    </xf>
    <xf numFmtId="0" fontId="29" fillId="0" borderId="19" xfId="0" applyFont="1" applyBorder="1" applyAlignment="1">
      <alignment horizontal="center"/>
    </xf>
    <xf numFmtId="0" fontId="29" fillId="0" borderId="20" xfId="0" applyFont="1" applyBorder="1" applyAlignment="1">
      <alignment horizontal="center"/>
    </xf>
  </cellXfs>
  <cellStyles count="14">
    <cellStyle name="Advertencia" xfId="3"/>
    <cellStyle name="Calcular" xfId="4"/>
    <cellStyle name="Celda comprob." xfId="5"/>
    <cellStyle name="Correcto" xfId="6"/>
    <cellStyle name="Encabez. 1" xfId="7"/>
    <cellStyle name="Encabez. 2" xfId="8"/>
    <cellStyle name="Encabezado 3" xfId="9"/>
    <cellStyle name="Explicación" xfId="10"/>
    <cellStyle name="Moneda" xfId="1" builtinId="4"/>
    <cellStyle name="Moneda 6" xfId="13"/>
    <cellStyle name="Normal" xfId="0" builtinId="0"/>
    <cellStyle name="Normal 2" xfId="11"/>
    <cellStyle name="Nota" xfId="12"/>
    <cellStyle name="Porcentaje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89295</xdr:colOff>
      <xdr:row>16</xdr:row>
      <xdr:rowOff>138908</xdr:rowOff>
    </xdr:from>
    <xdr:to>
      <xdr:col>5</xdr:col>
      <xdr:colOff>297653</xdr:colOff>
      <xdr:row>22</xdr:row>
      <xdr:rowOff>9924</xdr:rowOff>
    </xdr:to>
    <xdr:sp macro="" textlink="">
      <xdr:nvSpPr>
        <xdr:cNvPr id="2" name="1 Rectángulo"/>
        <xdr:cNvSpPr/>
      </xdr:nvSpPr>
      <xdr:spPr>
        <a:xfrm rot="5400000">
          <a:off x="3403201" y="3224611"/>
          <a:ext cx="1121172" cy="177601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</xdr:col>
      <xdr:colOff>620118</xdr:colOff>
      <xdr:row>70</xdr:row>
      <xdr:rowOff>143868</xdr:rowOff>
    </xdr:from>
    <xdr:to>
      <xdr:col>5</xdr:col>
      <xdr:colOff>54571</xdr:colOff>
      <xdr:row>74</xdr:row>
      <xdr:rowOff>94260</xdr:rowOff>
    </xdr:to>
    <xdr:sp macro="" textlink="">
      <xdr:nvSpPr>
        <xdr:cNvPr id="5" name="4 Rectángulo"/>
        <xdr:cNvSpPr/>
      </xdr:nvSpPr>
      <xdr:spPr>
        <a:xfrm rot="5400000">
          <a:off x="3333750" y="14108908"/>
          <a:ext cx="783829" cy="176609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</xdr:col>
      <xdr:colOff>625080</xdr:colOff>
      <xdr:row>69</xdr:row>
      <xdr:rowOff>43753</xdr:rowOff>
    </xdr:from>
    <xdr:to>
      <xdr:col>5</xdr:col>
      <xdr:colOff>59531</xdr:colOff>
      <xdr:row>70</xdr:row>
      <xdr:rowOff>115009</xdr:rowOff>
    </xdr:to>
    <xdr:sp macro="" textlink="">
      <xdr:nvSpPr>
        <xdr:cNvPr id="6" name="5 Rectángulo"/>
        <xdr:cNvSpPr/>
      </xdr:nvSpPr>
      <xdr:spPr>
        <a:xfrm>
          <a:off x="2847580" y="14291566"/>
          <a:ext cx="1766092" cy="27961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312540</xdr:colOff>
      <xdr:row>16</xdr:row>
      <xdr:rowOff>138909</xdr:rowOff>
    </xdr:from>
    <xdr:to>
      <xdr:col>5</xdr:col>
      <xdr:colOff>719336</xdr:colOff>
      <xdr:row>22</xdr:row>
      <xdr:rowOff>14886</xdr:rowOff>
    </xdr:to>
    <xdr:sp macro="" textlink="">
      <xdr:nvSpPr>
        <xdr:cNvPr id="11" name="10 Rectángulo"/>
        <xdr:cNvSpPr/>
      </xdr:nvSpPr>
      <xdr:spPr>
        <a:xfrm rot="5400000">
          <a:off x="4507012" y="3911703"/>
          <a:ext cx="1126133" cy="40679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3</xdr:col>
      <xdr:colOff>94252</xdr:colOff>
      <xdr:row>14</xdr:row>
      <xdr:rowOff>148827</xdr:rowOff>
    </xdr:from>
    <xdr:to>
      <xdr:col>5</xdr:col>
      <xdr:colOff>317498</xdr:colOff>
      <xdr:row>16</xdr:row>
      <xdr:rowOff>124021</xdr:rowOff>
    </xdr:to>
    <xdr:sp macro="" textlink="">
      <xdr:nvSpPr>
        <xdr:cNvPr id="12" name="11 Rectángulo"/>
        <xdr:cNvSpPr/>
      </xdr:nvSpPr>
      <xdr:spPr>
        <a:xfrm rot="5400000">
          <a:off x="3780231" y="2445738"/>
          <a:ext cx="391913" cy="179090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</xdr:col>
      <xdr:colOff>615156</xdr:colOff>
      <xdr:row>74</xdr:row>
      <xdr:rowOff>128985</xdr:rowOff>
    </xdr:from>
    <xdr:to>
      <xdr:col>5</xdr:col>
      <xdr:colOff>49607</xdr:colOff>
      <xdr:row>75</xdr:row>
      <xdr:rowOff>200240</xdr:rowOff>
    </xdr:to>
    <xdr:sp macro="" textlink="">
      <xdr:nvSpPr>
        <xdr:cNvPr id="13" name="12 Rectángulo"/>
        <xdr:cNvSpPr/>
      </xdr:nvSpPr>
      <xdr:spPr>
        <a:xfrm>
          <a:off x="2837656" y="15418594"/>
          <a:ext cx="1766092" cy="27961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3</xdr:col>
      <xdr:colOff>99218</xdr:colOff>
      <xdr:row>22</xdr:row>
      <xdr:rowOff>19844</xdr:rowOff>
    </xdr:from>
    <xdr:to>
      <xdr:col>5</xdr:col>
      <xdr:colOff>282774</xdr:colOff>
      <xdr:row>23</xdr:row>
      <xdr:rowOff>203397</xdr:rowOff>
    </xdr:to>
    <xdr:sp macro="" textlink="">
      <xdr:nvSpPr>
        <xdr:cNvPr id="14" name="13 Rectángulo"/>
        <xdr:cNvSpPr/>
      </xdr:nvSpPr>
      <xdr:spPr>
        <a:xfrm rot="5400000">
          <a:off x="3765352" y="4003475"/>
          <a:ext cx="391913" cy="175121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</xdr:col>
      <xdr:colOff>426640</xdr:colOff>
      <xdr:row>16</xdr:row>
      <xdr:rowOff>119064</xdr:rowOff>
    </xdr:from>
    <xdr:to>
      <xdr:col>3</xdr:col>
      <xdr:colOff>69452</xdr:colOff>
      <xdr:row>21</xdr:row>
      <xdr:rowOff>203400</xdr:rowOff>
    </xdr:to>
    <xdr:sp macro="" textlink="">
      <xdr:nvSpPr>
        <xdr:cNvPr id="15" name="14 Rectángulo"/>
        <xdr:cNvSpPr/>
      </xdr:nvSpPr>
      <xdr:spPr>
        <a:xfrm rot="5400000">
          <a:off x="2289471" y="3891858"/>
          <a:ext cx="1126133" cy="40679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1</xdr:rowOff>
    </xdr:from>
    <xdr:to>
      <xdr:col>3</xdr:col>
      <xdr:colOff>381001</xdr:colOff>
      <xdr:row>4</xdr:row>
      <xdr:rowOff>95249</xdr:rowOff>
    </xdr:to>
    <xdr:pic>
      <xdr:nvPicPr>
        <xdr:cNvPr id="2" name="Picture 1" descr="3437733264_6942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1"/>
          <a:ext cx="2809875" cy="88582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1</xdr:rowOff>
    </xdr:from>
    <xdr:to>
      <xdr:col>3</xdr:col>
      <xdr:colOff>381001</xdr:colOff>
      <xdr:row>4</xdr:row>
      <xdr:rowOff>95249</xdr:rowOff>
    </xdr:to>
    <xdr:pic>
      <xdr:nvPicPr>
        <xdr:cNvPr id="2" name="Picture 1" descr="3437733264_6942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1"/>
          <a:ext cx="2809875" cy="88582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1</xdr:rowOff>
    </xdr:from>
    <xdr:to>
      <xdr:col>3</xdr:col>
      <xdr:colOff>381001</xdr:colOff>
      <xdr:row>4</xdr:row>
      <xdr:rowOff>95249</xdr:rowOff>
    </xdr:to>
    <xdr:pic>
      <xdr:nvPicPr>
        <xdr:cNvPr id="2" name="Picture 1" descr="3437733264_6942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1"/>
          <a:ext cx="2809875" cy="88582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1</xdr:rowOff>
    </xdr:from>
    <xdr:to>
      <xdr:col>3</xdr:col>
      <xdr:colOff>381001</xdr:colOff>
      <xdr:row>4</xdr:row>
      <xdr:rowOff>95249</xdr:rowOff>
    </xdr:to>
    <xdr:pic>
      <xdr:nvPicPr>
        <xdr:cNvPr id="2" name="Picture 1" descr="3437733264_6942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1"/>
          <a:ext cx="2809875" cy="88582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1</xdr:rowOff>
    </xdr:from>
    <xdr:to>
      <xdr:col>3</xdr:col>
      <xdr:colOff>381001</xdr:colOff>
      <xdr:row>4</xdr:row>
      <xdr:rowOff>95249</xdr:rowOff>
    </xdr:to>
    <xdr:pic>
      <xdr:nvPicPr>
        <xdr:cNvPr id="2" name="Picture 1" descr="3437733264_6942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1"/>
          <a:ext cx="2809875" cy="8953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1</xdr:rowOff>
    </xdr:from>
    <xdr:to>
      <xdr:col>3</xdr:col>
      <xdr:colOff>381001</xdr:colOff>
      <xdr:row>4</xdr:row>
      <xdr:rowOff>95249</xdr:rowOff>
    </xdr:to>
    <xdr:pic>
      <xdr:nvPicPr>
        <xdr:cNvPr id="2" name="Picture 1" descr="3437733264_6942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1"/>
          <a:ext cx="2809875" cy="88582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Ventas-Empresarial/Documents/Empresarial/Fundaci&#243;n%20Dibujando/Presupuestos/Presupuesto%20Dibujando%20caja%20corbata%20may%2020,%2017%20(500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sarrollo"/>
      <sheetName val="cartón caja"/>
      <sheetName val="cartón cartera"/>
      <sheetName val="eva base"/>
      <sheetName val="empalme caja INT"/>
      <sheetName val="forro caja EXT"/>
      <sheetName val="forro cartera guarda"/>
      <sheetName val="forro cartera final"/>
    </sheetNames>
    <sheetDataSet>
      <sheetData sheetId="0"/>
      <sheetData sheetId="1">
        <row r="34">
          <cell r="E34">
            <v>41.072000000000003</v>
          </cell>
        </row>
      </sheetData>
      <sheetData sheetId="2">
        <row r="34">
          <cell r="E34">
            <v>41.072000000000003</v>
          </cell>
        </row>
      </sheetData>
      <sheetData sheetId="3">
        <row r="34">
          <cell r="E34">
            <v>500</v>
          </cell>
        </row>
      </sheetData>
      <sheetData sheetId="4"/>
      <sheetData sheetId="5">
        <row r="53">
          <cell r="B53">
            <v>0</v>
          </cell>
        </row>
      </sheetData>
      <sheetData sheetId="6">
        <row r="23">
          <cell r="C23" t="str">
            <v>Couche</v>
          </cell>
        </row>
      </sheetData>
      <sheetData sheetId="7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9"/>
  <sheetViews>
    <sheetView zoomScale="96" zoomScaleNormal="96" workbookViewId="0">
      <selection activeCell="B2" sqref="B2"/>
    </sheetView>
  </sheetViews>
  <sheetFormatPr baseColWidth="10" defaultRowHeight="16.5" x14ac:dyDescent="0.3"/>
  <cols>
    <col min="1" max="1" width="19.7109375" style="54" customWidth="1"/>
    <col min="2" max="2" width="13.7109375" style="54" customWidth="1"/>
    <col min="3" max="4" width="11.42578125" style="54"/>
    <col min="5" max="5" width="12" style="54" customWidth="1"/>
    <col min="6" max="7" width="11.42578125" style="54"/>
    <col min="8" max="8" width="14.28515625" style="54" customWidth="1"/>
    <col min="9" max="9" width="14.42578125" style="54" bestFit="1" customWidth="1"/>
    <col min="10" max="16384" width="11.42578125" style="54"/>
  </cols>
  <sheetData>
    <row r="1" spans="1:8" x14ac:dyDescent="0.3">
      <c r="A1" s="81" t="s">
        <v>103</v>
      </c>
      <c r="B1" s="54" t="s">
        <v>182</v>
      </c>
    </row>
    <row r="3" spans="1:8" x14ac:dyDescent="0.3">
      <c r="A3" s="81" t="s">
        <v>104</v>
      </c>
      <c r="B3" s="54" t="s">
        <v>173</v>
      </c>
    </row>
    <row r="4" spans="1:8" x14ac:dyDescent="0.3">
      <c r="A4" s="81" t="s">
        <v>105</v>
      </c>
      <c r="B4" s="54" t="s">
        <v>174</v>
      </c>
    </row>
    <row r="5" spans="1:8" x14ac:dyDescent="0.3">
      <c r="A5" s="81" t="s">
        <v>106</v>
      </c>
    </row>
    <row r="6" spans="1:8" x14ac:dyDescent="0.3">
      <c r="A6" s="81"/>
    </row>
    <row r="7" spans="1:8" x14ac:dyDescent="0.3">
      <c r="A7" s="81" t="s">
        <v>107</v>
      </c>
      <c r="B7" s="82">
        <v>90</v>
      </c>
      <c r="C7" s="54" t="s">
        <v>108</v>
      </c>
      <c r="D7" s="82">
        <v>25</v>
      </c>
      <c r="E7" s="54" t="s">
        <v>109</v>
      </c>
    </row>
    <row r="8" spans="1:8" ht="18.75" x14ac:dyDescent="0.3">
      <c r="C8" s="82"/>
      <c r="F8" s="91"/>
    </row>
    <row r="9" spans="1:8" ht="20.25" x14ac:dyDescent="0.3">
      <c r="A9" s="83" t="s">
        <v>110</v>
      </c>
    </row>
    <row r="10" spans="1:8" x14ac:dyDescent="0.3">
      <c r="A10" s="84" t="s">
        <v>111</v>
      </c>
      <c r="C10" s="85" t="s">
        <v>112</v>
      </c>
      <c r="D10" s="85" t="s">
        <v>113</v>
      </c>
      <c r="E10" s="85" t="s">
        <v>114</v>
      </c>
    </row>
    <row r="11" spans="1:8" x14ac:dyDescent="0.3">
      <c r="A11" s="84"/>
      <c r="C11" s="82">
        <f>1+30+1</f>
        <v>32</v>
      </c>
      <c r="D11" s="82">
        <f>1+22+1</f>
        <v>24</v>
      </c>
      <c r="E11" s="82">
        <v>4</v>
      </c>
    </row>
    <row r="12" spans="1:8" x14ac:dyDescent="0.3">
      <c r="A12" s="84"/>
    </row>
    <row r="14" spans="1:8" x14ac:dyDescent="0.3">
      <c r="E14" s="82">
        <f>+C11</f>
        <v>32</v>
      </c>
    </row>
    <row r="15" spans="1:8" x14ac:dyDescent="0.3">
      <c r="A15" s="87" t="s">
        <v>115</v>
      </c>
      <c r="B15" s="87">
        <f>+G16+E14+C16</f>
        <v>40</v>
      </c>
      <c r="H15" s="86"/>
    </row>
    <row r="16" spans="1:8" x14ac:dyDescent="0.3">
      <c r="C16" s="86">
        <f>+E11</f>
        <v>4</v>
      </c>
      <c r="G16" s="86">
        <f>+E11</f>
        <v>4</v>
      </c>
      <c r="H16" s="86"/>
    </row>
    <row r="17" spans="1:9" x14ac:dyDescent="0.3">
      <c r="G17" s="86"/>
      <c r="H17" s="86"/>
    </row>
    <row r="18" spans="1:9" x14ac:dyDescent="0.3">
      <c r="G18" s="86"/>
      <c r="H18" s="86"/>
    </row>
    <row r="19" spans="1:9" x14ac:dyDescent="0.3">
      <c r="C19" s="86">
        <f>+D11</f>
        <v>24</v>
      </c>
      <c r="G19" s="86">
        <f>+D11</f>
        <v>24</v>
      </c>
    </row>
    <row r="20" spans="1:9" x14ac:dyDescent="0.3">
      <c r="G20" s="86"/>
      <c r="H20" s="86"/>
    </row>
    <row r="21" spans="1:9" x14ac:dyDescent="0.3">
      <c r="G21" s="86"/>
      <c r="H21" s="86"/>
    </row>
    <row r="22" spans="1:9" x14ac:dyDescent="0.3">
      <c r="G22" s="86"/>
      <c r="H22" s="86"/>
    </row>
    <row r="23" spans="1:9" x14ac:dyDescent="0.3">
      <c r="G23" s="86"/>
      <c r="H23" s="86"/>
    </row>
    <row r="24" spans="1:9" x14ac:dyDescent="0.3">
      <c r="C24" s="86">
        <f>+E11</f>
        <v>4</v>
      </c>
      <c r="G24" s="86">
        <f>+E11</f>
        <v>4</v>
      </c>
      <c r="H24" s="86"/>
    </row>
    <row r="25" spans="1:9" x14ac:dyDescent="0.3">
      <c r="H25" s="86"/>
    </row>
    <row r="26" spans="1:9" x14ac:dyDescent="0.3">
      <c r="E26" s="54">
        <f>+C11</f>
        <v>32</v>
      </c>
      <c r="H26" s="84">
        <f>+G16+G19+G24</f>
        <v>32</v>
      </c>
      <c r="I26" s="87" t="s">
        <v>116</v>
      </c>
    </row>
    <row r="29" spans="1:9" s="84" customFormat="1" x14ac:dyDescent="0.3">
      <c r="A29" s="84" t="s">
        <v>127</v>
      </c>
      <c r="B29" s="84" t="s">
        <v>100</v>
      </c>
      <c r="C29" s="85">
        <v>90</v>
      </c>
      <c r="D29" s="85" t="s">
        <v>73</v>
      </c>
      <c r="E29" s="85">
        <v>130</v>
      </c>
      <c r="F29" s="88">
        <v>41.072000000000003</v>
      </c>
      <c r="H29" s="89">
        <f>+F29*H30</f>
        <v>616.08000000000004</v>
      </c>
    </row>
    <row r="30" spans="1:9" x14ac:dyDescent="0.3">
      <c r="C30" s="82">
        <f>+B15</f>
        <v>40</v>
      </c>
      <c r="D30" s="82" t="s">
        <v>73</v>
      </c>
      <c r="E30" s="82">
        <f>+H26</f>
        <v>32</v>
      </c>
      <c r="G30" s="84" t="s">
        <v>117</v>
      </c>
      <c r="H30" s="84">
        <v>15</v>
      </c>
    </row>
    <row r="31" spans="1:9" x14ac:dyDescent="0.3">
      <c r="C31" s="90">
        <f>+C29/C30</f>
        <v>2.25</v>
      </c>
      <c r="D31" s="90"/>
      <c r="E31" s="90">
        <f>+E29/E30</f>
        <v>4.0625</v>
      </c>
      <c r="F31" s="84">
        <v>8</v>
      </c>
      <c r="G31" s="84">
        <f>+((B7+D7)/F31)</f>
        <v>14.375</v>
      </c>
    </row>
    <row r="32" spans="1:9" x14ac:dyDescent="0.3">
      <c r="C32" s="90">
        <f>+E29/C30</f>
        <v>3.25</v>
      </c>
      <c r="D32" s="90"/>
      <c r="E32" s="90">
        <f>+C29/E30</f>
        <v>2.8125</v>
      </c>
      <c r="F32" s="54">
        <v>6</v>
      </c>
    </row>
    <row r="33" spans="1:8" x14ac:dyDescent="0.3">
      <c r="C33" s="82"/>
      <c r="D33" s="82"/>
      <c r="E33" s="82"/>
    </row>
    <row r="34" spans="1:8" x14ac:dyDescent="0.3">
      <c r="A34" s="84" t="s">
        <v>118</v>
      </c>
      <c r="C34" s="82">
        <f>0.25+C24+E26+0.25+G24</f>
        <v>40.5</v>
      </c>
      <c r="D34" s="82" t="s">
        <v>73</v>
      </c>
      <c r="E34" s="82">
        <f>+G16+0.25+G19+0.25+G24</f>
        <v>32.5</v>
      </c>
    </row>
    <row r="35" spans="1:8" ht="6" customHeight="1" x14ac:dyDescent="0.3">
      <c r="A35" s="84"/>
      <c r="C35" s="82"/>
      <c r="D35" s="82"/>
      <c r="E35" s="82"/>
    </row>
    <row r="36" spans="1:8" s="84" customFormat="1" x14ac:dyDescent="0.3">
      <c r="A36" s="84" t="s">
        <v>175</v>
      </c>
      <c r="C36" s="85">
        <v>100</v>
      </c>
      <c r="D36" s="85" t="s">
        <v>73</v>
      </c>
      <c r="E36" s="85">
        <v>130</v>
      </c>
      <c r="F36" s="88">
        <v>58</v>
      </c>
      <c r="H36" s="89">
        <f>+F36*H37</f>
        <v>1160</v>
      </c>
    </row>
    <row r="37" spans="1:8" x14ac:dyDescent="0.3">
      <c r="C37" s="82">
        <f>1+C34+1</f>
        <v>42.5</v>
      </c>
      <c r="D37" s="82" t="s">
        <v>73</v>
      </c>
      <c r="E37" s="82">
        <f>1+E34+1</f>
        <v>34.5</v>
      </c>
      <c r="G37" s="84" t="s">
        <v>117</v>
      </c>
      <c r="H37" s="84">
        <v>20</v>
      </c>
    </row>
    <row r="38" spans="1:8" x14ac:dyDescent="0.3">
      <c r="C38" s="90">
        <f>+C36/C37</f>
        <v>2.3529411764705883</v>
      </c>
      <c r="D38" s="90"/>
      <c r="E38" s="90">
        <f>+E36/E37</f>
        <v>3.7681159420289854</v>
      </c>
      <c r="F38" s="84">
        <v>6</v>
      </c>
      <c r="G38" s="84">
        <f>+((B7+D7)/F38)</f>
        <v>19.166666666666668</v>
      </c>
    </row>
    <row r="39" spans="1:8" x14ac:dyDescent="0.3">
      <c r="C39" s="90">
        <f>+E36/C37</f>
        <v>3.0588235294117645</v>
      </c>
      <c r="D39" s="90"/>
      <c r="E39" s="90">
        <f>+C36/E37</f>
        <v>2.8985507246376812</v>
      </c>
      <c r="F39" s="54">
        <v>4</v>
      </c>
    </row>
    <row r="41" spans="1:8" x14ac:dyDescent="0.3">
      <c r="A41" s="84" t="s">
        <v>119</v>
      </c>
      <c r="C41" s="82">
        <f>1.5+0.25+C24+0.25+E26+0.25+G24+0.25+1.5</f>
        <v>44</v>
      </c>
      <c r="D41" s="82" t="s">
        <v>73</v>
      </c>
      <c r="E41" s="82">
        <f>1.5+0.25+G16+0.25+G19+0.25+G24+0.25+1.5</f>
        <v>36</v>
      </c>
    </row>
    <row r="42" spans="1:8" ht="6" customHeight="1" x14ac:dyDescent="0.3">
      <c r="A42" s="84"/>
      <c r="C42" s="82"/>
      <c r="D42" s="82"/>
      <c r="E42" s="82"/>
    </row>
    <row r="43" spans="1:8" s="84" customFormat="1" x14ac:dyDescent="0.3">
      <c r="A43" s="84" t="s">
        <v>175</v>
      </c>
      <c r="C43" s="85">
        <v>100</v>
      </c>
      <c r="D43" s="85" t="s">
        <v>73</v>
      </c>
      <c r="E43" s="85">
        <v>130</v>
      </c>
      <c r="F43" s="88">
        <v>58</v>
      </c>
      <c r="H43" s="89">
        <f>+F43*H44</f>
        <v>1160</v>
      </c>
    </row>
    <row r="44" spans="1:8" x14ac:dyDescent="0.3">
      <c r="C44" s="82">
        <f>2+C41+2</f>
        <v>48</v>
      </c>
      <c r="D44" s="82" t="s">
        <v>73</v>
      </c>
      <c r="E44" s="82">
        <f>2+E41+2</f>
        <v>40</v>
      </c>
      <c r="G44" s="84" t="s">
        <v>117</v>
      </c>
      <c r="H44" s="84">
        <v>20</v>
      </c>
    </row>
    <row r="45" spans="1:8" x14ac:dyDescent="0.3">
      <c r="C45" s="90">
        <f>+C43/C44</f>
        <v>2.0833333333333335</v>
      </c>
      <c r="D45" s="90"/>
      <c r="E45" s="90">
        <f>+E43/E44</f>
        <v>3.25</v>
      </c>
      <c r="F45" s="84">
        <v>6</v>
      </c>
      <c r="G45" s="84">
        <f>+((B7+D7)/F45)</f>
        <v>19.166666666666668</v>
      </c>
    </row>
    <row r="46" spans="1:8" x14ac:dyDescent="0.3">
      <c r="C46" s="90">
        <f>+E43/C44</f>
        <v>2.7083333333333335</v>
      </c>
      <c r="D46" s="90"/>
      <c r="E46" s="90">
        <f>+C43/E44</f>
        <v>2.5</v>
      </c>
      <c r="F46" s="54">
        <v>4</v>
      </c>
    </row>
    <row r="65" spans="1:9" ht="20.25" x14ac:dyDescent="0.3">
      <c r="A65" s="83" t="s">
        <v>121</v>
      </c>
      <c r="C65" s="85" t="s">
        <v>122</v>
      </c>
      <c r="D65" s="85" t="s">
        <v>112</v>
      </c>
      <c r="E65" s="85" t="s">
        <v>123</v>
      </c>
      <c r="F65" s="85" t="s">
        <v>114</v>
      </c>
    </row>
    <row r="66" spans="1:9" x14ac:dyDescent="0.3">
      <c r="A66" s="84" t="s">
        <v>124</v>
      </c>
      <c r="C66" s="82">
        <f>+E11+0.25</f>
        <v>4.25</v>
      </c>
      <c r="D66" s="82">
        <f>0.25+C11+0.25</f>
        <v>32.5</v>
      </c>
      <c r="E66" s="82">
        <f>+C66</f>
        <v>4.25</v>
      </c>
      <c r="F66" s="82">
        <f>0.25+D11+0.25</f>
        <v>24.5</v>
      </c>
    </row>
    <row r="67" spans="1:9" x14ac:dyDescent="0.3">
      <c r="A67" s="84"/>
    </row>
    <row r="69" spans="1:9" x14ac:dyDescent="0.3">
      <c r="E69" s="82">
        <f>+D66</f>
        <v>32.5</v>
      </c>
    </row>
    <row r="70" spans="1:9" x14ac:dyDescent="0.3">
      <c r="A70" s="87" t="s">
        <v>115</v>
      </c>
      <c r="B70" s="87">
        <f>+E69</f>
        <v>32.5</v>
      </c>
      <c r="F70" s="82">
        <f>+C66</f>
        <v>4.25</v>
      </c>
      <c r="G70" s="86"/>
      <c r="H70" s="86"/>
    </row>
    <row r="71" spans="1:9" x14ac:dyDescent="0.3">
      <c r="F71" s="82"/>
      <c r="G71" s="86"/>
      <c r="H71" s="86"/>
    </row>
    <row r="72" spans="1:9" x14ac:dyDescent="0.3">
      <c r="F72" s="82"/>
      <c r="G72" s="86"/>
      <c r="H72" s="86"/>
    </row>
    <row r="73" spans="1:9" x14ac:dyDescent="0.3">
      <c r="F73" s="82">
        <f>+F66</f>
        <v>24.5</v>
      </c>
      <c r="H73" s="86"/>
    </row>
    <row r="74" spans="1:9" x14ac:dyDescent="0.3">
      <c r="C74" s="86"/>
      <c r="F74" s="82"/>
      <c r="G74" s="86"/>
      <c r="H74" s="86"/>
    </row>
    <row r="75" spans="1:9" x14ac:dyDescent="0.3">
      <c r="F75" s="82"/>
      <c r="G75" s="86"/>
      <c r="H75" s="86"/>
    </row>
    <row r="76" spans="1:9" x14ac:dyDescent="0.3">
      <c r="F76" s="82">
        <f>+E66</f>
        <v>4.25</v>
      </c>
      <c r="G76" s="86"/>
      <c r="H76" s="86"/>
    </row>
    <row r="77" spans="1:9" x14ac:dyDescent="0.3">
      <c r="F77" s="82"/>
      <c r="G77" s="86"/>
      <c r="H77" s="86"/>
    </row>
    <row r="78" spans="1:9" x14ac:dyDescent="0.3">
      <c r="G78" s="86"/>
      <c r="H78" s="86"/>
    </row>
    <row r="79" spans="1:9" x14ac:dyDescent="0.3">
      <c r="H79" s="84">
        <f>SUM(F70:F79)</f>
        <v>33</v>
      </c>
      <c r="I79" s="87" t="s">
        <v>116</v>
      </c>
    </row>
    <row r="82" spans="1:9" s="84" customFormat="1" x14ac:dyDescent="0.3">
      <c r="A82" s="84" t="s">
        <v>127</v>
      </c>
      <c r="B82" s="84" t="s">
        <v>100</v>
      </c>
      <c r="C82" s="85">
        <v>90</v>
      </c>
      <c r="D82" s="85" t="s">
        <v>73</v>
      </c>
      <c r="E82" s="85">
        <v>130</v>
      </c>
      <c r="F82" s="88">
        <f>+F29</f>
        <v>41.072000000000003</v>
      </c>
      <c r="H82" s="89">
        <f>+F82*H83</f>
        <v>616.08000000000004</v>
      </c>
    </row>
    <row r="83" spans="1:9" x14ac:dyDescent="0.3">
      <c r="C83" s="82">
        <f>+B70</f>
        <v>32.5</v>
      </c>
      <c r="D83" s="82" t="s">
        <v>73</v>
      </c>
      <c r="E83" s="82">
        <f>+H79</f>
        <v>33</v>
      </c>
      <c r="G83" s="84" t="s">
        <v>117</v>
      </c>
      <c r="H83" s="84">
        <v>15</v>
      </c>
    </row>
    <row r="84" spans="1:9" x14ac:dyDescent="0.3">
      <c r="C84" s="90">
        <f>+C82/C83</f>
        <v>2.7692307692307692</v>
      </c>
      <c r="D84" s="90"/>
      <c r="E84" s="90">
        <f>+E82/E83</f>
        <v>3.9393939393939394</v>
      </c>
      <c r="F84" s="54">
        <v>6</v>
      </c>
    </row>
    <row r="85" spans="1:9" x14ac:dyDescent="0.3">
      <c r="C85" s="90">
        <f>+E82/C83</f>
        <v>4</v>
      </c>
      <c r="D85" s="90"/>
      <c r="E85" s="90">
        <f>+C82/E83</f>
        <v>2.7272727272727271</v>
      </c>
      <c r="F85" s="84">
        <v>8</v>
      </c>
      <c r="G85" s="84">
        <f>+((B7+D7)/F85)</f>
        <v>14.375</v>
      </c>
    </row>
    <row r="86" spans="1:9" x14ac:dyDescent="0.3">
      <c r="C86" s="82"/>
      <c r="D86" s="82"/>
      <c r="E86" s="82"/>
    </row>
    <row r="87" spans="1:9" x14ac:dyDescent="0.3">
      <c r="A87" s="84" t="s">
        <v>125</v>
      </c>
      <c r="C87" s="82">
        <f>0.25+E69+0.25</f>
        <v>33</v>
      </c>
      <c r="D87" s="82" t="s">
        <v>73</v>
      </c>
      <c r="E87" s="82">
        <f>0.25+F70+0.25+F73+0.25+F76+0.25</f>
        <v>34</v>
      </c>
    </row>
    <row r="88" spans="1:9" ht="6" customHeight="1" x14ac:dyDescent="0.3">
      <c r="A88" s="84"/>
      <c r="C88" s="82"/>
      <c r="D88" s="82"/>
      <c r="E88" s="82"/>
    </row>
    <row r="89" spans="1:9" s="84" customFormat="1" x14ac:dyDescent="0.3">
      <c r="A89" s="84" t="s">
        <v>175</v>
      </c>
      <c r="C89" s="85">
        <v>100</v>
      </c>
      <c r="D89" s="85" t="s">
        <v>73</v>
      </c>
      <c r="E89" s="85">
        <v>130</v>
      </c>
      <c r="F89" s="88">
        <v>58</v>
      </c>
      <c r="H89" s="89">
        <f>+F89*H90</f>
        <v>1160</v>
      </c>
    </row>
    <row r="90" spans="1:9" x14ac:dyDescent="0.3">
      <c r="C90" s="82">
        <f>1+C87+1</f>
        <v>35</v>
      </c>
      <c r="D90" s="82" t="s">
        <v>73</v>
      </c>
      <c r="E90" s="82">
        <f>1+E87+1</f>
        <v>36</v>
      </c>
      <c r="G90" s="84" t="s">
        <v>117</v>
      </c>
      <c r="H90" s="84">
        <v>20</v>
      </c>
      <c r="I90" s="54" t="s">
        <v>120</v>
      </c>
    </row>
    <row r="91" spans="1:9" x14ac:dyDescent="0.3">
      <c r="C91" s="90">
        <f>+C89/C90</f>
        <v>2.8571428571428572</v>
      </c>
      <c r="D91" s="90"/>
      <c r="E91" s="90">
        <f>+E89/E90</f>
        <v>3.6111111111111112</v>
      </c>
      <c r="F91" s="54">
        <v>6</v>
      </c>
    </row>
    <row r="92" spans="1:9" x14ac:dyDescent="0.3">
      <c r="C92" s="90">
        <f>+E89/C90</f>
        <v>3.7142857142857144</v>
      </c>
      <c r="D92" s="90"/>
      <c r="E92" s="90">
        <f>+C89/E90</f>
        <v>2.7777777777777777</v>
      </c>
      <c r="F92" s="84">
        <v>6</v>
      </c>
      <c r="G92" s="84">
        <f>+((B7+D7)/F92)</f>
        <v>19.166666666666668</v>
      </c>
    </row>
    <row r="94" spans="1:9" x14ac:dyDescent="0.3">
      <c r="A94" s="84" t="s">
        <v>126</v>
      </c>
      <c r="C94" s="82">
        <f>1.5+0.25+E69+0.25+1.5</f>
        <v>36</v>
      </c>
      <c r="D94" s="82" t="s">
        <v>73</v>
      </c>
      <c r="E94" s="82">
        <f>1.5+0.25+F70+0.25+F73+0.25+F76+0.25+1.5</f>
        <v>37</v>
      </c>
    </row>
    <row r="95" spans="1:9" ht="6" customHeight="1" x14ac:dyDescent="0.3">
      <c r="A95" s="84"/>
      <c r="C95" s="82"/>
      <c r="D95" s="82"/>
      <c r="E95" s="82"/>
    </row>
    <row r="96" spans="1:9" s="84" customFormat="1" x14ac:dyDescent="0.3">
      <c r="A96" s="84" t="s">
        <v>175</v>
      </c>
      <c r="C96" s="85">
        <v>100</v>
      </c>
      <c r="D96" s="85" t="s">
        <v>73</v>
      </c>
      <c r="E96" s="85">
        <v>130</v>
      </c>
      <c r="F96" s="88">
        <v>58</v>
      </c>
      <c r="H96" s="89">
        <f>+F96*H97</f>
        <v>1160</v>
      </c>
    </row>
    <row r="97" spans="3:9" x14ac:dyDescent="0.3">
      <c r="C97" s="82">
        <f>2+C94+2</f>
        <v>40</v>
      </c>
      <c r="D97" s="82" t="s">
        <v>73</v>
      </c>
      <c r="E97" s="82">
        <f>2+E94+2</f>
        <v>41</v>
      </c>
      <c r="G97" s="84" t="s">
        <v>117</v>
      </c>
      <c r="H97" s="84">
        <v>20</v>
      </c>
      <c r="I97" s="54" t="s">
        <v>120</v>
      </c>
    </row>
    <row r="98" spans="3:9" x14ac:dyDescent="0.3">
      <c r="C98" s="90">
        <f>+C96/C97</f>
        <v>2.5</v>
      </c>
      <c r="D98" s="90"/>
      <c r="E98" s="90">
        <f>+E96/E97</f>
        <v>3.1707317073170733</v>
      </c>
      <c r="F98" s="54">
        <v>6</v>
      </c>
    </row>
    <row r="99" spans="3:9" x14ac:dyDescent="0.3">
      <c r="C99" s="90">
        <f>+E96/C97</f>
        <v>3.25</v>
      </c>
      <c r="D99" s="90"/>
      <c r="E99" s="90">
        <f>+C96/E97</f>
        <v>2.4390243902439024</v>
      </c>
      <c r="F99" s="84">
        <v>6</v>
      </c>
      <c r="G99" s="84">
        <f>+((B7+D7)/F99)</f>
        <v>19.166666666666668</v>
      </c>
    </row>
  </sheetData>
  <pageMargins left="0.70866141732283472" right="0.70866141732283472" top="0.74803149606299213" bottom="0.74803149606299213" header="0.31496062992125984" footer="0.31496062992125984"/>
  <pageSetup scale="75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95"/>
  <sheetViews>
    <sheetView zoomScale="80" zoomScaleNormal="80" workbookViewId="0">
      <selection activeCell="C19" sqref="C19"/>
    </sheetView>
  </sheetViews>
  <sheetFormatPr baseColWidth="10" defaultRowHeight="14.25" x14ac:dyDescent="0.3"/>
  <cols>
    <col min="1" max="1" width="11.42578125" style="1"/>
    <col min="2" max="2" width="13.42578125" style="1" bestFit="1" customWidth="1"/>
    <col min="3" max="3" width="11.5703125" style="1" bestFit="1" customWidth="1"/>
    <col min="4" max="4" width="9.7109375" style="1" customWidth="1"/>
    <col min="5" max="5" width="14.28515625" style="1" customWidth="1"/>
    <col min="6" max="6" width="12.5703125" style="1" customWidth="1"/>
    <col min="7" max="7" width="13.42578125" style="1" customWidth="1"/>
    <col min="8" max="8" width="10.42578125" style="1" customWidth="1"/>
    <col min="9" max="9" width="12.42578125" style="1" customWidth="1"/>
    <col min="10" max="10" width="11.42578125" style="1"/>
    <col min="11" max="11" width="15.85546875" style="1" customWidth="1"/>
    <col min="12" max="12" width="11.42578125" style="1"/>
    <col min="13" max="13" width="14.140625" style="1" customWidth="1"/>
    <col min="14" max="16384" width="11.42578125" style="1"/>
  </cols>
  <sheetData>
    <row r="1" spans="1:24" ht="15.75" x14ac:dyDescent="0.3">
      <c r="J1"/>
      <c r="K1"/>
      <c r="L1"/>
      <c r="M1"/>
      <c r="N1"/>
      <c r="O1"/>
      <c r="P1"/>
      <c r="Q1"/>
      <c r="R1"/>
      <c r="S1"/>
      <c r="T1"/>
      <c r="U1"/>
      <c r="V1"/>
      <c r="W1"/>
      <c r="X1"/>
    </row>
    <row r="2" spans="1:24" ht="15.75" x14ac:dyDescent="0.3">
      <c r="J2"/>
      <c r="K2"/>
      <c r="L2"/>
      <c r="M2"/>
      <c r="N2"/>
      <c r="O2"/>
      <c r="P2"/>
      <c r="Q2"/>
      <c r="R2"/>
      <c r="S2"/>
      <c r="T2"/>
      <c r="U2"/>
      <c r="V2"/>
      <c r="W2"/>
      <c r="X2"/>
    </row>
    <row r="3" spans="1:24" ht="15.75" x14ac:dyDescent="0.3">
      <c r="J3"/>
      <c r="K3"/>
      <c r="L3"/>
      <c r="M3"/>
      <c r="N3"/>
      <c r="O3"/>
      <c r="P3"/>
      <c r="Q3"/>
      <c r="R3"/>
      <c r="S3"/>
      <c r="T3"/>
      <c r="U3"/>
      <c r="V3"/>
      <c r="W3"/>
      <c r="X3"/>
    </row>
    <row r="4" spans="1:24" ht="15.75" x14ac:dyDescent="0.3">
      <c r="J4"/>
      <c r="K4"/>
      <c r="L4"/>
      <c r="M4"/>
      <c r="N4"/>
      <c r="O4"/>
      <c r="P4"/>
      <c r="Q4"/>
      <c r="R4"/>
      <c r="S4"/>
      <c r="T4"/>
      <c r="U4"/>
      <c r="V4"/>
      <c r="W4"/>
      <c r="X4"/>
    </row>
    <row r="5" spans="1:24" ht="15.75" x14ac:dyDescent="0.3">
      <c r="A5" s="5"/>
      <c r="J5"/>
      <c r="K5"/>
      <c r="L5"/>
      <c r="M5"/>
      <c r="N5"/>
      <c r="O5"/>
      <c r="P5"/>
      <c r="Q5"/>
      <c r="R5"/>
      <c r="S5"/>
      <c r="T5"/>
      <c r="U5"/>
      <c r="V5"/>
      <c r="W5"/>
      <c r="X5"/>
    </row>
    <row r="6" spans="1:24" ht="18.75" x14ac:dyDescent="0.3">
      <c r="A6" s="2" t="s">
        <v>1</v>
      </c>
      <c r="E6" s="5" t="s">
        <v>2</v>
      </c>
      <c r="F6" s="1" t="s">
        <v>3</v>
      </c>
      <c r="J6"/>
      <c r="K6"/>
      <c r="L6"/>
      <c r="M6"/>
      <c r="N6"/>
      <c r="O6"/>
      <c r="P6"/>
      <c r="Q6"/>
      <c r="R6"/>
      <c r="S6"/>
      <c r="T6"/>
      <c r="U6"/>
      <c r="V6"/>
      <c r="W6"/>
      <c r="X6"/>
    </row>
    <row r="7" spans="1:24" ht="15.75" x14ac:dyDescent="0.3">
      <c r="J7"/>
      <c r="K7"/>
      <c r="L7"/>
      <c r="M7"/>
      <c r="N7"/>
      <c r="O7"/>
      <c r="P7"/>
      <c r="Q7"/>
      <c r="R7"/>
      <c r="S7"/>
      <c r="T7"/>
      <c r="U7"/>
      <c r="V7"/>
      <c r="W7"/>
      <c r="X7"/>
    </row>
    <row r="8" spans="1:24" ht="15.75" x14ac:dyDescent="0.3">
      <c r="J8"/>
      <c r="K8"/>
      <c r="L8"/>
      <c r="M8"/>
      <c r="N8"/>
      <c r="O8"/>
      <c r="P8"/>
      <c r="Q8"/>
      <c r="R8"/>
      <c r="S8"/>
      <c r="T8"/>
      <c r="U8"/>
      <c r="V8"/>
      <c r="W8"/>
      <c r="X8"/>
    </row>
    <row r="9" spans="1:24" s="5" customFormat="1" ht="15" x14ac:dyDescent="0.25">
      <c r="A9" s="5" t="s">
        <v>5</v>
      </c>
      <c r="C9" s="5" t="str">
        <f>+Desarrollo!B1</f>
        <v>12 de julio de 2017.</v>
      </c>
      <c r="H9" s="5" t="s">
        <v>6</v>
      </c>
      <c r="J9"/>
      <c r="K9"/>
      <c r="L9"/>
      <c r="M9"/>
      <c r="N9"/>
      <c r="O9"/>
      <c r="P9"/>
      <c r="Q9"/>
      <c r="R9"/>
      <c r="S9"/>
      <c r="T9"/>
      <c r="U9"/>
      <c r="V9"/>
      <c r="W9"/>
      <c r="X9"/>
    </row>
    <row r="10" spans="1:24" ht="15.75" x14ac:dyDescent="0.3"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</row>
    <row r="11" spans="1:24" ht="16.5" thickBot="1" x14ac:dyDescent="0.35">
      <c r="A11" s="5" t="s">
        <v>7</v>
      </c>
      <c r="C11" s="1" t="str">
        <f>+Desarrollo!B3</f>
        <v>Megadealer</v>
      </c>
      <c r="F11" s="5" t="s">
        <v>0</v>
      </c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</row>
    <row r="12" spans="1:24" ht="15.75" x14ac:dyDescent="0.3">
      <c r="A12" s="5"/>
      <c r="F12" s="10"/>
      <c r="G12" s="11"/>
      <c r="H12" s="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</row>
    <row r="13" spans="1:24" ht="15.75" x14ac:dyDescent="0.3">
      <c r="A13" s="5" t="s">
        <v>8</v>
      </c>
      <c r="C13" s="1" t="str">
        <f>+Desarrollo!B4</f>
        <v>KIA</v>
      </c>
      <c r="F13" s="6"/>
      <c r="G13" s="7"/>
      <c r="H13" s="8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</row>
    <row r="14" spans="1:24" ht="15.75" x14ac:dyDescent="0.3">
      <c r="A14" s="5"/>
      <c r="F14" s="6"/>
      <c r="G14" s="7"/>
      <c r="H14" s="8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</row>
    <row r="15" spans="1:24" ht="15.75" x14ac:dyDescent="0.3">
      <c r="A15" s="5" t="s">
        <v>9</v>
      </c>
      <c r="C15" s="18" t="s">
        <v>84</v>
      </c>
      <c r="D15" s="17"/>
      <c r="E15" s="17"/>
      <c r="F15" s="69" t="s">
        <v>79</v>
      </c>
      <c r="G15" s="7"/>
      <c r="H15" s="8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</row>
    <row r="16" spans="1:24" ht="15.75" x14ac:dyDescent="0.3">
      <c r="C16" s="16" t="s">
        <v>176</v>
      </c>
      <c r="D16" s="17"/>
      <c r="E16" s="17"/>
      <c r="F16" s="45">
        <f>+Desarrollo!C30</f>
        <v>40</v>
      </c>
      <c r="G16" s="70" t="s">
        <v>73</v>
      </c>
      <c r="H16" s="71">
        <f>+Desarrollo!E30</f>
        <v>32</v>
      </c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</row>
    <row r="17" spans="1:24" ht="15.75" x14ac:dyDescent="0.3">
      <c r="C17" s="16" t="s">
        <v>85</v>
      </c>
      <c r="D17" s="17"/>
      <c r="E17" s="17"/>
      <c r="F17" s="69">
        <v>1</v>
      </c>
      <c r="G17" s="72" t="s">
        <v>74</v>
      </c>
      <c r="H17" s="8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</row>
    <row r="18" spans="1:24" ht="15.75" x14ac:dyDescent="0.3">
      <c r="C18" s="16"/>
      <c r="D18" s="17"/>
      <c r="E18" s="17"/>
      <c r="F18" s="69"/>
      <c r="G18" s="7"/>
      <c r="H18" s="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</row>
    <row r="19" spans="1:24" ht="15.75" x14ac:dyDescent="0.3">
      <c r="C19" s="19"/>
      <c r="D19" s="17"/>
      <c r="E19" s="17"/>
      <c r="F19" s="45">
        <f>+Desarrollo!C30</f>
        <v>40</v>
      </c>
      <c r="G19" s="70" t="s">
        <v>73</v>
      </c>
      <c r="H19" s="71">
        <f>+Desarrollo!E30</f>
        <v>32</v>
      </c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</row>
    <row r="20" spans="1:24" ht="15.75" x14ac:dyDescent="0.3">
      <c r="C20" s="17"/>
      <c r="D20" s="17"/>
      <c r="E20" s="17"/>
      <c r="F20" s="69"/>
      <c r="G20" s="72"/>
      <c r="H20" s="8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</row>
    <row r="21" spans="1:24" ht="15.75" x14ac:dyDescent="0.3">
      <c r="C21" s="17"/>
      <c r="D21" s="17"/>
      <c r="E21" s="17"/>
      <c r="F21" s="6"/>
      <c r="G21" s="7"/>
      <c r="H21" s="8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</row>
    <row r="22" spans="1:24" ht="16.5" thickBot="1" x14ac:dyDescent="0.35">
      <c r="C22" s="17"/>
      <c r="D22" s="17"/>
      <c r="E22" s="17"/>
      <c r="F22" s="13"/>
      <c r="G22" s="14"/>
      <c r="H22" s="15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</row>
    <row r="23" spans="1:24" ht="15.75" x14ac:dyDescent="0.3">
      <c r="A23" s="4" t="s">
        <v>11</v>
      </c>
      <c r="C23" s="20" t="str">
        <f>+Desarrollo!A29</f>
        <v xml:space="preserve">Cartón Gris </v>
      </c>
      <c r="D23" s="5" t="s">
        <v>12</v>
      </c>
      <c r="E23" s="21" t="s">
        <v>87</v>
      </c>
      <c r="F23" s="1" t="str">
        <f>+Desarrollo!B29</f>
        <v>#4</v>
      </c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</row>
    <row r="24" spans="1:24" ht="15.75" x14ac:dyDescent="0.3"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</row>
    <row r="25" spans="1:24" ht="15.75" x14ac:dyDescent="0.3">
      <c r="A25" s="4" t="s">
        <v>13</v>
      </c>
      <c r="C25" s="22">
        <v>90</v>
      </c>
      <c r="D25" s="21" t="s">
        <v>14</v>
      </c>
      <c r="E25" s="23">
        <v>130</v>
      </c>
      <c r="F25" s="24">
        <f>+C25</f>
        <v>90</v>
      </c>
      <c r="G25" s="25" t="s">
        <v>14</v>
      </c>
      <c r="H25" s="25">
        <f>+E25</f>
        <v>130</v>
      </c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</row>
    <row r="26" spans="1:24" ht="15.75" x14ac:dyDescent="0.3">
      <c r="A26" s="4" t="s">
        <v>15</v>
      </c>
      <c r="B26" s="3"/>
      <c r="C26" s="26">
        <f>+F16</f>
        <v>40</v>
      </c>
      <c r="D26" s="27" t="s">
        <v>14</v>
      </c>
      <c r="E26" s="26">
        <f>+H16</f>
        <v>32</v>
      </c>
      <c r="F26" s="28">
        <f>+E26</f>
        <v>32</v>
      </c>
      <c r="G26" s="28" t="s">
        <v>14</v>
      </c>
      <c r="H26" s="28">
        <f>+C26</f>
        <v>40</v>
      </c>
      <c r="I26" s="29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</row>
    <row r="27" spans="1:24" ht="16.5" thickBot="1" x14ac:dyDescent="0.35">
      <c r="A27" s="3" t="s">
        <v>16</v>
      </c>
      <c r="B27" s="30"/>
      <c r="C27" s="31">
        <f>+C25/C26</f>
        <v>2.25</v>
      </c>
      <c r="D27" s="32"/>
      <c r="E27" s="31">
        <f>+E25/E26</f>
        <v>4.0625</v>
      </c>
      <c r="F27" s="31">
        <f>+F25/F26</f>
        <v>2.8125</v>
      </c>
      <c r="G27" s="32"/>
      <c r="H27" s="31">
        <f>+H25/H26</f>
        <v>3.25</v>
      </c>
      <c r="I27" s="29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</row>
    <row r="28" spans="1:24" ht="16.5" thickBot="1" x14ac:dyDescent="0.35">
      <c r="A28" s="3" t="s">
        <v>17</v>
      </c>
      <c r="B28" s="33"/>
      <c r="C28" s="34"/>
      <c r="D28" s="35">
        <v>8</v>
      </c>
      <c r="E28" s="36"/>
      <c r="F28" s="37"/>
      <c r="G28" s="38">
        <v>6</v>
      </c>
      <c r="H28" s="39" t="s">
        <v>18</v>
      </c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</row>
    <row r="29" spans="1:24" ht="15.75" x14ac:dyDescent="0.3">
      <c r="A29" s="3"/>
      <c r="B29" s="20"/>
      <c r="C29" s="29"/>
      <c r="G29" s="40"/>
      <c r="H29" s="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</row>
    <row r="30" spans="1:24" ht="15.75" x14ac:dyDescent="0.3">
      <c r="A30" s="24" t="s">
        <v>19</v>
      </c>
      <c r="B30" s="24" t="s">
        <v>80</v>
      </c>
      <c r="D30" s="40" t="s">
        <v>20</v>
      </c>
      <c r="E30" s="41">
        <f>+Desarrollo!F29</f>
        <v>41.072000000000003</v>
      </c>
      <c r="G30" s="1" t="s">
        <v>21</v>
      </c>
      <c r="H30" s="42">
        <v>0</v>
      </c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</row>
    <row r="31" spans="1:24" ht="15.75" x14ac:dyDescent="0.3">
      <c r="A31" s="3"/>
      <c r="B31" s="3"/>
      <c r="C31" s="3"/>
      <c r="D31" s="43" t="s">
        <v>22</v>
      </c>
      <c r="E31" s="41">
        <f>+H30*E30</f>
        <v>0</v>
      </c>
      <c r="H31" s="42"/>
      <c r="I31" s="29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</row>
    <row r="32" spans="1:24" ht="15.75" x14ac:dyDescent="0.3">
      <c r="D32" s="43" t="s">
        <v>23</v>
      </c>
      <c r="E32" s="44">
        <f>+E30-E31</f>
        <v>41.072000000000003</v>
      </c>
      <c r="I32" s="29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</row>
    <row r="33" spans="1:24" ht="15.75" x14ac:dyDescent="0.3">
      <c r="E33" s="20" t="s">
        <v>25</v>
      </c>
      <c r="F33" s="20" t="s">
        <v>26</v>
      </c>
      <c r="G33" s="20" t="s">
        <v>26</v>
      </c>
      <c r="H33" s="20" t="s">
        <v>26</v>
      </c>
      <c r="I33" s="29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</row>
    <row r="34" spans="1:24" ht="15.75" x14ac:dyDescent="0.3">
      <c r="D34" s="40" t="s">
        <v>27</v>
      </c>
      <c r="E34" s="46">
        <f>+E32</f>
        <v>41.072000000000003</v>
      </c>
      <c r="F34" s="46">
        <v>0</v>
      </c>
      <c r="G34" s="46">
        <v>0</v>
      </c>
      <c r="H34" s="46">
        <v>0</v>
      </c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</row>
    <row r="35" spans="1:24" ht="15.75" x14ac:dyDescent="0.3">
      <c r="D35" s="40" t="s">
        <v>28</v>
      </c>
      <c r="E35" s="46">
        <f>+E34*1.15</f>
        <v>47.232799999999997</v>
      </c>
      <c r="F35" s="46">
        <v>0</v>
      </c>
      <c r="G35" s="46">
        <v>0</v>
      </c>
      <c r="H35" s="46">
        <v>0</v>
      </c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</row>
    <row r="36" spans="1:24" ht="16.5" thickBot="1" x14ac:dyDescent="0.35">
      <c r="A36" s="3"/>
      <c r="G36" s="40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</row>
    <row r="37" spans="1:24" ht="15.75" x14ac:dyDescent="0.3">
      <c r="A37" s="3"/>
      <c r="B37" s="20"/>
      <c r="C37" s="29"/>
      <c r="E37" s="10" t="s">
        <v>30</v>
      </c>
      <c r="F37" s="11" t="s">
        <v>31</v>
      </c>
      <c r="G37" s="11"/>
      <c r="H37" s="12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</row>
    <row r="38" spans="1:24" ht="16.5" thickBot="1" x14ac:dyDescent="0.35">
      <c r="A38" s="4" t="s">
        <v>32</v>
      </c>
      <c r="C38" s="47">
        <v>8</v>
      </c>
      <c r="D38" s="48" t="s">
        <v>33</v>
      </c>
      <c r="E38" s="13"/>
      <c r="F38" s="14" t="s">
        <v>34</v>
      </c>
      <c r="G38" s="14"/>
      <c r="H38" s="15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</row>
    <row r="39" spans="1:24" ht="15.75" x14ac:dyDescent="0.3">
      <c r="A39" s="4"/>
      <c r="C39" s="20"/>
      <c r="D39" s="1" t="s">
        <v>35</v>
      </c>
      <c r="E39" s="3"/>
      <c r="F39" s="3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</row>
    <row r="40" spans="1:24" ht="15.75" x14ac:dyDescent="0.3">
      <c r="A40" s="4" t="s">
        <v>36</v>
      </c>
      <c r="B40" s="5"/>
      <c r="C40" s="49">
        <f>+B48/F17</f>
        <v>90</v>
      </c>
      <c r="D40" s="23">
        <f>+Desarrollo!D7</f>
        <v>25</v>
      </c>
      <c r="F40" s="43" t="s">
        <v>37</v>
      </c>
      <c r="G40" s="22">
        <v>1</v>
      </c>
      <c r="H40" s="3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</row>
    <row r="41" spans="1:24" ht="15.75" x14ac:dyDescent="0.3">
      <c r="A41" s="4" t="s">
        <v>38</v>
      </c>
      <c r="C41" s="33">
        <f>+C40+D40</f>
        <v>115</v>
      </c>
      <c r="F41" s="43" t="s">
        <v>39</v>
      </c>
      <c r="G41" s="22">
        <v>1</v>
      </c>
      <c r="H41" s="3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</row>
    <row r="42" spans="1:24" ht="15.75" x14ac:dyDescent="0.3">
      <c r="A42" s="4" t="s">
        <v>40</v>
      </c>
      <c r="C42" s="33">
        <f>+C41/C38</f>
        <v>14.375</v>
      </c>
      <c r="F42" s="43" t="s">
        <v>41</v>
      </c>
      <c r="G42" s="22"/>
      <c r="H42" s="3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</row>
    <row r="43" spans="1:24" ht="15.75" x14ac:dyDescent="0.3">
      <c r="A43" s="4"/>
      <c r="C43" s="20"/>
      <c r="F43" s="40" t="s">
        <v>42</v>
      </c>
      <c r="G43" s="22">
        <f>+C40/1000</f>
        <v>0.09</v>
      </c>
      <c r="H43" s="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</row>
    <row r="44" spans="1:24" ht="15.75" x14ac:dyDescent="0.3">
      <c r="A44" s="4"/>
      <c r="C44" s="50"/>
      <c r="F44" s="43" t="s">
        <v>43</v>
      </c>
      <c r="G44" s="47">
        <f>+C41</f>
        <v>115</v>
      </c>
      <c r="H44" s="3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</row>
    <row r="45" spans="1:24" ht="15.75" x14ac:dyDescent="0.3">
      <c r="A45" s="4"/>
      <c r="C45" s="20"/>
      <c r="E45" s="43"/>
      <c r="F45" s="43"/>
      <c r="G45" s="29"/>
      <c r="I45" s="3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</row>
    <row r="46" spans="1:24" ht="15.75" x14ac:dyDescent="0.3">
      <c r="A46" s="4" t="s">
        <v>44</v>
      </c>
      <c r="C46" s="24">
        <f>+C42*C38</f>
        <v>115</v>
      </c>
      <c r="F46" s="43"/>
      <c r="G46" s="29"/>
      <c r="H46" s="3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</row>
    <row r="47" spans="1:24" ht="15.75" x14ac:dyDescent="0.3">
      <c r="A47" s="3"/>
      <c r="B47" s="3"/>
      <c r="C47" s="3"/>
      <c r="D47" s="3"/>
      <c r="E47" s="3"/>
      <c r="H47" s="3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</row>
    <row r="48" spans="1:24" ht="15.75" x14ac:dyDescent="0.3">
      <c r="A48" s="4" t="s">
        <v>68</v>
      </c>
      <c r="B48" s="20">
        <f>+Desarrollo!B7</f>
        <v>90</v>
      </c>
      <c r="C48" s="3"/>
      <c r="D48" s="24" t="s">
        <v>45</v>
      </c>
      <c r="E48" s="24" t="s">
        <v>46</v>
      </c>
      <c r="F48" s="24" t="s">
        <v>47</v>
      </c>
      <c r="G48" s="24" t="s">
        <v>48</v>
      </c>
      <c r="H48" s="24" t="s">
        <v>49</v>
      </c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</row>
    <row r="49" spans="1:24" ht="15.75" x14ac:dyDescent="0.3">
      <c r="A49" s="51" t="s">
        <v>50</v>
      </c>
      <c r="B49" s="52"/>
      <c r="C49" s="3"/>
      <c r="D49" s="20">
        <v>1</v>
      </c>
      <c r="E49" s="20">
        <v>0</v>
      </c>
      <c r="F49" s="20" t="s">
        <v>81</v>
      </c>
      <c r="G49" s="29">
        <v>7</v>
      </c>
      <c r="H49" s="29">
        <f>+(D49*E49)*G49</f>
        <v>0</v>
      </c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</row>
    <row r="50" spans="1:24" ht="15.75" x14ac:dyDescent="0.3">
      <c r="A50" s="52" t="s">
        <v>52</v>
      </c>
      <c r="B50" s="53">
        <f>+E34*C42</f>
        <v>590.41000000000008</v>
      </c>
      <c r="C50" s="3"/>
      <c r="D50" s="20">
        <v>0</v>
      </c>
      <c r="E50" s="20">
        <v>0</v>
      </c>
      <c r="F50" s="20" t="s">
        <v>82</v>
      </c>
      <c r="G50" s="29">
        <v>250</v>
      </c>
      <c r="H50" s="29">
        <f>+(D50*E50)*G50</f>
        <v>0</v>
      </c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</row>
    <row r="51" spans="1:24" ht="15.75" x14ac:dyDescent="0.3">
      <c r="A51" s="52" t="s">
        <v>10</v>
      </c>
      <c r="B51" s="53">
        <f>+H61</f>
        <v>490</v>
      </c>
      <c r="C51" s="3"/>
      <c r="D51" s="20">
        <v>0</v>
      </c>
      <c r="E51" s="20">
        <v>0</v>
      </c>
      <c r="F51" s="20" t="s">
        <v>75</v>
      </c>
      <c r="G51" s="29">
        <v>500</v>
      </c>
      <c r="H51" s="29">
        <f>+G51*E51*D51</f>
        <v>0</v>
      </c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</row>
    <row r="52" spans="1:24" ht="16.5" x14ac:dyDescent="0.3">
      <c r="A52" s="52"/>
      <c r="B52" s="53"/>
      <c r="C52" s="3"/>
      <c r="D52" s="20">
        <v>1</v>
      </c>
      <c r="E52" s="20">
        <v>1</v>
      </c>
      <c r="F52" s="20" t="s">
        <v>93</v>
      </c>
      <c r="G52" s="29">
        <v>200</v>
      </c>
      <c r="H52" s="29">
        <f t="shared" ref="H52:H59" si="0">+G52*E52</f>
        <v>200</v>
      </c>
      <c r="I52" s="54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</row>
    <row r="53" spans="1:24" ht="16.5" x14ac:dyDescent="0.3">
      <c r="A53" s="52" t="s">
        <v>24</v>
      </c>
      <c r="B53" s="53">
        <v>300</v>
      </c>
      <c r="C53" s="3"/>
      <c r="D53" s="20">
        <v>1</v>
      </c>
      <c r="E53" s="20">
        <v>1</v>
      </c>
      <c r="F53" s="20" t="s">
        <v>70</v>
      </c>
      <c r="G53" s="29">
        <v>145</v>
      </c>
      <c r="H53" s="29">
        <f t="shared" si="0"/>
        <v>145</v>
      </c>
      <c r="I53" s="54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</row>
    <row r="54" spans="1:24" ht="15.75" x14ac:dyDescent="0.3">
      <c r="A54" s="55" t="s">
        <v>76</v>
      </c>
      <c r="B54" s="53">
        <v>0</v>
      </c>
      <c r="C54" s="3"/>
      <c r="D54" s="20">
        <v>1</v>
      </c>
      <c r="E54" s="20">
        <v>1</v>
      </c>
      <c r="F54" s="20" t="s">
        <v>71</v>
      </c>
      <c r="G54" s="29">
        <v>145</v>
      </c>
      <c r="H54" s="29">
        <f t="shared" si="0"/>
        <v>145</v>
      </c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</row>
    <row r="55" spans="1:24" ht="15.75" x14ac:dyDescent="0.3">
      <c r="A55" s="55" t="s">
        <v>77</v>
      </c>
      <c r="B55" s="53">
        <v>0</v>
      </c>
      <c r="D55" s="20">
        <v>0</v>
      </c>
      <c r="E55" s="20">
        <v>0</v>
      </c>
      <c r="F55" s="20" t="s">
        <v>29</v>
      </c>
      <c r="G55" s="29">
        <v>1.5</v>
      </c>
      <c r="H55" s="29">
        <f t="shared" si="0"/>
        <v>0</v>
      </c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</row>
    <row r="56" spans="1:24" ht="15.75" x14ac:dyDescent="0.3">
      <c r="A56" s="55" t="s">
        <v>78</v>
      </c>
      <c r="B56" s="53">
        <v>0</v>
      </c>
      <c r="D56" s="20">
        <v>1</v>
      </c>
      <c r="E56" s="20">
        <v>0</v>
      </c>
      <c r="F56" s="20" t="s">
        <v>53</v>
      </c>
      <c r="G56" s="29">
        <v>1.5</v>
      </c>
      <c r="H56" s="29">
        <f t="shared" si="0"/>
        <v>0</v>
      </c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</row>
    <row r="57" spans="1:24" ht="15.75" x14ac:dyDescent="0.3">
      <c r="A57" s="55"/>
      <c r="B57" s="55"/>
      <c r="D57" s="20">
        <v>0</v>
      </c>
      <c r="E57" s="20">
        <v>0</v>
      </c>
      <c r="F57" s="20" t="s">
        <v>54</v>
      </c>
      <c r="G57" s="29">
        <v>1.5</v>
      </c>
      <c r="H57" s="29">
        <f t="shared" si="0"/>
        <v>0</v>
      </c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</row>
    <row r="58" spans="1:24" ht="15.75" x14ac:dyDescent="0.3">
      <c r="A58" s="51" t="s">
        <v>55</v>
      </c>
      <c r="B58" s="56">
        <f>SUM(B50:B57)</f>
        <v>1380.41</v>
      </c>
      <c r="C58" s="3"/>
      <c r="D58" s="20">
        <v>0</v>
      </c>
      <c r="E58" s="20">
        <v>0</v>
      </c>
      <c r="F58" s="3" t="s">
        <v>56</v>
      </c>
      <c r="G58" s="29">
        <v>600</v>
      </c>
      <c r="H58" s="29">
        <f t="shared" si="0"/>
        <v>0</v>
      </c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</row>
    <row r="59" spans="1:24" ht="15.75" x14ac:dyDescent="0.3">
      <c r="A59" s="9"/>
      <c r="B59" s="57"/>
      <c r="C59" s="3"/>
      <c r="D59" s="20"/>
      <c r="E59" s="20"/>
      <c r="F59" s="3"/>
      <c r="G59" s="3"/>
      <c r="H59" s="29">
        <f t="shared" si="0"/>
        <v>0</v>
      </c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</row>
    <row r="60" spans="1:24" ht="15.75" x14ac:dyDescent="0.3">
      <c r="A60" s="9"/>
      <c r="B60" s="31">
        <f>+B58/B48</f>
        <v>15.337888888888889</v>
      </c>
      <c r="C60" s="4" t="s">
        <v>57</v>
      </c>
      <c r="D60" s="3"/>
      <c r="E60" s="3"/>
      <c r="F60" s="3"/>
      <c r="G60" s="3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</row>
    <row r="61" spans="1:24" ht="15.75" x14ac:dyDescent="0.3">
      <c r="A61" s="3"/>
      <c r="B61" s="3"/>
      <c r="D61" s="3"/>
      <c r="E61" s="3"/>
      <c r="F61" s="3"/>
      <c r="G61" s="58" t="s">
        <v>58</v>
      </c>
      <c r="H61" s="29">
        <f>SUM(H49:H60)</f>
        <v>490</v>
      </c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</row>
    <row r="62" spans="1:24" ht="15.75" x14ac:dyDescent="0.3">
      <c r="D62" s="3"/>
      <c r="E62" s="3"/>
      <c r="G62" s="5" t="s">
        <v>59</v>
      </c>
      <c r="H62" s="73">
        <v>1.5</v>
      </c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</row>
    <row r="63" spans="1:24" ht="15.75" x14ac:dyDescent="0.3">
      <c r="A63" s="4" t="s">
        <v>60</v>
      </c>
      <c r="B63" s="3"/>
      <c r="C63" s="3"/>
      <c r="E63" s="31">
        <f>+B72/C40</f>
        <v>15.710794444444446</v>
      </c>
      <c r="G63" s="1" t="s">
        <v>61</v>
      </c>
      <c r="H63" s="59">
        <v>1.75</v>
      </c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</row>
    <row r="64" spans="1:24" ht="15.75" x14ac:dyDescent="0.3">
      <c r="A64" s="3"/>
      <c r="B64" s="4" t="s">
        <v>62</v>
      </c>
      <c r="C64" s="24" t="s">
        <v>63</v>
      </c>
      <c r="D64" s="3"/>
      <c r="E64" s="3"/>
      <c r="F64" s="3"/>
      <c r="G64" s="1" t="s">
        <v>61</v>
      </c>
      <c r="H64" s="59">
        <v>2</v>
      </c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</row>
    <row r="65" spans="1:24" ht="15.75" x14ac:dyDescent="0.3">
      <c r="A65" s="51" t="s">
        <v>64</v>
      </c>
      <c r="B65" s="52"/>
      <c r="C65" s="3"/>
      <c r="D65" s="3">
        <f>+B72*C68</f>
        <v>0</v>
      </c>
      <c r="E65" s="3"/>
      <c r="F65" s="3"/>
      <c r="G65" s="5" t="s">
        <v>72</v>
      </c>
      <c r="H65" s="59">
        <v>2.5</v>
      </c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</row>
    <row r="66" spans="1:24" ht="15.75" x14ac:dyDescent="0.3">
      <c r="A66" s="52" t="s">
        <v>52</v>
      </c>
      <c r="B66" s="53">
        <f>+E35*C42</f>
        <v>678.97149999999999</v>
      </c>
      <c r="C66" s="60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</row>
    <row r="67" spans="1:24" ht="15.75" x14ac:dyDescent="0.3">
      <c r="A67" s="52" t="s">
        <v>10</v>
      </c>
      <c r="B67" s="53">
        <f>+H61*H62</f>
        <v>735</v>
      </c>
      <c r="C67" s="60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</row>
    <row r="68" spans="1:24" ht="15.75" x14ac:dyDescent="0.3">
      <c r="A68" s="52" t="str">
        <f>+A54</f>
        <v>Placas</v>
      </c>
      <c r="B68" s="53">
        <f>+B54*H63</f>
        <v>0</v>
      </c>
      <c r="C68" s="60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</row>
    <row r="69" spans="1:24" ht="15.75" x14ac:dyDescent="0.3">
      <c r="A69" s="52" t="str">
        <f>+A55</f>
        <v>Mensajeria</v>
      </c>
      <c r="B69" s="53">
        <f>+B55*H62</f>
        <v>0</v>
      </c>
      <c r="C69" s="60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</row>
    <row r="70" spans="1:24" ht="15.75" x14ac:dyDescent="0.3">
      <c r="A70" s="52" t="str">
        <f>+A56</f>
        <v>Listón</v>
      </c>
      <c r="B70" s="53">
        <f>+B56*H63</f>
        <v>0</v>
      </c>
      <c r="C70" s="63"/>
      <c r="F70" s="61" t="s">
        <v>65</v>
      </c>
      <c r="G70" s="31">
        <f>+B60</f>
        <v>15.337888888888889</v>
      </c>
      <c r="H70" s="62">
        <f>+G70*B48</f>
        <v>1380.41</v>
      </c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</row>
    <row r="71" spans="1:24" ht="15.75" x14ac:dyDescent="0.3">
      <c r="A71" s="52"/>
      <c r="B71" s="53"/>
      <c r="C71" s="63"/>
      <c r="F71" s="61" t="s">
        <v>66</v>
      </c>
      <c r="G71" s="31">
        <f>+C72</f>
        <v>15.710794444444446</v>
      </c>
      <c r="H71" s="62">
        <f>+G71*B48</f>
        <v>1413.9715000000001</v>
      </c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</row>
    <row r="72" spans="1:24" ht="15.75" x14ac:dyDescent="0.3">
      <c r="A72" s="51" t="s">
        <v>55</v>
      </c>
      <c r="B72" s="56">
        <f>SUM(B65:B71)</f>
        <v>1413.9715000000001</v>
      </c>
      <c r="C72" s="65">
        <f>+B72/B48</f>
        <v>15.710794444444446</v>
      </c>
      <c r="D72" s="5" t="s">
        <v>101</v>
      </c>
      <c r="F72" s="64" t="s">
        <v>67</v>
      </c>
      <c r="G72" s="65">
        <f>+G71-G70</f>
        <v>0.37290555555555649</v>
      </c>
      <c r="H72" s="62">
        <f>+G72*B48</f>
        <v>33.56150000000008</v>
      </c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</row>
    <row r="75" spans="1:24" x14ac:dyDescent="0.3">
      <c r="A75" s="5"/>
    </row>
    <row r="76" spans="1:24" x14ac:dyDescent="0.3">
      <c r="B76" s="66"/>
      <c r="C76" s="67"/>
    </row>
    <row r="80" spans="1:24" x14ac:dyDescent="0.3">
      <c r="J80" s="68"/>
    </row>
    <row r="86" spans="10:18" ht="16.5" x14ac:dyDescent="0.3">
      <c r="J86" s="54"/>
      <c r="K86" s="54"/>
      <c r="L86" s="54"/>
      <c r="M86" s="54"/>
      <c r="N86" s="54"/>
      <c r="O86" s="54"/>
      <c r="P86" s="54"/>
      <c r="Q86" s="54"/>
      <c r="R86" s="54"/>
    </row>
    <row r="87" spans="10:18" ht="16.5" x14ac:dyDescent="0.3">
      <c r="J87" s="54"/>
      <c r="K87" s="54"/>
      <c r="L87" s="54"/>
      <c r="M87" s="54"/>
      <c r="N87" s="54"/>
      <c r="O87" s="54"/>
      <c r="P87" s="54"/>
      <c r="Q87" s="54"/>
      <c r="R87" s="54"/>
    </row>
    <row r="88" spans="10:18" ht="16.5" x14ac:dyDescent="0.3">
      <c r="J88" s="54"/>
      <c r="K88" s="54"/>
      <c r="L88" s="54"/>
      <c r="M88" s="54"/>
      <c r="N88" s="54"/>
      <c r="O88" s="54"/>
      <c r="P88" s="54"/>
      <c r="Q88" s="54"/>
      <c r="R88" s="54"/>
    </row>
    <row r="89" spans="10:18" ht="16.5" x14ac:dyDescent="0.3">
      <c r="J89" s="54"/>
      <c r="K89" s="54"/>
      <c r="L89" s="54"/>
      <c r="M89" s="54"/>
      <c r="N89" s="54"/>
      <c r="O89" s="54"/>
      <c r="P89" s="54"/>
      <c r="Q89" s="54"/>
      <c r="R89" s="54"/>
    </row>
    <row r="90" spans="10:18" ht="16.5" x14ac:dyDescent="0.3">
      <c r="J90" s="54"/>
      <c r="K90" s="54"/>
      <c r="L90" s="54"/>
      <c r="M90" s="54"/>
      <c r="N90" s="54"/>
      <c r="O90" s="54"/>
      <c r="P90" s="54"/>
      <c r="Q90" s="54"/>
      <c r="R90" s="54"/>
    </row>
    <row r="91" spans="10:18" ht="16.5" x14ac:dyDescent="0.3">
      <c r="J91" s="54"/>
      <c r="K91" s="54"/>
      <c r="L91" s="54"/>
      <c r="M91" s="54"/>
      <c r="N91" s="54"/>
      <c r="O91" s="54"/>
      <c r="P91" s="54"/>
      <c r="Q91" s="54"/>
      <c r="R91" s="54"/>
    </row>
    <row r="92" spans="10:18" ht="16.5" x14ac:dyDescent="0.3">
      <c r="J92" s="54"/>
      <c r="K92" s="54"/>
      <c r="L92" s="54"/>
      <c r="M92" s="54"/>
      <c r="N92" s="54"/>
      <c r="O92" s="54"/>
      <c r="P92" s="54"/>
      <c r="Q92" s="54"/>
      <c r="R92" s="54"/>
    </row>
    <row r="93" spans="10:18" ht="16.5" x14ac:dyDescent="0.3">
      <c r="J93" s="54"/>
      <c r="K93" s="54"/>
      <c r="L93" s="54"/>
      <c r="M93" s="54"/>
      <c r="N93" s="54"/>
      <c r="O93" s="54"/>
      <c r="P93" s="54"/>
      <c r="Q93" s="54"/>
      <c r="R93" s="54"/>
    </row>
    <row r="94" spans="10:18" ht="16.5" x14ac:dyDescent="0.3">
      <c r="J94" s="54"/>
      <c r="K94" s="54"/>
      <c r="L94" s="54"/>
      <c r="M94" s="54"/>
      <c r="N94" s="54"/>
      <c r="O94" s="54"/>
      <c r="P94" s="54"/>
      <c r="Q94" s="54"/>
      <c r="R94" s="54"/>
    </row>
    <row r="95" spans="10:18" ht="16.5" x14ac:dyDescent="0.3">
      <c r="J95" s="54"/>
      <c r="K95" s="54"/>
      <c r="L95" s="54"/>
      <c r="M95" s="54"/>
      <c r="N95" s="54"/>
      <c r="O95" s="54"/>
      <c r="P95" s="54"/>
      <c r="Q95" s="54"/>
      <c r="R95" s="54"/>
    </row>
  </sheetData>
  <pageMargins left="0.70866141732283472" right="0.70866141732283472" top="0.74803149606299213" bottom="0.74803149606299213" header="0.31496062992125984" footer="0.31496062992125984"/>
  <pageSetup scale="48" orientation="landscape" r:id="rId1"/>
  <headerFooter>
    <oddFooter>&amp;R&amp;A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95"/>
  <sheetViews>
    <sheetView zoomScale="80" zoomScaleNormal="80" workbookViewId="0">
      <selection activeCell="C17" sqref="C17"/>
    </sheetView>
  </sheetViews>
  <sheetFormatPr baseColWidth="10" defaultRowHeight="14.25" x14ac:dyDescent="0.3"/>
  <cols>
    <col min="1" max="1" width="11.42578125" style="1"/>
    <col min="2" max="2" width="13.42578125" style="1" bestFit="1" customWidth="1"/>
    <col min="3" max="3" width="11.5703125" style="1" bestFit="1" customWidth="1"/>
    <col min="4" max="4" width="9.7109375" style="1" customWidth="1"/>
    <col min="5" max="5" width="14.28515625" style="1" customWidth="1"/>
    <col min="6" max="6" width="12.5703125" style="1" customWidth="1"/>
    <col min="7" max="7" width="13.42578125" style="1" customWidth="1"/>
    <col min="8" max="8" width="10.42578125" style="1" customWidth="1"/>
    <col min="9" max="9" width="12.42578125" style="1" customWidth="1"/>
    <col min="10" max="10" width="11.42578125" style="1"/>
    <col min="11" max="11" width="15.85546875" style="1" customWidth="1"/>
    <col min="12" max="12" width="11.42578125" style="1"/>
    <col min="13" max="13" width="14.140625" style="1" customWidth="1"/>
    <col min="14" max="16384" width="11.42578125" style="1"/>
  </cols>
  <sheetData>
    <row r="1" spans="1:23" ht="15.75" x14ac:dyDescent="0.3">
      <c r="J1"/>
      <c r="K1"/>
      <c r="L1"/>
      <c r="M1"/>
      <c r="N1"/>
      <c r="O1"/>
      <c r="P1"/>
      <c r="Q1"/>
      <c r="R1"/>
      <c r="S1"/>
      <c r="T1"/>
      <c r="U1"/>
      <c r="V1"/>
      <c r="W1"/>
    </row>
    <row r="2" spans="1:23" ht="15.75" x14ac:dyDescent="0.3">
      <c r="J2"/>
      <c r="K2"/>
      <c r="L2"/>
      <c r="M2"/>
      <c r="N2"/>
      <c r="O2"/>
      <c r="P2"/>
      <c r="Q2"/>
      <c r="R2"/>
      <c r="S2"/>
      <c r="T2"/>
      <c r="U2"/>
      <c r="V2"/>
      <c r="W2"/>
    </row>
    <row r="3" spans="1:23" ht="15.75" x14ac:dyDescent="0.3">
      <c r="J3"/>
      <c r="K3"/>
      <c r="L3"/>
      <c r="M3"/>
      <c r="N3"/>
      <c r="O3"/>
      <c r="P3"/>
      <c r="Q3"/>
      <c r="R3"/>
      <c r="S3"/>
      <c r="T3"/>
      <c r="U3"/>
      <c r="V3"/>
      <c r="W3"/>
    </row>
    <row r="4" spans="1:23" ht="15.75" x14ac:dyDescent="0.3">
      <c r="J4"/>
      <c r="K4"/>
      <c r="L4"/>
      <c r="M4"/>
      <c r="N4"/>
      <c r="O4"/>
      <c r="P4"/>
      <c r="Q4"/>
      <c r="R4"/>
      <c r="S4"/>
      <c r="T4"/>
      <c r="U4"/>
      <c r="V4"/>
      <c r="W4"/>
    </row>
    <row r="5" spans="1:23" ht="15.75" x14ac:dyDescent="0.3">
      <c r="A5" s="5"/>
      <c r="J5"/>
      <c r="K5"/>
      <c r="L5"/>
      <c r="M5"/>
      <c r="N5"/>
      <c r="O5"/>
      <c r="P5"/>
      <c r="Q5"/>
      <c r="R5"/>
      <c r="S5"/>
      <c r="T5"/>
      <c r="U5"/>
      <c r="V5"/>
      <c r="W5"/>
    </row>
    <row r="6" spans="1:23" ht="18.75" x14ac:dyDescent="0.3">
      <c r="A6" s="2" t="s">
        <v>1</v>
      </c>
      <c r="E6" s="5" t="s">
        <v>2</v>
      </c>
      <c r="F6" s="1" t="s">
        <v>3</v>
      </c>
      <c r="J6"/>
      <c r="K6"/>
      <c r="L6"/>
      <c r="M6"/>
      <c r="N6"/>
      <c r="O6"/>
      <c r="P6"/>
      <c r="Q6"/>
      <c r="R6"/>
      <c r="S6"/>
      <c r="T6"/>
      <c r="U6"/>
      <c r="V6"/>
      <c r="W6"/>
    </row>
    <row r="7" spans="1:23" ht="15.75" x14ac:dyDescent="0.3">
      <c r="J7"/>
      <c r="K7"/>
      <c r="L7"/>
      <c r="M7"/>
      <c r="N7"/>
      <c r="O7"/>
      <c r="P7"/>
      <c r="Q7"/>
      <c r="R7"/>
      <c r="S7"/>
      <c r="T7"/>
      <c r="U7"/>
      <c r="V7"/>
      <c r="W7"/>
    </row>
    <row r="8" spans="1:23" ht="15.75" x14ac:dyDescent="0.3">
      <c r="J8"/>
      <c r="K8"/>
      <c r="L8"/>
      <c r="M8"/>
      <c r="N8"/>
      <c r="O8"/>
      <c r="P8"/>
      <c r="Q8"/>
      <c r="R8"/>
      <c r="S8"/>
      <c r="T8"/>
      <c r="U8"/>
      <c r="V8"/>
      <c r="W8"/>
    </row>
    <row r="9" spans="1:23" s="5" customFormat="1" ht="15" x14ac:dyDescent="0.25">
      <c r="A9" s="5" t="s">
        <v>5</v>
      </c>
      <c r="C9" s="5" t="str">
        <f>+Desarrollo!B1</f>
        <v>12 de julio de 2017.</v>
      </c>
      <c r="H9" s="5" t="s">
        <v>6</v>
      </c>
      <c r="J9"/>
      <c r="K9"/>
      <c r="L9"/>
      <c r="M9"/>
      <c r="N9"/>
      <c r="O9"/>
      <c r="P9"/>
      <c r="Q9"/>
      <c r="R9"/>
      <c r="S9"/>
      <c r="T9"/>
      <c r="U9"/>
      <c r="V9"/>
      <c r="W9"/>
    </row>
    <row r="10" spans="1:23" ht="15.75" x14ac:dyDescent="0.3">
      <c r="J10"/>
      <c r="K10"/>
      <c r="L10"/>
      <c r="M10"/>
      <c r="N10"/>
      <c r="O10"/>
      <c r="P10"/>
      <c r="Q10"/>
      <c r="R10"/>
      <c r="S10"/>
      <c r="T10"/>
      <c r="U10"/>
      <c r="V10"/>
      <c r="W10"/>
    </row>
    <row r="11" spans="1:23" ht="16.5" thickBot="1" x14ac:dyDescent="0.35">
      <c r="A11" s="5" t="s">
        <v>7</v>
      </c>
      <c r="C11" s="1" t="str">
        <f>+'cartón caja'!C11</f>
        <v>Megadealer</v>
      </c>
      <c r="F11" s="5" t="s">
        <v>0</v>
      </c>
      <c r="J11"/>
      <c r="K11"/>
      <c r="L11"/>
      <c r="M11"/>
      <c r="N11"/>
      <c r="O11"/>
      <c r="P11"/>
      <c r="Q11"/>
      <c r="R11"/>
      <c r="S11"/>
      <c r="T11"/>
      <c r="U11"/>
      <c r="V11"/>
      <c r="W11"/>
    </row>
    <row r="12" spans="1:23" ht="15.75" x14ac:dyDescent="0.3">
      <c r="A12" s="5"/>
      <c r="F12" s="10"/>
      <c r="G12" s="11"/>
      <c r="H12" s="12"/>
      <c r="J12"/>
      <c r="K12"/>
      <c r="L12"/>
      <c r="M12"/>
      <c r="N12"/>
      <c r="O12"/>
      <c r="P12"/>
      <c r="Q12"/>
      <c r="R12"/>
      <c r="S12"/>
      <c r="T12"/>
      <c r="U12"/>
      <c r="V12"/>
      <c r="W12"/>
    </row>
    <row r="13" spans="1:23" ht="15.75" x14ac:dyDescent="0.3">
      <c r="A13" s="5" t="s">
        <v>8</v>
      </c>
      <c r="C13" s="1" t="str">
        <f>+'cartón caja'!C13</f>
        <v>KIA</v>
      </c>
      <c r="F13" s="6"/>
      <c r="G13" s="7"/>
      <c r="H13" s="8"/>
      <c r="J13"/>
      <c r="K13"/>
      <c r="L13"/>
      <c r="M13"/>
      <c r="N13"/>
      <c r="O13"/>
      <c r="P13"/>
      <c r="Q13"/>
      <c r="R13"/>
      <c r="S13"/>
      <c r="T13"/>
      <c r="U13"/>
      <c r="V13"/>
      <c r="W13"/>
    </row>
    <row r="14" spans="1:23" ht="15.75" x14ac:dyDescent="0.3">
      <c r="A14" s="5"/>
      <c r="F14" s="6"/>
      <c r="G14" s="7"/>
      <c r="H14" s="8"/>
      <c r="J14"/>
      <c r="K14"/>
      <c r="L14"/>
      <c r="M14"/>
      <c r="N14"/>
      <c r="O14"/>
      <c r="P14"/>
      <c r="Q14"/>
      <c r="R14"/>
      <c r="S14"/>
      <c r="T14"/>
      <c r="U14"/>
      <c r="V14"/>
      <c r="W14"/>
    </row>
    <row r="15" spans="1:23" ht="15.75" x14ac:dyDescent="0.3">
      <c r="A15" s="5" t="s">
        <v>9</v>
      </c>
      <c r="C15" s="18" t="s">
        <v>95</v>
      </c>
      <c r="D15" s="17"/>
      <c r="E15" s="17"/>
      <c r="F15" s="69" t="s">
        <v>79</v>
      </c>
      <c r="G15" s="7"/>
      <c r="H15" s="8"/>
      <c r="J15"/>
      <c r="K15"/>
      <c r="L15"/>
      <c r="M15"/>
      <c r="N15"/>
      <c r="O15"/>
      <c r="P15"/>
      <c r="Q15"/>
      <c r="R15"/>
      <c r="S15"/>
      <c r="T15"/>
      <c r="U15"/>
      <c r="V15"/>
      <c r="W15"/>
    </row>
    <row r="16" spans="1:23" ht="15.75" x14ac:dyDescent="0.3">
      <c r="C16" s="16" t="s">
        <v>177</v>
      </c>
      <c r="D16" s="17"/>
      <c r="E16" s="17"/>
      <c r="F16" s="45">
        <f>+Desarrollo!C83</f>
        <v>32.5</v>
      </c>
      <c r="G16" s="70" t="s">
        <v>73</v>
      </c>
      <c r="H16" s="71">
        <f>+Desarrollo!E83</f>
        <v>33</v>
      </c>
      <c r="J16"/>
      <c r="K16"/>
      <c r="L16"/>
      <c r="M16"/>
      <c r="N16"/>
      <c r="O16"/>
      <c r="P16"/>
      <c r="Q16"/>
      <c r="R16"/>
      <c r="S16"/>
      <c r="T16"/>
      <c r="U16"/>
      <c r="V16"/>
      <c r="W16"/>
    </row>
    <row r="17" spans="1:23" ht="15.75" x14ac:dyDescent="0.3">
      <c r="C17" s="16" t="s">
        <v>85</v>
      </c>
      <c r="D17" s="17"/>
      <c r="E17" s="17"/>
      <c r="F17" s="69">
        <v>1</v>
      </c>
      <c r="G17" s="72" t="s">
        <v>74</v>
      </c>
      <c r="H17" s="8"/>
      <c r="J17"/>
      <c r="K17"/>
      <c r="L17"/>
      <c r="M17"/>
      <c r="N17"/>
      <c r="O17"/>
      <c r="P17"/>
      <c r="Q17"/>
      <c r="R17"/>
      <c r="S17"/>
      <c r="T17"/>
      <c r="U17"/>
      <c r="V17"/>
      <c r="W17"/>
    </row>
    <row r="18" spans="1:23" ht="15.75" x14ac:dyDescent="0.3">
      <c r="C18" s="16"/>
      <c r="D18" s="17"/>
      <c r="E18" s="17"/>
      <c r="F18" s="69"/>
      <c r="G18" s="7"/>
      <c r="H18" s="8"/>
      <c r="J18"/>
      <c r="K18"/>
      <c r="L18"/>
      <c r="M18"/>
      <c r="N18"/>
      <c r="O18"/>
      <c r="P18"/>
      <c r="Q18"/>
      <c r="R18"/>
      <c r="S18"/>
      <c r="T18"/>
      <c r="U18"/>
      <c r="V18"/>
      <c r="W18"/>
    </row>
    <row r="19" spans="1:23" ht="15.75" x14ac:dyDescent="0.3">
      <c r="C19" s="19"/>
      <c r="D19" s="17"/>
      <c r="E19" s="17"/>
      <c r="F19" s="45">
        <f>+Desarrollo!C83</f>
        <v>32.5</v>
      </c>
      <c r="G19" s="70" t="s">
        <v>73</v>
      </c>
      <c r="H19" s="71">
        <f>+Desarrollo!E83</f>
        <v>33</v>
      </c>
      <c r="J19"/>
      <c r="K19"/>
      <c r="L19"/>
      <c r="M19"/>
      <c r="N19"/>
      <c r="O19"/>
      <c r="P19"/>
      <c r="Q19"/>
      <c r="R19"/>
      <c r="S19"/>
      <c r="T19"/>
      <c r="U19"/>
      <c r="V19"/>
      <c r="W19"/>
    </row>
    <row r="20" spans="1:23" ht="15.75" x14ac:dyDescent="0.3">
      <c r="C20" s="17"/>
      <c r="D20" s="17"/>
      <c r="E20" s="17"/>
      <c r="F20" s="69"/>
      <c r="G20" s="72"/>
      <c r="H20" s="8"/>
      <c r="J20"/>
      <c r="K20"/>
      <c r="L20"/>
      <c r="M20"/>
      <c r="N20"/>
      <c r="O20"/>
      <c r="P20"/>
      <c r="Q20"/>
      <c r="R20"/>
      <c r="S20"/>
      <c r="T20"/>
      <c r="U20"/>
      <c r="V20"/>
      <c r="W20"/>
    </row>
    <row r="21" spans="1:23" ht="15.75" x14ac:dyDescent="0.3">
      <c r="C21" s="17"/>
      <c r="D21" s="17"/>
      <c r="E21" s="17"/>
      <c r="F21" s="6"/>
      <c r="G21" s="7"/>
      <c r="H21" s="8"/>
      <c r="J21"/>
      <c r="K21"/>
      <c r="L21"/>
      <c r="M21"/>
      <c r="N21"/>
      <c r="O21"/>
      <c r="P21"/>
      <c r="Q21"/>
      <c r="R21"/>
      <c r="S21"/>
      <c r="T21"/>
      <c r="U21"/>
      <c r="V21"/>
      <c r="W21"/>
    </row>
    <row r="22" spans="1:23" ht="16.5" thickBot="1" x14ac:dyDescent="0.35">
      <c r="C22" s="17"/>
      <c r="D22" s="17"/>
      <c r="E22" s="17"/>
      <c r="F22" s="13"/>
      <c r="G22" s="14"/>
      <c r="H22" s="15"/>
      <c r="J22"/>
      <c r="K22"/>
      <c r="L22"/>
      <c r="M22"/>
      <c r="N22"/>
      <c r="O22"/>
      <c r="P22"/>
      <c r="Q22"/>
      <c r="R22"/>
      <c r="S22"/>
      <c r="T22"/>
      <c r="U22"/>
      <c r="V22"/>
      <c r="W22"/>
    </row>
    <row r="23" spans="1:23" ht="15.75" x14ac:dyDescent="0.3">
      <c r="A23" s="4" t="s">
        <v>11</v>
      </c>
      <c r="C23" s="20" t="s">
        <v>86</v>
      </c>
      <c r="D23" s="5" t="s">
        <v>12</v>
      </c>
      <c r="E23" s="21" t="s">
        <v>87</v>
      </c>
      <c r="F23" s="1" t="s">
        <v>100</v>
      </c>
      <c r="J23"/>
      <c r="K23"/>
      <c r="L23"/>
      <c r="M23"/>
      <c r="N23"/>
      <c r="O23"/>
      <c r="P23"/>
      <c r="Q23"/>
      <c r="R23"/>
      <c r="S23"/>
      <c r="T23"/>
      <c r="U23"/>
      <c r="V23"/>
      <c r="W23"/>
    </row>
    <row r="24" spans="1:23" ht="15.75" x14ac:dyDescent="0.3">
      <c r="J24"/>
      <c r="K24"/>
      <c r="L24"/>
      <c r="M24"/>
      <c r="N24"/>
      <c r="O24"/>
      <c r="P24"/>
      <c r="Q24"/>
      <c r="R24"/>
      <c r="S24"/>
      <c r="T24"/>
      <c r="U24"/>
      <c r="V24"/>
      <c r="W24"/>
    </row>
    <row r="25" spans="1:23" ht="15.75" x14ac:dyDescent="0.3">
      <c r="A25" s="4" t="s">
        <v>13</v>
      </c>
      <c r="C25" s="22">
        <v>90</v>
      </c>
      <c r="D25" s="21" t="s">
        <v>14</v>
      </c>
      <c r="E25" s="23">
        <v>130</v>
      </c>
      <c r="F25" s="24">
        <f>+C25</f>
        <v>90</v>
      </c>
      <c r="G25" s="25" t="s">
        <v>14</v>
      </c>
      <c r="H25" s="25">
        <f>+E25</f>
        <v>130</v>
      </c>
      <c r="J25"/>
      <c r="K25"/>
      <c r="L25"/>
      <c r="M25"/>
      <c r="N25"/>
      <c r="O25"/>
      <c r="P25"/>
      <c r="Q25"/>
      <c r="R25"/>
      <c r="S25"/>
      <c r="T25"/>
      <c r="U25"/>
      <c r="V25"/>
      <c r="W25"/>
    </row>
    <row r="26" spans="1:23" ht="15.75" x14ac:dyDescent="0.3">
      <c r="A26" s="4" t="s">
        <v>15</v>
      </c>
      <c r="B26" s="3"/>
      <c r="C26" s="26">
        <f>+F16</f>
        <v>32.5</v>
      </c>
      <c r="D26" s="27" t="s">
        <v>14</v>
      </c>
      <c r="E26" s="26">
        <f>+H16</f>
        <v>33</v>
      </c>
      <c r="F26" s="28">
        <f>+E26</f>
        <v>33</v>
      </c>
      <c r="G26" s="28" t="s">
        <v>14</v>
      </c>
      <c r="H26" s="28">
        <f>+C26</f>
        <v>32.5</v>
      </c>
      <c r="I26" s="29"/>
      <c r="J26"/>
      <c r="K26"/>
      <c r="L26"/>
      <c r="M26"/>
      <c r="N26"/>
      <c r="O26"/>
      <c r="P26"/>
      <c r="Q26"/>
      <c r="R26"/>
      <c r="S26"/>
      <c r="T26"/>
      <c r="U26"/>
      <c r="V26"/>
      <c r="W26"/>
    </row>
    <row r="27" spans="1:23" ht="16.5" thickBot="1" x14ac:dyDescent="0.35">
      <c r="A27" s="3" t="s">
        <v>16</v>
      </c>
      <c r="B27" s="30"/>
      <c r="C27" s="31">
        <f>+C25/C26</f>
        <v>2.7692307692307692</v>
      </c>
      <c r="D27" s="32"/>
      <c r="E27" s="31">
        <f>+E25/E26</f>
        <v>3.9393939393939394</v>
      </c>
      <c r="F27" s="31">
        <f>+F25/F26</f>
        <v>2.7272727272727271</v>
      </c>
      <c r="G27" s="32"/>
      <c r="H27" s="31">
        <f>+H25/H26</f>
        <v>4</v>
      </c>
      <c r="I27" s="29"/>
      <c r="J27"/>
      <c r="K27"/>
      <c r="L27"/>
      <c r="M27"/>
      <c r="N27"/>
      <c r="O27"/>
      <c r="P27"/>
      <c r="Q27"/>
      <c r="R27"/>
      <c r="S27"/>
      <c r="T27"/>
      <c r="U27"/>
      <c r="V27"/>
      <c r="W27"/>
    </row>
    <row r="28" spans="1:23" ht="16.5" thickBot="1" x14ac:dyDescent="0.35">
      <c r="A28" s="3" t="s">
        <v>17</v>
      </c>
      <c r="B28" s="33"/>
      <c r="C28" s="34"/>
      <c r="D28" s="35">
        <v>6</v>
      </c>
      <c r="E28" s="36"/>
      <c r="F28" s="37"/>
      <c r="G28" s="38">
        <v>8</v>
      </c>
      <c r="H28" s="39" t="s">
        <v>18</v>
      </c>
      <c r="J28"/>
      <c r="K28"/>
      <c r="L28"/>
      <c r="M28"/>
      <c r="N28"/>
      <c r="O28"/>
      <c r="P28"/>
      <c r="Q28"/>
      <c r="R28"/>
      <c r="S28"/>
      <c r="T28"/>
      <c r="U28"/>
      <c r="V28"/>
      <c r="W28"/>
    </row>
    <row r="29" spans="1:23" ht="15.75" x14ac:dyDescent="0.3">
      <c r="A29" s="3"/>
      <c r="B29" s="20"/>
      <c r="C29" s="29"/>
      <c r="G29" s="40"/>
      <c r="H29" s="29"/>
      <c r="J29"/>
      <c r="K29"/>
      <c r="L29"/>
      <c r="M29"/>
      <c r="N29"/>
      <c r="O29"/>
      <c r="P29"/>
      <c r="Q29"/>
      <c r="R29"/>
      <c r="S29"/>
      <c r="T29"/>
      <c r="U29"/>
      <c r="V29"/>
      <c r="W29"/>
    </row>
    <row r="30" spans="1:23" ht="15.75" x14ac:dyDescent="0.3">
      <c r="A30" s="24" t="s">
        <v>19</v>
      </c>
      <c r="B30" s="24" t="s">
        <v>80</v>
      </c>
      <c r="D30" s="40" t="s">
        <v>20</v>
      </c>
      <c r="E30" s="41">
        <f>+Desarrollo!F82</f>
        <v>41.072000000000003</v>
      </c>
      <c r="G30" s="1" t="s">
        <v>21</v>
      </c>
      <c r="H30" s="42">
        <v>0</v>
      </c>
      <c r="J30"/>
      <c r="K30"/>
      <c r="L30"/>
      <c r="M30"/>
      <c r="N30"/>
      <c r="O30"/>
      <c r="P30"/>
      <c r="Q30"/>
      <c r="R30"/>
      <c r="S30"/>
      <c r="T30"/>
      <c r="U30"/>
      <c r="V30"/>
      <c r="W30"/>
    </row>
    <row r="31" spans="1:23" ht="15.75" x14ac:dyDescent="0.3">
      <c r="A31" s="3"/>
      <c r="B31" s="3"/>
      <c r="C31" s="3"/>
      <c r="D31" s="43" t="s">
        <v>22</v>
      </c>
      <c r="E31" s="41">
        <f>+H30*E30</f>
        <v>0</v>
      </c>
      <c r="H31" s="42"/>
      <c r="I31" s="29"/>
      <c r="J31"/>
      <c r="K31"/>
      <c r="L31"/>
      <c r="M31"/>
      <c r="N31"/>
      <c r="O31"/>
      <c r="P31"/>
      <c r="Q31"/>
      <c r="R31"/>
      <c r="S31"/>
      <c r="T31"/>
      <c r="U31"/>
      <c r="V31"/>
      <c r="W31"/>
    </row>
    <row r="32" spans="1:23" ht="15.75" x14ac:dyDescent="0.3">
      <c r="D32" s="43" t="s">
        <v>23</v>
      </c>
      <c r="E32" s="44">
        <f>+E30-E31</f>
        <v>41.072000000000003</v>
      </c>
      <c r="I32" s="29"/>
      <c r="J32"/>
      <c r="K32"/>
      <c r="L32"/>
      <c r="M32"/>
      <c r="N32"/>
      <c r="O32"/>
      <c r="P32"/>
      <c r="Q32"/>
      <c r="R32"/>
      <c r="S32"/>
      <c r="T32"/>
      <c r="U32"/>
      <c r="V32"/>
      <c r="W32"/>
    </row>
    <row r="33" spans="1:23" ht="15.75" x14ac:dyDescent="0.3">
      <c r="E33" s="20" t="s">
        <v>25</v>
      </c>
      <c r="F33" s="20" t="s">
        <v>26</v>
      </c>
      <c r="G33" s="20" t="s">
        <v>26</v>
      </c>
      <c r="H33" s="20" t="s">
        <v>26</v>
      </c>
      <c r="I33" s="29"/>
      <c r="J33"/>
      <c r="K33"/>
      <c r="L33"/>
      <c r="M33"/>
      <c r="N33"/>
      <c r="O33"/>
      <c r="P33"/>
      <c r="Q33"/>
      <c r="R33"/>
      <c r="S33"/>
      <c r="T33"/>
      <c r="U33"/>
      <c r="V33"/>
      <c r="W33"/>
    </row>
    <row r="34" spans="1:23" ht="15.75" x14ac:dyDescent="0.3">
      <c r="D34" s="40" t="s">
        <v>27</v>
      </c>
      <c r="E34" s="46">
        <f>+E32</f>
        <v>41.072000000000003</v>
      </c>
      <c r="F34" s="46">
        <v>0</v>
      </c>
      <c r="G34" s="46">
        <v>0</v>
      </c>
      <c r="H34" s="46">
        <v>0</v>
      </c>
      <c r="J34"/>
      <c r="K34"/>
      <c r="L34"/>
      <c r="M34"/>
      <c r="N34"/>
      <c r="O34"/>
      <c r="P34"/>
      <c r="Q34"/>
      <c r="R34"/>
      <c r="S34"/>
      <c r="T34"/>
      <c r="U34"/>
      <c r="V34"/>
      <c r="W34"/>
    </row>
    <row r="35" spans="1:23" ht="15.75" x14ac:dyDescent="0.3">
      <c r="D35" s="40" t="s">
        <v>28</v>
      </c>
      <c r="E35" s="46">
        <f>+E34*1.15</f>
        <v>47.232799999999997</v>
      </c>
      <c r="F35" s="46">
        <v>0</v>
      </c>
      <c r="G35" s="46">
        <v>0</v>
      </c>
      <c r="H35" s="46">
        <v>0</v>
      </c>
      <c r="J35"/>
      <c r="K35"/>
      <c r="L35"/>
      <c r="M35"/>
      <c r="N35"/>
      <c r="O35"/>
      <c r="P35"/>
      <c r="Q35"/>
      <c r="R35"/>
      <c r="S35"/>
      <c r="T35"/>
      <c r="U35"/>
      <c r="V35"/>
      <c r="W35"/>
    </row>
    <row r="36" spans="1:23" ht="16.5" thickBot="1" x14ac:dyDescent="0.35">
      <c r="A36" s="3"/>
      <c r="G36" s="40"/>
      <c r="J36"/>
      <c r="K36"/>
      <c r="L36"/>
      <c r="M36"/>
      <c r="N36"/>
      <c r="O36"/>
      <c r="P36"/>
      <c r="Q36"/>
      <c r="R36"/>
      <c r="S36"/>
      <c r="T36"/>
      <c r="U36"/>
      <c r="V36"/>
      <c r="W36"/>
    </row>
    <row r="37" spans="1:23" ht="15.75" x14ac:dyDescent="0.3">
      <c r="A37" s="3"/>
      <c r="B37" s="20"/>
      <c r="C37" s="29"/>
      <c r="E37" s="10" t="s">
        <v>30</v>
      </c>
      <c r="F37" s="11" t="s">
        <v>31</v>
      </c>
      <c r="G37" s="11"/>
      <c r="H37" s="12"/>
      <c r="J37"/>
      <c r="K37"/>
      <c r="L37"/>
      <c r="M37"/>
      <c r="N37"/>
      <c r="O37"/>
      <c r="P37"/>
      <c r="Q37"/>
      <c r="R37"/>
      <c r="S37"/>
      <c r="T37"/>
      <c r="U37"/>
      <c r="V37"/>
      <c r="W37"/>
    </row>
    <row r="38" spans="1:23" ht="16.5" thickBot="1" x14ac:dyDescent="0.35">
      <c r="A38" s="4" t="s">
        <v>32</v>
      </c>
      <c r="C38" s="47">
        <v>8</v>
      </c>
      <c r="D38" s="48" t="s">
        <v>33</v>
      </c>
      <c r="E38" s="13"/>
      <c r="F38" s="14" t="s">
        <v>34</v>
      </c>
      <c r="G38" s="14"/>
      <c r="H38" s="15"/>
      <c r="J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ht="15.75" x14ac:dyDescent="0.3">
      <c r="A39" s="4"/>
      <c r="C39" s="20"/>
      <c r="D39" s="1" t="s">
        <v>35</v>
      </c>
      <c r="E39" s="3"/>
      <c r="F39" s="3"/>
      <c r="J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ht="15.75" x14ac:dyDescent="0.3">
      <c r="A40" s="4" t="s">
        <v>36</v>
      </c>
      <c r="B40" s="5"/>
      <c r="C40" s="49">
        <f>+B48/F17</f>
        <v>90</v>
      </c>
      <c r="D40" s="23">
        <f>+Desarrollo!D7</f>
        <v>25</v>
      </c>
      <c r="F40" s="43" t="s">
        <v>37</v>
      </c>
      <c r="G40" s="22">
        <v>1</v>
      </c>
      <c r="H40" s="3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ht="15.75" x14ac:dyDescent="0.3">
      <c r="A41" s="4" t="s">
        <v>38</v>
      </c>
      <c r="C41" s="33">
        <f>+C40+D40</f>
        <v>115</v>
      </c>
      <c r="F41" s="43" t="s">
        <v>39</v>
      </c>
      <c r="G41" s="22">
        <v>1</v>
      </c>
      <c r="H41" s="3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ht="15.75" x14ac:dyDescent="0.3">
      <c r="A42" s="4" t="s">
        <v>40</v>
      </c>
      <c r="C42" s="33">
        <f>+C41/C38</f>
        <v>14.375</v>
      </c>
      <c r="F42" s="43" t="s">
        <v>41</v>
      </c>
      <c r="G42" s="22"/>
      <c r="H42" s="3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ht="15.75" x14ac:dyDescent="0.3">
      <c r="A43" s="4"/>
      <c r="C43" s="20"/>
      <c r="F43" s="40" t="s">
        <v>42</v>
      </c>
      <c r="G43" s="22">
        <f>+C40/1000</f>
        <v>0.09</v>
      </c>
      <c r="H43" s="3"/>
      <c r="J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ht="15.75" x14ac:dyDescent="0.3">
      <c r="A44" s="4"/>
      <c r="C44" s="50"/>
      <c r="F44" s="43" t="s">
        <v>43</v>
      </c>
      <c r="G44" s="47">
        <f>+C41</f>
        <v>115</v>
      </c>
      <c r="H44" s="3"/>
      <c r="J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ht="15.75" x14ac:dyDescent="0.3">
      <c r="A45" s="4"/>
      <c r="C45" s="20"/>
      <c r="E45" s="43"/>
      <c r="F45" s="43"/>
      <c r="G45" s="29"/>
      <c r="I45" s="3"/>
      <c r="J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ht="15.75" x14ac:dyDescent="0.3">
      <c r="A46" s="4" t="s">
        <v>44</v>
      </c>
      <c r="C46" s="24">
        <f>+C42*C38</f>
        <v>115</v>
      </c>
      <c r="F46" s="43"/>
      <c r="G46" s="29"/>
      <c r="H46" s="3"/>
      <c r="J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ht="15.75" x14ac:dyDescent="0.3">
      <c r="A47" s="3"/>
      <c r="B47" s="3"/>
      <c r="C47" s="3"/>
      <c r="D47" s="3"/>
      <c r="E47" s="3"/>
      <c r="H47" s="3"/>
      <c r="J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ht="15.75" x14ac:dyDescent="0.3">
      <c r="A48" s="4" t="s">
        <v>68</v>
      </c>
      <c r="B48" s="20">
        <f>+'cartón caja'!B48</f>
        <v>90</v>
      </c>
      <c r="C48" s="3"/>
      <c r="D48" s="24" t="s">
        <v>45</v>
      </c>
      <c r="E48" s="24" t="s">
        <v>46</v>
      </c>
      <c r="F48" s="24" t="s">
        <v>47</v>
      </c>
      <c r="G48" s="24" t="s">
        <v>48</v>
      </c>
      <c r="H48" s="24" t="s">
        <v>49</v>
      </c>
      <c r="J48"/>
      <c r="K48"/>
      <c r="L48"/>
      <c r="M48"/>
      <c r="N48"/>
      <c r="O48"/>
      <c r="P48"/>
      <c r="Q48"/>
      <c r="R48"/>
      <c r="S48"/>
      <c r="T48"/>
      <c r="U48"/>
      <c r="V48"/>
      <c r="W48"/>
    </row>
    <row r="49" spans="1:23" ht="15.75" x14ac:dyDescent="0.3">
      <c r="A49" s="51" t="s">
        <v>50</v>
      </c>
      <c r="B49" s="52"/>
      <c r="C49" s="3"/>
      <c r="D49" s="20">
        <v>1</v>
      </c>
      <c r="E49" s="20">
        <v>0</v>
      </c>
      <c r="F49" s="20" t="s">
        <v>81</v>
      </c>
      <c r="G49" s="29">
        <v>7</v>
      </c>
      <c r="H49" s="29">
        <f>+(D49*E49)*G49</f>
        <v>0</v>
      </c>
      <c r="J49"/>
      <c r="K49"/>
      <c r="L49"/>
      <c r="M49"/>
      <c r="N49"/>
      <c r="O49"/>
      <c r="P49"/>
      <c r="Q49"/>
      <c r="R49"/>
      <c r="S49"/>
      <c r="T49"/>
      <c r="U49"/>
      <c r="V49"/>
      <c r="W49"/>
    </row>
    <row r="50" spans="1:23" ht="15.75" x14ac:dyDescent="0.3">
      <c r="A50" s="52" t="s">
        <v>52</v>
      </c>
      <c r="B50" s="53">
        <f>+E34*C42</f>
        <v>590.41000000000008</v>
      </c>
      <c r="C50" s="3"/>
      <c r="D50" s="20">
        <v>0</v>
      </c>
      <c r="E50" s="20">
        <v>0</v>
      </c>
      <c r="F50" s="20" t="s">
        <v>82</v>
      </c>
      <c r="G50" s="29">
        <v>250</v>
      </c>
      <c r="H50" s="29">
        <f>+(D50*E50)*G50</f>
        <v>0</v>
      </c>
      <c r="J50"/>
      <c r="K50"/>
      <c r="L50"/>
      <c r="M50"/>
      <c r="N50"/>
      <c r="O50"/>
      <c r="P50"/>
      <c r="Q50"/>
      <c r="R50"/>
      <c r="S50"/>
      <c r="T50"/>
      <c r="U50"/>
      <c r="V50"/>
      <c r="W50"/>
    </row>
    <row r="51" spans="1:23" ht="15.75" x14ac:dyDescent="0.3">
      <c r="A51" s="52" t="s">
        <v>10</v>
      </c>
      <c r="B51" s="53">
        <f>+H61</f>
        <v>390</v>
      </c>
      <c r="C51" s="3"/>
      <c r="D51" s="20">
        <v>0</v>
      </c>
      <c r="E51" s="20">
        <v>0</v>
      </c>
      <c r="F51" s="20" t="s">
        <v>75</v>
      </c>
      <c r="G51" s="29">
        <v>500</v>
      </c>
      <c r="H51" s="29">
        <f>+G51*E51*D51</f>
        <v>0</v>
      </c>
      <c r="J51"/>
      <c r="K51"/>
      <c r="L51"/>
      <c r="M51"/>
      <c r="N51"/>
      <c r="O51"/>
      <c r="P51"/>
      <c r="Q51"/>
      <c r="R51"/>
      <c r="S51"/>
      <c r="T51"/>
      <c r="U51"/>
      <c r="V51"/>
      <c r="W51"/>
    </row>
    <row r="52" spans="1:23" ht="16.5" x14ac:dyDescent="0.3">
      <c r="A52" s="52"/>
      <c r="B52" s="53"/>
      <c r="C52" s="3"/>
      <c r="D52" s="20">
        <v>1</v>
      </c>
      <c r="E52" s="20">
        <v>1</v>
      </c>
      <c r="F52" s="20" t="s">
        <v>93</v>
      </c>
      <c r="G52" s="29">
        <v>100</v>
      </c>
      <c r="H52" s="29">
        <f t="shared" ref="H52:H59" si="0">+G52*E52</f>
        <v>100</v>
      </c>
      <c r="I52" s="54"/>
      <c r="J52"/>
      <c r="K52"/>
      <c r="L52"/>
      <c r="M52"/>
      <c r="N52"/>
      <c r="O52"/>
      <c r="P52"/>
      <c r="Q52"/>
      <c r="R52"/>
      <c r="S52"/>
      <c r="T52"/>
      <c r="U52"/>
      <c r="V52"/>
      <c r="W52"/>
    </row>
    <row r="53" spans="1:23" ht="16.5" x14ac:dyDescent="0.3">
      <c r="A53" s="52" t="s">
        <v>24</v>
      </c>
      <c r="B53" s="53">
        <v>0</v>
      </c>
      <c r="C53" s="3"/>
      <c r="D53" s="20">
        <v>1</v>
      </c>
      <c r="E53" s="20">
        <v>1</v>
      </c>
      <c r="F53" s="20" t="s">
        <v>70</v>
      </c>
      <c r="G53" s="29">
        <v>145</v>
      </c>
      <c r="H53" s="29">
        <f t="shared" si="0"/>
        <v>145</v>
      </c>
      <c r="I53" s="54"/>
      <c r="J53"/>
      <c r="K53"/>
      <c r="L53"/>
      <c r="M53"/>
      <c r="N53"/>
      <c r="O53"/>
      <c r="P53"/>
      <c r="Q53"/>
      <c r="R53"/>
      <c r="S53"/>
      <c r="T53"/>
      <c r="U53"/>
      <c r="V53"/>
      <c r="W53"/>
    </row>
    <row r="54" spans="1:23" ht="15.75" x14ac:dyDescent="0.3">
      <c r="A54" s="55" t="s">
        <v>76</v>
      </c>
      <c r="B54" s="53">
        <v>0</v>
      </c>
      <c r="C54" s="3"/>
      <c r="D54" s="20">
        <v>1</v>
      </c>
      <c r="E54" s="20">
        <v>1</v>
      </c>
      <c r="F54" s="20" t="s">
        <v>71</v>
      </c>
      <c r="G54" s="29">
        <v>145</v>
      </c>
      <c r="H54" s="29">
        <f t="shared" si="0"/>
        <v>145</v>
      </c>
      <c r="J54"/>
      <c r="K54"/>
      <c r="L54"/>
      <c r="M54"/>
      <c r="N54"/>
      <c r="O54"/>
      <c r="P54"/>
      <c r="Q54"/>
      <c r="R54"/>
      <c r="S54"/>
      <c r="T54"/>
      <c r="U54"/>
      <c r="V54"/>
      <c r="W54"/>
    </row>
    <row r="55" spans="1:23" ht="15.75" x14ac:dyDescent="0.3">
      <c r="A55" s="55" t="s">
        <v>77</v>
      </c>
      <c r="B55" s="53">
        <v>0</v>
      </c>
      <c r="D55" s="20">
        <v>0</v>
      </c>
      <c r="E55" s="20">
        <v>0</v>
      </c>
      <c r="F55" s="20" t="s">
        <v>29</v>
      </c>
      <c r="G55" s="29">
        <v>1.5</v>
      </c>
      <c r="H55" s="29">
        <f t="shared" si="0"/>
        <v>0</v>
      </c>
      <c r="J55"/>
      <c r="K55"/>
      <c r="L55"/>
      <c r="M55"/>
      <c r="N55"/>
      <c r="O55"/>
      <c r="P55"/>
      <c r="Q55"/>
      <c r="R55"/>
      <c r="S55"/>
      <c r="T55"/>
      <c r="U55"/>
      <c r="V55"/>
      <c r="W55"/>
    </row>
    <row r="56" spans="1:23" ht="15.75" x14ac:dyDescent="0.3">
      <c r="A56" s="55" t="s">
        <v>78</v>
      </c>
      <c r="B56" s="53">
        <v>0</v>
      </c>
      <c r="D56" s="20">
        <v>1</v>
      </c>
      <c r="E56" s="20">
        <v>0</v>
      </c>
      <c r="F56" s="20" t="s">
        <v>53</v>
      </c>
      <c r="G56" s="29">
        <v>1.5</v>
      </c>
      <c r="H56" s="29">
        <f t="shared" si="0"/>
        <v>0</v>
      </c>
      <c r="J56"/>
      <c r="K56"/>
      <c r="L56"/>
      <c r="M56"/>
      <c r="N56"/>
      <c r="O56"/>
      <c r="P56"/>
      <c r="Q56"/>
      <c r="R56"/>
      <c r="S56"/>
      <c r="T56"/>
      <c r="U56"/>
      <c r="V56"/>
      <c r="W56"/>
    </row>
    <row r="57" spans="1:23" ht="15.75" x14ac:dyDescent="0.3">
      <c r="A57" s="55"/>
      <c r="B57" s="55"/>
      <c r="D57" s="20">
        <v>0</v>
      </c>
      <c r="E57" s="20">
        <v>0</v>
      </c>
      <c r="F57" s="20" t="s">
        <v>54</v>
      </c>
      <c r="G57" s="29">
        <v>1.5</v>
      </c>
      <c r="H57" s="29">
        <f t="shared" si="0"/>
        <v>0</v>
      </c>
      <c r="J57"/>
      <c r="K57"/>
      <c r="L57"/>
      <c r="M57"/>
      <c r="N57"/>
      <c r="O57"/>
      <c r="P57"/>
      <c r="Q57"/>
      <c r="R57"/>
      <c r="S57"/>
      <c r="T57"/>
      <c r="U57"/>
      <c r="V57"/>
      <c r="W57"/>
    </row>
    <row r="58" spans="1:23" ht="15.75" x14ac:dyDescent="0.3">
      <c r="A58" s="51" t="s">
        <v>55</v>
      </c>
      <c r="B58" s="56">
        <f>SUM(B50:B57)</f>
        <v>980.41000000000008</v>
      </c>
      <c r="C58" s="3"/>
      <c r="D58" s="20">
        <v>0</v>
      </c>
      <c r="E58" s="20">
        <v>0</v>
      </c>
      <c r="F58" s="3" t="s">
        <v>56</v>
      </c>
      <c r="G58" s="29">
        <v>600</v>
      </c>
      <c r="H58" s="29">
        <f t="shared" si="0"/>
        <v>0</v>
      </c>
      <c r="J58"/>
      <c r="K58"/>
      <c r="L58"/>
      <c r="M58"/>
      <c r="N58"/>
      <c r="O58"/>
      <c r="P58"/>
      <c r="Q58"/>
      <c r="R58"/>
      <c r="S58"/>
      <c r="T58"/>
      <c r="U58"/>
      <c r="V58"/>
      <c r="W58"/>
    </row>
    <row r="59" spans="1:23" ht="15.75" x14ac:dyDescent="0.3">
      <c r="A59" s="9"/>
      <c r="B59" s="57"/>
      <c r="C59" s="3"/>
      <c r="D59" s="20"/>
      <c r="E59" s="20"/>
      <c r="F59" s="3"/>
      <c r="G59" s="3"/>
      <c r="H59" s="29">
        <f t="shared" si="0"/>
        <v>0</v>
      </c>
      <c r="J59"/>
      <c r="K59"/>
      <c r="L59"/>
      <c r="M59"/>
      <c r="N59"/>
      <c r="O59"/>
      <c r="P59"/>
      <c r="Q59"/>
      <c r="R59"/>
      <c r="S59"/>
      <c r="T59"/>
      <c r="U59"/>
      <c r="V59"/>
      <c r="W59"/>
    </row>
    <row r="60" spans="1:23" ht="15.75" x14ac:dyDescent="0.3">
      <c r="A60" s="9"/>
      <c r="B60" s="31">
        <f>+B58/B48</f>
        <v>10.893444444444444</v>
      </c>
      <c r="C60" s="4" t="s">
        <v>57</v>
      </c>
      <c r="D60" s="3"/>
      <c r="E60" s="3"/>
      <c r="F60" s="3"/>
      <c r="G60" s="3"/>
      <c r="J60"/>
      <c r="K60"/>
      <c r="L60"/>
      <c r="M60"/>
      <c r="N60"/>
      <c r="O60"/>
      <c r="P60"/>
      <c r="Q60"/>
      <c r="R60"/>
      <c r="S60"/>
      <c r="T60"/>
      <c r="U60"/>
      <c r="V60"/>
      <c r="W60"/>
    </row>
    <row r="61" spans="1:23" ht="15.75" x14ac:dyDescent="0.3">
      <c r="A61" s="3"/>
      <c r="B61" s="3"/>
      <c r="D61" s="3"/>
      <c r="E61" s="3"/>
      <c r="F61" s="3"/>
      <c r="G61" s="58" t="s">
        <v>58</v>
      </c>
      <c r="H61" s="29">
        <f>SUM(H49:H60)</f>
        <v>390</v>
      </c>
      <c r="J61"/>
      <c r="K61"/>
      <c r="L61"/>
      <c r="M61"/>
      <c r="N61"/>
      <c r="O61"/>
      <c r="P61"/>
      <c r="Q61"/>
      <c r="R61"/>
      <c r="S61"/>
      <c r="T61"/>
      <c r="U61"/>
      <c r="V61"/>
      <c r="W61"/>
    </row>
    <row r="62" spans="1:23" ht="15.75" x14ac:dyDescent="0.3">
      <c r="D62" s="3"/>
      <c r="E62" s="3"/>
      <c r="G62" s="5" t="s">
        <v>59</v>
      </c>
      <c r="H62" s="73">
        <v>1.4</v>
      </c>
      <c r="J62"/>
      <c r="K62"/>
      <c r="L62"/>
      <c r="M62"/>
      <c r="N62"/>
      <c r="O62"/>
      <c r="P62"/>
      <c r="Q62"/>
      <c r="R62"/>
      <c r="S62"/>
      <c r="T62"/>
      <c r="U62"/>
      <c r="V62"/>
      <c r="W62"/>
    </row>
    <row r="63" spans="1:23" ht="15.75" x14ac:dyDescent="0.3">
      <c r="A63" s="4" t="s">
        <v>60</v>
      </c>
      <c r="B63" s="3"/>
      <c r="C63" s="3"/>
      <c r="E63" s="31">
        <f>+B72/C40</f>
        <v>13.610794444444446</v>
      </c>
      <c r="G63" s="1" t="s">
        <v>61</v>
      </c>
      <c r="H63" s="59">
        <v>1.75</v>
      </c>
      <c r="J63"/>
      <c r="K63"/>
      <c r="L63"/>
      <c r="M63"/>
      <c r="N63"/>
      <c r="O63"/>
      <c r="P63"/>
      <c r="Q63"/>
      <c r="R63"/>
      <c r="S63"/>
      <c r="T63"/>
      <c r="U63"/>
      <c r="V63"/>
      <c r="W63"/>
    </row>
    <row r="64" spans="1:23" ht="15.75" x14ac:dyDescent="0.3">
      <c r="A64" s="3"/>
      <c r="B64" s="4" t="s">
        <v>62</v>
      </c>
      <c r="C64" s="24" t="s">
        <v>63</v>
      </c>
      <c r="D64" s="3"/>
      <c r="E64" s="3"/>
      <c r="F64" s="3"/>
      <c r="G64" s="1" t="s">
        <v>61</v>
      </c>
      <c r="H64" s="59">
        <v>2</v>
      </c>
      <c r="J64"/>
      <c r="K64"/>
      <c r="L64"/>
      <c r="M64"/>
      <c r="N64"/>
      <c r="O64"/>
      <c r="P64"/>
      <c r="Q64"/>
      <c r="R64"/>
      <c r="S64"/>
      <c r="T64"/>
      <c r="U64"/>
      <c r="V64"/>
      <c r="W64"/>
    </row>
    <row r="65" spans="1:23" ht="15.75" x14ac:dyDescent="0.3">
      <c r="A65" s="51" t="s">
        <v>64</v>
      </c>
      <c r="B65" s="52"/>
      <c r="C65" s="3"/>
      <c r="D65" s="3">
        <f>+B72*C68</f>
        <v>0</v>
      </c>
      <c r="E65" s="3"/>
      <c r="F65" s="3"/>
      <c r="G65" s="5" t="s">
        <v>72</v>
      </c>
      <c r="H65" s="59">
        <v>2.5</v>
      </c>
      <c r="J65"/>
      <c r="K65"/>
      <c r="L65"/>
      <c r="M65"/>
      <c r="N65"/>
      <c r="O65"/>
      <c r="P65"/>
      <c r="Q65"/>
      <c r="R65"/>
      <c r="S65"/>
      <c r="T65"/>
      <c r="U65"/>
      <c r="V65"/>
      <c r="W65"/>
    </row>
    <row r="66" spans="1:23" ht="15.75" x14ac:dyDescent="0.3">
      <c r="A66" s="52" t="s">
        <v>52</v>
      </c>
      <c r="B66" s="53">
        <f>+E35*C42</f>
        <v>678.97149999999999</v>
      </c>
      <c r="C66" s="60"/>
      <c r="J66"/>
      <c r="K66"/>
      <c r="L66"/>
      <c r="M66"/>
      <c r="N66"/>
      <c r="O66"/>
      <c r="P66"/>
      <c r="Q66"/>
      <c r="R66"/>
      <c r="S66"/>
      <c r="T66"/>
      <c r="U66"/>
      <c r="V66"/>
      <c r="W66"/>
    </row>
    <row r="67" spans="1:23" ht="15.75" x14ac:dyDescent="0.3">
      <c r="A67" s="52" t="s">
        <v>10</v>
      </c>
      <c r="B67" s="53">
        <f>+H61*H62</f>
        <v>546</v>
      </c>
      <c r="C67" s="60"/>
      <c r="J67"/>
      <c r="K67"/>
      <c r="L67"/>
      <c r="M67"/>
      <c r="N67"/>
      <c r="O67"/>
      <c r="P67"/>
      <c r="Q67"/>
      <c r="R67"/>
      <c r="S67"/>
      <c r="T67"/>
      <c r="U67"/>
      <c r="V67"/>
      <c r="W67"/>
    </row>
    <row r="68" spans="1:23" ht="15.75" x14ac:dyDescent="0.3">
      <c r="A68" s="52" t="str">
        <f>+A54</f>
        <v>Placas</v>
      </c>
      <c r="B68" s="53">
        <f>+B54*H63</f>
        <v>0</v>
      </c>
      <c r="C68" s="60"/>
      <c r="J68"/>
      <c r="K68"/>
      <c r="L68"/>
      <c r="M68"/>
      <c r="N68"/>
      <c r="O68"/>
      <c r="P68"/>
      <c r="Q68"/>
      <c r="R68"/>
      <c r="S68"/>
      <c r="T68"/>
      <c r="U68"/>
      <c r="V68"/>
      <c r="W68"/>
    </row>
    <row r="69" spans="1:23" ht="15.75" x14ac:dyDescent="0.3">
      <c r="A69" s="52" t="str">
        <f>+A55</f>
        <v>Mensajeria</v>
      </c>
      <c r="B69" s="53">
        <f>+B55*H62</f>
        <v>0</v>
      </c>
      <c r="C69" s="60"/>
      <c r="F69" s="61" t="s">
        <v>65</v>
      </c>
      <c r="G69" s="31">
        <f>+B60</f>
        <v>10.893444444444444</v>
      </c>
      <c r="H69" s="62">
        <f>+G69*C46</f>
        <v>1252.7461111111111</v>
      </c>
      <c r="J69"/>
      <c r="K69"/>
      <c r="L69"/>
      <c r="M69"/>
      <c r="N69"/>
      <c r="O69"/>
      <c r="P69"/>
      <c r="Q69"/>
      <c r="R69"/>
      <c r="S69"/>
      <c r="T69"/>
      <c r="U69"/>
      <c r="V69"/>
      <c r="W69"/>
    </row>
    <row r="70" spans="1:23" ht="15.75" x14ac:dyDescent="0.3">
      <c r="A70" s="52" t="str">
        <f>+A56</f>
        <v>Listón</v>
      </c>
      <c r="B70" s="53">
        <f>+B56*H63</f>
        <v>0</v>
      </c>
      <c r="C70" s="63"/>
      <c r="F70" s="61" t="s">
        <v>66</v>
      </c>
      <c r="G70" s="31">
        <f>+C72</f>
        <v>13.610794444444446</v>
      </c>
      <c r="H70" s="62">
        <f>+G70*C46</f>
        <v>1565.2413611111112</v>
      </c>
      <c r="J70"/>
      <c r="K70"/>
      <c r="L70"/>
      <c r="M70"/>
      <c r="N70"/>
      <c r="O70"/>
      <c r="P70"/>
      <c r="Q70"/>
      <c r="R70"/>
      <c r="S70"/>
      <c r="T70"/>
      <c r="U70"/>
      <c r="V70"/>
      <c r="W70"/>
    </row>
    <row r="71" spans="1:23" ht="15.75" x14ac:dyDescent="0.3">
      <c r="A71" s="52"/>
      <c r="B71" s="53"/>
      <c r="C71" s="63"/>
      <c r="F71" s="64" t="s">
        <v>67</v>
      </c>
      <c r="G71" s="65">
        <f>+G70-G69</f>
        <v>2.7173500000000015</v>
      </c>
      <c r="H71" s="62">
        <f>+G71*C46</f>
        <v>312.49525000000017</v>
      </c>
      <c r="J71"/>
      <c r="K71"/>
      <c r="L71"/>
      <c r="M71"/>
      <c r="N71"/>
      <c r="O71"/>
      <c r="P71"/>
      <c r="Q71"/>
      <c r="R71"/>
      <c r="S71"/>
      <c r="T71"/>
      <c r="U71"/>
      <c r="V71"/>
      <c r="W71"/>
    </row>
    <row r="72" spans="1:23" ht="15.75" x14ac:dyDescent="0.3">
      <c r="A72" s="51" t="s">
        <v>55</v>
      </c>
      <c r="B72" s="56">
        <f>SUM(B65:B71)</f>
        <v>1224.9715000000001</v>
      </c>
      <c r="C72" s="65">
        <f>+B72/B48</f>
        <v>13.610794444444446</v>
      </c>
      <c r="D72" s="5" t="s">
        <v>102</v>
      </c>
      <c r="J72"/>
      <c r="K72"/>
      <c r="L72"/>
      <c r="M72"/>
      <c r="N72"/>
      <c r="O72"/>
      <c r="P72"/>
      <c r="Q72"/>
      <c r="R72"/>
      <c r="S72"/>
      <c r="T72"/>
      <c r="U72"/>
      <c r="V72"/>
      <c r="W72"/>
    </row>
    <row r="73" spans="1:23" ht="15.75" x14ac:dyDescent="0.3">
      <c r="J73"/>
      <c r="K73"/>
      <c r="L73"/>
      <c r="M73"/>
      <c r="N73"/>
      <c r="O73"/>
      <c r="P73"/>
      <c r="Q73"/>
      <c r="R73"/>
      <c r="S73"/>
      <c r="T73"/>
      <c r="U73"/>
      <c r="V73"/>
      <c r="W73"/>
    </row>
    <row r="74" spans="1:23" ht="15.75" x14ac:dyDescent="0.3">
      <c r="J74"/>
      <c r="K74"/>
      <c r="L74"/>
      <c r="M74"/>
      <c r="N74"/>
      <c r="O74"/>
      <c r="P74"/>
      <c r="Q74"/>
      <c r="R74"/>
      <c r="S74"/>
      <c r="T74"/>
      <c r="U74"/>
      <c r="V74"/>
      <c r="W74"/>
    </row>
    <row r="75" spans="1:23" ht="15.75" x14ac:dyDescent="0.3">
      <c r="A75" s="5"/>
      <c r="J75"/>
      <c r="K75"/>
      <c r="L75"/>
      <c r="M75"/>
      <c r="N75"/>
      <c r="O75"/>
      <c r="P75"/>
      <c r="Q75"/>
      <c r="R75"/>
      <c r="S75"/>
      <c r="T75"/>
      <c r="U75"/>
      <c r="V75"/>
      <c r="W75"/>
    </row>
    <row r="76" spans="1:23" ht="15.75" x14ac:dyDescent="0.3">
      <c r="B76" s="66"/>
      <c r="C76" s="67"/>
      <c r="J76"/>
      <c r="K76"/>
      <c r="L76"/>
      <c r="M76"/>
      <c r="N76"/>
      <c r="O76"/>
      <c r="P76"/>
      <c r="Q76"/>
      <c r="R76"/>
      <c r="S76"/>
      <c r="T76"/>
      <c r="U76"/>
      <c r="V76"/>
      <c r="W76"/>
    </row>
    <row r="77" spans="1:23" ht="15.75" x14ac:dyDescent="0.3">
      <c r="J77"/>
      <c r="K77"/>
      <c r="L77"/>
      <c r="M77"/>
      <c r="N77"/>
      <c r="O77"/>
      <c r="P77"/>
      <c r="Q77"/>
      <c r="R77"/>
      <c r="S77"/>
      <c r="T77"/>
      <c r="U77"/>
      <c r="V77"/>
      <c r="W77"/>
    </row>
    <row r="78" spans="1:23" ht="15.75" x14ac:dyDescent="0.3">
      <c r="J78"/>
      <c r="K78"/>
      <c r="L78"/>
      <c r="M78"/>
      <c r="N78"/>
      <c r="O78"/>
      <c r="P78"/>
      <c r="Q78"/>
      <c r="R78"/>
      <c r="S78"/>
      <c r="T78"/>
      <c r="U78"/>
      <c r="V78"/>
      <c r="W78"/>
    </row>
    <row r="79" spans="1:23" ht="15.75" x14ac:dyDescent="0.3">
      <c r="J79"/>
      <c r="K79"/>
      <c r="L79"/>
      <c r="M79"/>
      <c r="N79"/>
      <c r="O79"/>
      <c r="P79"/>
      <c r="Q79"/>
      <c r="R79"/>
      <c r="S79"/>
      <c r="T79"/>
      <c r="U79"/>
      <c r="V79"/>
      <c r="W79"/>
    </row>
    <row r="80" spans="1:23" ht="15.75" x14ac:dyDescent="0.3">
      <c r="J80"/>
      <c r="K80"/>
      <c r="L80"/>
      <c r="M80"/>
      <c r="N80"/>
      <c r="O80"/>
      <c r="P80"/>
      <c r="Q80"/>
      <c r="R80"/>
      <c r="S80"/>
      <c r="T80"/>
      <c r="U80"/>
      <c r="V80"/>
      <c r="W80"/>
    </row>
    <row r="86" spans="10:18" ht="16.5" x14ac:dyDescent="0.3">
      <c r="J86" s="54"/>
      <c r="K86" s="54"/>
      <c r="L86" s="54"/>
      <c r="M86" s="54"/>
      <c r="N86" s="54"/>
      <c r="O86" s="54"/>
      <c r="P86" s="54"/>
      <c r="Q86" s="54"/>
      <c r="R86" s="54"/>
    </row>
    <row r="87" spans="10:18" ht="16.5" x14ac:dyDescent="0.3">
      <c r="J87" s="54"/>
      <c r="K87" s="54"/>
      <c r="L87" s="54"/>
      <c r="M87" s="54"/>
      <c r="N87" s="54"/>
      <c r="O87" s="54"/>
      <c r="P87" s="54"/>
      <c r="Q87" s="54"/>
      <c r="R87" s="54"/>
    </row>
    <row r="88" spans="10:18" ht="16.5" x14ac:dyDescent="0.3">
      <c r="J88" s="54"/>
      <c r="K88" s="54"/>
      <c r="L88" s="54"/>
      <c r="M88" s="54"/>
      <c r="N88" s="54"/>
      <c r="O88" s="54"/>
      <c r="P88" s="54"/>
      <c r="Q88" s="54"/>
      <c r="R88" s="54"/>
    </row>
    <row r="89" spans="10:18" ht="16.5" x14ac:dyDescent="0.3">
      <c r="J89" s="54"/>
      <c r="K89" s="54"/>
      <c r="L89" s="54"/>
      <c r="M89" s="54"/>
      <c r="N89" s="54"/>
      <c r="O89" s="54"/>
      <c r="P89" s="54"/>
      <c r="Q89" s="54"/>
      <c r="R89" s="54"/>
    </row>
    <row r="90" spans="10:18" ht="16.5" x14ac:dyDescent="0.3">
      <c r="J90" s="54"/>
      <c r="K90" s="54"/>
      <c r="L90" s="54"/>
      <c r="M90" s="54"/>
      <c r="N90" s="54"/>
      <c r="O90" s="54"/>
      <c r="P90" s="54"/>
      <c r="Q90" s="54"/>
      <c r="R90" s="54"/>
    </row>
    <row r="91" spans="10:18" ht="16.5" x14ac:dyDescent="0.3">
      <c r="J91" s="54"/>
      <c r="K91" s="54"/>
      <c r="L91" s="54"/>
      <c r="M91" s="54"/>
      <c r="N91" s="54"/>
      <c r="O91" s="54"/>
      <c r="P91" s="54"/>
      <c r="Q91" s="54"/>
      <c r="R91" s="54"/>
    </row>
    <row r="92" spans="10:18" ht="16.5" x14ac:dyDescent="0.3">
      <c r="J92" s="54"/>
      <c r="K92" s="54"/>
      <c r="L92" s="54"/>
      <c r="M92" s="54"/>
      <c r="N92" s="54"/>
      <c r="O92" s="54"/>
      <c r="P92" s="54"/>
      <c r="Q92" s="54"/>
      <c r="R92" s="54"/>
    </row>
    <row r="93" spans="10:18" ht="16.5" x14ac:dyDescent="0.3">
      <c r="J93" s="54"/>
      <c r="K93" s="54"/>
      <c r="L93" s="54"/>
      <c r="M93" s="54"/>
      <c r="N93" s="54"/>
      <c r="O93" s="54"/>
      <c r="P93" s="54"/>
      <c r="Q93" s="54"/>
      <c r="R93" s="54"/>
    </row>
    <row r="94" spans="10:18" ht="16.5" x14ac:dyDescent="0.3">
      <c r="J94" s="54"/>
      <c r="K94" s="54"/>
      <c r="L94" s="54"/>
      <c r="M94" s="54"/>
      <c r="N94" s="54"/>
      <c r="O94" s="54"/>
      <c r="P94" s="54"/>
      <c r="Q94" s="54"/>
      <c r="R94" s="54"/>
    </row>
    <row r="95" spans="10:18" ht="16.5" x14ac:dyDescent="0.3">
      <c r="J95" s="54"/>
      <c r="K95" s="54"/>
      <c r="L95" s="54"/>
      <c r="M95" s="54"/>
      <c r="N95" s="54"/>
      <c r="O95" s="54"/>
      <c r="P95" s="54"/>
      <c r="Q95" s="54"/>
      <c r="R95" s="54"/>
    </row>
  </sheetData>
  <pageMargins left="0.70866141732283472" right="0.70866141732283472" top="0.74803149606299213" bottom="0.74803149606299213" header="0.31496062992125984" footer="0.31496062992125984"/>
  <pageSetup scale="45" orientation="landscape" r:id="rId1"/>
  <headerFooter>
    <oddFooter>&amp;A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95"/>
  <sheetViews>
    <sheetView zoomScale="80" zoomScaleNormal="80" workbookViewId="0">
      <selection activeCell="C15" sqref="C15"/>
    </sheetView>
  </sheetViews>
  <sheetFormatPr baseColWidth="10" defaultRowHeight="14.25" x14ac:dyDescent="0.3"/>
  <cols>
    <col min="1" max="1" width="11.42578125" style="1"/>
    <col min="2" max="2" width="13.42578125" style="1" bestFit="1" customWidth="1"/>
    <col min="3" max="3" width="11.5703125" style="1" bestFit="1" customWidth="1"/>
    <col min="4" max="4" width="9.7109375" style="1" customWidth="1"/>
    <col min="5" max="5" width="14.28515625" style="1" customWidth="1"/>
    <col min="6" max="6" width="14.42578125" style="1" customWidth="1"/>
    <col min="7" max="7" width="13.42578125" style="1" customWidth="1"/>
    <col min="8" max="8" width="12" style="1" customWidth="1"/>
    <col min="9" max="9" width="12.42578125" style="1" customWidth="1"/>
    <col min="10" max="10" width="11.42578125" style="1"/>
    <col min="11" max="11" width="15.85546875" style="1" customWidth="1"/>
    <col min="12" max="12" width="11.42578125" style="1"/>
    <col min="13" max="13" width="14.140625" style="1" customWidth="1"/>
    <col min="14" max="16384" width="11.42578125" style="1"/>
  </cols>
  <sheetData>
    <row r="1" spans="1:21" ht="15.75" x14ac:dyDescent="0.3">
      <c r="J1"/>
      <c r="K1"/>
      <c r="L1"/>
      <c r="M1"/>
      <c r="N1"/>
      <c r="O1"/>
      <c r="P1"/>
      <c r="Q1"/>
      <c r="R1"/>
      <c r="S1"/>
    </row>
    <row r="2" spans="1:21" ht="15.75" x14ac:dyDescent="0.3">
      <c r="J2"/>
      <c r="K2"/>
      <c r="L2"/>
      <c r="M2"/>
      <c r="N2"/>
      <c r="O2"/>
      <c r="P2"/>
      <c r="Q2"/>
      <c r="R2"/>
      <c r="S2"/>
    </row>
    <row r="3" spans="1:21" ht="15.75" x14ac:dyDescent="0.3">
      <c r="J3"/>
      <c r="K3"/>
      <c r="L3"/>
      <c r="M3"/>
      <c r="N3"/>
      <c r="O3"/>
      <c r="P3"/>
      <c r="Q3"/>
      <c r="R3"/>
      <c r="S3"/>
      <c r="T3" s="3"/>
      <c r="U3" s="3"/>
    </row>
    <row r="4" spans="1:21" ht="15.75" x14ac:dyDescent="0.3">
      <c r="J4"/>
      <c r="K4"/>
      <c r="L4"/>
      <c r="M4"/>
      <c r="N4"/>
      <c r="O4"/>
      <c r="P4"/>
      <c r="Q4"/>
      <c r="R4"/>
      <c r="S4"/>
    </row>
    <row r="5" spans="1:21" ht="15.75" x14ac:dyDescent="0.3">
      <c r="A5" s="5"/>
      <c r="J5"/>
      <c r="K5"/>
      <c r="L5"/>
      <c r="M5"/>
      <c r="N5"/>
      <c r="O5"/>
      <c r="P5"/>
      <c r="Q5"/>
      <c r="R5"/>
      <c r="S5"/>
    </row>
    <row r="6" spans="1:21" ht="18.75" x14ac:dyDescent="0.3">
      <c r="A6" s="2" t="s">
        <v>1</v>
      </c>
      <c r="E6" s="5" t="s">
        <v>2</v>
      </c>
      <c r="F6" s="1" t="s">
        <v>3</v>
      </c>
      <c r="J6"/>
      <c r="K6"/>
      <c r="L6"/>
      <c r="M6"/>
      <c r="N6"/>
      <c r="O6"/>
      <c r="P6"/>
      <c r="Q6"/>
      <c r="R6"/>
      <c r="S6"/>
    </row>
    <row r="7" spans="1:21" ht="15.75" x14ac:dyDescent="0.3">
      <c r="J7"/>
      <c r="K7"/>
      <c r="L7"/>
      <c r="M7"/>
      <c r="N7"/>
      <c r="O7"/>
      <c r="P7"/>
      <c r="Q7"/>
      <c r="R7"/>
      <c r="S7"/>
    </row>
    <row r="8" spans="1:21" ht="15.75" x14ac:dyDescent="0.3">
      <c r="J8"/>
      <c r="K8"/>
      <c r="L8"/>
      <c r="M8"/>
      <c r="N8"/>
      <c r="O8"/>
      <c r="P8"/>
      <c r="Q8"/>
      <c r="R8"/>
      <c r="S8"/>
    </row>
    <row r="9" spans="1:21" s="5" customFormat="1" ht="15.75" x14ac:dyDescent="0.3">
      <c r="A9" s="5" t="s">
        <v>5</v>
      </c>
      <c r="C9" s="5" t="str">
        <f>+Desarrollo!B1</f>
        <v>12 de julio de 2017.</v>
      </c>
      <c r="H9" s="5" t="s">
        <v>6</v>
      </c>
      <c r="J9"/>
      <c r="K9"/>
      <c r="L9"/>
      <c r="M9"/>
      <c r="N9"/>
      <c r="O9"/>
      <c r="P9"/>
      <c r="Q9"/>
      <c r="R9"/>
      <c r="S9"/>
      <c r="T9" s="1"/>
      <c r="U9" s="1"/>
    </row>
    <row r="10" spans="1:21" ht="15.75" x14ac:dyDescent="0.3">
      <c r="J10"/>
      <c r="K10"/>
      <c r="L10"/>
      <c r="M10"/>
      <c r="N10"/>
      <c r="O10"/>
      <c r="P10"/>
      <c r="Q10"/>
      <c r="R10"/>
      <c r="S10"/>
    </row>
    <row r="11" spans="1:21" ht="16.5" thickBot="1" x14ac:dyDescent="0.35">
      <c r="A11" s="5" t="s">
        <v>7</v>
      </c>
      <c r="C11" s="1" t="str">
        <f>+Desarrollo!B3</f>
        <v>Megadealer</v>
      </c>
      <c r="F11" s="5" t="s">
        <v>0</v>
      </c>
      <c r="J11"/>
      <c r="K11"/>
      <c r="L11"/>
      <c r="M11"/>
      <c r="N11"/>
      <c r="O11"/>
      <c r="P11"/>
      <c r="Q11"/>
      <c r="R11"/>
      <c r="S11"/>
    </row>
    <row r="12" spans="1:21" ht="15.75" x14ac:dyDescent="0.3">
      <c r="A12" s="5"/>
      <c r="F12" s="10"/>
      <c r="G12" s="11"/>
      <c r="H12" s="12"/>
      <c r="J12"/>
      <c r="K12"/>
      <c r="L12"/>
      <c r="M12"/>
      <c r="N12"/>
      <c r="O12"/>
      <c r="P12"/>
      <c r="Q12"/>
      <c r="R12"/>
      <c r="S12"/>
    </row>
    <row r="13" spans="1:21" ht="15.75" x14ac:dyDescent="0.3">
      <c r="A13" s="5" t="s">
        <v>8</v>
      </c>
      <c r="C13" s="1" t="str">
        <f>+Desarrollo!B4</f>
        <v>KIA</v>
      </c>
      <c r="F13" s="6"/>
      <c r="G13" s="7"/>
      <c r="H13" s="8"/>
      <c r="J13"/>
      <c r="K13"/>
      <c r="L13"/>
      <c r="M13"/>
      <c r="N13"/>
      <c r="O13"/>
      <c r="P13"/>
      <c r="Q13"/>
      <c r="R13"/>
      <c r="S13"/>
    </row>
    <row r="14" spans="1:21" ht="15.75" x14ac:dyDescent="0.3">
      <c r="A14" s="5"/>
      <c r="F14" s="6"/>
      <c r="G14" s="7"/>
      <c r="H14" s="8"/>
      <c r="J14"/>
      <c r="K14"/>
      <c r="L14"/>
      <c r="M14"/>
      <c r="N14"/>
      <c r="O14"/>
      <c r="P14"/>
      <c r="Q14"/>
      <c r="R14"/>
      <c r="S14"/>
    </row>
    <row r="15" spans="1:21" ht="15.75" x14ac:dyDescent="0.3">
      <c r="A15" s="5" t="s">
        <v>9</v>
      </c>
      <c r="C15" s="18" t="s">
        <v>91</v>
      </c>
      <c r="D15" s="17"/>
      <c r="E15" s="17"/>
      <c r="F15" s="69" t="s">
        <v>4</v>
      </c>
      <c r="G15" s="7"/>
      <c r="H15" s="8"/>
      <c r="J15"/>
      <c r="K15"/>
      <c r="L15"/>
      <c r="M15"/>
      <c r="N15"/>
      <c r="O15"/>
      <c r="P15"/>
      <c r="Q15"/>
      <c r="R15"/>
      <c r="S15"/>
    </row>
    <row r="16" spans="1:21" ht="15.75" x14ac:dyDescent="0.3">
      <c r="C16" s="16" t="s">
        <v>178</v>
      </c>
      <c r="D16" s="17"/>
      <c r="E16" s="17"/>
      <c r="F16" s="45">
        <f>+Desarrollo!C37</f>
        <v>42.5</v>
      </c>
      <c r="G16" s="70" t="s">
        <v>73</v>
      </c>
      <c r="H16" s="71">
        <f>+Desarrollo!E37</f>
        <v>34.5</v>
      </c>
      <c r="J16"/>
      <c r="K16"/>
      <c r="L16"/>
      <c r="M16"/>
      <c r="N16"/>
      <c r="O16"/>
      <c r="P16"/>
      <c r="Q16"/>
      <c r="R16"/>
      <c r="S16"/>
    </row>
    <row r="17" spans="1:19" ht="15.75" x14ac:dyDescent="0.3">
      <c r="C17" s="16" t="s">
        <v>85</v>
      </c>
      <c r="D17" s="17"/>
      <c r="E17" s="17"/>
      <c r="F17" s="69">
        <v>1</v>
      </c>
      <c r="G17" s="72" t="s">
        <v>74</v>
      </c>
      <c r="H17" s="8"/>
      <c r="J17"/>
      <c r="K17"/>
      <c r="L17"/>
      <c r="M17"/>
      <c r="N17"/>
      <c r="O17"/>
      <c r="P17"/>
      <c r="Q17"/>
      <c r="R17"/>
      <c r="S17"/>
    </row>
    <row r="18" spans="1:19" ht="15.75" x14ac:dyDescent="0.3">
      <c r="C18" s="16" t="s">
        <v>179</v>
      </c>
      <c r="D18" s="17"/>
      <c r="E18" s="17"/>
      <c r="F18" s="6"/>
      <c r="G18" s="7"/>
      <c r="H18" s="8"/>
      <c r="J18"/>
      <c r="K18"/>
      <c r="L18"/>
      <c r="M18"/>
      <c r="N18"/>
      <c r="O18"/>
      <c r="P18"/>
      <c r="Q18"/>
      <c r="R18"/>
      <c r="S18"/>
    </row>
    <row r="19" spans="1:19" ht="15.75" x14ac:dyDescent="0.3">
      <c r="C19" s="16" t="s">
        <v>180</v>
      </c>
      <c r="D19" s="17"/>
      <c r="E19" s="17"/>
      <c r="F19" s="6"/>
      <c r="G19" s="7"/>
      <c r="H19" s="8"/>
      <c r="J19"/>
      <c r="K19"/>
      <c r="L19"/>
      <c r="M19"/>
      <c r="N19"/>
      <c r="O19"/>
      <c r="P19"/>
      <c r="Q19"/>
      <c r="R19"/>
      <c r="S19"/>
    </row>
    <row r="20" spans="1:19" ht="15.75" x14ac:dyDescent="0.3">
      <c r="C20" s="19" t="s">
        <v>181</v>
      </c>
      <c r="D20" s="17"/>
      <c r="E20" s="17"/>
      <c r="F20" s="45">
        <f>+Desarrollo!C34</f>
        <v>40.5</v>
      </c>
      <c r="G20" s="70" t="s">
        <v>73</v>
      </c>
      <c r="H20" s="71">
        <f>+Desarrollo!E34</f>
        <v>32.5</v>
      </c>
      <c r="J20"/>
      <c r="K20"/>
      <c r="L20"/>
      <c r="M20"/>
      <c r="N20"/>
      <c r="O20"/>
      <c r="P20"/>
      <c r="Q20"/>
      <c r="R20"/>
      <c r="S20"/>
    </row>
    <row r="21" spans="1:19" ht="15.75" x14ac:dyDescent="0.3">
      <c r="C21" s="17" t="s">
        <v>92</v>
      </c>
      <c r="D21" s="17"/>
      <c r="E21" s="17"/>
      <c r="F21" s="45"/>
      <c r="G21" s="70"/>
      <c r="H21" s="71"/>
      <c r="J21"/>
      <c r="K21"/>
      <c r="L21"/>
      <c r="M21"/>
      <c r="N21"/>
      <c r="O21"/>
      <c r="P21"/>
      <c r="Q21"/>
      <c r="R21"/>
      <c r="S21"/>
    </row>
    <row r="22" spans="1:19" ht="16.5" thickBot="1" x14ac:dyDescent="0.35">
      <c r="C22" s="17"/>
      <c r="D22" s="17"/>
      <c r="E22" s="17"/>
      <c r="F22" s="13"/>
      <c r="G22" s="14"/>
      <c r="H22" s="15"/>
      <c r="J22"/>
      <c r="K22"/>
      <c r="L22"/>
      <c r="M22"/>
      <c r="N22"/>
      <c r="O22"/>
      <c r="P22"/>
      <c r="Q22"/>
      <c r="R22"/>
      <c r="S22"/>
    </row>
    <row r="23" spans="1:19" ht="15.75" x14ac:dyDescent="0.3">
      <c r="A23" s="4" t="s">
        <v>11</v>
      </c>
      <c r="C23" s="77" t="str">
        <f>+Desarrollo!A36</f>
        <v>Rainbow Blanco</v>
      </c>
      <c r="E23" s="5" t="s">
        <v>12</v>
      </c>
      <c r="J23"/>
      <c r="K23"/>
      <c r="L23"/>
      <c r="M23"/>
      <c r="N23"/>
      <c r="O23"/>
      <c r="P23"/>
      <c r="Q23"/>
      <c r="R23"/>
      <c r="S23"/>
    </row>
    <row r="24" spans="1:19" ht="15.75" x14ac:dyDescent="0.3">
      <c r="J24"/>
      <c r="K24"/>
      <c r="L24"/>
      <c r="M24"/>
      <c r="N24"/>
      <c r="O24"/>
      <c r="P24"/>
      <c r="Q24"/>
      <c r="R24"/>
      <c r="S24"/>
    </row>
    <row r="25" spans="1:19" ht="15.75" x14ac:dyDescent="0.3">
      <c r="A25" s="4" t="s">
        <v>13</v>
      </c>
      <c r="C25" s="22">
        <f>+Desarrollo!C36</f>
        <v>100</v>
      </c>
      <c r="D25" s="21" t="s">
        <v>14</v>
      </c>
      <c r="E25" s="23">
        <f>+Desarrollo!E36</f>
        <v>130</v>
      </c>
      <c r="F25" s="24">
        <f>+C25</f>
        <v>100</v>
      </c>
      <c r="G25" s="25" t="s">
        <v>14</v>
      </c>
      <c r="H25" s="25">
        <f>+E25</f>
        <v>130</v>
      </c>
      <c r="J25"/>
      <c r="K25"/>
      <c r="L25"/>
      <c r="M25"/>
      <c r="N25"/>
      <c r="O25"/>
      <c r="P25"/>
      <c r="Q25"/>
      <c r="R25"/>
      <c r="S25"/>
    </row>
    <row r="26" spans="1:19" ht="15.75" x14ac:dyDescent="0.3">
      <c r="A26" s="4" t="s">
        <v>15</v>
      </c>
      <c r="B26" s="3"/>
      <c r="C26" s="26">
        <f>+F16</f>
        <v>42.5</v>
      </c>
      <c r="D26" s="27" t="s">
        <v>14</v>
      </c>
      <c r="E26" s="26">
        <f>+H16</f>
        <v>34.5</v>
      </c>
      <c r="F26" s="28">
        <f>+E26</f>
        <v>34.5</v>
      </c>
      <c r="G26" s="28" t="s">
        <v>14</v>
      </c>
      <c r="H26" s="28">
        <f>+C26</f>
        <v>42.5</v>
      </c>
      <c r="I26" s="29"/>
      <c r="J26"/>
      <c r="K26"/>
      <c r="L26"/>
      <c r="M26"/>
      <c r="N26"/>
      <c r="O26"/>
      <c r="P26"/>
      <c r="Q26"/>
      <c r="R26"/>
      <c r="S26"/>
    </row>
    <row r="27" spans="1:19" ht="16.5" thickBot="1" x14ac:dyDescent="0.35">
      <c r="A27" s="3" t="s">
        <v>16</v>
      </c>
      <c r="B27" s="30"/>
      <c r="C27" s="31">
        <f>+C25/C26</f>
        <v>2.3529411764705883</v>
      </c>
      <c r="D27" s="32"/>
      <c r="E27" s="31">
        <f>+E25/E26</f>
        <v>3.7681159420289854</v>
      </c>
      <c r="F27" s="31">
        <f>+F25/F26</f>
        <v>2.8985507246376812</v>
      </c>
      <c r="G27" s="32"/>
      <c r="H27" s="31">
        <f>+H25/H26</f>
        <v>3.0588235294117645</v>
      </c>
      <c r="I27" s="29"/>
      <c r="J27"/>
      <c r="K27"/>
      <c r="L27"/>
      <c r="M27"/>
      <c r="N27"/>
      <c r="O27"/>
      <c r="P27"/>
      <c r="Q27"/>
      <c r="R27"/>
      <c r="S27"/>
    </row>
    <row r="28" spans="1:19" ht="16.5" thickBot="1" x14ac:dyDescent="0.35">
      <c r="A28" s="3" t="s">
        <v>17</v>
      </c>
      <c r="B28" s="33"/>
      <c r="C28" s="34"/>
      <c r="D28" s="35">
        <v>6</v>
      </c>
      <c r="E28" s="36"/>
      <c r="F28" s="37"/>
      <c r="G28" s="38">
        <v>4</v>
      </c>
      <c r="H28" s="39" t="s">
        <v>18</v>
      </c>
      <c r="J28"/>
      <c r="K28"/>
      <c r="L28"/>
      <c r="M28"/>
      <c r="N28"/>
      <c r="O28"/>
      <c r="P28"/>
      <c r="Q28"/>
      <c r="R28"/>
      <c r="S28"/>
    </row>
    <row r="29" spans="1:19" ht="15.75" x14ac:dyDescent="0.3">
      <c r="A29" s="3"/>
      <c r="B29" s="20"/>
      <c r="C29" s="29"/>
      <c r="G29" s="40"/>
      <c r="H29" s="29"/>
      <c r="J29"/>
      <c r="K29"/>
      <c r="L29"/>
      <c r="M29"/>
      <c r="N29"/>
      <c r="O29"/>
      <c r="P29"/>
      <c r="Q29"/>
      <c r="R29"/>
      <c r="S29"/>
    </row>
    <row r="30" spans="1:19" ht="15.75" x14ac:dyDescent="0.3">
      <c r="A30" s="24" t="s">
        <v>19</v>
      </c>
      <c r="B30" s="24" t="s">
        <v>172</v>
      </c>
      <c r="D30" s="40" t="s">
        <v>20</v>
      </c>
      <c r="E30" s="41">
        <f>+Desarrollo!F36</f>
        <v>58</v>
      </c>
      <c r="F30" s="92"/>
      <c r="G30" s="1" t="s">
        <v>21</v>
      </c>
      <c r="H30" s="42">
        <v>0.1</v>
      </c>
      <c r="J30"/>
      <c r="K30"/>
      <c r="L30"/>
      <c r="M30"/>
      <c r="N30"/>
      <c r="O30"/>
      <c r="P30"/>
      <c r="Q30"/>
      <c r="R30"/>
      <c r="S30"/>
    </row>
    <row r="31" spans="1:19" ht="15.75" x14ac:dyDescent="0.3">
      <c r="A31" s="3"/>
      <c r="B31" s="3"/>
      <c r="C31" s="3"/>
      <c r="D31" s="43" t="s">
        <v>22</v>
      </c>
      <c r="E31" s="41">
        <f>+H30*E30</f>
        <v>5.8000000000000007</v>
      </c>
      <c r="H31" s="42"/>
      <c r="I31" s="29"/>
      <c r="J31"/>
      <c r="K31"/>
      <c r="L31"/>
      <c r="M31"/>
      <c r="N31"/>
      <c r="O31"/>
      <c r="P31"/>
      <c r="Q31"/>
      <c r="R31"/>
      <c r="S31"/>
    </row>
    <row r="32" spans="1:19" ht="15.75" x14ac:dyDescent="0.3">
      <c r="D32" s="43" t="s">
        <v>23</v>
      </c>
      <c r="E32" s="44">
        <f>+E30-E31</f>
        <v>52.2</v>
      </c>
      <c r="I32" s="29"/>
      <c r="J32"/>
      <c r="K32"/>
      <c r="L32"/>
      <c r="M32"/>
      <c r="N32"/>
      <c r="O32"/>
      <c r="P32"/>
      <c r="Q32"/>
      <c r="R32"/>
      <c r="S32"/>
    </row>
    <row r="33" spans="1:19" ht="15.75" x14ac:dyDescent="0.3">
      <c r="E33" s="20" t="s">
        <v>25</v>
      </c>
      <c r="F33" s="20" t="s">
        <v>26</v>
      </c>
      <c r="G33" s="20" t="s">
        <v>26</v>
      </c>
      <c r="H33" s="20" t="s">
        <v>26</v>
      </c>
      <c r="I33" s="29"/>
      <c r="J33"/>
      <c r="K33"/>
      <c r="L33"/>
      <c r="M33"/>
      <c r="N33"/>
      <c r="O33"/>
      <c r="P33"/>
      <c r="Q33"/>
      <c r="R33"/>
      <c r="S33"/>
    </row>
    <row r="34" spans="1:19" ht="15.75" x14ac:dyDescent="0.3">
      <c r="D34" s="40" t="s">
        <v>27</v>
      </c>
      <c r="E34" s="46">
        <f>+E32</f>
        <v>52.2</v>
      </c>
      <c r="F34" s="46">
        <v>0</v>
      </c>
      <c r="G34" s="46">
        <v>0</v>
      </c>
      <c r="H34" s="46">
        <v>0</v>
      </c>
      <c r="J34"/>
      <c r="K34"/>
      <c r="L34"/>
      <c r="M34"/>
      <c r="N34"/>
      <c r="O34"/>
      <c r="P34"/>
      <c r="Q34"/>
      <c r="R34"/>
      <c r="S34"/>
    </row>
    <row r="35" spans="1:19" ht="15.75" x14ac:dyDescent="0.3">
      <c r="D35" s="40" t="s">
        <v>28</v>
      </c>
      <c r="E35" s="46">
        <f>+E34*1.15</f>
        <v>60.03</v>
      </c>
      <c r="F35" s="46">
        <v>0</v>
      </c>
      <c r="G35" s="46">
        <v>0</v>
      </c>
      <c r="H35" s="46">
        <v>0</v>
      </c>
      <c r="J35"/>
      <c r="K35"/>
      <c r="L35"/>
      <c r="M35"/>
      <c r="N35"/>
      <c r="O35"/>
      <c r="P35"/>
      <c r="Q35"/>
      <c r="R35"/>
      <c r="S35"/>
    </row>
    <row r="36" spans="1:19" ht="16.5" thickBot="1" x14ac:dyDescent="0.35">
      <c r="A36" s="3"/>
      <c r="G36" s="40"/>
      <c r="J36"/>
      <c r="K36"/>
      <c r="L36"/>
      <c r="M36"/>
      <c r="N36"/>
      <c r="O36"/>
      <c r="P36"/>
      <c r="Q36"/>
      <c r="R36"/>
      <c r="S36"/>
    </row>
    <row r="37" spans="1:19" ht="15.75" x14ac:dyDescent="0.3">
      <c r="A37" s="3"/>
      <c r="B37" s="20"/>
      <c r="C37" s="29"/>
      <c r="E37" s="10" t="s">
        <v>30</v>
      </c>
      <c r="F37" s="11" t="s">
        <v>31</v>
      </c>
      <c r="G37" s="11"/>
      <c r="H37" s="12"/>
      <c r="J37"/>
      <c r="K37"/>
      <c r="L37"/>
      <c r="M37"/>
      <c r="N37"/>
      <c r="O37"/>
      <c r="P37"/>
      <c r="Q37"/>
      <c r="R37"/>
      <c r="S37"/>
    </row>
    <row r="38" spans="1:19" ht="16.5" thickBot="1" x14ac:dyDescent="0.35">
      <c r="A38" s="4" t="s">
        <v>32</v>
      </c>
      <c r="C38" s="47">
        <v>4</v>
      </c>
      <c r="D38" s="48" t="s">
        <v>33</v>
      </c>
      <c r="E38" s="13"/>
      <c r="F38" s="14" t="s">
        <v>34</v>
      </c>
      <c r="G38" s="14"/>
      <c r="H38" s="15"/>
      <c r="J38"/>
      <c r="K38"/>
      <c r="L38"/>
      <c r="M38"/>
      <c r="N38"/>
      <c r="O38"/>
      <c r="P38"/>
      <c r="Q38"/>
      <c r="R38"/>
      <c r="S38"/>
    </row>
    <row r="39" spans="1:19" ht="15.75" x14ac:dyDescent="0.3">
      <c r="A39" s="4"/>
      <c r="C39" s="20"/>
      <c r="D39" s="1" t="s">
        <v>35</v>
      </c>
      <c r="E39" s="3"/>
      <c r="F39" s="3"/>
      <c r="J39"/>
      <c r="K39"/>
      <c r="L39"/>
      <c r="M39"/>
      <c r="N39"/>
      <c r="O39"/>
      <c r="P39"/>
      <c r="Q39"/>
      <c r="R39"/>
      <c r="S39"/>
    </row>
    <row r="40" spans="1:19" ht="15.75" x14ac:dyDescent="0.3">
      <c r="A40" s="4" t="s">
        <v>36</v>
      </c>
      <c r="B40" s="5"/>
      <c r="C40" s="49">
        <f>+B48/F17</f>
        <v>90</v>
      </c>
      <c r="D40" s="23">
        <v>20</v>
      </c>
      <c r="F40" s="43" t="s">
        <v>37</v>
      </c>
      <c r="G40" s="22">
        <v>1</v>
      </c>
      <c r="H40" s="3"/>
      <c r="J40"/>
      <c r="K40"/>
      <c r="L40"/>
      <c r="M40"/>
      <c r="N40"/>
      <c r="O40"/>
      <c r="P40"/>
      <c r="Q40"/>
      <c r="R40"/>
      <c r="S40"/>
    </row>
    <row r="41" spans="1:19" ht="15.75" x14ac:dyDescent="0.3">
      <c r="A41" s="4" t="s">
        <v>38</v>
      </c>
      <c r="C41" s="33">
        <f>+C40+D40</f>
        <v>110</v>
      </c>
      <c r="F41" s="43" t="s">
        <v>39</v>
      </c>
      <c r="G41" s="22">
        <v>2</v>
      </c>
      <c r="H41" s="3"/>
      <c r="J41"/>
      <c r="K41"/>
      <c r="L41"/>
      <c r="M41"/>
      <c r="N41"/>
      <c r="O41"/>
      <c r="P41"/>
      <c r="Q41"/>
      <c r="R41"/>
      <c r="S41"/>
    </row>
    <row r="42" spans="1:19" ht="15.75" x14ac:dyDescent="0.3">
      <c r="A42" s="4" t="s">
        <v>40</v>
      </c>
      <c r="C42" s="33">
        <f>+C41/C38</f>
        <v>27.5</v>
      </c>
      <c r="F42" s="43" t="s">
        <v>41</v>
      </c>
      <c r="G42" s="22"/>
      <c r="H42" s="3"/>
      <c r="J42"/>
      <c r="K42"/>
      <c r="L42"/>
      <c r="M42"/>
      <c r="N42"/>
      <c r="O42"/>
      <c r="P42"/>
      <c r="Q42"/>
      <c r="R42"/>
      <c r="S42"/>
    </row>
    <row r="43" spans="1:19" ht="15.75" x14ac:dyDescent="0.3">
      <c r="A43" s="4" t="s">
        <v>83</v>
      </c>
      <c r="C43" s="20">
        <f>+(C42*C38)*F17</f>
        <v>110</v>
      </c>
      <c r="F43" s="40" t="s">
        <v>42</v>
      </c>
      <c r="G43" s="22">
        <f>+C40/1000</f>
        <v>0.09</v>
      </c>
      <c r="H43" s="3"/>
      <c r="J43"/>
      <c r="K43"/>
      <c r="L43"/>
      <c r="M43"/>
      <c r="N43"/>
      <c r="O43"/>
      <c r="P43"/>
      <c r="Q43"/>
      <c r="R43"/>
      <c r="S43"/>
    </row>
    <row r="44" spans="1:19" ht="15.75" x14ac:dyDescent="0.3">
      <c r="A44" s="4"/>
      <c r="C44" s="50"/>
      <c r="F44" s="43" t="s">
        <v>43</v>
      </c>
      <c r="G44" s="47">
        <f>+C41</f>
        <v>110</v>
      </c>
      <c r="H44" s="3"/>
      <c r="J44"/>
      <c r="K44"/>
      <c r="L44"/>
      <c r="M44"/>
      <c r="N44"/>
      <c r="O44"/>
      <c r="P44"/>
      <c r="Q44"/>
      <c r="R44"/>
      <c r="S44"/>
    </row>
    <row r="45" spans="1:19" ht="15.75" x14ac:dyDescent="0.3">
      <c r="A45" s="4"/>
      <c r="C45" s="20"/>
      <c r="E45" s="43"/>
      <c r="F45" s="43"/>
      <c r="G45" s="29"/>
      <c r="I45" s="3"/>
      <c r="J45"/>
      <c r="K45"/>
      <c r="L45"/>
      <c r="M45"/>
      <c r="N45"/>
      <c r="O45"/>
      <c r="P45"/>
      <c r="Q45"/>
      <c r="R45"/>
      <c r="S45"/>
    </row>
    <row r="46" spans="1:19" ht="15.75" x14ac:dyDescent="0.3">
      <c r="A46" s="4" t="s">
        <v>44</v>
      </c>
      <c r="C46" s="24">
        <f>+C42*C38</f>
        <v>110</v>
      </c>
      <c r="F46" s="43"/>
      <c r="G46" s="29"/>
      <c r="H46" s="3"/>
      <c r="J46"/>
      <c r="K46"/>
      <c r="L46"/>
      <c r="M46"/>
      <c r="N46"/>
      <c r="O46"/>
      <c r="P46"/>
      <c r="Q46"/>
      <c r="R46"/>
      <c r="S46"/>
    </row>
    <row r="47" spans="1:19" x14ac:dyDescent="0.3">
      <c r="A47" s="3"/>
      <c r="B47" s="3"/>
      <c r="C47" s="3"/>
      <c r="D47" s="3"/>
      <c r="E47" s="3"/>
      <c r="H47" s="3"/>
    </row>
    <row r="48" spans="1:19" ht="15.75" x14ac:dyDescent="0.3">
      <c r="A48" s="4" t="s">
        <v>68</v>
      </c>
      <c r="B48" s="20">
        <f>+Desarrollo!B7</f>
        <v>90</v>
      </c>
      <c r="C48" s="20"/>
      <c r="D48" s="24" t="s">
        <v>45</v>
      </c>
      <c r="E48" s="24" t="s">
        <v>46</v>
      </c>
      <c r="F48" s="24" t="s">
        <v>47</v>
      </c>
      <c r="G48" s="24" t="s">
        <v>48</v>
      </c>
      <c r="H48" s="24" t="s">
        <v>49</v>
      </c>
      <c r="J48"/>
      <c r="K48"/>
      <c r="L48"/>
      <c r="M48"/>
      <c r="N48"/>
      <c r="O48"/>
      <c r="P48"/>
      <c r="Q48"/>
      <c r="R48"/>
      <c r="S48"/>
    </row>
    <row r="49" spans="1:23" ht="15.75" x14ac:dyDescent="0.3">
      <c r="A49" s="51" t="s">
        <v>50</v>
      </c>
      <c r="B49" s="52"/>
      <c r="C49" s="3"/>
      <c r="D49" s="20">
        <v>0</v>
      </c>
      <c r="E49" s="20">
        <v>0</v>
      </c>
      <c r="F49" s="20" t="s">
        <v>51</v>
      </c>
      <c r="G49" s="29">
        <f>185+145</f>
        <v>330</v>
      </c>
      <c r="H49" s="29">
        <f>+(D49*E49)*G49</f>
        <v>0</v>
      </c>
      <c r="J49"/>
      <c r="K49"/>
      <c r="L49"/>
      <c r="M49"/>
      <c r="N49"/>
      <c r="O49"/>
      <c r="P49"/>
      <c r="Q49"/>
      <c r="R49"/>
      <c r="S49"/>
    </row>
    <row r="50" spans="1:23" ht="15.75" x14ac:dyDescent="0.3">
      <c r="A50" s="52" t="s">
        <v>52</v>
      </c>
      <c r="B50" s="53">
        <f>+E34*C42</f>
        <v>1435.5</v>
      </c>
      <c r="C50" s="3"/>
      <c r="D50" s="20">
        <v>0</v>
      </c>
      <c r="E50" s="20">
        <v>0</v>
      </c>
      <c r="F50" s="20" t="s">
        <v>69</v>
      </c>
      <c r="G50" s="29">
        <v>145</v>
      </c>
      <c r="H50" s="29">
        <f>+(D50*E50)*G50</f>
        <v>0</v>
      </c>
      <c r="J50"/>
      <c r="K50"/>
      <c r="L50"/>
      <c r="M50"/>
      <c r="N50"/>
      <c r="O50"/>
      <c r="P50"/>
      <c r="Q50"/>
      <c r="R50"/>
      <c r="S50"/>
    </row>
    <row r="51" spans="1:23" ht="15.75" x14ac:dyDescent="0.3">
      <c r="A51" s="52" t="s">
        <v>10</v>
      </c>
      <c r="B51" s="53">
        <f>+H61</f>
        <v>700</v>
      </c>
      <c r="C51" s="3"/>
      <c r="D51" s="20">
        <v>0</v>
      </c>
      <c r="E51" s="20">
        <v>0</v>
      </c>
      <c r="F51" s="20" t="s">
        <v>75</v>
      </c>
      <c r="G51" s="29">
        <v>500</v>
      </c>
      <c r="H51" s="29">
        <f>+G51*E51*D51</f>
        <v>0</v>
      </c>
      <c r="J51"/>
      <c r="K51"/>
      <c r="L51"/>
      <c r="M51"/>
      <c r="N51"/>
      <c r="O51"/>
      <c r="P51"/>
      <c r="Q51"/>
      <c r="R51"/>
      <c r="S51"/>
    </row>
    <row r="52" spans="1:23" ht="15.75" x14ac:dyDescent="0.3">
      <c r="A52" s="52"/>
      <c r="B52" s="53"/>
      <c r="C52" s="3"/>
      <c r="D52" s="20">
        <v>1</v>
      </c>
      <c r="E52" s="20">
        <v>1</v>
      </c>
      <c r="F52" s="20" t="s">
        <v>93</v>
      </c>
      <c r="G52" s="29">
        <v>100</v>
      </c>
      <c r="H52" s="29">
        <f t="shared" ref="H52:H59" si="0">+G52*E52</f>
        <v>100</v>
      </c>
      <c r="I52" s="60">
        <f>+(B73/100)*2</f>
        <v>54.016499999999994</v>
      </c>
      <c r="Q52"/>
      <c r="R52"/>
      <c r="S52"/>
    </row>
    <row r="53" spans="1:23" ht="16.5" x14ac:dyDescent="0.3">
      <c r="A53" s="52" t="s">
        <v>24</v>
      </c>
      <c r="B53" s="53">
        <v>0</v>
      </c>
      <c r="C53" s="3"/>
      <c r="D53" s="20">
        <v>0</v>
      </c>
      <c r="E53" s="20">
        <v>0</v>
      </c>
      <c r="F53" s="20" t="s">
        <v>70</v>
      </c>
      <c r="G53" s="29">
        <v>145</v>
      </c>
      <c r="H53" s="29">
        <f t="shared" si="0"/>
        <v>0</v>
      </c>
      <c r="I53" s="54"/>
      <c r="Q53"/>
      <c r="R53"/>
      <c r="S53"/>
    </row>
    <row r="54" spans="1:23" ht="15.75" x14ac:dyDescent="0.3">
      <c r="A54" s="55" t="s">
        <v>129</v>
      </c>
      <c r="B54" s="53">
        <v>0</v>
      </c>
      <c r="C54" s="3"/>
      <c r="D54" s="20">
        <v>0</v>
      </c>
      <c r="E54" s="20">
        <v>0</v>
      </c>
      <c r="F54" s="20" t="s">
        <v>71</v>
      </c>
      <c r="G54" s="29">
        <v>145</v>
      </c>
      <c r="H54" s="29">
        <f t="shared" si="0"/>
        <v>0</v>
      </c>
      <c r="Q54"/>
      <c r="R54"/>
      <c r="S54"/>
    </row>
    <row r="55" spans="1:23" ht="15.75" x14ac:dyDescent="0.3">
      <c r="A55" s="55" t="s">
        <v>90</v>
      </c>
      <c r="B55" s="53">
        <v>0</v>
      </c>
      <c r="D55" s="20">
        <v>0</v>
      </c>
      <c r="E55" s="20">
        <v>0</v>
      </c>
      <c r="F55" s="20" t="s">
        <v>88</v>
      </c>
      <c r="G55" s="29">
        <v>120</v>
      </c>
      <c r="H55" s="29">
        <f>+G55*E55</f>
        <v>0</v>
      </c>
      <c r="Q55"/>
      <c r="R55"/>
      <c r="S55"/>
    </row>
    <row r="56" spans="1:23" x14ac:dyDescent="0.3">
      <c r="A56" s="55" t="s">
        <v>89</v>
      </c>
      <c r="B56" s="53">
        <v>0</v>
      </c>
      <c r="D56" s="20">
        <v>0</v>
      </c>
      <c r="E56" s="20">
        <v>0</v>
      </c>
      <c r="F56" s="20" t="s">
        <v>29</v>
      </c>
      <c r="G56" s="29">
        <v>1.5</v>
      </c>
      <c r="H56" s="29">
        <f>+G56*E56</f>
        <v>0</v>
      </c>
    </row>
    <row r="57" spans="1:23" ht="15.75" x14ac:dyDescent="0.3">
      <c r="A57" s="55"/>
      <c r="B57" s="55"/>
      <c r="D57" s="20">
        <v>1</v>
      </c>
      <c r="E57" s="20">
        <v>1</v>
      </c>
      <c r="F57" s="20" t="s">
        <v>130</v>
      </c>
      <c r="G57" s="29">
        <f>+G83</f>
        <v>600</v>
      </c>
      <c r="H57" s="29">
        <f t="shared" ref="H57" si="1">+G57*E57</f>
        <v>600</v>
      </c>
      <c r="Q57"/>
      <c r="R57"/>
      <c r="S57"/>
      <c r="T57"/>
      <c r="U57"/>
      <c r="V57"/>
      <c r="W57"/>
    </row>
    <row r="58" spans="1:23" ht="15.75" x14ac:dyDescent="0.3">
      <c r="A58" s="51" t="s">
        <v>55</v>
      </c>
      <c r="B58" s="56">
        <f>SUM(B50:B57)</f>
        <v>2135.5</v>
      </c>
      <c r="C58" s="3"/>
      <c r="D58" s="20">
        <v>0</v>
      </c>
      <c r="E58" s="20">
        <v>0</v>
      </c>
      <c r="F58" s="3" t="s">
        <v>56</v>
      </c>
      <c r="G58" s="29">
        <f>+E80</f>
        <v>102.13544</v>
      </c>
      <c r="H58" s="29">
        <f t="shared" si="0"/>
        <v>0</v>
      </c>
      <c r="Q58"/>
      <c r="R58"/>
      <c r="S58"/>
      <c r="T58"/>
      <c r="U58"/>
      <c r="V58"/>
      <c r="W58"/>
    </row>
    <row r="59" spans="1:23" ht="15.75" x14ac:dyDescent="0.3">
      <c r="A59" s="9"/>
      <c r="B59" s="57"/>
      <c r="C59" s="3"/>
      <c r="D59" s="20"/>
      <c r="E59" s="20"/>
      <c r="F59" s="3"/>
      <c r="G59" s="3"/>
      <c r="H59" s="29">
        <f t="shared" si="0"/>
        <v>0</v>
      </c>
      <c r="J59"/>
      <c r="K59"/>
      <c r="L59"/>
      <c r="M59"/>
      <c r="N59"/>
      <c r="O59"/>
      <c r="P59"/>
      <c r="Q59"/>
      <c r="R59"/>
      <c r="S59"/>
      <c r="T59"/>
      <c r="U59"/>
      <c r="V59"/>
      <c r="W59"/>
    </row>
    <row r="60" spans="1:23" ht="15.75" x14ac:dyDescent="0.3">
      <c r="A60" s="9"/>
      <c r="B60" s="31">
        <f>+B58/B48</f>
        <v>23.727777777777778</v>
      </c>
      <c r="C60" s="4" t="s">
        <v>57</v>
      </c>
      <c r="D60" s="3"/>
      <c r="E60" s="3"/>
      <c r="F60" s="3"/>
      <c r="G60" s="3"/>
      <c r="J60"/>
      <c r="K60"/>
      <c r="L60"/>
      <c r="M60"/>
      <c r="N60"/>
      <c r="O60"/>
      <c r="P60"/>
      <c r="Q60"/>
      <c r="R60"/>
      <c r="S60"/>
      <c r="T60"/>
      <c r="U60"/>
      <c r="V60"/>
      <c r="W60"/>
    </row>
    <row r="61" spans="1:23" ht="15.75" x14ac:dyDescent="0.3">
      <c r="A61" s="3"/>
      <c r="B61" s="3"/>
      <c r="D61" s="3"/>
      <c r="E61" s="3"/>
      <c r="F61" s="3"/>
      <c r="G61" s="58" t="s">
        <v>58</v>
      </c>
      <c r="H61" s="29">
        <f>SUM(H49:H60)</f>
        <v>700</v>
      </c>
      <c r="J61"/>
      <c r="K61"/>
      <c r="L61"/>
      <c r="M61"/>
      <c r="N61"/>
      <c r="O61"/>
      <c r="P61"/>
      <c r="Q61"/>
      <c r="R61"/>
      <c r="S61"/>
      <c r="T61"/>
      <c r="U61"/>
      <c r="V61"/>
      <c r="W61"/>
    </row>
    <row r="62" spans="1:23" ht="15.75" x14ac:dyDescent="0.3">
      <c r="D62" s="3"/>
      <c r="E62" s="3"/>
      <c r="G62" s="5" t="s">
        <v>59</v>
      </c>
      <c r="H62" s="73">
        <v>1.5</v>
      </c>
      <c r="J62"/>
      <c r="K62"/>
      <c r="L62"/>
      <c r="M62"/>
      <c r="N62"/>
      <c r="O62"/>
      <c r="P62"/>
      <c r="Q62"/>
      <c r="R62"/>
      <c r="S62"/>
      <c r="T62"/>
      <c r="U62"/>
      <c r="V62"/>
      <c r="W62"/>
    </row>
    <row r="63" spans="1:23" ht="15.75" x14ac:dyDescent="0.3">
      <c r="A63" s="4" t="s">
        <v>60</v>
      </c>
      <c r="B63" s="3"/>
      <c r="C63" s="3"/>
      <c r="E63" s="31">
        <f>+B73/C40</f>
        <v>30.009166666666665</v>
      </c>
      <c r="G63" s="1" t="s">
        <v>61</v>
      </c>
      <c r="H63" s="59">
        <v>1.75</v>
      </c>
      <c r="J63"/>
      <c r="K63"/>
      <c r="L63"/>
      <c r="M63"/>
      <c r="N63"/>
      <c r="O63"/>
      <c r="P63"/>
      <c r="Q63"/>
      <c r="R63"/>
      <c r="S63"/>
      <c r="T63"/>
      <c r="U63"/>
      <c r="V63"/>
      <c r="W63"/>
    </row>
    <row r="64" spans="1:23" ht="15.75" x14ac:dyDescent="0.3">
      <c r="A64" s="3"/>
      <c r="B64" s="4" t="s">
        <v>62</v>
      </c>
      <c r="C64" s="24" t="s">
        <v>63</v>
      </c>
      <c r="D64" s="3"/>
      <c r="E64" s="3"/>
      <c r="F64" s="3"/>
      <c r="G64" s="1" t="s">
        <v>61</v>
      </c>
      <c r="H64" s="59">
        <v>2</v>
      </c>
      <c r="J64"/>
      <c r="K64"/>
      <c r="L64"/>
      <c r="M64"/>
      <c r="N64"/>
      <c r="O64"/>
      <c r="P64"/>
      <c r="Q64"/>
      <c r="R64"/>
      <c r="S64"/>
      <c r="T64"/>
      <c r="U64"/>
      <c r="V64"/>
      <c r="W64"/>
    </row>
    <row r="65" spans="1:23" ht="15.75" x14ac:dyDescent="0.3">
      <c r="A65" s="51" t="s">
        <v>64</v>
      </c>
      <c r="B65" s="52"/>
      <c r="C65" s="3"/>
      <c r="D65" s="3">
        <f>+B73*C69</f>
        <v>0</v>
      </c>
      <c r="E65" s="3"/>
      <c r="F65" s="3"/>
      <c r="G65" s="5" t="s">
        <v>72</v>
      </c>
      <c r="H65" s="59">
        <v>2.5</v>
      </c>
      <c r="J65"/>
      <c r="K65"/>
      <c r="L65"/>
      <c r="M65"/>
      <c r="N65"/>
      <c r="O65"/>
      <c r="P65"/>
      <c r="Q65"/>
      <c r="R65"/>
      <c r="S65"/>
      <c r="T65"/>
      <c r="U65"/>
      <c r="V65"/>
      <c r="W65"/>
    </row>
    <row r="66" spans="1:23" ht="15.75" x14ac:dyDescent="0.3">
      <c r="A66" s="52" t="s">
        <v>52</v>
      </c>
      <c r="B66" s="53">
        <f>+E35*C42</f>
        <v>1650.825</v>
      </c>
      <c r="C66" s="60"/>
      <c r="J66"/>
      <c r="K66"/>
      <c r="L66"/>
      <c r="M66"/>
      <c r="N66"/>
      <c r="O66"/>
      <c r="P66"/>
      <c r="Q66"/>
      <c r="R66"/>
      <c r="S66"/>
      <c r="T66"/>
      <c r="U66"/>
      <c r="V66"/>
      <c r="W66"/>
    </row>
    <row r="67" spans="1:23" ht="15.75" x14ac:dyDescent="0.3">
      <c r="A67" s="52" t="s">
        <v>10</v>
      </c>
      <c r="B67" s="53">
        <f>+H61*H62</f>
        <v>1050</v>
      </c>
      <c r="C67" s="60"/>
      <c r="J67"/>
      <c r="K67"/>
      <c r="L67"/>
      <c r="M67"/>
      <c r="N67"/>
      <c r="O67"/>
      <c r="P67"/>
      <c r="Q67"/>
      <c r="R67"/>
      <c r="S67"/>
      <c r="T67"/>
      <c r="U67"/>
      <c r="V67"/>
      <c r="W67"/>
    </row>
    <row r="68" spans="1:23" ht="15.75" x14ac:dyDescent="0.3">
      <c r="A68" s="52" t="str">
        <f>+A53</f>
        <v>Tabla de suaje</v>
      </c>
      <c r="B68" s="53">
        <f>+B53*H62</f>
        <v>0</v>
      </c>
      <c r="C68" s="60"/>
      <c r="J68"/>
      <c r="K68"/>
      <c r="L68"/>
      <c r="M68"/>
      <c r="N68"/>
      <c r="O68"/>
      <c r="P68"/>
      <c r="Q68"/>
      <c r="R68"/>
      <c r="S68"/>
      <c r="T68"/>
      <c r="U68"/>
      <c r="V68"/>
      <c r="W68"/>
    </row>
    <row r="69" spans="1:23" ht="15.75" x14ac:dyDescent="0.3">
      <c r="A69" s="52" t="str">
        <f>+A54</f>
        <v>Pruebas de color</v>
      </c>
      <c r="B69" s="53">
        <f>+B54*H62</f>
        <v>0</v>
      </c>
      <c r="C69" s="60"/>
      <c r="J69"/>
      <c r="K69"/>
      <c r="L69"/>
      <c r="M69"/>
      <c r="N69"/>
      <c r="O69"/>
      <c r="P69"/>
      <c r="Q69"/>
      <c r="R69"/>
      <c r="S69"/>
      <c r="T69"/>
      <c r="U69"/>
      <c r="V69"/>
      <c r="W69"/>
    </row>
    <row r="70" spans="1:23" ht="15.75" x14ac:dyDescent="0.3">
      <c r="A70" s="52" t="str">
        <f>+A55</f>
        <v>Imán</v>
      </c>
      <c r="B70" s="53">
        <f>+B55*H62</f>
        <v>0</v>
      </c>
      <c r="C70" s="60"/>
      <c r="F70" s="61" t="s">
        <v>65</v>
      </c>
      <c r="G70" s="31">
        <f>+B60</f>
        <v>23.727777777777778</v>
      </c>
      <c r="H70" s="62">
        <f>+G70*B48</f>
        <v>2135.5</v>
      </c>
      <c r="J70"/>
      <c r="K70"/>
      <c r="L70"/>
      <c r="M70"/>
      <c r="N70"/>
      <c r="O70"/>
      <c r="P70"/>
      <c r="Q70"/>
      <c r="R70"/>
      <c r="S70"/>
      <c r="T70"/>
      <c r="U70"/>
      <c r="V70"/>
      <c r="W70"/>
    </row>
    <row r="71" spans="1:23" ht="15.75" x14ac:dyDescent="0.3">
      <c r="A71" s="52" t="str">
        <f>+A56</f>
        <v>Encuadernación</v>
      </c>
      <c r="B71" s="53">
        <f>+B56*1.2</f>
        <v>0</v>
      </c>
      <c r="C71" s="63"/>
      <c r="F71" s="61" t="s">
        <v>66</v>
      </c>
      <c r="G71" s="31">
        <f>+C73</f>
        <v>30.009166666666665</v>
      </c>
      <c r="H71" s="62">
        <f>+G71*B48</f>
        <v>2700.8249999999998</v>
      </c>
      <c r="J71"/>
      <c r="K71"/>
      <c r="L71"/>
      <c r="M71"/>
      <c r="N71"/>
      <c r="O71"/>
      <c r="P71"/>
      <c r="Q71"/>
      <c r="R71"/>
      <c r="S71"/>
      <c r="T71"/>
      <c r="U71"/>
      <c r="V71"/>
      <c r="W71"/>
    </row>
    <row r="72" spans="1:23" ht="15.75" x14ac:dyDescent="0.3">
      <c r="A72" s="52"/>
      <c r="B72" s="53"/>
      <c r="C72" s="63"/>
      <c r="F72" s="64" t="s">
        <v>67</v>
      </c>
      <c r="G72" s="65">
        <f>+G71-G70</f>
        <v>6.2813888888888876</v>
      </c>
      <c r="H72" s="93">
        <f>+G72*B48</f>
        <v>565.32499999999993</v>
      </c>
      <c r="J72"/>
      <c r="K72"/>
      <c r="L72"/>
      <c r="M72"/>
      <c r="N72"/>
      <c r="O72"/>
      <c r="P72"/>
      <c r="Q72"/>
      <c r="R72"/>
      <c r="S72"/>
      <c r="T72"/>
      <c r="U72"/>
      <c r="V72"/>
      <c r="W72"/>
    </row>
    <row r="73" spans="1:23" x14ac:dyDescent="0.3">
      <c r="A73" s="51" t="s">
        <v>55</v>
      </c>
      <c r="B73" s="56">
        <f>SUM(B65:B72)</f>
        <v>2700.8249999999998</v>
      </c>
      <c r="C73" s="65">
        <f>+B73/B48</f>
        <v>30.009166666666665</v>
      </c>
      <c r="D73" s="5" t="s">
        <v>128</v>
      </c>
    </row>
    <row r="74" spans="1:23" x14ac:dyDescent="0.3">
      <c r="C74" s="74"/>
      <c r="D74" s="5"/>
    </row>
    <row r="75" spans="1:23" x14ac:dyDescent="0.3">
      <c r="C75" s="74"/>
      <c r="D75" s="5"/>
    </row>
    <row r="76" spans="1:23" x14ac:dyDescent="0.3">
      <c r="A76" s="5"/>
      <c r="C76" s="62"/>
      <c r="D76" s="5"/>
    </row>
    <row r="77" spans="1:23" ht="15" thickBot="1" x14ac:dyDescent="0.35">
      <c r="A77" s="5" t="s">
        <v>131</v>
      </c>
    </row>
    <row r="78" spans="1:23" x14ac:dyDescent="0.3">
      <c r="A78" s="10" t="s">
        <v>97</v>
      </c>
      <c r="B78" s="11"/>
      <c r="C78" s="11"/>
      <c r="D78" s="11"/>
      <c r="E78" s="11"/>
      <c r="F78" s="11"/>
      <c r="G78" s="12"/>
    </row>
    <row r="79" spans="1:23" ht="15.75" x14ac:dyDescent="0.3">
      <c r="A79" s="45">
        <f>+F16</f>
        <v>42.5</v>
      </c>
      <c r="B79" s="70">
        <f>+H16</f>
        <v>34.5</v>
      </c>
      <c r="C79" s="7" t="s">
        <v>96</v>
      </c>
      <c r="D79" s="70" t="s">
        <v>98</v>
      </c>
      <c r="E79" s="7" t="s">
        <v>99</v>
      </c>
      <c r="F79" s="72" t="s">
        <v>133</v>
      </c>
      <c r="G79" s="124"/>
    </row>
    <row r="80" spans="1:23" x14ac:dyDescent="0.3">
      <c r="A80" s="45">
        <f>0.419*0.554*C41</f>
        <v>25.533860000000001</v>
      </c>
      <c r="B80" s="75">
        <v>4</v>
      </c>
      <c r="C80" s="75">
        <f>+A80*B80</f>
        <v>102.13544</v>
      </c>
      <c r="D80" s="75">
        <v>0</v>
      </c>
      <c r="E80" s="79">
        <f>+C80+D80</f>
        <v>102.13544</v>
      </c>
      <c r="F80" s="94" t="s">
        <v>132</v>
      </c>
      <c r="G80" s="80">
        <v>550</v>
      </c>
    </row>
    <row r="81" spans="1:18" x14ac:dyDescent="0.3">
      <c r="A81" s="6"/>
      <c r="B81" s="75"/>
      <c r="C81" s="75"/>
      <c r="D81" s="75"/>
      <c r="E81" s="75"/>
      <c r="F81" s="7"/>
      <c r="G81" s="8"/>
      <c r="J81" s="68"/>
    </row>
    <row r="82" spans="1:18" x14ac:dyDescent="0.3">
      <c r="A82" s="45">
        <f>+A79</f>
        <v>42.5</v>
      </c>
      <c r="B82" s="70">
        <f>+B79</f>
        <v>34.5</v>
      </c>
      <c r="C82" s="7" t="s">
        <v>96</v>
      </c>
      <c r="D82" s="70" t="s">
        <v>98</v>
      </c>
      <c r="E82" s="7" t="s">
        <v>99</v>
      </c>
      <c r="F82" s="72" t="s">
        <v>134</v>
      </c>
      <c r="G82" s="8"/>
    </row>
    <row r="83" spans="1:18" x14ac:dyDescent="0.3">
      <c r="A83" s="45">
        <f>0.419*0.554*C41</f>
        <v>25.533860000000001</v>
      </c>
      <c r="B83" s="75">
        <f>4.1*1.5</f>
        <v>6.1499999999999995</v>
      </c>
      <c r="C83" s="75">
        <f>+A83*B83</f>
        <v>157.03323899999998</v>
      </c>
      <c r="D83" s="75">
        <v>0</v>
      </c>
      <c r="E83" s="75">
        <f>+C83+D83</f>
        <v>157.03323899999998</v>
      </c>
      <c r="F83" s="94" t="s">
        <v>132</v>
      </c>
      <c r="G83" s="122">
        <v>600</v>
      </c>
    </row>
    <row r="84" spans="1:18" x14ac:dyDescent="0.3">
      <c r="A84" s="6"/>
      <c r="B84" s="7"/>
      <c r="C84" s="75"/>
      <c r="D84" s="75"/>
      <c r="E84" s="75"/>
      <c r="F84" s="75"/>
      <c r="G84" s="8"/>
    </row>
    <row r="85" spans="1:18" ht="15" thickBot="1" x14ac:dyDescent="0.35">
      <c r="A85" s="13"/>
      <c r="B85" s="14"/>
      <c r="C85" s="14"/>
      <c r="D85" s="14"/>
      <c r="E85" s="14"/>
      <c r="F85" s="14"/>
      <c r="G85" s="15"/>
    </row>
    <row r="87" spans="1:18" ht="16.5" x14ac:dyDescent="0.3">
      <c r="J87" s="54"/>
      <c r="K87" s="54"/>
      <c r="L87" s="54"/>
      <c r="M87" s="54"/>
      <c r="N87" s="54"/>
      <c r="O87" s="54"/>
      <c r="P87" s="54"/>
      <c r="Q87" s="54"/>
      <c r="R87" s="54"/>
    </row>
    <row r="88" spans="1:18" ht="16.5" x14ac:dyDescent="0.3">
      <c r="J88" s="54"/>
      <c r="K88" s="54"/>
      <c r="L88" s="54"/>
      <c r="M88" s="54"/>
      <c r="N88" s="54"/>
      <c r="O88" s="54"/>
      <c r="P88" s="54"/>
      <c r="Q88" s="54"/>
      <c r="R88" s="54"/>
    </row>
    <row r="89" spans="1:18" ht="16.5" x14ac:dyDescent="0.3">
      <c r="J89" s="54"/>
      <c r="K89" s="54"/>
      <c r="L89" s="54"/>
      <c r="M89" s="54"/>
      <c r="N89" s="54"/>
      <c r="O89" s="54"/>
      <c r="P89" s="54"/>
      <c r="Q89" s="54"/>
      <c r="R89" s="54"/>
    </row>
    <row r="90" spans="1:18" ht="16.5" x14ac:dyDescent="0.3">
      <c r="J90" s="54"/>
      <c r="K90" s="54"/>
      <c r="L90" s="54"/>
      <c r="M90" s="54"/>
      <c r="N90" s="54"/>
      <c r="O90" s="54"/>
      <c r="P90" s="54"/>
      <c r="Q90" s="54"/>
      <c r="R90" s="54"/>
    </row>
    <row r="91" spans="1:18" ht="16.5" x14ac:dyDescent="0.3">
      <c r="J91" s="54"/>
      <c r="K91" s="54"/>
      <c r="L91" s="54"/>
      <c r="M91" s="54"/>
      <c r="N91" s="54"/>
      <c r="O91" s="54"/>
      <c r="P91" s="54"/>
      <c r="Q91" s="54"/>
      <c r="R91" s="54"/>
    </row>
    <row r="92" spans="1:18" ht="16.5" x14ac:dyDescent="0.3">
      <c r="J92" s="54"/>
      <c r="K92" s="54"/>
      <c r="L92" s="54"/>
      <c r="M92" s="54"/>
      <c r="N92" s="54"/>
      <c r="O92" s="54"/>
      <c r="P92" s="54"/>
      <c r="Q92" s="54"/>
      <c r="R92" s="54"/>
    </row>
    <row r="93" spans="1:18" ht="16.5" x14ac:dyDescent="0.3">
      <c r="J93" s="54"/>
      <c r="K93" s="54"/>
      <c r="L93" s="54"/>
      <c r="M93" s="54"/>
      <c r="N93" s="54"/>
      <c r="O93" s="54"/>
      <c r="P93" s="54"/>
      <c r="Q93" s="54"/>
      <c r="R93" s="54"/>
    </row>
    <row r="94" spans="1:18" ht="16.5" x14ac:dyDescent="0.3">
      <c r="J94" s="54"/>
      <c r="K94" s="54"/>
      <c r="L94" s="54"/>
      <c r="M94" s="54"/>
      <c r="N94" s="54"/>
      <c r="O94" s="54"/>
      <c r="P94" s="54"/>
      <c r="Q94" s="54"/>
      <c r="R94" s="54"/>
    </row>
    <row r="95" spans="1:18" ht="16.5" x14ac:dyDescent="0.3">
      <c r="J95" s="54"/>
      <c r="K95" s="54"/>
      <c r="L95" s="54"/>
      <c r="M95" s="54"/>
      <c r="N95" s="54"/>
      <c r="O95" s="54"/>
      <c r="P95" s="54"/>
      <c r="Q95" s="54"/>
      <c r="R95" s="54"/>
    </row>
  </sheetData>
  <pageMargins left="0.70866141732283472" right="0.70866141732283472" top="0.74803149606299213" bottom="0.74803149606299213" header="0.31496062992125984" footer="0.31496062992125984"/>
  <pageSetup scale="47" orientation="landscape" r:id="rId1"/>
  <headerFooter>
    <oddFooter>&amp;A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96"/>
  <sheetViews>
    <sheetView zoomScale="80" zoomScaleNormal="80" workbookViewId="0">
      <selection activeCell="F3" sqref="F3"/>
    </sheetView>
  </sheetViews>
  <sheetFormatPr baseColWidth="10" defaultRowHeight="14.25" x14ac:dyDescent="0.3"/>
  <cols>
    <col min="1" max="1" width="11.42578125" style="1"/>
    <col min="2" max="2" width="13.42578125" style="1" bestFit="1" customWidth="1"/>
    <col min="3" max="3" width="11.5703125" style="1" bestFit="1" customWidth="1"/>
    <col min="4" max="4" width="9.7109375" style="1" customWidth="1"/>
    <col min="5" max="5" width="14.28515625" style="1" customWidth="1"/>
    <col min="6" max="6" width="16" style="1" customWidth="1"/>
    <col min="7" max="7" width="13.42578125" style="1" customWidth="1"/>
    <col min="8" max="9" width="12.42578125" style="1" customWidth="1"/>
    <col min="10" max="10" width="11.42578125" style="1"/>
    <col min="11" max="11" width="15.85546875" style="1" customWidth="1"/>
    <col min="12" max="12" width="11.42578125" style="1"/>
    <col min="13" max="13" width="14.140625" style="1" customWidth="1"/>
    <col min="14" max="16384" width="11.42578125" style="1"/>
  </cols>
  <sheetData>
    <row r="1" spans="1:21" ht="15.75" x14ac:dyDescent="0.3">
      <c r="J1"/>
      <c r="K1"/>
      <c r="L1"/>
      <c r="M1"/>
      <c r="N1"/>
      <c r="O1"/>
      <c r="P1"/>
      <c r="Q1"/>
      <c r="R1"/>
      <c r="S1"/>
    </row>
    <row r="2" spans="1:21" ht="15.75" x14ac:dyDescent="0.3">
      <c r="J2"/>
      <c r="K2"/>
      <c r="L2"/>
      <c r="M2"/>
      <c r="N2"/>
      <c r="O2"/>
      <c r="P2"/>
      <c r="Q2"/>
      <c r="R2"/>
      <c r="S2"/>
    </row>
    <row r="3" spans="1:21" ht="15.75" x14ac:dyDescent="0.3">
      <c r="J3"/>
      <c r="K3"/>
      <c r="L3"/>
      <c r="M3"/>
      <c r="N3"/>
      <c r="O3"/>
      <c r="P3"/>
      <c r="Q3"/>
      <c r="R3"/>
      <c r="S3"/>
      <c r="T3" s="3"/>
      <c r="U3" s="3"/>
    </row>
    <row r="4" spans="1:21" ht="15.75" x14ac:dyDescent="0.3">
      <c r="J4"/>
      <c r="K4"/>
      <c r="L4"/>
      <c r="M4"/>
      <c r="N4"/>
      <c r="O4"/>
      <c r="P4"/>
      <c r="Q4"/>
      <c r="R4"/>
      <c r="S4"/>
    </row>
    <row r="5" spans="1:21" ht="15.75" x14ac:dyDescent="0.3">
      <c r="A5" s="5"/>
      <c r="J5"/>
      <c r="K5"/>
      <c r="L5"/>
      <c r="M5"/>
      <c r="N5"/>
      <c r="O5"/>
      <c r="P5"/>
      <c r="Q5"/>
      <c r="R5"/>
      <c r="S5"/>
    </row>
    <row r="6" spans="1:21" ht="18.75" x14ac:dyDescent="0.3">
      <c r="A6" s="2" t="s">
        <v>1</v>
      </c>
      <c r="E6" s="5" t="s">
        <v>2</v>
      </c>
      <c r="F6" s="1" t="s">
        <v>3</v>
      </c>
      <c r="J6"/>
      <c r="K6"/>
      <c r="L6"/>
      <c r="M6"/>
      <c r="N6"/>
      <c r="O6"/>
      <c r="P6"/>
      <c r="Q6"/>
      <c r="R6"/>
      <c r="S6"/>
    </row>
    <row r="7" spans="1:21" ht="15.75" x14ac:dyDescent="0.3">
      <c r="J7"/>
      <c r="K7"/>
      <c r="L7"/>
      <c r="M7"/>
      <c r="N7"/>
      <c r="O7"/>
      <c r="P7"/>
      <c r="Q7"/>
      <c r="R7"/>
      <c r="S7"/>
    </row>
    <row r="8" spans="1:21" ht="15.75" x14ac:dyDescent="0.3">
      <c r="J8"/>
      <c r="K8"/>
      <c r="L8"/>
      <c r="M8"/>
      <c r="N8"/>
      <c r="O8"/>
      <c r="P8"/>
      <c r="Q8"/>
      <c r="R8"/>
      <c r="S8"/>
    </row>
    <row r="9" spans="1:21" s="5" customFormat="1" ht="15.75" x14ac:dyDescent="0.3">
      <c r="A9" s="5" t="s">
        <v>5</v>
      </c>
      <c r="C9" s="5" t="str">
        <f>+Desarrollo!B1</f>
        <v>12 de julio de 2017.</v>
      </c>
      <c r="H9" s="5" t="s">
        <v>6</v>
      </c>
      <c r="J9"/>
      <c r="K9"/>
      <c r="L9"/>
      <c r="M9"/>
      <c r="N9"/>
      <c r="O9"/>
      <c r="P9"/>
      <c r="Q9"/>
      <c r="R9"/>
      <c r="S9"/>
      <c r="T9" s="1"/>
      <c r="U9" s="1"/>
    </row>
    <row r="10" spans="1:21" ht="15.75" x14ac:dyDescent="0.3">
      <c r="J10"/>
      <c r="K10"/>
      <c r="L10"/>
      <c r="M10"/>
      <c r="N10"/>
      <c r="O10"/>
      <c r="P10"/>
      <c r="Q10"/>
      <c r="R10"/>
      <c r="S10"/>
    </row>
    <row r="11" spans="1:21" ht="16.5" thickBot="1" x14ac:dyDescent="0.35">
      <c r="A11" s="5" t="s">
        <v>7</v>
      </c>
      <c r="C11" s="1" t="str">
        <f>+Desarrollo!B3</f>
        <v>Megadealer</v>
      </c>
      <c r="F11" s="5" t="s">
        <v>0</v>
      </c>
      <c r="J11"/>
      <c r="K11"/>
      <c r="L11"/>
      <c r="M11"/>
      <c r="N11"/>
      <c r="O11"/>
      <c r="P11"/>
      <c r="Q11"/>
      <c r="R11"/>
      <c r="S11"/>
    </row>
    <row r="12" spans="1:21" ht="15.75" x14ac:dyDescent="0.3">
      <c r="A12" s="5"/>
      <c r="F12" s="10"/>
      <c r="G12" s="11"/>
      <c r="H12" s="12"/>
      <c r="J12"/>
      <c r="K12"/>
      <c r="L12"/>
      <c r="M12"/>
      <c r="N12"/>
      <c r="O12"/>
      <c r="P12"/>
      <c r="Q12"/>
      <c r="R12"/>
      <c r="S12"/>
    </row>
    <row r="13" spans="1:21" ht="15.75" x14ac:dyDescent="0.3">
      <c r="A13" s="5" t="s">
        <v>8</v>
      </c>
      <c r="C13" s="1" t="str">
        <f>+Desarrollo!B4</f>
        <v>KIA</v>
      </c>
      <c r="F13" s="6"/>
      <c r="G13" s="7"/>
      <c r="H13" s="8"/>
      <c r="J13"/>
      <c r="K13"/>
      <c r="L13"/>
      <c r="M13"/>
      <c r="N13"/>
      <c r="O13"/>
      <c r="P13"/>
      <c r="Q13"/>
      <c r="R13"/>
      <c r="S13"/>
    </row>
    <row r="14" spans="1:21" ht="15.75" x14ac:dyDescent="0.3">
      <c r="A14" s="5"/>
      <c r="F14" s="6"/>
      <c r="G14" s="7"/>
      <c r="H14" s="8"/>
      <c r="J14"/>
      <c r="K14"/>
      <c r="L14"/>
      <c r="M14"/>
      <c r="N14"/>
      <c r="O14"/>
      <c r="P14"/>
      <c r="Q14"/>
      <c r="R14"/>
      <c r="S14"/>
    </row>
    <row r="15" spans="1:21" ht="15.75" x14ac:dyDescent="0.3">
      <c r="A15" s="5" t="s">
        <v>9</v>
      </c>
      <c r="C15" s="18" t="s">
        <v>91</v>
      </c>
      <c r="D15" s="17"/>
      <c r="E15" s="17"/>
      <c r="F15" s="69" t="s">
        <v>4</v>
      </c>
      <c r="G15" s="7"/>
      <c r="H15" s="8"/>
      <c r="J15"/>
      <c r="K15"/>
      <c r="L15"/>
      <c r="M15"/>
      <c r="N15"/>
      <c r="O15"/>
      <c r="P15"/>
      <c r="Q15"/>
      <c r="R15"/>
      <c r="S15"/>
    </row>
    <row r="16" spans="1:21" ht="15.75" x14ac:dyDescent="0.3">
      <c r="C16" s="16" t="s">
        <v>178</v>
      </c>
      <c r="D16" s="17"/>
      <c r="E16" s="17"/>
      <c r="F16" s="45">
        <f>+Desarrollo!C44</f>
        <v>48</v>
      </c>
      <c r="G16" s="70" t="s">
        <v>73</v>
      </c>
      <c r="H16" s="71">
        <f>+Desarrollo!E44</f>
        <v>40</v>
      </c>
      <c r="J16"/>
      <c r="K16"/>
      <c r="L16"/>
      <c r="M16"/>
      <c r="N16"/>
      <c r="O16"/>
      <c r="P16"/>
      <c r="Q16"/>
      <c r="R16"/>
      <c r="S16"/>
    </row>
    <row r="17" spans="1:19" ht="15.75" x14ac:dyDescent="0.3">
      <c r="C17" s="16" t="s">
        <v>85</v>
      </c>
      <c r="D17" s="17"/>
      <c r="E17" s="17"/>
      <c r="F17" s="69">
        <v>1</v>
      </c>
      <c r="G17" s="72" t="s">
        <v>74</v>
      </c>
      <c r="H17" s="8"/>
      <c r="J17"/>
      <c r="K17"/>
      <c r="L17"/>
      <c r="M17"/>
      <c r="N17"/>
      <c r="O17"/>
      <c r="P17"/>
      <c r="Q17"/>
      <c r="R17"/>
      <c r="S17"/>
    </row>
    <row r="18" spans="1:19" ht="15.75" x14ac:dyDescent="0.3">
      <c r="C18" s="16" t="s">
        <v>179</v>
      </c>
      <c r="D18" s="17"/>
      <c r="E18" s="17"/>
      <c r="F18" s="6"/>
      <c r="G18" s="7"/>
      <c r="H18" s="8"/>
      <c r="J18"/>
      <c r="K18"/>
      <c r="L18"/>
      <c r="M18"/>
      <c r="N18"/>
      <c r="O18"/>
      <c r="P18"/>
      <c r="Q18"/>
      <c r="R18"/>
      <c r="S18"/>
    </row>
    <row r="19" spans="1:19" ht="15.75" x14ac:dyDescent="0.3">
      <c r="C19" s="16" t="s">
        <v>180</v>
      </c>
      <c r="D19" s="17"/>
      <c r="E19" s="17"/>
      <c r="F19" s="6"/>
      <c r="G19" s="7"/>
      <c r="H19" s="8"/>
      <c r="J19"/>
      <c r="K19"/>
      <c r="L19"/>
      <c r="M19"/>
      <c r="N19"/>
      <c r="O19"/>
      <c r="P19"/>
      <c r="Q19"/>
      <c r="R19"/>
      <c r="S19"/>
    </row>
    <row r="20" spans="1:19" ht="15.75" x14ac:dyDescent="0.3">
      <c r="C20" s="19" t="s">
        <v>181</v>
      </c>
      <c r="D20" s="17"/>
      <c r="E20" s="17"/>
      <c r="F20" s="45">
        <f>+Desarrollo!C41</f>
        <v>44</v>
      </c>
      <c r="G20" s="70" t="s">
        <v>73</v>
      </c>
      <c r="H20" s="71">
        <f>+Desarrollo!E41</f>
        <v>36</v>
      </c>
      <c r="J20"/>
      <c r="K20"/>
      <c r="L20"/>
      <c r="M20"/>
      <c r="N20"/>
      <c r="O20"/>
      <c r="P20"/>
      <c r="Q20"/>
      <c r="R20"/>
      <c r="S20"/>
    </row>
    <row r="21" spans="1:19" ht="15.75" x14ac:dyDescent="0.3">
      <c r="C21" s="17" t="s">
        <v>92</v>
      </c>
      <c r="D21" s="17"/>
      <c r="E21" s="17"/>
      <c r="F21" s="45"/>
      <c r="G21" s="70"/>
      <c r="H21" s="71"/>
      <c r="J21"/>
      <c r="K21"/>
      <c r="L21"/>
      <c r="M21"/>
      <c r="N21"/>
      <c r="O21"/>
      <c r="P21"/>
      <c r="Q21"/>
      <c r="R21"/>
      <c r="S21"/>
    </row>
    <row r="22" spans="1:19" ht="16.5" thickBot="1" x14ac:dyDescent="0.35">
      <c r="C22" s="17"/>
      <c r="D22" s="17"/>
      <c r="E22" s="17"/>
      <c r="F22" s="13"/>
      <c r="G22" s="14"/>
      <c r="H22" s="15"/>
      <c r="J22"/>
      <c r="K22"/>
      <c r="L22"/>
      <c r="M22"/>
      <c r="N22"/>
      <c r="O22"/>
      <c r="P22"/>
      <c r="Q22"/>
      <c r="R22"/>
      <c r="S22"/>
    </row>
    <row r="23" spans="1:19" ht="15.75" x14ac:dyDescent="0.3">
      <c r="A23" s="4" t="s">
        <v>11</v>
      </c>
      <c r="C23" s="77" t="str">
        <f>+Desarrollo!A36</f>
        <v>Rainbow Blanco</v>
      </c>
      <c r="E23" s="5" t="s">
        <v>12</v>
      </c>
      <c r="J23"/>
      <c r="K23"/>
      <c r="L23"/>
      <c r="M23"/>
      <c r="N23"/>
      <c r="O23"/>
      <c r="P23"/>
      <c r="Q23"/>
      <c r="R23"/>
      <c r="S23"/>
    </row>
    <row r="24" spans="1:19" ht="15.75" x14ac:dyDescent="0.3">
      <c r="J24"/>
      <c r="K24"/>
      <c r="L24"/>
      <c r="M24"/>
      <c r="N24"/>
      <c r="O24"/>
      <c r="P24"/>
      <c r="Q24"/>
      <c r="R24"/>
      <c r="S24"/>
    </row>
    <row r="25" spans="1:19" ht="15.75" x14ac:dyDescent="0.3">
      <c r="A25" s="4" t="s">
        <v>13</v>
      </c>
      <c r="C25" s="22">
        <f>+Desarrollo!C43</f>
        <v>100</v>
      </c>
      <c r="D25" s="21" t="s">
        <v>14</v>
      </c>
      <c r="E25" s="23">
        <f>+Desarrollo!E43</f>
        <v>130</v>
      </c>
      <c r="F25" s="24">
        <f>+C25</f>
        <v>100</v>
      </c>
      <c r="G25" s="25" t="s">
        <v>14</v>
      </c>
      <c r="H25" s="25">
        <f>+E25</f>
        <v>130</v>
      </c>
      <c r="J25"/>
      <c r="K25"/>
      <c r="L25"/>
      <c r="M25"/>
      <c r="N25"/>
      <c r="O25"/>
      <c r="P25"/>
      <c r="Q25"/>
      <c r="R25"/>
      <c r="S25"/>
    </row>
    <row r="26" spans="1:19" ht="15.75" x14ac:dyDescent="0.3">
      <c r="A26" s="4" t="s">
        <v>15</v>
      </c>
      <c r="B26" s="3"/>
      <c r="C26" s="26">
        <f>+F16</f>
        <v>48</v>
      </c>
      <c r="D26" s="27" t="s">
        <v>14</v>
      </c>
      <c r="E26" s="26">
        <f>+H16</f>
        <v>40</v>
      </c>
      <c r="F26" s="28">
        <f>+E26</f>
        <v>40</v>
      </c>
      <c r="G26" s="28" t="s">
        <v>14</v>
      </c>
      <c r="H26" s="28">
        <f>+C26</f>
        <v>48</v>
      </c>
      <c r="I26" s="29"/>
      <c r="J26"/>
      <c r="K26"/>
      <c r="L26"/>
      <c r="M26"/>
      <c r="N26"/>
      <c r="O26"/>
      <c r="P26"/>
      <c r="Q26"/>
      <c r="R26"/>
      <c r="S26"/>
    </row>
    <row r="27" spans="1:19" ht="16.5" thickBot="1" x14ac:dyDescent="0.35">
      <c r="A27" s="3" t="s">
        <v>16</v>
      </c>
      <c r="B27" s="30"/>
      <c r="C27" s="31">
        <f>+C25/C26</f>
        <v>2.0833333333333335</v>
      </c>
      <c r="D27" s="32"/>
      <c r="E27" s="31">
        <f>+E25/E26</f>
        <v>3.25</v>
      </c>
      <c r="F27" s="31">
        <f>+F25/F26</f>
        <v>2.5</v>
      </c>
      <c r="G27" s="32"/>
      <c r="H27" s="31">
        <f>+H25/H26</f>
        <v>2.7083333333333335</v>
      </c>
      <c r="I27" s="29"/>
      <c r="J27"/>
      <c r="K27"/>
      <c r="L27"/>
      <c r="M27"/>
      <c r="N27"/>
      <c r="O27"/>
      <c r="P27"/>
      <c r="Q27"/>
      <c r="R27"/>
      <c r="S27"/>
    </row>
    <row r="28" spans="1:19" ht="16.5" thickBot="1" x14ac:dyDescent="0.35">
      <c r="A28" s="3" t="s">
        <v>17</v>
      </c>
      <c r="B28" s="33"/>
      <c r="C28" s="34"/>
      <c r="D28" s="35">
        <v>6</v>
      </c>
      <c r="E28" s="36"/>
      <c r="F28" s="37"/>
      <c r="G28" s="38">
        <v>4</v>
      </c>
      <c r="H28" s="39" t="s">
        <v>18</v>
      </c>
      <c r="J28"/>
      <c r="K28"/>
      <c r="L28"/>
      <c r="M28"/>
      <c r="N28"/>
      <c r="O28"/>
      <c r="P28"/>
      <c r="Q28"/>
      <c r="R28"/>
      <c r="S28"/>
    </row>
    <row r="29" spans="1:19" ht="15.75" x14ac:dyDescent="0.3">
      <c r="A29" s="3"/>
      <c r="B29" s="20"/>
      <c r="C29" s="29"/>
      <c r="G29" s="40"/>
      <c r="H29" s="29"/>
      <c r="J29"/>
      <c r="K29"/>
      <c r="L29"/>
      <c r="M29"/>
      <c r="N29"/>
      <c r="O29"/>
      <c r="P29"/>
      <c r="Q29"/>
      <c r="R29"/>
      <c r="S29"/>
    </row>
    <row r="30" spans="1:19" ht="15.75" x14ac:dyDescent="0.3">
      <c r="A30" s="24" t="s">
        <v>19</v>
      </c>
      <c r="B30" s="24" t="str">
        <f>+'Empalme Caja INT'!B30</f>
        <v>White House</v>
      </c>
      <c r="D30" s="40" t="s">
        <v>20</v>
      </c>
      <c r="E30" s="41">
        <f>+Desarrollo!F36</f>
        <v>58</v>
      </c>
      <c r="F30" s="92"/>
      <c r="G30" s="1" t="s">
        <v>21</v>
      </c>
      <c r="H30" s="42">
        <v>0.1</v>
      </c>
      <c r="J30"/>
      <c r="K30"/>
      <c r="L30"/>
      <c r="M30"/>
      <c r="N30"/>
      <c r="O30"/>
      <c r="P30"/>
      <c r="Q30"/>
      <c r="R30"/>
      <c r="S30"/>
    </row>
    <row r="31" spans="1:19" ht="15.75" x14ac:dyDescent="0.3">
      <c r="A31" s="3"/>
      <c r="B31" s="3"/>
      <c r="C31" s="3"/>
      <c r="D31" s="43" t="s">
        <v>22</v>
      </c>
      <c r="E31" s="41">
        <f>+H30*E30</f>
        <v>5.8000000000000007</v>
      </c>
      <c r="H31" s="42"/>
      <c r="I31" s="29"/>
      <c r="J31"/>
      <c r="K31"/>
      <c r="L31"/>
      <c r="M31"/>
      <c r="N31"/>
      <c r="O31"/>
      <c r="P31"/>
      <c r="Q31"/>
      <c r="R31"/>
      <c r="S31"/>
    </row>
    <row r="32" spans="1:19" ht="15.75" x14ac:dyDescent="0.3">
      <c r="D32" s="43" t="s">
        <v>23</v>
      </c>
      <c r="E32" s="44">
        <f>+E30-E31</f>
        <v>52.2</v>
      </c>
      <c r="I32" s="29"/>
      <c r="J32"/>
      <c r="K32"/>
      <c r="L32"/>
      <c r="M32"/>
      <c r="N32"/>
      <c r="O32"/>
      <c r="P32"/>
      <c r="Q32"/>
      <c r="R32"/>
      <c r="S32"/>
    </row>
    <row r="33" spans="1:19" ht="15.75" x14ac:dyDescent="0.3">
      <c r="E33" s="20" t="s">
        <v>25</v>
      </c>
      <c r="F33" s="20" t="s">
        <v>26</v>
      </c>
      <c r="G33" s="20" t="s">
        <v>26</v>
      </c>
      <c r="H33" s="20" t="s">
        <v>26</v>
      </c>
      <c r="I33" s="29"/>
      <c r="J33"/>
      <c r="K33"/>
      <c r="L33"/>
      <c r="M33"/>
      <c r="N33"/>
      <c r="O33"/>
      <c r="P33"/>
      <c r="Q33"/>
      <c r="R33"/>
      <c r="S33"/>
    </row>
    <row r="34" spans="1:19" ht="15.75" x14ac:dyDescent="0.3">
      <c r="D34" s="40" t="s">
        <v>27</v>
      </c>
      <c r="E34" s="46">
        <f>+E32</f>
        <v>52.2</v>
      </c>
      <c r="F34" s="46">
        <v>0</v>
      </c>
      <c r="G34" s="46">
        <v>0</v>
      </c>
      <c r="H34" s="46">
        <v>0</v>
      </c>
      <c r="J34"/>
      <c r="K34"/>
      <c r="L34"/>
      <c r="M34"/>
      <c r="N34"/>
      <c r="O34"/>
      <c r="P34"/>
      <c r="Q34"/>
      <c r="R34"/>
      <c r="S34"/>
    </row>
    <row r="35" spans="1:19" ht="15.75" x14ac:dyDescent="0.3">
      <c r="D35" s="40" t="s">
        <v>28</v>
      </c>
      <c r="E35" s="46">
        <f>+E34*1.2</f>
        <v>62.64</v>
      </c>
      <c r="F35" s="46">
        <v>0</v>
      </c>
      <c r="G35" s="46">
        <v>0</v>
      </c>
      <c r="H35" s="46">
        <v>0</v>
      </c>
      <c r="J35"/>
      <c r="K35"/>
      <c r="L35"/>
      <c r="M35"/>
      <c r="N35"/>
      <c r="O35"/>
      <c r="P35"/>
      <c r="Q35"/>
      <c r="R35"/>
      <c r="S35"/>
    </row>
    <row r="36" spans="1:19" ht="16.5" thickBot="1" x14ac:dyDescent="0.35">
      <c r="A36" s="3"/>
      <c r="G36" s="40"/>
      <c r="J36"/>
      <c r="K36"/>
      <c r="L36"/>
      <c r="M36"/>
      <c r="N36"/>
      <c r="O36"/>
      <c r="P36"/>
      <c r="Q36"/>
      <c r="R36"/>
      <c r="S36"/>
    </row>
    <row r="37" spans="1:19" ht="15.75" x14ac:dyDescent="0.3">
      <c r="A37" s="3"/>
      <c r="B37" s="20"/>
      <c r="C37" s="29"/>
      <c r="E37" s="10" t="s">
        <v>30</v>
      </c>
      <c r="F37" s="11" t="s">
        <v>31</v>
      </c>
      <c r="G37" s="11"/>
      <c r="H37" s="12"/>
      <c r="J37"/>
      <c r="K37"/>
      <c r="L37"/>
      <c r="M37"/>
      <c r="N37"/>
      <c r="O37"/>
      <c r="P37"/>
      <c r="Q37"/>
      <c r="R37"/>
      <c r="S37"/>
    </row>
    <row r="38" spans="1:19" ht="16.5" thickBot="1" x14ac:dyDescent="0.35">
      <c r="A38" s="4" t="s">
        <v>32</v>
      </c>
      <c r="C38" s="47">
        <v>6</v>
      </c>
      <c r="D38" s="48" t="s">
        <v>33</v>
      </c>
      <c r="E38" s="13"/>
      <c r="F38" s="14" t="s">
        <v>34</v>
      </c>
      <c r="G38" s="14"/>
      <c r="H38" s="15"/>
      <c r="J38"/>
      <c r="K38"/>
      <c r="L38"/>
      <c r="M38"/>
      <c r="N38"/>
      <c r="O38"/>
      <c r="P38"/>
      <c r="Q38"/>
      <c r="R38"/>
      <c r="S38"/>
    </row>
    <row r="39" spans="1:19" ht="15.75" x14ac:dyDescent="0.3">
      <c r="A39" s="4"/>
      <c r="C39" s="20"/>
      <c r="D39" s="1" t="s">
        <v>35</v>
      </c>
      <c r="E39" s="3"/>
      <c r="F39" s="3"/>
      <c r="J39"/>
      <c r="K39"/>
      <c r="L39"/>
      <c r="M39"/>
      <c r="N39"/>
      <c r="O39"/>
      <c r="P39"/>
      <c r="Q39"/>
      <c r="R39"/>
      <c r="S39"/>
    </row>
    <row r="40" spans="1:19" ht="15.75" x14ac:dyDescent="0.3">
      <c r="A40" s="4" t="s">
        <v>36</v>
      </c>
      <c r="B40" s="5"/>
      <c r="C40" s="49">
        <f>+B48/F17</f>
        <v>90</v>
      </c>
      <c r="D40" s="23">
        <v>20</v>
      </c>
      <c r="F40" s="43" t="s">
        <v>37</v>
      </c>
      <c r="G40" s="22">
        <v>1</v>
      </c>
      <c r="H40" s="3"/>
      <c r="J40"/>
      <c r="K40"/>
      <c r="L40"/>
      <c r="M40"/>
      <c r="N40"/>
      <c r="O40"/>
      <c r="P40"/>
      <c r="Q40"/>
      <c r="R40"/>
      <c r="S40"/>
    </row>
    <row r="41" spans="1:19" ht="15.75" x14ac:dyDescent="0.3">
      <c r="A41" s="4" t="s">
        <v>38</v>
      </c>
      <c r="C41" s="33">
        <f>+C40+D40</f>
        <v>110</v>
      </c>
      <c r="F41" s="43" t="s">
        <v>39</v>
      </c>
      <c r="G41" s="22">
        <v>2</v>
      </c>
      <c r="H41" s="3"/>
      <c r="J41"/>
      <c r="K41"/>
      <c r="L41"/>
      <c r="M41"/>
      <c r="N41"/>
      <c r="O41"/>
      <c r="P41"/>
      <c r="Q41"/>
      <c r="R41"/>
      <c r="S41"/>
    </row>
    <row r="42" spans="1:19" ht="15.75" x14ac:dyDescent="0.3">
      <c r="A42" s="4" t="s">
        <v>40</v>
      </c>
      <c r="C42" s="33">
        <f>+C41/C38</f>
        <v>18.333333333333332</v>
      </c>
      <c r="F42" s="43" t="s">
        <v>41</v>
      </c>
      <c r="G42" s="22"/>
      <c r="H42" s="3"/>
      <c r="J42"/>
      <c r="K42"/>
      <c r="L42"/>
      <c r="M42"/>
      <c r="N42"/>
      <c r="O42"/>
      <c r="P42"/>
      <c r="Q42"/>
      <c r="R42"/>
      <c r="S42"/>
    </row>
    <row r="43" spans="1:19" ht="15.75" x14ac:dyDescent="0.3">
      <c r="A43" s="4" t="s">
        <v>83</v>
      </c>
      <c r="C43" s="20">
        <f>+(C42*C38)*F17</f>
        <v>110</v>
      </c>
      <c r="F43" s="40" t="s">
        <v>42</v>
      </c>
      <c r="G43" s="22">
        <f>+C40/1000</f>
        <v>0.09</v>
      </c>
      <c r="H43" s="3"/>
      <c r="J43"/>
      <c r="K43"/>
      <c r="L43"/>
      <c r="M43"/>
      <c r="N43"/>
      <c r="O43"/>
      <c r="P43"/>
      <c r="Q43"/>
      <c r="R43"/>
      <c r="S43"/>
    </row>
    <row r="44" spans="1:19" ht="15.75" x14ac:dyDescent="0.3">
      <c r="A44" s="4"/>
      <c r="C44" s="50"/>
      <c r="F44" s="43" t="s">
        <v>43</v>
      </c>
      <c r="G44" s="47">
        <f>+C41</f>
        <v>110</v>
      </c>
      <c r="H44" s="3"/>
      <c r="J44"/>
      <c r="K44"/>
      <c r="L44"/>
      <c r="M44"/>
      <c r="N44"/>
      <c r="O44"/>
      <c r="P44"/>
      <c r="Q44"/>
      <c r="R44"/>
      <c r="S44"/>
    </row>
    <row r="45" spans="1:19" ht="15.75" x14ac:dyDescent="0.3">
      <c r="A45" s="4"/>
      <c r="C45" s="20"/>
      <c r="E45" s="43"/>
      <c r="F45" s="43"/>
      <c r="G45" s="29"/>
      <c r="I45" s="3"/>
      <c r="J45"/>
      <c r="K45"/>
      <c r="L45"/>
      <c r="M45"/>
      <c r="N45"/>
      <c r="O45"/>
      <c r="P45"/>
      <c r="Q45"/>
      <c r="R45"/>
      <c r="S45"/>
    </row>
    <row r="46" spans="1:19" ht="15.75" x14ac:dyDescent="0.3">
      <c r="A46" s="4" t="s">
        <v>44</v>
      </c>
      <c r="C46" s="24">
        <f>+C42*C38</f>
        <v>110</v>
      </c>
      <c r="F46" s="43"/>
      <c r="G46" s="29"/>
      <c r="H46" s="3"/>
      <c r="J46"/>
      <c r="K46"/>
      <c r="L46"/>
      <c r="M46"/>
      <c r="N46"/>
      <c r="O46"/>
      <c r="P46"/>
      <c r="Q46"/>
      <c r="R46"/>
      <c r="S46"/>
    </row>
    <row r="47" spans="1:19" x14ac:dyDescent="0.3">
      <c r="A47" s="3"/>
      <c r="B47" s="3"/>
      <c r="C47" s="3"/>
      <c r="D47" s="3"/>
      <c r="E47" s="3"/>
      <c r="H47" s="3"/>
    </row>
    <row r="48" spans="1:19" x14ac:dyDescent="0.3">
      <c r="A48" s="4" t="s">
        <v>68</v>
      </c>
      <c r="B48" s="20">
        <f>+Desarrollo!B7</f>
        <v>90</v>
      </c>
      <c r="C48" s="20"/>
      <c r="D48" s="24" t="s">
        <v>45</v>
      </c>
      <c r="E48" s="24" t="s">
        <v>46</v>
      </c>
      <c r="F48" s="24" t="s">
        <v>47</v>
      </c>
      <c r="G48" s="24" t="s">
        <v>48</v>
      </c>
      <c r="H48" s="24" t="s">
        <v>49</v>
      </c>
    </row>
    <row r="49" spans="1:23" x14ac:dyDescent="0.3">
      <c r="A49" s="51" t="s">
        <v>50</v>
      </c>
      <c r="B49" s="52"/>
      <c r="C49" s="3"/>
      <c r="D49" s="20">
        <v>0</v>
      </c>
      <c r="E49" s="20">
        <v>0</v>
      </c>
      <c r="F49" s="20" t="s">
        <v>51</v>
      </c>
      <c r="G49" s="29">
        <f>185+145</f>
        <v>330</v>
      </c>
      <c r="H49" s="29">
        <f>+(D49*E49)*G49</f>
        <v>0</v>
      </c>
    </row>
    <row r="50" spans="1:23" x14ac:dyDescent="0.3">
      <c r="A50" s="52" t="s">
        <v>52</v>
      </c>
      <c r="B50" s="53">
        <f>+E34*C42</f>
        <v>957</v>
      </c>
      <c r="C50" s="3"/>
      <c r="D50" s="20">
        <v>0</v>
      </c>
      <c r="E50" s="20">
        <v>0</v>
      </c>
      <c r="F50" s="20" t="s">
        <v>69</v>
      </c>
      <c r="G50" s="29">
        <v>145</v>
      </c>
      <c r="H50" s="29">
        <f>+(D50*E50)*G50</f>
        <v>0</v>
      </c>
    </row>
    <row r="51" spans="1:23" x14ac:dyDescent="0.3">
      <c r="A51" s="52" t="s">
        <v>10</v>
      </c>
      <c r="B51" s="53">
        <f>+H61</f>
        <v>390</v>
      </c>
      <c r="C51" s="3"/>
      <c r="D51" s="20">
        <v>0</v>
      </c>
      <c r="E51" s="20">
        <v>0</v>
      </c>
      <c r="F51" s="20" t="s">
        <v>75</v>
      </c>
      <c r="G51" s="29">
        <v>500</v>
      </c>
      <c r="H51" s="29">
        <f>+G51*E51*D51</f>
        <v>0</v>
      </c>
    </row>
    <row r="52" spans="1:23" x14ac:dyDescent="0.3">
      <c r="A52" s="52"/>
      <c r="B52" s="53"/>
      <c r="C52" s="3"/>
      <c r="D52" s="20">
        <v>1</v>
      </c>
      <c r="E52" s="20">
        <v>1</v>
      </c>
      <c r="F52" s="20" t="s">
        <v>93</v>
      </c>
      <c r="G52" s="29">
        <v>100</v>
      </c>
      <c r="H52" s="29">
        <f t="shared" ref="H52:H59" si="0">+G52*E52</f>
        <v>100</v>
      </c>
      <c r="I52" s="60">
        <f>+(B73/100)*2</f>
        <v>123.76800000000001</v>
      </c>
    </row>
    <row r="53" spans="1:23" ht="16.5" x14ac:dyDescent="0.3">
      <c r="A53" s="52" t="s">
        <v>24</v>
      </c>
      <c r="B53" s="53">
        <v>0</v>
      </c>
      <c r="C53" s="3"/>
      <c r="D53" s="20">
        <v>1</v>
      </c>
      <c r="E53" s="20">
        <v>1</v>
      </c>
      <c r="F53" s="20" t="s">
        <v>70</v>
      </c>
      <c r="G53" s="29">
        <v>145</v>
      </c>
      <c r="H53" s="29">
        <f t="shared" si="0"/>
        <v>145</v>
      </c>
      <c r="I53" s="54"/>
    </row>
    <row r="54" spans="1:23" x14ac:dyDescent="0.3">
      <c r="A54" s="55" t="s">
        <v>129</v>
      </c>
      <c r="B54" s="53">
        <v>0</v>
      </c>
      <c r="C54" s="3"/>
      <c r="D54" s="20">
        <v>1</v>
      </c>
      <c r="E54" s="20">
        <v>1</v>
      </c>
      <c r="F54" s="20" t="s">
        <v>71</v>
      </c>
      <c r="G54" s="29">
        <v>145</v>
      </c>
      <c r="H54" s="29">
        <f t="shared" si="0"/>
        <v>145</v>
      </c>
    </row>
    <row r="55" spans="1:23" x14ac:dyDescent="0.3">
      <c r="A55" s="55" t="s">
        <v>90</v>
      </c>
      <c r="B55" s="53">
        <v>0</v>
      </c>
      <c r="D55" s="20">
        <v>0</v>
      </c>
      <c r="E55" s="20">
        <v>0</v>
      </c>
      <c r="F55" s="20" t="s">
        <v>88</v>
      </c>
      <c r="G55" s="29">
        <v>120</v>
      </c>
      <c r="H55" s="29">
        <f>+G55*E55</f>
        <v>0</v>
      </c>
    </row>
    <row r="56" spans="1:23" x14ac:dyDescent="0.3">
      <c r="A56" s="55" t="s">
        <v>89</v>
      </c>
      <c r="B56" s="53">
        <f>+((30*B48)*1.1)</f>
        <v>2970.0000000000005</v>
      </c>
      <c r="D56" s="20">
        <v>0</v>
      </c>
      <c r="E56" s="20">
        <v>0</v>
      </c>
      <c r="F56" s="20" t="s">
        <v>29</v>
      </c>
      <c r="G56" s="29">
        <v>1.5</v>
      </c>
      <c r="H56" s="29">
        <f>+G56*E56</f>
        <v>0</v>
      </c>
    </row>
    <row r="57" spans="1:23" ht="15.75" x14ac:dyDescent="0.3">
      <c r="A57" s="55"/>
      <c r="B57" s="55"/>
      <c r="D57" s="20">
        <v>0</v>
      </c>
      <c r="E57" s="20">
        <v>0</v>
      </c>
      <c r="F57" s="20" t="s">
        <v>130</v>
      </c>
      <c r="G57" s="29">
        <f>+E83</f>
        <v>210.065878</v>
      </c>
      <c r="H57" s="29">
        <f t="shared" ref="H57" si="1">+G57*E57</f>
        <v>0</v>
      </c>
      <c r="J57"/>
      <c r="K57"/>
      <c r="L57"/>
      <c r="M57"/>
      <c r="N57"/>
      <c r="O57"/>
      <c r="P57"/>
      <c r="Q57"/>
      <c r="R57"/>
      <c r="S57"/>
      <c r="T57"/>
      <c r="U57"/>
      <c r="V57"/>
      <c r="W57"/>
    </row>
    <row r="58" spans="1:23" ht="15.75" x14ac:dyDescent="0.3">
      <c r="A58" s="51" t="s">
        <v>55</v>
      </c>
      <c r="B58" s="56">
        <f>SUM(B50:B57)</f>
        <v>4317</v>
      </c>
      <c r="C58" s="3"/>
      <c r="D58" s="20">
        <v>0</v>
      </c>
      <c r="E58" s="20">
        <v>0</v>
      </c>
      <c r="F58" s="3" t="s">
        <v>56</v>
      </c>
      <c r="G58" s="29">
        <f>+E80</f>
        <v>131.18423999999999</v>
      </c>
      <c r="H58" s="29">
        <f t="shared" si="0"/>
        <v>0</v>
      </c>
      <c r="J58"/>
      <c r="K58"/>
      <c r="L58"/>
      <c r="M58"/>
      <c r="N58"/>
      <c r="O58"/>
      <c r="P58"/>
      <c r="Q58"/>
      <c r="R58"/>
      <c r="S58"/>
      <c r="T58"/>
      <c r="U58"/>
      <c r="V58"/>
      <c r="W58"/>
    </row>
    <row r="59" spans="1:23" ht="15.75" x14ac:dyDescent="0.3">
      <c r="A59" s="9"/>
      <c r="B59" s="57"/>
      <c r="C59" s="3"/>
      <c r="D59" s="20"/>
      <c r="E59" s="20"/>
      <c r="F59" s="3"/>
      <c r="G59" s="3"/>
      <c r="H59" s="29">
        <f t="shared" si="0"/>
        <v>0</v>
      </c>
      <c r="J59"/>
      <c r="K59"/>
      <c r="L59"/>
      <c r="M59"/>
      <c r="N59"/>
      <c r="O59"/>
      <c r="P59"/>
      <c r="Q59"/>
      <c r="R59"/>
      <c r="S59"/>
      <c r="T59"/>
      <c r="U59"/>
      <c r="V59"/>
      <c r="W59"/>
    </row>
    <row r="60" spans="1:23" ht="15.75" x14ac:dyDescent="0.3">
      <c r="A60" s="9"/>
      <c r="B60" s="31">
        <f>+B58/B48</f>
        <v>47.966666666666669</v>
      </c>
      <c r="C60" s="4" t="s">
        <v>57</v>
      </c>
      <c r="D60" s="3"/>
      <c r="E60" s="3"/>
      <c r="F60" s="3"/>
      <c r="G60" s="3"/>
      <c r="J60"/>
      <c r="K60"/>
      <c r="L60"/>
      <c r="M60"/>
      <c r="N60"/>
      <c r="O60"/>
      <c r="P60"/>
      <c r="Q60"/>
      <c r="R60"/>
      <c r="S60"/>
      <c r="T60"/>
      <c r="U60"/>
      <c r="V60"/>
      <c r="W60"/>
    </row>
    <row r="61" spans="1:23" ht="15.75" x14ac:dyDescent="0.3">
      <c r="A61" s="3"/>
      <c r="B61" s="3"/>
      <c r="D61" s="3"/>
      <c r="E61" s="3"/>
      <c r="F61" s="3"/>
      <c r="G61" s="58" t="s">
        <v>58</v>
      </c>
      <c r="H61" s="29">
        <f>SUM(H49:H60)</f>
        <v>390</v>
      </c>
      <c r="J61"/>
      <c r="K61"/>
      <c r="L61"/>
      <c r="M61"/>
      <c r="N61"/>
      <c r="O61"/>
      <c r="P61"/>
      <c r="Q61"/>
      <c r="R61"/>
      <c r="S61"/>
      <c r="T61"/>
      <c r="U61"/>
      <c r="V61"/>
      <c r="W61"/>
    </row>
    <row r="62" spans="1:23" ht="15.75" x14ac:dyDescent="0.3">
      <c r="D62" s="3"/>
      <c r="E62" s="3"/>
      <c r="G62" s="5" t="s">
        <v>59</v>
      </c>
      <c r="H62" s="73">
        <v>1.5</v>
      </c>
      <c r="J62"/>
      <c r="K62"/>
      <c r="L62"/>
      <c r="M62"/>
      <c r="N62"/>
      <c r="O62"/>
      <c r="P62"/>
      <c r="Q62"/>
      <c r="R62"/>
      <c r="S62"/>
      <c r="T62"/>
      <c r="U62"/>
      <c r="V62"/>
      <c r="W62"/>
    </row>
    <row r="63" spans="1:23" ht="15.75" x14ac:dyDescent="0.3">
      <c r="A63" s="4" t="s">
        <v>60</v>
      </c>
      <c r="B63" s="3"/>
      <c r="C63" s="3"/>
      <c r="E63" s="31">
        <f>+B73/C40</f>
        <v>68.760000000000005</v>
      </c>
      <c r="G63" s="1" t="s">
        <v>61</v>
      </c>
      <c r="H63" s="59">
        <v>1.75</v>
      </c>
      <c r="J63"/>
      <c r="K63"/>
      <c r="L63"/>
      <c r="M63"/>
      <c r="N63"/>
      <c r="O63"/>
      <c r="P63"/>
      <c r="Q63"/>
      <c r="R63"/>
      <c r="S63"/>
      <c r="T63"/>
      <c r="U63"/>
      <c r="V63"/>
      <c r="W63"/>
    </row>
    <row r="64" spans="1:23" ht="15.75" x14ac:dyDescent="0.3">
      <c r="A64" s="3"/>
      <c r="B64" s="4" t="s">
        <v>62</v>
      </c>
      <c r="C64" s="24" t="s">
        <v>63</v>
      </c>
      <c r="D64" s="3"/>
      <c r="E64" s="3"/>
      <c r="F64" s="3"/>
      <c r="G64" s="1" t="s">
        <v>61</v>
      </c>
      <c r="H64" s="59">
        <v>2</v>
      </c>
      <c r="J64"/>
      <c r="K64"/>
      <c r="L64"/>
      <c r="M64"/>
      <c r="N64"/>
      <c r="O64"/>
      <c r="P64"/>
      <c r="Q64"/>
      <c r="R64"/>
      <c r="S64"/>
      <c r="T64"/>
      <c r="U64"/>
      <c r="V64"/>
      <c r="W64"/>
    </row>
    <row r="65" spans="1:23" ht="15.75" x14ac:dyDescent="0.3">
      <c r="A65" s="51" t="s">
        <v>64</v>
      </c>
      <c r="B65" s="52"/>
      <c r="C65" s="3"/>
      <c r="D65" s="3">
        <f>+B73*C69</f>
        <v>0</v>
      </c>
      <c r="E65" s="3"/>
      <c r="F65" s="3"/>
      <c r="G65" s="5" t="s">
        <v>72</v>
      </c>
      <c r="H65" s="59">
        <v>2.5</v>
      </c>
      <c r="J65"/>
      <c r="K65"/>
      <c r="L65"/>
      <c r="M65"/>
      <c r="N65"/>
      <c r="O65"/>
      <c r="P65"/>
      <c r="Q65"/>
      <c r="R65"/>
      <c r="S65"/>
      <c r="T65"/>
      <c r="U65"/>
      <c r="V65"/>
      <c r="W65"/>
    </row>
    <row r="66" spans="1:23" ht="15.75" x14ac:dyDescent="0.3">
      <c r="A66" s="52" t="s">
        <v>52</v>
      </c>
      <c r="B66" s="53">
        <f>+E35*C42</f>
        <v>1148.3999999999999</v>
      </c>
      <c r="C66" s="60"/>
      <c r="J66"/>
      <c r="K66"/>
      <c r="L66"/>
      <c r="M66"/>
      <c r="N66"/>
      <c r="O66"/>
      <c r="P66"/>
      <c r="Q66"/>
      <c r="R66"/>
      <c r="S66"/>
      <c r="T66"/>
      <c r="U66"/>
      <c r="V66"/>
      <c r="W66"/>
    </row>
    <row r="67" spans="1:23" ht="15.75" x14ac:dyDescent="0.3">
      <c r="A67" s="52" t="s">
        <v>10</v>
      </c>
      <c r="B67" s="53">
        <f>+H61*H62</f>
        <v>585</v>
      </c>
      <c r="C67" s="60"/>
      <c r="J67"/>
      <c r="K67"/>
      <c r="L67"/>
      <c r="M67"/>
      <c r="N67"/>
      <c r="O67"/>
      <c r="P67"/>
      <c r="Q67"/>
      <c r="R67"/>
      <c r="S67"/>
      <c r="T67"/>
      <c r="U67"/>
      <c r="V67"/>
      <c r="W67"/>
    </row>
    <row r="68" spans="1:23" ht="15.75" x14ac:dyDescent="0.3">
      <c r="A68" s="52" t="str">
        <f>+A53</f>
        <v>Tabla de suaje</v>
      </c>
      <c r="B68" s="53">
        <f>+B53*H62</f>
        <v>0</v>
      </c>
      <c r="C68" s="60"/>
      <c r="J68"/>
      <c r="K68"/>
      <c r="L68"/>
      <c r="M68"/>
      <c r="N68"/>
      <c r="O68"/>
      <c r="P68"/>
      <c r="Q68"/>
      <c r="R68"/>
      <c r="S68"/>
      <c r="T68"/>
      <c r="U68"/>
      <c r="V68"/>
      <c r="W68"/>
    </row>
    <row r="69" spans="1:23" ht="15.75" x14ac:dyDescent="0.3">
      <c r="A69" s="52" t="str">
        <f>+A54</f>
        <v>Pruebas de color</v>
      </c>
      <c r="B69" s="53">
        <f>+B54*H62</f>
        <v>0</v>
      </c>
      <c r="C69" s="60"/>
      <c r="J69"/>
      <c r="K69"/>
      <c r="L69"/>
      <c r="M69"/>
      <c r="N69"/>
      <c r="O69"/>
      <c r="P69"/>
      <c r="Q69"/>
      <c r="R69"/>
      <c r="S69"/>
      <c r="T69"/>
      <c r="U69"/>
      <c r="V69"/>
      <c r="W69"/>
    </row>
    <row r="70" spans="1:23" ht="15.75" x14ac:dyDescent="0.3">
      <c r="A70" s="52" t="str">
        <f>+A55</f>
        <v>Imán</v>
      </c>
      <c r="B70" s="53">
        <f>+B55*H62</f>
        <v>0</v>
      </c>
      <c r="C70" s="60"/>
      <c r="F70" s="61" t="s">
        <v>65</v>
      </c>
      <c r="G70" s="31">
        <f>+B60</f>
        <v>47.966666666666669</v>
      </c>
      <c r="H70" s="62">
        <f>+G70*B48</f>
        <v>4317</v>
      </c>
      <c r="J70"/>
      <c r="K70"/>
      <c r="L70"/>
      <c r="M70"/>
      <c r="N70"/>
      <c r="O70"/>
      <c r="P70"/>
      <c r="Q70"/>
      <c r="R70"/>
      <c r="S70"/>
      <c r="T70"/>
      <c r="U70"/>
      <c r="V70"/>
      <c r="W70"/>
    </row>
    <row r="71" spans="1:23" ht="15.75" x14ac:dyDescent="0.3">
      <c r="A71" s="52" t="str">
        <f>+A56</f>
        <v>Encuadernación</v>
      </c>
      <c r="B71" s="53">
        <f>+B56*H62</f>
        <v>4455.0000000000009</v>
      </c>
      <c r="C71" s="63"/>
      <c r="F71" s="61" t="s">
        <v>66</v>
      </c>
      <c r="G71" s="31">
        <f>+C73</f>
        <v>68.760000000000005</v>
      </c>
      <c r="H71" s="62">
        <f>+G71*B48</f>
        <v>6188.4000000000005</v>
      </c>
      <c r="J71"/>
      <c r="K71"/>
      <c r="L71"/>
      <c r="M71"/>
      <c r="N71"/>
      <c r="O71"/>
      <c r="P71"/>
      <c r="Q71"/>
      <c r="R71"/>
      <c r="S71"/>
      <c r="T71"/>
      <c r="U71"/>
      <c r="V71"/>
      <c r="W71"/>
    </row>
    <row r="72" spans="1:23" ht="15.75" x14ac:dyDescent="0.3">
      <c r="A72" s="52"/>
      <c r="B72" s="53"/>
      <c r="C72" s="63"/>
      <c r="F72" s="64" t="s">
        <v>67</v>
      </c>
      <c r="G72" s="65">
        <f>+G71-G70</f>
        <v>20.793333333333337</v>
      </c>
      <c r="H72" s="93">
        <f>+G72*B48</f>
        <v>1871.4000000000003</v>
      </c>
      <c r="J72"/>
      <c r="K72"/>
      <c r="L72"/>
      <c r="M72"/>
      <c r="N72"/>
      <c r="O72"/>
      <c r="P72"/>
      <c r="Q72"/>
      <c r="R72"/>
      <c r="S72"/>
      <c r="T72"/>
      <c r="U72"/>
      <c r="V72"/>
      <c r="W72"/>
    </row>
    <row r="73" spans="1:23" ht="15.75" x14ac:dyDescent="0.3">
      <c r="A73" s="51" t="s">
        <v>55</v>
      </c>
      <c r="B73" s="56">
        <f>SUM(B65:B72)</f>
        <v>6188.4000000000005</v>
      </c>
      <c r="C73" s="65">
        <f>+B73/B48</f>
        <v>68.760000000000005</v>
      </c>
      <c r="D73" s="5" t="s">
        <v>135</v>
      </c>
      <c r="J73"/>
      <c r="K73"/>
      <c r="L73"/>
      <c r="M73"/>
      <c r="N73"/>
      <c r="O73"/>
      <c r="P73"/>
      <c r="Q73"/>
      <c r="R73"/>
      <c r="S73"/>
      <c r="T73"/>
      <c r="U73"/>
      <c r="V73"/>
      <c r="W73"/>
    </row>
    <row r="74" spans="1:23" ht="15.75" x14ac:dyDescent="0.3">
      <c r="C74" s="74"/>
      <c r="D74" s="5"/>
      <c r="J74"/>
      <c r="K74"/>
      <c r="L74"/>
      <c r="M74"/>
      <c r="N74"/>
      <c r="O74"/>
      <c r="P74"/>
      <c r="Q74"/>
      <c r="R74"/>
      <c r="S74"/>
      <c r="T74"/>
      <c r="U74"/>
      <c r="V74"/>
      <c r="W74"/>
    </row>
    <row r="75" spans="1:23" x14ac:dyDescent="0.3">
      <c r="C75" s="74"/>
      <c r="D75" s="5"/>
    </row>
    <row r="76" spans="1:23" x14ac:dyDescent="0.3">
      <c r="A76" s="5"/>
      <c r="C76" s="62"/>
      <c r="D76" s="5"/>
    </row>
    <row r="77" spans="1:23" ht="15" thickBot="1" x14ac:dyDescent="0.35">
      <c r="A77" s="5" t="s">
        <v>131</v>
      </c>
    </row>
    <row r="78" spans="1:23" x14ac:dyDescent="0.3">
      <c r="A78" s="10" t="s">
        <v>97</v>
      </c>
      <c r="B78" s="11"/>
      <c r="C78" s="11"/>
      <c r="D78" s="11"/>
      <c r="E78" s="11"/>
      <c r="F78" s="11"/>
      <c r="G78" s="12"/>
    </row>
    <row r="79" spans="1:23" x14ac:dyDescent="0.3">
      <c r="A79" s="45">
        <f>+F16</f>
        <v>48</v>
      </c>
      <c r="B79" s="70">
        <f>+H16</f>
        <v>40</v>
      </c>
      <c r="C79" s="7" t="s">
        <v>96</v>
      </c>
      <c r="D79" s="70" t="s">
        <v>98</v>
      </c>
      <c r="E79" s="7" t="s">
        <v>99</v>
      </c>
      <c r="F79" s="94" t="s">
        <v>132</v>
      </c>
      <c r="G79" s="80">
        <v>550</v>
      </c>
    </row>
    <row r="80" spans="1:23" x14ac:dyDescent="0.3">
      <c r="A80" s="45">
        <f>0.474*0.629*C41</f>
        <v>32.796059999999997</v>
      </c>
      <c r="B80" s="75">
        <v>4</v>
      </c>
      <c r="C80" s="75">
        <f>+A80*B80</f>
        <v>131.18423999999999</v>
      </c>
      <c r="D80" s="75">
        <v>0</v>
      </c>
      <c r="E80" s="79">
        <f>+C80+D80</f>
        <v>131.18423999999999</v>
      </c>
      <c r="F80" s="72" t="s">
        <v>133</v>
      </c>
      <c r="G80" s="8"/>
    </row>
    <row r="81" spans="1:18" x14ac:dyDescent="0.3">
      <c r="A81" s="6"/>
      <c r="B81" s="75"/>
      <c r="C81" s="75"/>
      <c r="D81" s="75"/>
      <c r="E81" s="75"/>
      <c r="F81" s="7"/>
      <c r="G81" s="8"/>
      <c r="J81" s="68"/>
    </row>
    <row r="82" spans="1:18" x14ac:dyDescent="0.3">
      <c r="A82" s="45">
        <f>+A79</f>
        <v>48</v>
      </c>
      <c r="B82" s="70">
        <f>+B79</f>
        <v>40</v>
      </c>
      <c r="C82" s="7" t="s">
        <v>96</v>
      </c>
      <c r="D82" s="70" t="s">
        <v>98</v>
      </c>
      <c r="E82" s="7" t="s">
        <v>99</v>
      </c>
      <c r="F82" s="94" t="s">
        <v>132</v>
      </c>
      <c r="G82" s="80">
        <v>550</v>
      </c>
    </row>
    <row r="83" spans="1:18" x14ac:dyDescent="0.3">
      <c r="A83" s="45">
        <f>0.463*0.503*C41</f>
        <v>25.617790000000003</v>
      </c>
      <c r="B83" s="75">
        <f>4.1*2</f>
        <v>8.1999999999999993</v>
      </c>
      <c r="C83" s="75">
        <f>+A83*B83</f>
        <v>210.065878</v>
      </c>
      <c r="D83" s="75">
        <v>0</v>
      </c>
      <c r="E83" s="79">
        <f>+C83+D83</f>
        <v>210.065878</v>
      </c>
      <c r="F83" s="72" t="s">
        <v>134</v>
      </c>
      <c r="G83" s="8"/>
    </row>
    <row r="84" spans="1:18" x14ac:dyDescent="0.3">
      <c r="A84" s="6"/>
      <c r="B84" s="7"/>
      <c r="C84" s="75"/>
      <c r="D84" s="75"/>
      <c r="E84" s="75"/>
      <c r="F84" s="75"/>
      <c r="G84" s="8"/>
    </row>
    <row r="85" spans="1:18" ht="15" thickBot="1" x14ac:dyDescent="0.35">
      <c r="A85" s="13"/>
      <c r="B85" s="14"/>
      <c r="C85" s="14"/>
      <c r="D85" s="14"/>
      <c r="E85" s="14"/>
      <c r="F85" s="14"/>
      <c r="G85" s="15"/>
    </row>
    <row r="87" spans="1:18" ht="16.5" x14ac:dyDescent="0.3">
      <c r="J87" s="54"/>
      <c r="K87" s="54"/>
      <c r="L87" s="54"/>
      <c r="M87" s="54"/>
      <c r="N87" s="54"/>
      <c r="O87" s="54"/>
      <c r="P87" s="54"/>
      <c r="Q87" s="54"/>
      <c r="R87" s="54"/>
    </row>
    <row r="88" spans="1:18" ht="16.5" x14ac:dyDescent="0.3">
      <c r="J88" s="54"/>
      <c r="K88" s="54"/>
      <c r="L88" s="54"/>
      <c r="M88" s="54"/>
      <c r="N88" s="54"/>
      <c r="O88" s="54"/>
      <c r="P88" s="54"/>
      <c r="Q88" s="54"/>
      <c r="R88" s="54"/>
    </row>
    <row r="89" spans="1:18" ht="16.5" x14ac:dyDescent="0.3">
      <c r="J89" s="54"/>
      <c r="K89" s="54"/>
      <c r="L89" s="54"/>
      <c r="M89" s="54"/>
      <c r="N89" s="54"/>
      <c r="O89" s="54"/>
      <c r="P89" s="54"/>
      <c r="Q89" s="54"/>
      <c r="R89" s="54"/>
    </row>
    <row r="90" spans="1:18" ht="16.5" x14ac:dyDescent="0.3">
      <c r="J90" s="54"/>
      <c r="K90" s="54"/>
      <c r="L90" s="54"/>
      <c r="M90" s="54"/>
      <c r="N90" s="54"/>
      <c r="O90" s="54"/>
      <c r="P90" s="54"/>
      <c r="Q90" s="54"/>
      <c r="R90" s="54"/>
    </row>
    <row r="91" spans="1:18" ht="16.5" x14ac:dyDescent="0.3">
      <c r="J91" s="54"/>
      <c r="K91" s="54"/>
      <c r="L91" s="54"/>
      <c r="M91" s="54"/>
      <c r="N91" s="54"/>
      <c r="O91" s="54"/>
      <c r="P91" s="54"/>
      <c r="Q91" s="54"/>
      <c r="R91" s="54"/>
    </row>
    <row r="92" spans="1:18" ht="16.5" x14ac:dyDescent="0.3">
      <c r="J92" s="54"/>
      <c r="K92" s="54"/>
      <c r="L92" s="54"/>
      <c r="M92" s="54"/>
      <c r="N92" s="54"/>
      <c r="O92" s="54"/>
      <c r="P92" s="54"/>
      <c r="Q92" s="54"/>
      <c r="R92" s="54"/>
    </row>
    <row r="93" spans="1:18" ht="16.5" x14ac:dyDescent="0.3">
      <c r="J93" s="54"/>
      <c r="K93" s="54"/>
      <c r="L93" s="54"/>
      <c r="M93" s="54"/>
      <c r="N93" s="54"/>
      <c r="O93" s="54"/>
      <c r="P93" s="54"/>
      <c r="Q93" s="54"/>
      <c r="R93" s="54"/>
    </row>
    <row r="94" spans="1:18" ht="16.5" x14ac:dyDescent="0.3">
      <c r="J94" s="54"/>
      <c r="K94" s="54"/>
      <c r="L94" s="54"/>
      <c r="M94" s="54"/>
      <c r="N94" s="54"/>
      <c r="O94" s="54"/>
      <c r="P94" s="54"/>
      <c r="Q94" s="54"/>
      <c r="R94" s="54"/>
    </row>
    <row r="95" spans="1:18" ht="16.5" x14ac:dyDescent="0.3">
      <c r="J95" s="54"/>
      <c r="K95" s="54"/>
      <c r="L95" s="54"/>
      <c r="M95" s="54"/>
      <c r="N95" s="54"/>
      <c r="O95" s="54"/>
      <c r="P95" s="54"/>
      <c r="Q95" s="54"/>
      <c r="R95" s="54"/>
    </row>
    <row r="96" spans="1:18" ht="16.5" x14ac:dyDescent="0.3">
      <c r="J96" s="54"/>
      <c r="K96" s="54"/>
      <c r="L96" s="54"/>
      <c r="M96" s="54"/>
      <c r="N96" s="54"/>
      <c r="O96" s="54"/>
      <c r="P96" s="54"/>
      <c r="Q96" s="54"/>
      <c r="R96" s="54"/>
    </row>
  </sheetData>
  <pageMargins left="0.70866141732283472" right="0.70866141732283472" top="0.74803149606299213" bottom="0.74803149606299213" header="0.31496062992125984" footer="0.31496062992125984"/>
  <pageSetup scale="47" orientation="landscape" r:id="rId1"/>
  <headerFooter>
    <oddFooter>&amp;A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90"/>
  <sheetViews>
    <sheetView zoomScale="80" zoomScaleNormal="80" workbookViewId="0">
      <selection activeCell="D14" sqref="D14"/>
    </sheetView>
  </sheetViews>
  <sheetFormatPr baseColWidth="10" defaultRowHeight="14.25" x14ac:dyDescent="0.3"/>
  <cols>
    <col min="1" max="1" width="11.42578125" style="1"/>
    <col min="2" max="2" width="13.42578125" style="1" bestFit="1" customWidth="1"/>
    <col min="3" max="3" width="11.5703125" style="1" bestFit="1" customWidth="1"/>
    <col min="4" max="4" width="9.7109375" style="1" customWidth="1"/>
    <col min="5" max="5" width="14.28515625" style="1" customWidth="1"/>
    <col min="6" max="6" width="15.42578125" style="1" customWidth="1"/>
    <col min="7" max="7" width="13.42578125" style="1" customWidth="1"/>
    <col min="8" max="8" width="11.42578125" style="1" customWidth="1"/>
    <col min="9" max="9" width="12.42578125" style="1" customWidth="1"/>
    <col min="10" max="10" width="11.42578125" style="1"/>
    <col min="11" max="11" width="15.85546875" style="1" customWidth="1"/>
    <col min="12" max="12" width="11.42578125" style="1"/>
    <col min="13" max="13" width="14.140625" style="1" customWidth="1"/>
    <col min="14" max="16384" width="11.42578125" style="1"/>
  </cols>
  <sheetData>
    <row r="1" spans="1:21" ht="15.75" x14ac:dyDescent="0.3">
      <c r="J1"/>
      <c r="K1"/>
      <c r="L1"/>
      <c r="M1"/>
      <c r="N1"/>
      <c r="O1"/>
      <c r="P1"/>
      <c r="Q1"/>
      <c r="R1"/>
      <c r="S1"/>
    </row>
    <row r="2" spans="1:21" ht="15.75" x14ac:dyDescent="0.3">
      <c r="J2"/>
      <c r="K2"/>
      <c r="L2"/>
      <c r="M2"/>
      <c r="N2"/>
      <c r="O2"/>
      <c r="P2"/>
      <c r="Q2"/>
      <c r="R2"/>
      <c r="S2"/>
    </row>
    <row r="3" spans="1:21" ht="15.75" x14ac:dyDescent="0.3">
      <c r="J3"/>
      <c r="K3"/>
      <c r="L3"/>
      <c r="M3"/>
      <c r="N3"/>
      <c r="O3"/>
      <c r="P3"/>
      <c r="Q3"/>
      <c r="R3"/>
      <c r="S3"/>
      <c r="T3" s="3"/>
      <c r="U3" s="3"/>
    </row>
    <row r="4" spans="1:21" ht="15.75" x14ac:dyDescent="0.3">
      <c r="J4"/>
      <c r="K4"/>
      <c r="L4"/>
      <c r="M4"/>
      <c r="N4"/>
      <c r="O4"/>
      <c r="P4"/>
      <c r="Q4"/>
      <c r="R4"/>
      <c r="S4"/>
    </row>
    <row r="5" spans="1:21" ht="15.75" x14ac:dyDescent="0.3">
      <c r="A5" s="5"/>
      <c r="J5"/>
      <c r="K5"/>
      <c r="L5"/>
      <c r="M5"/>
      <c r="N5"/>
      <c r="O5"/>
      <c r="P5"/>
      <c r="Q5"/>
      <c r="R5"/>
      <c r="S5"/>
    </row>
    <row r="6" spans="1:21" ht="18.75" x14ac:dyDescent="0.3">
      <c r="A6" s="2" t="s">
        <v>1</v>
      </c>
      <c r="E6" s="5" t="s">
        <v>2</v>
      </c>
      <c r="F6" s="1" t="s">
        <v>3</v>
      </c>
      <c r="J6"/>
      <c r="K6"/>
      <c r="L6"/>
      <c r="M6"/>
      <c r="N6"/>
      <c r="O6"/>
      <c r="P6"/>
      <c r="Q6"/>
      <c r="R6"/>
      <c r="S6"/>
    </row>
    <row r="7" spans="1:21" ht="15.75" x14ac:dyDescent="0.3">
      <c r="J7"/>
      <c r="K7"/>
      <c r="L7"/>
      <c r="M7"/>
      <c r="N7"/>
      <c r="O7"/>
      <c r="P7"/>
      <c r="Q7"/>
      <c r="R7"/>
      <c r="S7"/>
    </row>
    <row r="8" spans="1:21" ht="15.75" x14ac:dyDescent="0.3">
      <c r="J8"/>
      <c r="K8"/>
      <c r="L8"/>
      <c r="M8"/>
      <c r="N8"/>
      <c r="O8"/>
      <c r="P8"/>
      <c r="Q8"/>
      <c r="R8"/>
      <c r="S8"/>
    </row>
    <row r="9" spans="1:21" s="5" customFormat="1" ht="15.75" x14ac:dyDescent="0.3">
      <c r="A9" s="5" t="s">
        <v>5</v>
      </c>
      <c r="C9" s="5" t="str">
        <f>+Desarrollo!B1</f>
        <v>12 de julio de 2017.</v>
      </c>
      <c r="H9" s="5" t="s">
        <v>6</v>
      </c>
      <c r="J9"/>
      <c r="K9"/>
      <c r="L9"/>
      <c r="M9"/>
      <c r="N9"/>
      <c r="O9"/>
      <c r="P9"/>
      <c r="Q9"/>
      <c r="R9"/>
      <c r="S9"/>
      <c r="T9" s="1"/>
      <c r="U9" s="1"/>
    </row>
    <row r="10" spans="1:21" ht="15.75" x14ac:dyDescent="0.3">
      <c r="J10"/>
      <c r="K10"/>
      <c r="L10"/>
      <c r="M10"/>
      <c r="N10"/>
      <c r="O10"/>
      <c r="P10"/>
      <c r="Q10"/>
      <c r="R10"/>
      <c r="S10"/>
    </row>
    <row r="11" spans="1:21" ht="16.5" thickBot="1" x14ac:dyDescent="0.35">
      <c r="A11" s="5" t="s">
        <v>7</v>
      </c>
      <c r="C11" s="1" t="str">
        <f>+Desarrollo!B3</f>
        <v>Megadealer</v>
      </c>
      <c r="F11" s="5" t="s">
        <v>0</v>
      </c>
      <c r="J11"/>
      <c r="K11"/>
      <c r="L11"/>
      <c r="M11"/>
      <c r="N11"/>
      <c r="O11"/>
      <c r="P11"/>
      <c r="Q11"/>
      <c r="R11"/>
      <c r="S11"/>
    </row>
    <row r="12" spans="1:21" ht="15.75" x14ac:dyDescent="0.3">
      <c r="A12" s="5"/>
      <c r="F12" s="10"/>
      <c r="G12" s="11"/>
      <c r="H12" s="12"/>
      <c r="J12"/>
      <c r="K12"/>
      <c r="L12"/>
      <c r="M12"/>
      <c r="N12"/>
      <c r="O12"/>
      <c r="P12"/>
      <c r="Q12"/>
      <c r="R12"/>
      <c r="S12"/>
    </row>
    <row r="13" spans="1:21" ht="15.75" x14ac:dyDescent="0.3">
      <c r="A13" s="5" t="s">
        <v>8</v>
      </c>
      <c r="C13" s="1" t="str">
        <f>+Desarrollo!B4</f>
        <v>KIA</v>
      </c>
      <c r="F13" s="6"/>
      <c r="G13" s="7"/>
      <c r="H13" s="8"/>
      <c r="J13"/>
      <c r="K13"/>
      <c r="L13"/>
      <c r="M13"/>
      <c r="N13"/>
      <c r="O13"/>
      <c r="P13"/>
      <c r="Q13"/>
      <c r="R13"/>
      <c r="S13"/>
    </row>
    <row r="14" spans="1:21" ht="15.75" x14ac:dyDescent="0.3">
      <c r="A14" s="5"/>
      <c r="F14" s="6"/>
      <c r="G14" s="7"/>
      <c r="H14" s="8"/>
      <c r="J14"/>
      <c r="K14"/>
      <c r="L14"/>
      <c r="M14"/>
      <c r="N14"/>
      <c r="O14"/>
      <c r="P14"/>
      <c r="Q14"/>
      <c r="R14"/>
      <c r="S14"/>
    </row>
    <row r="15" spans="1:21" ht="15.75" x14ac:dyDescent="0.3">
      <c r="A15" s="5" t="s">
        <v>9</v>
      </c>
      <c r="C15" s="18" t="s">
        <v>91</v>
      </c>
      <c r="D15" s="17"/>
      <c r="E15" s="17"/>
      <c r="F15" s="69" t="s">
        <v>4</v>
      </c>
      <c r="G15" s="7"/>
      <c r="H15" s="8"/>
      <c r="J15"/>
      <c r="K15"/>
      <c r="L15"/>
      <c r="M15"/>
      <c r="N15"/>
      <c r="O15"/>
      <c r="P15"/>
      <c r="Q15"/>
      <c r="R15"/>
      <c r="S15"/>
    </row>
    <row r="16" spans="1:21" ht="15.75" x14ac:dyDescent="0.3">
      <c r="C16" s="16" t="s">
        <v>178</v>
      </c>
      <c r="D16" s="17"/>
      <c r="E16" s="17"/>
      <c r="F16" s="45">
        <f>+Desarrollo!C90</f>
        <v>35</v>
      </c>
      <c r="G16" s="70" t="s">
        <v>73</v>
      </c>
      <c r="H16" s="71">
        <f>+Desarrollo!E90</f>
        <v>36</v>
      </c>
      <c r="J16"/>
      <c r="K16"/>
      <c r="L16"/>
      <c r="M16"/>
      <c r="N16"/>
      <c r="O16"/>
      <c r="P16"/>
      <c r="Q16"/>
      <c r="R16"/>
      <c r="S16"/>
    </row>
    <row r="17" spans="1:19" ht="15.75" x14ac:dyDescent="0.3">
      <c r="C17" s="16" t="s">
        <v>85</v>
      </c>
      <c r="D17" s="17"/>
      <c r="E17" s="17"/>
      <c r="F17" s="69">
        <v>1</v>
      </c>
      <c r="G17" s="72" t="s">
        <v>74</v>
      </c>
      <c r="H17" s="8"/>
      <c r="J17"/>
      <c r="K17"/>
      <c r="L17"/>
      <c r="M17"/>
      <c r="N17"/>
      <c r="O17"/>
      <c r="P17"/>
      <c r="Q17"/>
      <c r="R17"/>
      <c r="S17"/>
    </row>
    <row r="18" spans="1:19" ht="15.75" x14ac:dyDescent="0.3">
      <c r="C18" s="16" t="s">
        <v>179</v>
      </c>
      <c r="D18" s="17"/>
      <c r="E18" s="17"/>
      <c r="F18" s="6"/>
      <c r="G18" s="7"/>
      <c r="H18" s="8"/>
      <c r="J18"/>
      <c r="K18"/>
      <c r="L18"/>
      <c r="M18"/>
      <c r="N18"/>
      <c r="O18"/>
      <c r="P18"/>
      <c r="Q18"/>
      <c r="R18"/>
      <c r="S18"/>
    </row>
    <row r="19" spans="1:19" ht="15.75" x14ac:dyDescent="0.3">
      <c r="C19" s="16" t="s">
        <v>180</v>
      </c>
      <c r="D19" s="17"/>
      <c r="E19" s="17"/>
      <c r="F19" s="6"/>
      <c r="G19" s="7"/>
      <c r="H19" s="8"/>
      <c r="J19"/>
      <c r="K19"/>
      <c r="L19"/>
      <c r="M19"/>
      <c r="N19"/>
      <c r="O19"/>
      <c r="P19"/>
      <c r="Q19"/>
      <c r="R19"/>
      <c r="S19"/>
    </row>
    <row r="20" spans="1:19" ht="15.75" x14ac:dyDescent="0.3">
      <c r="C20" s="19" t="s">
        <v>181</v>
      </c>
      <c r="D20" s="17"/>
      <c r="E20" s="17"/>
      <c r="F20" s="45">
        <f>+Desarrollo!C87</f>
        <v>33</v>
      </c>
      <c r="G20" s="70" t="s">
        <v>73</v>
      </c>
      <c r="H20" s="71">
        <f>+Desarrollo!E87</f>
        <v>34</v>
      </c>
      <c r="J20"/>
      <c r="K20"/>
      <c r="L20"/>
      <c r="M20"/>
      <c r="N20"/>
      <c r="O20"/>
      <c r="P20"/>
      <c r="Q20"/>
      <c r="R20"/>
      <c r="S20"/>
    </row>
    <row r="21" spans="1:19" ht="15.75" x14ac:dyDescent="0.3">
      <c r="C21" s="17" t="s">
        <v>92</v>
      </c>
      <c r="D21" s="17"/>
      <c r="E21" s="17"/>
      <c r="F21" s="45"/>
      <c r="G21" s="70"/>
      <c r="H21" s="71"/>
      <c r="J21"/>
      <c r="K21"/>
      <c r="L21"/>
      <c r="M21"/>
      <c r="N21"/>
      <c r="O21"/>
      <c r="P21"/>
      <c r="Q21"/>
      <c r="R21"/>
      <c r="S21"/>
    </row>
    <row r="22" spans="1:19" ht="16.5" thickBot="1" x14ac:dyDescent="0.35">
      <c r="C22" s="17"/>
      <c r="D22" s="17"/>
      <c r="E22" s="17"/>
      <c r="F22" s="13"/>
      <c r="G22" s="14"/>
      <c r="H22" s="15"/>
      <c r="J22"/>
      <c r="K22"/>
      <c r="L22"/>
      <c r="M22"/>
      <c r="N22"/>
      <c r="O22"/>
      <c r="P22"/>
      <c r="Q22"/>
      <c r="R22"/>
      <c r="S22"/>
    </row>
    <row r="23" spans="1:19" ht="15.75" x14ac:dyDescent="0.3">
      <c r="A23" s="4" t="s">
        <v>11</v>
      </c>
      <c r="C23" s="20" t="str">
        <f>+Desarrollo!A89</f>
        <v>Rainbow Blanco</v>
      </c>
      <c r="E23" s="5" t="s">
        <v>12</v>
      </c>
      <c r="J23"/>
      <c r="K23"/>
      <c r="L23"/>
      <c r="M23"/>
      <c r="N23"/>
      <c r="O23"/>
      <c r="P23"/>
      <c r="Q23"/>
      <c r="R23"/>
      <c r="S23"/>
    </row>
    <row r="24" spans="1:19" ht="15.75" x14ac:dyDescent="0.3">
      <c r="J24"/>
      <c r="K24"/>
      <c r="L24"/>
      <c r="M24"/>
      <c r="N24"/>
      <c r="O24"/>
      <c r="P24"/>
      <c r="Q24"/>
      <c r="R24"/>
      <c r="S24"/>
    </row>
    <row r="25" spans="1:19" ht="15.75" x14ac:dyDescent="0.3">
      <c r="A25" s="4" t="s">
        <v>13</v>
      </c>
      <c r="C25" s="22">
        <f>+Desarrollo!C89</f>
        <v>100</v>
      </c>
      <c r="D25" s="21" t="s">
        <v>14</v>
      </c>
      <c r="E25" s="23">
        <f>+Desarrollo!E89</f>
        <v>130</v>
      </c>
      <c r="F25" s="24">
        <f>+C25</f>
        <v>100</v>
      </c>
      <c r="G25" s="25" t="s">
        <v>14</v>
      </c>
      <c r="H25" s="25">
        <f>+E25</f>
        <v>130</v>
      </c>
      <c r="J25"/>
      <c r="K25"/>
      <c r="L25"/>
      <c r="M25"/>
      <c r="N25"/>
      <c r="O25"/>
      <c r="P25"/>
      <c r="Q25"/>
      <c r="R25"/>
      <c r="S25"/>
    </row>
    <row r="26" spans="1:19" ht="15.75" x14ac:dyDescent="0.3">
      <c r="A26" s="4" t="s">
        <v>15</v>
      </c>
      <c r="B26" s="3"/>
      <c r="C26" s="26">
        <f>+F16</f>
        <v>35</v>
      </c>
      <c r="D26" s="27" t="s">
        <v>14</v>
      </c>
      <c r="E26" s="26">
        <f>+H16</f>
        <v>36</v>
      </c>
      <c r="F26" s="28">
        <f>+E26</f>
        <v>36</v>
      </c>
      <c r="G26" s="28" t="s">
        <v>14</v>
      </c>
      <c r="H26" s="28">
        <f>+C26</f>
        <v>35</v>
      </c>
      <c r="I26" s="29"/>
      <c r="J26"/>
      <c r="K26"/>
      <c r="L26"/>
      <c r="M26"/>
      <c r="N26"/>
      <c r="O26"/>
      <c r="P26"/>
      <c r="Q26"/>
      <c r="R26"/>
      <c r="S26"/>
    </row>
    <row r="27" spans="1:19" ht="16.5" thickBot="1" x14ac:dyDescent="0.35">
      <c r="A27" s="3" t="s">
        <v>16</v>
      </c>
      <c r="B27" s="30"/>
      <c r="C27" s="31">
        <f>+C25/C26</f>
        <v>2.8571428571428572</v>
      </c>
      <c r="D27" s="32"/>
      <c r="E27" s="31">
        <f>+E25/E26</f>
        <v>3.6111111111111112</v>
      </c>
      <c r="F27" s="31">
        <f>+F25/F26</f>
        <v>2.7777777777777777</v>
      </c>
      <c r="G27" s="32"/>
      <c r="H27" s="31">
        <f>+H25/H26</f>
        <v>3.7142857142857144</v>
      </c>
      <c r="I27" s="29"/>
      <c r="J27"/>
      <c r="K27"/>
      <c r="L27"/>
      <c r="M27"/>
      <c r="N27"/>
      <c r="O27"/>
      <c r="P27"/>
      <c r="Q27"/>
      <c r="R27"/>
      <c r="S27"/>
    </row>
    <row r="28" spans="1:19" ht="16.5" thickBot="1" x14ac:dyDescent="0.35">
      <c r="A28" s="3" t="s">
        <v>17</v>
      </c>
      <c r="B28" s="33"/>
      <c r="C28" s="34"/>
      <c r="D28" s="35">
        <v>6</v>
      </c>
      <c r="E28" s="36"/>
      <c r="F28" s="37"/>
      <c r="G28" s="38">
        <v>6</v>
      </c>
      <c r="H28" s="39" t="s">
        <v>18</v>
      </c>
      <c r="J28"/>
      <c r="K28"/>
      <c r="L28"/>
      <c r="M28"/>
      <c r="N28"/>
      <c r="O28"/>
      <c r="P28"/>
      <c r="Q28"/>
      <c r="R28"/>
      <c r="S28"/>
    </row>
    <row r="29" spans="1:19" ht="15.75" x14ac:dyDescent="0.3">
      <c r="A29" s="3"/>
      <c r="B29" s="20"/>
      <c r="C29" s="29"/>
      <c r="G29" s="40"/>
      <c r="H29" s="29"/>
      <c r="J29"/>
      <c r="K29"/>
      <c r="L29"/>
      <c r="M29"/>
      <c r="N29"/>
      <c r="O29"/>
      <c r="P29"/>
      <c r="Q29"/>
      <c r="R29"/>
      <c r="S29"/>
    </row>
    <row r="30" spans="1:19" ht="15.75" x14ac:dyDescent="0.3">
      <c r="A30" s="24" t="s">
        <v>19</v>
      </c>
      <c r="B30" s="24" t="str">
        <f>+'Empalme Caja INT'!B30</f>
        <v>White House</v>
      </c>
      <c r="D30" s="40" t="s">
        <v>20</v>
      </c>
      <c r="E30" s="41">
        <f>+Desarrollo!F89</f>
        <v>58</v>
      </c>
      <c r="F30" s="92"/>
      <c r="G30" s="1" t="s">
        <v>21</v>
      </c>
      <c r="H30" s="42">
        <v>0.1</v>
      </c>
      <c r="J30"/>
      <c r="K30"/>
      <c r="L30"/>
      <c r="M30"/>
      <c r="N30"/>
      <c r="O30"/>
      <c r="P30"/>
      <c r="Q30"/>
      <c r="R30"/>
      <c r="S30"/>
    </row>
    <row r="31" spans="1:19" ht="15.75" x14ac:dyDescent="0.3">
      <c r="A31" s="3"/>
      <c r="B31" s="3"/>
      <c r="C31" s="3"/>
      <c r="D31" s="43" t="s">
        <v>22</v>
      </c>
      <c r="E31" s="41">
        <f>+H30*E30</f>
        <v>5.8000000000000007</v>
      </c>
      <c r="H31" s="42"/>
      <c r="I31" s="29"/>
      <c r="J31"/>
      <c r="K31"/>
      <c r="L31"/>
      <c r="M31"/>
      <c r="N31"/>
      <c r="O31"/>
      <c r="P31"/>
      <c r="Q31"/>
      <c r="R31"/>
      <c r="S31"/>
    </row>
    <row r="32" spans="1:19" ht="15.75" x14ac:dyDescent="0.3">
      <c r="D32" s="43" t="s">
        <v>23</v>
      </c>
      <c r="E32" s="44">
        <f>+E30-E31</f>
        <v>52.2</v>
      </c>
      <c r="I32" s="29"/>
      <c r="J32"/>
      <c r="K32"/>
      <c r="L32"/>
      <c r="M32"/>
      <c r="N32"/>
      <c r="O32"/>
      <c r="P32"/>
      <c r="Q32"/>
      <c r="R32"/>
      <c r="S32"/>
    </row>
    <row r="33" spans="1:19" ht="15.75" x14ac:dyDescent="0.3">
      <c r="E33" s="20" t="s">
        <v>25</v>
      </c>
      <c r="F33" s="20" t="s">
        <v>26</v>
      </c>
      <c r="G33" s="20" t="s">
        <v>26</v>
      </c>
      <c r="H33" s="20" t="s">
        <v>26</v>
      </c>
      <c r="I33" s="29"/>
      <c r="J33"/>
      <c r="K33"/>
      <c r="L33"/>
      <c r="M33"/>
      <c r="N33"/>
      <c r="O33"/>
      <c r="P33"/>
      <c r="Q33"/>
      <c r="R33"/>
      <c r="S33"/>
    </row>
    <row r="34" spans="1:19" ht="15.75" x14ac:dyDescent="0.3">
      <c r="D34" s="40" t="s">
        <v>27</v>
      </c>
      <c r="E34" s="46">
        <f>+E32</f>
        <v>52.2</v>
      </c>
      <c r="F34" s="46">
        <v>0</v>
      </c>
      <c r="G34" s="46">
        <v>0</v>
      </c>
      <c r="H34" s="46">
        <v>0</v>
      </c>
      <c r="J34"/>
      <c r="K34"/>
      <c r="L34"/>
      <c r="M34"/>
      <c r="N34"/>
      <c r="O34"/>
      <c r="P34"/>
      <c r="Q34"/>
      <c r="R34"/>
      <c r="S34"/>
    </row>
    <row r="35" spans="1:19" ht="15.75" x14ac:dyDescent="0.3">
      <c r="D35" s="40" t="s">
        <v>28</v>
      </c>
      <c r="E35" s="46">
        <f>+E34*1.2</f>
        <v>62.64</v>
      </c>
      <c r="F35" s="46">
        <v>0</v>
      </c>
      <c r="G35" s="46">
        <v>0</v>
      </c>
      <c r="H35" s="46">
        <v>0</v>
      </c>
      <c r="J35"/>
      <c r="K35"/>
      <c r="L35"/>
      <c r="M35"/>
      <c r="N35"/>
      <c r="O35"/>
      <c r="P35"/>
      <c r="Q35"/>
      <c r="R35"/>
      <c r="S35"/>
    </row>
    <row r="36" spans="1:19" ht="15.75" x14ac:dyDescent="0.3">
      <c r="A36" s="3"/>
      <c r="G36" s="40"/>
      <c r="J36"/>
      <c r="K36"/>
      <c r="L36"/>
      <c r="M36"/>
      <c r="N36"/>
      <c r="O36"/>
      <c r="P36"/>
      <c r="Q36"/>
      <c r="R36"/>
      <c r="S36"/>
    </row>
    <row r="37" spans="1:19" ht="16.5" thickBot="1" x14ac:dyDescent="0.35">
      <c r="A37" s="3"/>
      <c r="B37" s="20"/>
      <c r="C37" s="29"/>
      <c r="J37"/>
      <c r="K37"/>
      <c r="L37"/>
      <c r="M37"/>
      <c r="N37"/>
      <c r="O37"/>
      <c r="P37"/>
      <c r="Q37"/>
      <c r="R37"/>
      <c r="S37"/>
    </row>
    <row r="38" spans="1:19" ht="15.75" x14ac:dyDescent="0.3">
      <c r="A38" s="4" t="s">
        <v>32</v>
      </c>
      <c r="C38" s="47">
        <v>6</v>
      </c>
      <c r="D38" s="48" t="s">
        <v>33</v>
      </c>
      <c r="E38" s="10" t="s">
        <v>30</v>
      </c>
      <c r="F38" s="11" t="s">
        <v>31</v>
      </c>
      <c r="G38" s="11"/>
      <c r="H38" s="12"/>
      <c r="J38"/>
      <c r="K38"/>
      <c r="L38"/>
      <c r="M38"/>
      <c r="N38"/>
      <c r="O38"/>
      <c r="P38"/>
      <c r="Q38"/>
      <c r="R38"/>
      <c r="S38"/>
    </row>
    <row r="39" spans="1:19" ht="16.5" thickBot="1" x14ac:dyDescent="0.35">
      <c r="A39" s="4"/>
      <c r="C39" s="20"/>
      <c r="D39" s="1" t="s">
        <v>35</v>
      </c>
      <c r="E39" s="13"/>
      <c r="F39" s="14" t="s">
        <v>34</v>
      </c>
      <c r="G39" s="14"/>
      <c r="H39" s="15"/>
      <c r="J39"/>
      <c r="K39"/>
      <c r="L39"/>
      <c r="M39"/>
      <c r="N39"/>
      <c r="O39"/>
      <c r="P39"/>
      <c r="Q39"/>
      <c r="R39"/>
      <c r="S39"/>
    </row>
    <row r="40" spans="1:19" ht="15.75" x14ac:dyDescent="0.3">
      <c r="A40" s="4" t="s">
        <v>36</v>
      </c>
      <c r="B40" s="5"/>
      <c r="C40" s="49">
        <f>+B48/F17</f>
        <v>90</v>
      </c>
      <c r="D40" s="23">
        <v>40</v>
      </c>
      <c r="H40" s="3"/>
      <c r="J40"/>
      <c r="K40"/>
      <c r="L40"/>
      <c r="M40"/>
      <c r="N40"/>
      <c r="O40"/>
      <c r="P40"/>
      <c r="Q40"/>
      <c r="R40"/>
      <c r="S40"/>
    </row>
    <row r="41" spans="1:19" ht="15.75" x14ac:dyDescent="0.3">
      <c r="A41" s="4" t="s">
        <v>38</v>
      </c>
      <c r="C41" s="33">
        <f>+C40+D40</f>
        <v>130</v>
      </c>
      <c r="F41" s="43" t="s">
        <v>37</v>
      </c>
      <c r="G41" s="22">
        <v>1</v>
      </c>
      <c r="H41" s="3"/>
      <c r="J41"/>
      <c r="K41"/>
      <c r="L41"/>
      <c r="M41"/>
      <c r="N41"/>
      <c r="O41"/>
      <c r="P41"/>
      <c r="Q41"/>
      <c r="R41"/>
      <c r="S41"/>
    </row>
    <row r="42" spans="1:19" ht="15.75" x14ac:dyDescent="0.3">
      <c r="A42" s="4" t="s">
        <v>40</v>
      </c>
      <c r="C42" s="33">
        <f>+C41/C38</f>
        <v>21.666666666666668</v>
      </c>
      <c r="F42" s="43" t="s">
        <v>39</v>
      </c>
      <c r="G42" s="22">
        <v>2</v>
      </c>
      <c r="H42" s="3"/>
      <c r="J42"/>
      <c r="K42"/>
      <c r="L42"/>
      <c r="M42"/>
      <c r="N42"/>
      <c r="O42"/>
      <c r="P42"/>
      <c r="Q42"/>
      <c r="R42"/>
      <c r="S42"/>
    </row>
    <row r="43" spans="1:19" ht="15.75" x14ac:dyDescent="0.3">
      <c r="A43" s="4" t="s">
        <v>83</v>
      </c>
      <c r="C43" s="20">
        <f>+(C42*C38)*F17</f>
        <v>130</v>
      </c>
      <c r="F43" s="43" t="s">
        <v>41</v>
      </c>
      <c r="G43" s="22"/>
      <c r="H43" s="3"/>
      <c r="J43"/>
      <c r="K43"/>
      <c r="L43"/>
      <c r="M43"/>
      <c r="N43"/>
      <c r="O43"/>
      <c r="P43"/>
      <c r="Q43"/>
      <c r="R43"/>
      <c r="S43"/>
    </row>
    <row r="44" spans="1:19" ht="15.75" x14ac:dyDescent="0.3">
      <c r="A44" s="4"/>
      <c r="C44" s="50"/>
      <c r="F44" s="40" t="s">
        <v>42</v>
      </c>
      <c r="G44" s="22">
        <f>+C40/1000</f>
        <v>0.09</v>
      </c>
      <c r="H44" s="3"/>
      <c r="J44"/>
      <c r="K44"/>
      <c r="L44"/>
      <c r="M44"/>
      <c r="N44"/>
      <c r="O44"/>
      <c r="P44"/>
      <c r="Q44"/>
      <c r="R44"/>
      <c r="S44"/>
    </row>
    <row r="45" spans="1:19" ht="15.75" x14ac:dyDescent="0.3">
      <c r="A45" s="4"/>
      <c r="C45" s="20"/>
      <c r="E45" s="43"/>
      <c r="F45" s="43" t="s">
        <v>43</v>
      </c>
      <c r="G45" s="47">
        <f>+C41</f>
        <v>130</v>
      </c>
      <c r="I45" s="3"/>
      <c r="J45"/>
      <c r="K45"/>
      <c r="L45"/>
      <c r="M45"/>
      <c r="N45"/>
      <c r="O45"/>
      <c r="P45"/>
      <c r="Q45"/>
      <c r="R45"/>
      <c r="S45"/>
    </row>
    <row r="46" spans="1:19" ht="15.75" x14ac:dyDescent="0.3">
      <c r="A46" s="4" t="s">
        <v>44</v>
      </c>
      <c r="C46" s="24">
        <f>+C42*C38</f>
        <v>130</v>
      </c>
      <c r="F46" s="43"/>
      <c r="G46" s="29"/>
      <c r="H46" s="3"/>
      <c r="J46"/>
      <c r="K46"/>
      <c r="L46"/>
      <c r="M46"/>
      <c r="N46"/>
      <c r="O46"/>
      <c r="P46"/>
      <c r="Q46"/>
      <c r="R46"/>
      <c r="S46"/>
    </row>
    <row r="47" spans="1:19" x14ac:dyDescent="0.3">
      <c r="A47" s="3"/>
      <c r="B47" s="3"/>
      <c r="C47" s="3"/>
      <c r="D47" s="3"/>
      <c r="E47" s="3"/>
      <c r="H47" s="3"/>
    </row>
    <row r="48" spans="1:19" x14ac:dyDescent="0.3">
      <c r="A48" s="4" t="s">
        <v>68</v>
      </c>
      <c r="B48" s="20">
        <f>+Desarrollo!B7</f>
        <v>90</v>
      </c>
      <c r="C48" s="20"/>
      <c r="D48" s="24" t="s">
        <v>45</v>
      </c>
      <c r="E48" s="24" t="s">
        <v>46</v>
      </c>
      <c r="F48" s="24" t="s">
        <v>47</v>
      </c>
      <c r="G48" s="24" t="s">
        <v>48</v>
      </c>
      <c r="H48" s="24" t="s">
        <v>49</v>
      </c>
    </row>
    <row r="49" spans="1:24" x14ac:dyDescent="0.3">
      <c r="A49" s="51" t="s">
        <v>50</v>
      </c>
      <c r="B49" s="52"/>
      <c r="C49" s="3"/>
      <c r="D49" s="20">
        <v>0</v>
      </c>
      <c r="E49" s="20">
        <v>0</v>
      </c>
      <c r="F49" s="20" t="s">
        <v>51</v>
      </c>
      <c r="G49" s="29">
        <f>185+145</f>
        <v>330</v>
      </c>
      <c r="H49" s="29">
        <f>+(D49*E49)*G49</f>
        <v>0</v>
      </c>
    </row>
    <row r="50" spans="1:24" x14ac:dyDescent="0.3">
      <c r="A50" s="52" t="s">
        <v>52</v>
      </c>
      <c r="B50" s="53">
        <f>+E34*C42</f>
        <v>1131.0000000000002</v>
      </c>
      <c r="C50" s="3"/>
      <c r="D50" s="20">
        <v>0</v>
      </c>
      <c r="E50" s="20">
        <v>0</v>
      </c>
      <c r="F50" s="20" t="s">
        <v>69</v>
      </c>
      <c r="G50" s="29">
        <v>145</v>
      </c>
      <c r="H50" s="29">
        <f>+(D50*E50)*G50</f>
        <v>0</v>
      </c>
    </row>
    <row r="51" spans="1:24" x14ac:dyDescent="0.3">
      <c r="A51" s="52" t="s">
        <v>10</v>
      </c>
      <c r="B51" s="53">
        <f>+H61</f>
        <v>200</v>
      </c>
      <c r="C51" s="3"/>
      <c r="D51" s="20">
        <v>0</v>
      </c>
      <c r="E51" s="20">
        <v>0</v>
      </c>
      <c r="F51" s="20" t="s">
        <v>75</v>
      </c>
      <c r="G51" s="29">
        <v>500</v>
      </c>
      <c r="H51" s="29">
        <f>+G51*E51*D51</f>
        <v>0</v>
      </c>
    </row>
    <row r="52" spans="1:24" x14ac:dyDescent="0.3">
      <c r="A52" s="52"/>
      <c r="B52" s="53"/>
      <c r="C52" s="3"/>
      <c r="D52" s="20">
        <v>1</v>
      </c>
      <c r="E52" s="20">
        <v>1</v>
      </c>
      <c r="F52" s="20" t="s">
        <v>93</v>
      </c>
      <c r="G52" s="29">
        <v>200</v>
      </c>
      <c r="H52" s="29">
        <f t="shared" ref="H52:H59" si="0">+G52*E52</f>
        <v>200</v>
      </c>
      <c r="I52" s="60">
        <f>+(B73/100)*2</f>
        <v>37.856400000000001</v>
      </c>
    </row>
    <row r="53" spans="1:24" ht="16.5" x14ac:dyDescent="0.3">
      <c r="A53" s="52" t="s">
        <v>24</v>
      </c>
      <c r="B53" s="53">
        <v>0</v>
      </c>
      <c r="C53" s="3"/>
      <c r="D53" s="20">
        <v>0</v>
      </c>
      <c r="E53" s="20">
        <v>0</v>
      </c>
      <c r="F53" s="20" t="s">
        <v>70</v>
      </c>
      <c r="G53" s="29">
        <v>145</v>
      </c>
      <c r="H53" s="29">
        <f t="shared" si="0"/>
        <v>0</v>
      </c>
      <c r="I53" s="54"/>
    </row>
    <row r="54" spans="1:24" x14ac:dyDescent="0.3">
      <c r="A54" s="55" t="s">
        <v>129</v>
      </c>
      <c r="B54" s="53">
        <f>+((F20*H20)*0.14)</f>
        <v>157.08000000000001</v>
      </c>
      <c r="C54" s="3"/>
      <c r="D54" s="20">
        <v>0</v>
      </c>
      <c r="E54" s="20">
        <v>0</v>
      </c>
      <c r="F54" s="20" t="s">
        <v>71</v>
      </c>
      <c r="G54" s="29">
        <v>145</v>
      </c>
      <c r="H54" s="29">
        <f t="shared" si="0"/>
        <v>0</v>
      </c>
    </row>
    <row r="55" spans="1:24" x14ac:dyDescent="0.3">
      <c r="A55" s="55" t="s">
        <v>90</v>
      </c>
      <c r="B55" s="53">
        <v>0</v>
      </c>
      <c r="D55" s="20">
        <v>0</v>
      </c>
      <c r="E55" s="20">
        <v>0</v>
      </c>
      <c r="F55" s="20" t="s">
        <v>88</v>
      </c>
      <c r="G55" s="29">
        <v>120</v>
      </c>
      <c r="H55" s="29">
        <f>+G55*E55</f>
        <v>0</v>
      </c>
    </row>
    <row r="56" spans="1:24" x14ac:dyDescent="0.3">
      <c r="A56" s="55" t="s">
        <v>89</v>
      </c>
      <c r="B56" s="53">
        <v>0</v>
      </c>
      <c r="D56" s="20">
        <v>0</v>
      </c>
      <c r="E56" s="20">
        <v>0</v>
      </c>
      <c r="F56" s="20" t="s">
        <v>29</v>
      </c>
      <c r="G56" s="29">
        <v>1.5</v>
      </c>
      <c r="H56" s="29">
        <f>+G56*E56</f>
        <v>0</v>
      </c>
    </row>
    <row r="57" spans="1:24" ht="15.75" x14ac:dyDescent="0.3">
      <c r="A57" s="55"/>
      <c r="B57" s="55"/>
      <c r="D57" s="20">
        <v>0</v>
      </c>
      <c r="E57" s="20">
        <v>0</v>
      </c>
      <c r="F57" s="20" t="s">
        <v>130</v>
      </c>
      <c r="G57" s="29">
        <f>+E83</f>
        <v>138.79319999999998</v>
      </c>
      <c r="H57" s="29">
        <f t="shared" ref="H57" si="1">+G57*E57</f>
        <v>0</v>
      </c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</row>
    <row r="58" spans="1:24" ht="15.75" x14ac:dyDescent="0.3">
      <c r="A58" s="51" t="s">
        <v>55</v>
      </c>
      <c r="B58" s="56">
        <f>SUM(B50:B57)</f>
        <v>1488.0800000000002</v>
      </c>
      <c r="C58" s="3"/>
      <c r="D58" s="20">
        <v>0</v>
      </c>
      <c r="E58" s="20">
        <v>0</v>
      </c>
      <c r="F58" s="3" t="s">
        <v>56</v>
      </c>
      <c r="G58" s="29">
        <f>+G80</f>
        <v>550</v>
      </c>
      <c r="H58" s="29">
        <f t="shared" si="0"/>
        <v>0</v>
      </c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</row>
    <row r="59" spans="1:24" ht="15.75" x14ac:dyDescent="0.3">
      <c r="A59" s="9"/>
      <c r="B59" s="57"/>
      <c r="C59" s="3"/>
      <c r="D59" s="20"/>
      <c r="E59" s="20"/>
      <c r="F59" s="3"/>
      <c r="G59" s="3"/>
      <c r="H59" s="29">
        <f t="shared" si="0"/>
        <v>0</v>
      </c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</row>
    <row r="60" spans="1:24" ht="15.75" x14ac:dyDescent="0.3">
      <c r="A60" s="9"/>
      <c r="B60" s="31">
        <f>+B58/B48</f>
        <v>16.534222222222223</v>
      </c>
      <c r="C60" s="4" t="s">
        <v>57</v>
      </c>
      <c r="D60" s="3"/>
      <c r="E60" s="3"/>
      <c r="F60" s="3"/>
      <c r="G60" s="3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</row>
    <row r="61" spans="1:24" ht="15.75" x14ac:dyDescent="0.3">
      <c r="A61" s="3"/>
      <c r="B61" s="3"/>
      <c r="D61" s="3"/>
      <c r="E61" s="3"/>
      <c r="F61" s="3"/>
      <c r="G61" s="58" t="s">
        <v>58</v>
      </c>
      <c r="H61" s="29">
        <f>SUM(H49:H60)</f>
        <v>200</v>
      </c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</row>
    <row r="62" spans="1:24" ht="15.75" x14ac:dyDescent="0.3">
      <c r="D62" s="3"/>
      <c r="E62" s="3"/>
      <c r="G62" s="5" t="s">
        <v>59</v>
      </c>
      <c r="H62" s="73">
        <v>1.5</v>
      </c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</row>
    <row r="63" spans="1:24" ht="15.75" x14ac:dyDescent="0.3">
      <c r="A63" s="4" t="s">
        <v>60</v>
      </c>
      <c r="B63" s="3"/>
      <c r="C63" s="3"/>
      <c r="E63" s="31">
        <f>+B73/C40</f>
        <v>21.031333333333336</v>
      </c>
      <c r="G63" s="1" t="s">
        <v>61</v>
      </c>
      <c r="H63" s="59">
        <v>1.75</v>
      </c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</row>
    <row r="64" spans="1:24" ht="15.75" x14ac:dyDescent="0.3">
      <c r="A64" s="3"/>
      <c r="B64" s="4" t="s">
        <v>62</v>
      </c>
      <c r="C64" s="24" t="s">
        <v>63</v>
      </c>
      <c r="D64" s="3"/>
      <c r="E64" s="3"/>
      <c r="F64" s="3"/>
      <c r="G64" s="1" t="s">
        <v>61</v>
      </c>
      <c r="H64" s="59">
        <v>2</v>
      </c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</row>
    <row r="65" spans="1:24" ht="15.75" x14ac:dyDescent="0.3">
      <c r="A65" s="51" t="s">
        <v>64</v>
      </c>
      <c r="B65" s="52"/>
      <c r="C65" s="3"/>
      <c r="D65" s="3">
        <f>+B73*C69</f>
        <v>0</v>
      </c>
      <c r="E65" s="3"/>
      <c r="F65" s="3"/>
      <c r="G65" s="5" t="s">
        <v>72</v>
      </c>
      <c r="H65" s="59">
        <v>2.5</v>
      </c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</row>
    <row r="66" spans="1:24" ht="15.75" x14ac:dyDescent="0.3">
      <c r="A66" s="52" t="s">
        <v>52</v>
      </c>
      <c r="B66" s="53">
        <f>+E35*C42</f>
        <v>1357.2</v>
      </c>
      <c r="C66" s="60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</row>
    <row r="67" spans="1:24" ht="15.75" x14ac:dyDescent="0.3">
      <c r="A67" s="52" t="s">
        <v>10</v>
      </c>
      <c r="B67" s="53">
        <f>+H61*H62</f>
        <v>300</v>
      </c>
      <c r="C67" s="60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</row>
    <row r="68" spans="1:24" ht="15.75" x14ac:dyDescent="0.3">
      <c r="A68" s="52" t="str">
        <f>+A53</f>
        <v>Tabla de suaje</v>
      </c>
      <c r="B68" s="53">
        <f>+B53*H62</f>
        <v>0</v>
      </c>
      <c r="C68" s="60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</row>
    <row r="69" spans="1:24" ht="15.75" x14ac:dyDescent="0.3">
      <c r="A69" s="52" t="str">
        <f>+A54</f>
        <v>Pruebas de color</v>
      </c>
      <c r="B69" s="53">
        <f>+B54*H62</f>
        <v>235.62</v>
      </c>
      <c r="C69" s="60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</row>
    <row r="70" spans="1:24" ht="15.75" x14ac:dyDescent="0.3">
      <c r="A70" s="52" t="str">
        <f>+A55</f>
        <v>Imán</v>
      </c>
      <c r="B70" s="53">
        <f>+B55*H62</f>
        <v>0</v>
      </c>
      <c r="C70" s="60"/>
      <c r="F70" s="61" t="s">
        <v>65</v>
      </c>
      <c r="G70" s="31">
        <f>+B60</f>
        <v>16.534222222222223</v>
      </c>
      <c r="H70" s="62">
        <f>+G70*B48</f>
        <v>1488.08</v>
      </c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</row>
    <row r="71" spans="1:24" ht="15.75" x14ac:dyDescent="0.3">
      <c r="A71" s="52" t="str">
        <f>+A56</f>
        <v>Encuadernación</v>
      </c>
      <c r="B71" s="53">
        <f>+B56*H62</f>
        <v>0</v>
      </c>
      <c r="C71" s="63"/>
      <c r="F71" s="61" t="s">
        <v>66</v>
      </c>
      <c r="G71" s="31">
        <f>+C73</f>
        <v>21.031333333333336</v>
      </c>
      <c r="H71" s="62">
        <f>+G71*B48</f>
        <v>1892.8200000000002</v>
      </c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</row>
    <row r="72" spans="1:24" ht="15.75" x14ac:dyDescent="0.3">
      <c r="A72" s="52"/>
      <c r="B72" s="53"/>
      <c r="C72" s="63"/>
      <c r="F72" s="64" t="s">
        <v>67</v>
      </c>
      <c r="G72" s="65">
        <f>+G71-G70</f>
        <v>4.4971111111111135</v>
      </c>
      <c r="H72" s="93">
        <f>+G72*B48</f>
        <v>404.74000000000024</v>
      </c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</row>
    <row r="73" spans="1:24" ht="15.75" x14ac:dyDescent="0.3">
      <c r="A73" s="51" t="s">
        <v>55</v>
      </c>
      <c r="B73" s="56">
        <f>SUM(B65:B72)</f>
        <v>1892.8200000000002</v>
      </c>
      <c r="C73" s="65">
        <f>+B73/B48</f>
        <v>21.031333333333336</v>
      </c>
      <c r="D73" s="5" t="s">
        <v>136</v>
      </c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</row>
    <row r="74" spans="1:24" ht="15.75" x14ac:dyDescent="0.3">
      <c r="C74" s="74"/>
      <c r="D74" s="5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</row>
    <row r="75" spans="1:24" ht="15.75" x14ac:dyDescent="0.3">
      <c r="C75" s="74"/>
      <c r="D75" s="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</row>
    <row r="76" spans="1:24" ht="15.75" x14ac:dyDescent="0.3">
      <c r="A76" s="5"/>
      <c r="C76" s="62"/>
      <c r="D76" s="5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</row>
    <row r="77" spans="1:24" ht="16.5" thickBot="1" x14ac:dyDescent="0.35">
      <c r="A77" s="5" t="s">
        <v>131</v>
      </c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</row>
    <row r="78" spans="1:24" ht="15.75" x14ac:dyDescent="0.3">
      <c r="A78" s="10" t="s">
        <v>97</v>
      </c>
      <c r="B78" s="11"/>
      <c r="C78" s="11"/>
      <c r="D78" s="11"/>
      <c r="E78" s="11"/>
      <c r="F78" s="11"/>
      <c r="G78" s="12"/>
      <c r="J78"/>
    </row>
    <row r="79" spans="1:24" ht="15.75" x14ac:dyDescent="0.3">
      <c r="A79" s="45">
        <f>+F16</f>
        <v>35</v>
      </c>
      <c r="B79" s="70">
        <f>+H16</f>
        <v>36</v>
      </c>
      <c r="C79" s="7" t="s">
        <v>96</v>
      </c>
      <c r="D79" s="70" t="s">
        <v>98</v>
      </c>
      <c r="E79" s="7" t="s">
        <v>99</v>
      </c>
      <c r="F79" s="72" t="s">
        <v>133</v>
      </c>
      <c r="G79" s="8"/>
      <c r="J79"/>
    </row>
    <row r="80" spans="1:24" ht="15.75" x14ac:dyDescent="0.3">
      <c r="A80" s="45">
        <f>0.434*0.4*C41</f>
        <v>22.568000000000001</v>
      </c>
      <c r="B80" s="75">
        <v>4</v>
      </c>
      <c r="C80" s="75">
        <f>+A80*B80</f>
        <v>90.272000000000006</v>
      </c>
      <c r="D80" s="75">
        <v>0</v>
      </c>
      <c r="E80" s="79">
        <f>+C80+D80</f>
        <v>90.272000000000006</v>
      </c>
      <c r="F80" s="94" t="s">
        <v>132</v>
      </c>
      <c r="G80" s="122">
        <v>550</v>
      </c>
      <c r="J80"/>
    </row>
    <row r="81" spans="1:18" ht="15.75" x14ac:dyDescent="0.3">
      <c r="A81" s="6"/>
      <c r="B81" s="75"/>
      <c r="C81" s="75"/>
      <c r="D81" s="75"/>
      <c r="E81" s="75"/>
      <c r="G81" s="8"/>
      <c r="J81"/>
    </row>
    <row r="82" spans="1:18" ht="16.5" x14ac:dyDescent="0.3">
      <c r="A82" s="45">
        <f>+A79</f>
        <v>35</v>
      </c>
      <c r="B82" s="70">
        <f>+B79</f>
        <v>36</v>
      </c>
      <c r="C82" s="7" t="s">
        <v>96</v>
      </c>
      <c r="D82" s="70" t="s">
        <v>98</v>
      </c>
      <c r="E82" s="7" t="s">
        <v>99</v>
      </c>
      <c r="F82" s="94" t="s">
        <v>132</v>
      </c>
      <c r="G82" s="80">
        <v>550</v>
      </c>
      <c r="J82"/>
      <c r="K82" s="54"/>
      <c r="L82" s="54"/>
      <c r="M82" s="54"/>
      <c r="N82" s="54"/>
      <c r="O82" s="54"/>
      <c r="P82" s="54"/>
      <c r="Q82" s="54"/>
      <c r="R82" s="54"/>
    </row>
    <row r="83" spans="1:18" ht="16.5" x14ac:dyDescent="0.3">
      <c r="A83" s="45">
        <f>0.434*0.4*C41</f>
        <v>22.568000000000001</v>
      </c>
      <c r="B83" s="75">
        <f>4.1*1.5</f>
        <v>6.1499999999999995</v>
      </c>
      <c r="C83" s="75">
        <f>+A83*B83</f>
        <v>138.79319999999998</v>
      </c>
      <c r="D83" s="75">
        <v>0</v>
      </c>
      <c r="E83" s="79">
        <f>+C83+D83</f>
        <v>138.79319999999998</v>
      </c>
      <c r="F83" s="72" t="s">
        <v>134</v>
      </c>
      <c r="G83" s="8"/>
      <c r="J83"/>
      <c r="K83" s="54"/>
      <c r="L83" s="54"/>
      <c r="M83" s="54"/>
      <c r="N83" s="54"/>
      <c r="O83" s="54"/>
      <c r="P83" s="54"/>
      <c r="Q83" s="54"/>
      <c r="R83" s="54"/>
    </row>
    <row r="84" spans="1:18" ht="16.5" x14ac:dyDescent="0.3">
      <c r="A84" s="6"/>
      <c r="B84" s="7"/>
      <c r="C84" s="75"/>
      <c r="D84" s="75"/>
      <c r="E84" s="75"/>
      <c r="F84" s="75"/>
      <c r="G84" s="8"/>
      <c r="J84"/>
      <c r="K84" s="54"/>
      <c r="L84" s="54"/>
      <c r="M84" s="54"/>
      <c r="N84" s="54"/>
      <c r="O84" s="54"/>
      <c r="P84" s="54"/>
      <c r="Q84" s="54"/>
      <c r="R84" s="54"/>
    </row>
    <row r="85" spans="1:18" ht="17.25" thickBot="1" x14ac:dyDescent="0.35">
      <c r="A85" s="13"/>
      <c r="B85" s="14"/>
      <c r="C85" s="14"/>
      <c r="D85" s="14"/>
      <c r="E85" s="14"/>
      <c r="F85" s="14"/>
      <c r="G85" s="15"/>
      <c r="J85"/>
      <c r="K85" s="54"/>
      <c r="L85" s="54"/>
      <c r="M85" s="54"/>
      <c r="N85" s="54"/>
      <c r="O85" s="54"/>
      <c r="P85" s="54"/>
      <c r="Q85" s="54"/>
      <c r="R85" s="54"/>
    </row>
    <row r="86" spans="1:18" ht="16.5" x14ac:dyDescent="0.3">
      <c r="J86"/>
      <c r="K86" s="54"/>
      <c r="L86" s="54"/>
      <c r="M86" s="54"/>
      <c r="N86" s="54"/>
      <c r="O86" s="54"/>
      <c r="P86" s="54"/>
      <c r="Q86" s="54"/>
      <c r="R86" s="54"/>
    </row>
    <row r="87" spans="1:18" ht="16.5" x14ac:dyDescent="0.3">
      <c r="J87" s="54"/>
      <c r="K87" s="54"/>
      <c r="L87" s="54"/>
      <c r="M87" s="54"/>
      <c r="N87" s="54"/>
      <c r="O87" s="54"/>
      <c r="P87" s="54"/>
      <c r="Q87" s="54"/>
      <c r="R87" s="54"/>
    </row>
    <row r="88" spans="1:18" ht="16.5" x14ac:dyDescent="0.3">
      <c r="J88" s="54"/>
      <c r="K88" s="54"/>
      <c r="L88" s="54"/>
      <c r="M88" s="54"/>
      <c r="N88" s="54"/>
      <c r="O88" s="54"/>
      <c r="P88" s="54"/>
      <c r="Q88" s="54"/>
      <c r="R88" s="54"/>
    </row>
    <row r="89" spans="1:18" ht="16.5" x14ac:dyDescent="0.3">
      <c r="J89" s="54"/>
      <c r="K89" s="54"/>
      <c r="L89" s="54"/>
      <c r="M89" s="54"/>
      <c r="N89" s="54"/>
      <c r="O89" s="54"/>
      <c r="P89" s="54"/>
      <c r="Q89" s="54"/>
      <c r="R89" s="54"/>
    </row>
    <row r="90" spans="1:18" ht="16.5" x14ac:dyDescent="0.3">
      <c r="J90" s="54"/>
      <c r="K90" s="54"/>
      <c r="L90" s="54"/>
      <c r="M90" s="54"/>
      <c r="N90" s="54"/>
      <c r="O90" s="54"/>
      <c r="P90" s="54"/>
      <c r="Q90" s="54"/>
      <c r="R90" s="54"/>
    </row>
  </sheetData>
  <pageMargins left="0.70866141732283472" right="0.70866141732283472" top="0.74803149606299213" bottom="0.74803149606299213" header="0.31496062992125984" footer="0.31496062992125984"/>
  <pageSetup scale="43" orientation="landscape" r:id="rId1"/>
  <headerFooter>
    <oddFooter>&amp;A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11"/>
  <sheetViews>
    <sheetView tabSelected="1" zoomScale="80" zoomScaleNormal="80" workbookViewId="0">
      <selection activeCell="H27" sqref="H27"/>
    </sheetView>
  </sheetViews>
  <sheetFormatPr baseColWidth="10" defaultRowHeight="14.25" x14ac:dyDescent="0.3"/>
  <cols>
    <col min="1" max="1" width="11.42578125" style="1"/>
    <col min="2" max="2" width="13.42578125" style="1" bestFit="1" customWidth="1"/>
    <col min="3" max="3" width="12.28515625" style="1" customWidth="1"/>
    <col min="4" max="4" width="9.7109375" style="1" customWidth="1"/>
    <col min="5" max="5" width="14.28515625" style="1" customWidth="1"/>
    <col min="6" max="6" width="15.42578125" style="1" customWidth="1"/>
    <col min="7" max="7" width="13.42578125" style="1" customWidth="1"/>
    <col min="8" max="8" width="10.42578125" style="1" customWidth="1"/>
    <col min="9" max="9" width="14.85546875" style="1" customWidth="1"/>
    <col min="10" max="10" width="11.42578125" style="1"/>
    <col min="11" max="11" width="15.85546875" style="1" customWidth="1"/>
    <col min="12" max="12" width="11.42578125" style="1"/>
    <col min="13" max="13" width="14.140625" style="1" customWidth="1"/>
    <col min="14" max="16384" width="11.42578125" style="1"/>
  </cols>
  <sheetData>
    <row r="1" spans="1:21" ht="15.75" x14ac:dyDescent="0.3">
      <c r="J1"/>
      <c r="K1"/>
      <c r="L1"/>
      <c r="M1"/>
      <c r="N1"/>
      <c r="O1"/>
      <c r="P1"/>
      <c r="Q1"/>
      <c r="R1"/>
      <c r="S1"/>
    </row>
    <row r="2" spans="1:21" ht="15.75" x14ac:dyDescent="0.3">
      <c r="J2"/>
      <c r="K2"/>
      <c r="L2"/>
      <c r="M2"/>
      <c r="N2"/>
      <c r="O2"/>
      <c r="P2"/>
      <c r="Q2"/>
      <c r="R2"/>
      <c r="S2"/>
    </row>
    <row r="3" spans="1:21" ht="15.75" x14ac:dyDescent="0.3">
      <c r="J3"/>
      <c r="K3"/>
      <c r="L3"/>
      <c r="M3"/>
      <c r="N3"/>
      <c r="O3"/>
      <c r="P3"/>
      <c r="Q3"/>
      <c r="R3"/>
      <c r="S3"/>
      <c r="T3" s="3"/>
      <c r="U3" s="3"/>
    </row>
    <row r="4" spans="1:21" ht="15.75" x14ac:dyDescent="0.3">
      <c r="J4"/>
      <c r="K4"/>
      <c r="L4"/>
      <c r="M4"/>
      <c r="N4"/>
      <c r="O4"/>
      <c r="P4"/>
      <c r="Q4"/>
      <c r="R4"/>
      <c r="S4"/>
    </row>
    <row r="5" spans="1:21" ht="15.75" x14ac:dyDescent="0.3">
      <c r="A5" s="5"/>
      <c r="J5"/>
      <c r="K5"/>
      <c r="L5"/>
      <c r="M5"/>
      <c r="N5"/>
      <c r="O5"/>
      <c r="P5"/>
      <c r="Q5"/>
      <c r="R5"/>
      <c r="S5"/>
    </row>
    <row r="6" spans="1:21" ht="18.75" x14ac:dyDescent="0.3">
      <c r="A6" s="2" t="s">
        <v>1</v>
      </c>
      <c r="E6" s="5" t="s">
        <v>2</v>
      </c>
      <c r="F6" s="1" t="s">
        <v>3</v>
      </c>
      <c r="J6"/>
      <c r="K6"/>
      <c r="L6"/>
      <c r="M6"/>
      <c r="N6"/>
      <c r="O6"/>
      <c r="P6"/>
      <c r="Q6"/>
      <c r="R6"/>
      <c r="S6"/>
    </row>
    <row r="7" spans="1:21" ht="15.75" x14ac:dyDescent="0.3">
      <c r="J7"/>
      <c r="K7"/>
      <c r="L7"/>
      <c r="M7"/>
      <c r="N7"/>
      <c r="O7"/>
      <c r="P7"/>
      <c r="Q7"/>
      <c r="R7"/>
      <c r="S7"/>
    </row>
    <row r="8" spans="1:21" ht="15.75" x14ac:dyDescent="0.3">
      <c r="J8"/>
      <c r="K8"/>
      <c r="L8"/>
      <c r="M8"/>
      <c r="N8"/>
      <c r="O8"/>
      <c r="P8"/>
      <c r="Q8"/>
      <c r="R8"/>
      <c r="S8"/>
    </row>
    <row r="9" spans="1:21" s="5" customFormat="1" ht="15.75" x14ac:dyDescent="0.3">
      <c r="A9" s="5" t="s">
        <v>5</v>
      </c>
      <c r="C9" s="5" t="str">
        <f>+'Forro Caja EXT'!C9</f>
        <v>12 de julio de 2017.</v>
      </c>
      <c r="H9" s="5" t="s">
        <v>6</v>
      </c>
      <c r="J9"/>
      <c r="K9"/>
      <c r="L9"/>
      <c r="M9"/>
      <c r="N9"/>
      <c r="O9"/>
      <c r="P9"/>
      <c r="Q9"/>
      <c r="R9"/>
      <c r="S9"/>
      <c r="T9" s="1"/>
      <c r="U9" s="1"/>
    </row>
    <row r="10" spans="1:21" ht="15.75" x14ac:dyDescent="0.3">
      <c r="J10"/>
      <c r="K10"/>
      <c r="L10"/>
      <c r="M10"/>
      <c r="N10"/>
      <c r="O10"/>
      <c r="P10"/>
      <c r="Q10"/>
      <c r="R10"/>
      <c r="S10"/>
    </row>
    <row r="11" spans="1:21" ht="16.5" thickBot="1" x14ac:dyDescent="0.35">
      <c r="A11" s="5" t="s">
        <v>7</v>
      </c>
      <c r="C11" s="1" t="str">
        <f>+Desarrollo!B3</f>
        <v>Megadealer</v>
      </c>
      <c r="F11" s="5" t="s">
        <v>0</v>
      </c>
      <c r="J11"/>
      <c r="K11"/>
      <c r="L11"/>
      <c r="M11"/>
      <c r="N11"/>
      <c r="O11"/>
      <c r="P11"/>
      <c r="Q11"/>
      <c r="R11"/>
      <c r="S11"/>
    </row>
    <row r="12" spans="1:21" ht="15.75" x14ac:dyDescent="0.3">
      <c r="A12" s="5"/>
      <c r="F12" s="10"/>
      <c r="G12" s="11"/>
      <c r="H12" s="12"/>
      <c r="J12"/>
      <c r="K12"/>
      <c r="L12"/>
      <c r="M12"/>
      <c r="N12"/>
      <c r="O12"/>
      <c r="P12"/>
      <c r="Q12"/>
      <c r="R12"/>
      <c r="S12"/>
    </row>
    <row r="13" spans="1:21" ht="15.75" x14ac:dyDescent="0.3">
      <c r="A13" s="5" t="s">
        <v>8</v>
      </c>
      <c r="C13" s="1" t="str">
        <f>+'forro cartera guarda'!C13</f>
        <v>KIA</v>
      </c>
      <c r="F13" s="6"/>
      <c r="G13" s="7"/>
      <c r="H13" s="8"/>
      <c r="J13"/>
      <c r="K13"/>
      <c r="L13"/>
      <c r="M13"/>
      <c r="N13"/>
      <c r="O13"/>
      <c r="P13"/>
      <c r="Q13"/>
      <c r="R13"/>
      <c r="S13"/>
    </row>
    <row r="14" spans="1:21" ht="15.75" x14ac:dyDescent="0.3">
      <c r="A14" s="5"/>
      <c r="F14" s="6"/>
      <c r="G14" s="7"/>
      <c r="H14" s="8"/>
      <c r="J14"/>
      <c r="K14"/>
      <c r="L14"/>
      <c r="M14"/>
      <c r="N14"/>
      <c r="O14"/>
      <c r="P14"/>
      <c r="Q14"/>
      <c r="R14"/>
      <c r="S14"/>
    </row>
    <row r="15" spans="1:21" ht="15.75" x14ac:dyDescent="0.3">
      <c r="A15" s="5" t="s">
        <v>9</v>
      </c>
      <c r="C15" s="18" t="s">
        <v>91</v>
      </c>
      <c r="D15" s="17"/>
      <c r="E15" s="17"/>
      <c r="F15" s="69" t="s">
        <v>4</v>
      </c>
      <c r="G15" s="7"/>
      <c r="H15" s="8"/>
      <c r="J15"/>
      <c r="K15"/>
      <c r="L15"/>
      <c r="M15"/>
      <c r="N15"/>
      <c r="O15"/>
      <c r="P15"/>
      <c r="Q15"/>
      <c r="R15"/>
      <c r="S15"/>
    </row>
    <row r="16" spans="1:21" ht="15.75" x14ac:dyDescent="0.3">
      <c r="C16" s="16" t="s">
        <v>178</v>
      </c>
      <c r="D16" s="17"/>
      <c r="E16" s="17"/>
      <c r="F16" s="45">
        <f>+Desarrollo!C97</f>
        <v>40</v>
      </c>
      <c r="G16" s="70" t="s">
        <v>73</v>
      </c>
      <c r="H16" s="71">
        <f>+Desarrollo!E97</f>
        <v>41</v>
      </c>
      <c r="J16"/>
      <c r="K16"/>
      <c r="L16"/>
      <c r="M16"/>
      <c r="N16"/>
      <c r="O16"/>
      <c r="P16"/>
      <c r="Q16"/>
      <c r="R16"/>
      <c r="S16"/>
    </row>
    <row r="17" spans="1:19" ht="15.75" x14ac:dyDescent="0.3">
      <c r="C17" s="16" t="s">
        <v>85</v>
      </c>
      <c r="D17" s="17"/>
      <c r="E17" s="17"/>
      <c r="F17" s="69">
        <v>1</v>
      </c>
      <c r="G17" s="72" t="s">
        <v>74</v>
      </c>
      <c r="H17" s="8"/>
      <c r="J17"/>
      <c r="K17"/>
      <c r="L17"/>
      <c r="M17"/>
      <c r="N17"/>
      <c r="O17"/>
      <c r="P17"/>
      <c r="Q17"/>
      <c r="R17"/>
      <c r="S17"/>
    </row>
    <row r="18" spans="1:19" ht="15.75" x14ac:dyDescent="0.3">
      <c r="C18" s="16" t="s">
        <v>179</v>
      </c>
      <c r="D18" s="17"/>
      <c r="E18" s="17"/>
      <c r="F18" s="6"/>
      <c r="G18" s="7"/>
      <c r="H18" s="8"/>
      <c r="J18"/>
      <c r="K18"/>
      <c r="L18"/>
      <c r="M18"/>
      <c r="N18"/>
      <c r="O18"/>
      <c r="P18"/>
      <c r="Q18"/>
      <c r="R18"/>
      <c r="S18"/>
    </row>
    <row r="19" spans="1:19" ht="15.75" x14ac:dyDescent="0.3">
      <c r="C19" s="16" t="s">
        <v>180</v>
      </c>
      <c r="D19" s="17"/>
      <c r="E19" s="17"/>
      <c r="F19" s="6"/>
      <c r="G19" s="7"/>
      <c r="H19" s="8"/>
      <c r="J19"/>
      <c r="K19"/>
      <c r="L19"/>
      <c r="M19"/>
      <c r="N19"/>
      <c r="O19"/>
      <c r="P19"/>
      <c r="Q19"/>
      <c r="R19"/>
      <c r="S19"/>
    </row>
    <row r="20" spans="1:19" ht="15.75" x14ac:dyDescent="0.3">
      <c r="C20" s="19" t="s">
        <v>181</v>
      </c>
      <c r="D20" s="17"/>
      <c r="E20" s="17"/>
      <c r="F20" s="45">
        <f>+Desarrollo!C94</f>
        <v>36</v>
      </c>
      <c r="G20" s="70" t="s">
        <v>73</v>
      </c>
      <c r="H20" s="71">
        <f>+Desarrollo!E94</f>
        <v>37</v>
      </c>
      <c r="J20"/>
      <c r="K20"/>
      <c r="L20"/>
      <c r="M20"/>
      <c r="N20"/>
      <c r="O20"/>
      <c r="P20"/>
      <c r="Q20"/>
      <c r="R20"/>
      <c r="S20"/>
    </row>
    <row r="21" spans="1:19" ht="15.75" x14ac:dyDescent="0.3">
      <c r="C21" s="17" t="s">
        <v>92</v>
      </c>
      <c r="D21" s="17"/>
      <c r="E21" s="17"/>
      <c r="F21" s="45"/>
      <c r="G21" s="70"/>
      <c r="H21" s="71"/>
      <c r="J21"/>
      <c r="K21"/>
      <c r="L21"/>
      <c r="M21"/>
      <c r="N21"/>
      <c r="O21"/>
      <c r="P21"/>
      <c r="Q21"/>
      <c r="R21"/>
      <c r="S21"/>
    </row>
    <row r="22" spans="1:19" ht="16.5" thickBot="1" x14ac:dyDescent="0.35">
      <c r="C22" s="17"/>
      <c r="D22" s="17"/>
      <c r="E22" s="17"/>
      <c r="F22" s="13"/>
      <c r="G22" s="14"/>
      <c r="H22" s="15"/>
      <c r="J22"/>
      <c r="K22"/>
      <c r="L22"/>
      <c r="M22"/>
      <c r="N22"/>
      <c r="O22"/>
      <c r="P22"/>
      <c r="Q22"/>
      <c r="R22"/>
      <c r="S22"/>
    </row>
    <row r="23" spans="1:19" ht="15.75" x14ac:dyDescent="0.3">
      <c r="A23" s="4" t="s">
        <v>11</v>
      </c>
      <c r="C23" s="20" t="str">
        <f>+Desarrollo!A96</f>
        <v>Rainbow Blanco</v>
      </c>
      <c r="E23" s="5" t="s">
        <v>12</v>
      </c>
      <c r="J23"/>
      <c r="K23"/>
      <c r="L23"/>
      <c r="M23"/>
      <c r="N23"/>
      <c r="O23"/>
      <c r="P23"/>
      <c r="Q23"/>
      <c r="R23"/>
      <c r="S23"/>
    </row>
    <row r="24" spans="1:19" ht="15.75" x14ac:dyDescent="0.3">
      <c r="J24"/>
      <c r="K24"/>
      <c r="L24"/>
      <c r="M24"/>
      <c r="N24"/>
      <c r="O24"/>
      <c r="P24"/>
      <c r="Q24"/>
      <c r="R24"/>
      <c r="S24"/>
    </row>
    <row r="25" spans="1:19" ht="15.75" x14ac:dyDescent="0.3">
      <c r="A25" s="4" t="s">
        <v>13</v>
      </c>
      <c r="C25" s="22">
        <f>+Desarrollo!C96</f>
        <v>100</v>
      </c>
      <c r="D25" s="21" t="s">
        <v>14</v>
      </c>
      <c r="E25" s="23">
        <f>+Desarrollo!E96</f>
        <v>130</v>
      </c>
      <c r="F25" s="24">
        <f>+C25</f>
        <v>100</v>
      </c>
      <c r="G25" s="25" t="s">
        <v>14</v>
      </c>
      <c r="H25" s="25">
        <f>+E25</f>
        <v>130</v>
      </c>
      <c r="J25"/>
      <c r="K25"/>
      <c r="L25"/>
      <c r="M25"/>
      <c r="N25"/>
      <c r="O25"/>
      <c r="P25"/>
      <c r="Q25"/>
      <c r="R25"/>
      <c r="S25"/>
    </row>
    <row r="26" spans="1:19" ht="15.75" x14ac:dyDescent="0.3">
      <c r="A26" s="4" t="s">
        <v>15</v>
      </c>
      <c r="B26" s="3"/>
      <c r="C26" s="26">
        <f>+F16</f>
        <v>40</v>
      </c>
      <c r="D26" s="27" t="s">
        <v>14</v>
      </c>
      <c r="E26" s="26">
        <f>+H16</f>
        <v>41</v>
      </c>
      <c r="F26" s="28">
        <f>+E26</f>
        <v>41</v>
      </c>
      <c r="G26" s="28" t="s">
        <v>14</v>
      </c>
      <c r="H26" s="28">
        <f>+C26</f>
        <v>40</v>
      </c>
      <c r="I26" s="29"/>
      <c r="J26"/>
      <c r="K26"/>
      <c r="L26"/>
      <c r="M26"/>
      <c r="N26"/>
      <c r="O26"/>
      <c r="P26"/>
      <c r="Q26"/>
      <c r="R26"/>
      <c r="S26"/>
    </row>
    <row r="27" spans="1:19" ht="16.5" thickBot="1" x14ac:dyDescent="0.35">
      <c r="A27" s="3" t="s">
        <v>16</v>
      </c>
      <c r="B27" s="30"/>
      <c r="C27" s="31">
        <f>+C25/C26</f>
        <v>2.5</v>
      </c>
      <c r="D27" s="32"/>
      <c r="E27" s="31">
        <f>+E25/E26</f>
        <v>3.1707317073170733</v>
      </c>
      <c r="F27" s="31">
        <f>+F25/F26</f>
        <v>2.4390243902439024</v>
      </c>
      <c r="G27" s="32"/>
      <c r="H27" s="31">
        <f>+H25/H26</f>
        <v>3.25</v>
      </c>
      <c r="I27" s="29"/>
      <c r="J27"/>
      <c r="K27"/>
      <c r="L27"/>
      <c r="M27"/>
      <c r="N27"/>
      <c r="O27"/>
      <c r="P27"/>
      <c r="Q27"/>
      <c r="R27"/>
      <c r="S27"/>
    </row>
    <row r="28" spans="1:19" ht="16.5" thickBot="1" x14ac:dyDescent="0.35">
      <c r="A28" s="3" t="s">
        <v>17</v>
      </c>
      <c r="B28" s="33"/>
      <c r="C28" s="34"/>
      <c r="D28" s="35">
        <v>6</v>
      </c>
      <c r="E28" s="36"/>
      <c r="F28" s="37"/>
      <c r="G28" s="38">
        <v>6</v>
      </c>
      <c r="H28" s="39" t="s">
        <v>18</v>
      </c>
      <c r="J28"/>
      <c r="K28"/>
      <c r="L28"/>
      <c r="M28"/>
      <c r="N28"/>
      <c r="O28"/>
      <c r="P28"/>
      <c r="Q28"/>
      <c r="R28"/>
      <c r="S28"/>
    </row>
    <row r="29" spans="1:19" ht="15.75" x14ac:dyDescent="0.3">
      <c r="A29" s="3"/>
      <c r="B29" s="20"/>
      <c r="C29" s="29"/>
      <c r="G29" s="40"/>
      <c r="H29" s="29"/>
      <c r="J29"/>
      <c r="K29"/>
      <c r="L29"/>
      <c r="M29"/>
      <c r="N29"/>
      <c r="O29"/>
      <c r="P29"/>
      <c r="Q29"/>
      <c r="R29"/>
      <c r="S29"/>
    </row>
    <row r="30" spans="1:19" ht="15.75" x14ac:dyDescent="0.3">
      <c r="A30" s="24" t="s">
        <v>19</v>
      </c>
      <c r="B30" s="24" t="str">
        <f>+'forro cartera guarda'!B30</f>
        <v>White House</v>
      </c>
      <c r="D30" s="40" t="s">
        <v>20</v>
      </c>
      <c r="E30" s="41">
        <f>+'forro cartera guarda'!E30</f>
        <v>58</v>
      </c>
      <c r="F30" s="92"/>
      <c r="G30" s="1" t="s">
        <v>21</v>
      </c>
      <c r="H30" s="42">
        <v>0.1</v>
      </c>
      <c r="J30"/>
      <c r="K30"/>
      <c r="L30"/>
      <c r="M30"/>
      <c r="N30"/>
      <c r="O30"/>
      <c r="P30"/>
      <c r="Q30"/>
      <c r="R30"/>
      <c r="S30"/>
    </row>
    <row r="31" spans="1:19" ht="15.75" x14ac:dyDescent="0.3">
      <c r="A31" s="3"/>
      <c r="B31" s="3"/>
      <c r="C31" s="3"/>
      <c r="D31" s="43" t="s">
        <v>22</v>
      </c>
      <c r="E31" s="41">
        <f>+H30*E30</f>
        <v>5.8000000000000007</v>
      </c>
      <c r="H31" s="42"/>
      <c r="I31" s="29"/>
      <c r="J31"/>
      <c r="K31"/>
      <c r="L31"/>
      <c r="M31"/>
      <c r="N31"/>
      <c r="O31"/>
      <c r="P31"/>
      <c r="Q31"/>
      <c r="R31"/>
      <c r="S31"/>
    </row>
    <row r="32" spans="1:19" ht="15.75" x14ac:dyDescent="0.3">
      <c r="D32" s="43" t="s">
        <v>23</v>
      </c>
      <c r="E32" s="44">
        <f>+E30-E31</f>
        <v>52.2</v>
      </c>
      <c r="I32" s="29"/>
      <c r="J32"/>
      <c r="K32"/>
      <c r="L32"/>
      <c r="M32"/>
      <c r="N32"/>
      <c r="O32"/>
      <c r="P32"/>
      <c r="Q32"/>
      <c r="R32"/>
      <c r="S32"/>
    </row>
    <row r="33" spans="1:19" ht="15.75" x14ac:dyDescent="0.3">
      <c r="E33" s="20" t="s">
        <v>25</v>
      </c>
      <c r="F33" s="20" t="s">
        <v>26</v>
      </c>
      <c r="G33" s="20" t="s">
        <v>26</v>
      </c>
      <c r="H33" s="20" t="s">
        <v>26</v>
      </c>
      <c r="I33" s="29"/>
      <c r="J33"/>
      <c r="K33"/>
      <c r="L33"/>
      <c r="M33"/>
      <c r="N33"/>
      <c r="O33"/>
      <c r="P33"/>
      <c r="Q33"/>
      <c r="R33"/>
      <c r="S33"/>
    </row>
    <row r="34" spans="1:19" ht="15.75" x14ac:dyDescent="0.3">
      <c r="D34" s="40" t="s">
        <v>27</v>
      </c>
      <c r="E34" s="46">
        <f>+E32</f>
        <v>52.2</v>
      </c>
      <c r="F34" s="46">
        <v>0</v>
      </c>
      <c r="G34" s="46">
        <v>0</v>
      </c>
      <c r="H34" s="46">
        <v>0</v>
      </c>
      <c r="J34"/>
      <c r="K34"/>
      <c r="L34"/>
      <c r="M34"/>
      <c r="N34"/>
      <c r="O34"/>
      <c r="P34"/>
      <c r="Q34"/>
      <c r="R34"/>
      <c r="S34"/>
    </row>
    <row r="35" spans="1:19" ht="15.75" x14ac:dyDescent="0.3">
      <c r="D35" s="40" t="s">
        <v>28</v>
      </c>
      <c r="E35" s="46">
        <f>+E34*1.2</f>
        <v>62.64</v>
      </c>
      <c r="F35" s="46">
        <v>0</v>
      </c>
      <c r="G35" s="46">
        <v>0</v>
      </c>
      <c r="H35" s="46">
        <v>0</v>
      </c>
      <c r="J35"/>
      <c r="K35"/>
      <c r="L35"/>
      <c r="M35"/>
      <c r="N35"/>
      <c r="O35"/>
      <c r="P35"/>
      <c r="Q35"/>
      <c r="R35"/>
      <c r="S35"/>
    </row>
    <row r="36" spans="1:19" ht="15.75" x14ac:dyDescent="0.3">
      <c r="A36" s="3"/>
      <c r="G36" s="40"/>
      <c r="J36"/>
      <c r="K36"/>
      <c r="L36"/>
      <c r="M36"/>
      <c r="N36"/>
      <c r="O36"/>
      <c r="P36"/>
      <c r="Q36"/>
      <c r="R36"/>
      <c r="S36"/>
    </row>
    <row r="37" spans="1:19" ht="16.5" thickBot="1" x14ac:dyDescent="0.35">
      <c r="A37" s="3"/>
      <c r="B37" s="20"/>
      <c r="C37" s="29"/>
      <c r="J37"/>
      <c r="K37"/>
      <c r="L37"/>
      <c r="M37"/>
      <c r="N37"/>
      <c r="O37"/>
      <c r="P37"/>
      <c r="Q37"/>
      <c r="R37"/>
      <c r="S37"/>
    </row>
    <row r="38" spans="1:19" ht="15.75" x14ac:dyDescent="0.3">
      <c r="A38" s="4" t="s">
        <v>32</v>
      </c>
      <c r="C38" s="47">
        <v>6</v>
      </c>
      <c r="D38" s="48" t="s">
        <v>33</v>
      </c>
      <c r="E38" s="10" t="s">
        <v>30</v>
      </c>
      <c r="F38" s="11" t="s">
        <v>31</v>
      </c>
      <c r="G38" s="11"/>
      <c r="H38" s="12"/>
      <c r="J38"/>
      <c r="K38"/>
      <c r="L38"/>
      <c r="M38"/>
      <c r="N38"/>
      <c r="O38"/>
      <c r="P38"/>
      <c r="Q38"/>
      <c r="R38"/>
      <c r="S38"/>
    </row>
    <row r="39" spans="1:19" ht="16.5" thickBot="1" x14ac:dyDescent="0.35">
      <c r="A39" s="4"/>
      <c r="C39" s="20"/>
      <c r="D39" s="1" t="s">
        <v>35</v>
      </c>
      <c r="E39" s="13"/>
      <c r="F39" s="14" t="s">
        <v>34</v>
      </c>
      <c r="G39" s="14"/>
      <c r="H39" s="15"/>
      <c r="J39"/>
      <c r="K39"/>
      <c r="L39"/>
      <c r="M39"/>
      <c r="N39"/>
      <c r="O39"/>
      <c r="P39"/>
      <c r="Q39"/>
      <c r="R39"/>
      <c r="S39"/>
    </row>
    <row r="40" spans="1:19" ht="15.75" x14ac:dyDescent="0.3">
      <c r="A40" s="4" t="s">
        <v>36</v>
      </c>
      <c r="B40" s="5"/>
      <c r="C40" s="49">
        <f>+B48/F17</f>
        <v>90</v>
      </c>
      <c r="D40" s="23">
        <v>40</v>
      </c>
      <c r="H40" s="3"/>
      <c r="J40"/>
      <c r="K40"/>
      <c r="L40"/>
      <c r="M40"/>
      <c r="N40"/>
      <c r="O40"/>
      <c r="P40"/>
      <c r="Q40"/>
      <c r="R40"/>
      <c r="S40"/>
    </row>
    <row r="41" spans="1:19" ht="15.75" x14ac:dyDescent="0.3">
      <c r="A41" s="4" t="s">
        <v>38</v>
      </c>
      <c r="C41" s="33">
        <f>+C40+D40</f>
        <v>130</v>
      </c>
      <c r="F41" s="43" t="s">
        <v>37</v>
      </c>
      <c r="G41" s="22">
        <v>1</v>
      </c>
      <c r="H41" s="3"/>
      <c r="J41"/>
      <c r="K41"/>
      <c r="L41"/>
      <c r="M41"/>
      <c r="N41"/>
      <c r="O41"/>
      <c r="P41"/>
      <c r="Q41"/>
      <c r="R41"/>
      <c r="S41"/>
    </row>
    <row r="42" spans="1:19" ht="15.75" x14ac:dyDescent="0.3">
      <c r="A42" s="4" t="s">
        <v>40</v>
      </c>
      <c r="C42" s="33">
        <f>+C41/C38</f>
        <v>21.666666666666668</v>
      </c>
      <c r="F42" s="43" t="s">
        <v>39</v>
      </c>
      <c r="G42" s="22">
        <v>2</v>
      </c>
      <c r="H42" s="3"/>
      <c r="J42"/>
      <c r="K42"/>
      <c r="L42"/>
      <c r="M42"/>
      <c r="N42"/>
      <c r="O42"/>
      <c r="P42"/>
      <c r="Q42"/>
      <c r="R42"/>
      <c r="S42"/>
    </row>
    <row r="43" spans="1:19" ht="15.75" x14ac:dyDescent="0.3">
      <c r="A43" s="4" t="s">
        <v>83</v>
      </c>
      <c r="C43" s="20">
        <f>+(C42*C38)*F17</f>
        <v>130</v>
      </c>
      <c r="F43" s="43" t="s">
        <v>41</v>
      </c>
      <c r="G43" s="22"/>
      <c r="H43" s="3"/>
      <c r="J43"/>
      <c r="K43"/>
      <c r="L43"/>
      <c r="M43"/>
      <c r="N43"/>
      <c r="O43"/>
      <c r="P43"/>
      <c r="Q43"/>
      <c r="R43"/>
      <c r="S43"/>
    </row>
    <row r="44" spans="1:19" ht="15.75" x14ac:dyDescent="0.3">
      <c r="A44" s="4"/>
      <c r="C44" s="50"/>
      <c r="F44" s="40" t="s">
        <v>42</v>
      </c>
      <c r="G44" s="22">
        <f>+C40/1000</f>
        <v>0.09</v>
      </c>
      <c r="H44" s="3"/>
      <c r="J44"/>
      <c r="K44"/>
      <c r="L44"/>
      <c r="M44"/>
      <c r="N44"/>
      <c r="O44"/>
      <c r="P44"/>
      <c r="Q44"/>
      <c r="R44"/>
      <c r="S44"/>
    </row>
    <row r="45" spans="1:19" ht="15.75" x14ac:dyDescent="0.3">
      <c r="A45" s="4"/>
      <c r="C45" s="20"/>
      <c r="E45" s="43"/>
      <c r="F45" s="43" t="s">
        <v>43</v>
      </c>
      <c r="G45" s="47">
        <f>+C41</f>
        <v>130</v>
      </c>
      <c r="I45" s="3"/>
      <c r="J45"/>
      <c r="K45"/>
      <c r="L45"/>
      <c r="M45"/>
      <c r="N45"/>
      <c r="O45"/>
      <c r="P45"/>
      <c r="Q45"/>
      <c r="R45"/>
      <c r="S45"/>
    </row>
    <row r="46" spans="1:19" ht="15.75" x14ac:dyDescent="0.3">
      <c r="A46" s="4" t="s">
        <v>44</v>
      </c>
      <c r="C46" s="24">
        <f>+C42*C38</f>
        <v>130</v>
      </c>
      <c r="F46" s="43"/>
      <c r="G46" s="29"/>
      <c r="H46" s="3"/>
      <c r="J46"/>
      <c r="K46"/>
      <c r="L46"/>
      <c r="M46"/>
      <c r="N46"/>
      <c r="O46"/>
      <c r="P46"/>
      <c r="Q46"/>
      <c r="R46"/>
      <c r="S46"/>
    </row>
    <row r="47" spans="1:19" x14ac:dyDescent="0.3">
      <c r="A47" s="3"/>
      <c r="B47" s="3"/>
      <c r="C47" s="3"/>
      <c r="D47" s="3"/>
      <c r="E47" s="3"/>
      <c r="H47" s="3"/>
    </row>
    <row r="48" spans="1:19" ht="15.75" x14ac:dyDescent="0.3">
      <c r="A48" s="4" t="s">
        <v>68</v>
      </c>
      <c r="B48" s="20">
        <f>+Desarrollo!B7</f>
        <v>90</v>
      </c>
      <c r="C48" s="3"/>
      <c r="D48" s="24" t="s">
        <v>45</v>
      </c>
      <c r="E48" s="24" t="s">
        <v>46</v>
      </c>
      <c r="F48" s="24" t="s">
        <v>47</v>
      </c>
      <c r="G48" s="24" t="s">
        <v>48</v>
      </c>
      <c r="H48" s="24" t="s">
        <v>49</v>
      </c>
      <c r="J48"/>
      <c r="K48"/>
      <c r="L48"/>
      <c r="M48"/>
      <c r="N48"/>
      <c r="O48"/>
      <c r="P48"/>
      <c r="Q48"/>
      <c r="R48"/>
      <c r="S48"/>
    </row>
    <row r="49" spans="1:21" ht="15.75" x14ac:dyDescent="0.3">
      <c r="A49" s="51" t="s">
        <v>50</v>
      </c>
      <c r="B49" s="52"/>
      <c r="C49" s="3"/>
      <c r="D49" s="20">
        <v>1</v>
      </c>
      <c r="E49" s="20">
        <v>1</v>
      </c>
      <c r="F49" s="20" t="s">
        <v>98</v>
      </c>
      <c r="G49" s="29">
        <f>185+145</f>
        <v>330</v>
      </c>
      <c r="H49" s="29">
        <f>+(D49*E49)*G49</f>
        <v>330</v>
      </c>
      <c r="J49"/>
      <c r="K49"/>
      <c r="L49"/>
      <c r="M49"/>
      <c r="N49"/>
      <c r="O49"/>
      <c r="P49"/>
      <c r="Q49"/>
      <c r="R49"/>
      <c r="S49"/>
    </row>
    <row r="50" spans="1:21" ht="15.75" x14ac:dyDescent="0.3">
      <c r="A50" s="52" t="s">
        <v>52</v>
      </c>
      <c r="B50" s="53">
        <f>+E34*C42</f>
        <v>1131.0000000000002</v>
      </c>
      <c r="C50" s="3"/>
      <c r="D50" s="20">
        <v>1</v>
      </c>
      <c r="E50" s="20">
        <v>1</v>
      </c>
      <c r="F50" s="20" t="s">
        <v>69</v>
      </c>
      <c r="G50" s="29">
        <v>240</v>
      </c>
      <c r="H50" s="29">
        <f>+(D50*E50)*G50</f>
        <v>240</v>
      </c>
      <c r="J50"/>
      <c r="K50"/>
      <c r="L50"/>
      <c r="M50"/>
      <c r="N50"/>
      <c r="O50"/>
      <c r="P50"/>
      <c r="Q50"/>
      <c r="R50"/>
      <c r="S50"/>
    </row>
    <row r="51" spans="1:21" ht="15.75" x14ac:dyDescent="0.3">
      <c r="A51" s="52" t="s">
        <v>10</v>
      </c>
      <c r="B51" s="53">
        <f>+H64</f>
        <v>820</v>
      </c>
      <c r="C51" s="3"/>
      <c r="D51" s="20">
        <v>0</v>
      </c>
      <c r="E51" s="20">
        <v>0</v>
      </c>
      <c r="F51" s="20" t="s">
        <v>75</v>
      </c>
      <c r="G51" s="29">
        <v>500</v>
      </c>
      <c r="H51" s="29">
        <f>+G51*E51*D51</f>
        <v>0</v>
      </c>
      <c r="J51"/>
      <c r="K51"/>
      <c r="L51"/>
      <c r="M51"/>
      <c r="N51"/>
      <c r="O51"/>
      <c r="P51"/>
      <c r="Q51"/>
      <c r="R51"/>
      <c r="S51"/>
    </row>
    <row r="52" spans="1:21" ht="15.75" x14ac:dyDescent="0.3">
      <c r="A52" s="52" t="s">
        <v>137</v>
      </c>
      <c r="B52" s="53">
        <v>0</v>
      </c>
      <c r="C52" s="3"/>
      <c r="D52" s="20">
        <v>1</v>
      </c>
      <c r="E52" s="20">
        <v>1</v>
      </c>
      <c r="F52" s="20" t="s">
        <v>93</v>
      </c>
      <c r="G52" s="29">
        <v>250</v>
      </c>
      <c r="H52" s="29">
        <f t="shared" ref="H52:H54" si="0">+G52*E52</f>
        <v>250</v>
      </c>
      <c r="I52" s="29">
        <f>+(B75/100)*2</f>
        <v>158.4984</v>
      </c>
      <c r="J52"/>
      <c r="K52"/>
      <c r="L52"/>
      <c r="M52"/>
      <c r="N52"/>
      <c r="O52"/>
      <c r="P52"/>
      <c r="Q52"/>
      <c r="R52"/>
      <c r="S52"/>
    </row>
    <row r="53" spans="1:21" ht="16.5" x14ac:dyDescent="0.3">
      <c r="A53" s="52" t="s">
        <v>171</v>
      </c>
      <c r="B53" s="53">
        <f>+((F20*H20)*0.14)</f>
        <v>186.48000000000002</v>
      </c>
      <c r="C53" s="3"/>
      <c r="D53" s="20">
        <v>0</v>
      </c>
      <c r="E53" s="20">
        <v>0</v>
      </c>
      <c r="F53" s="20" t="s">
        <v>70</v>
      </c>
      <c r="G53" s="29">
        <v>145</v>
      </c>
      <c r="H53" s="29">
        <f t="shared" si="0"/>
        <v>0</v>
      </c>
      <c r="I53" s="54"/>
      <c r="J53"/>
      <c r="K53"/>
      <c r="L53"/>
      <c r="M53"/>
      <c r="N53"/>
      <c r="O53"/>
      <c r="P53"/>
      <c r="Q53"/>
      <c r="R53"/>
      <c r="S53"/>
    </row>
    <row r="54" spans="1:21" ht="15.75" x14ac:dyDescent="0.3">
      <c r="A54" s="55" t="s">
        <v>138</v>
      </c>
      <c r="B54" s="53">
        <f>+((4+4)*B48)*1.1</f>
        <v>792.00000000000011</v>
      </c>
      <c r="C54" s="3"/>
      <c r="D54" s="20">
        <v>0</v>
      </c>
      <c r="E54" s="20">
        <v>0</v>
      </c>
      <c r="F54" s="20" t="s">
        <v>71</v>
      </c>
      <c r="G54" s="29">
        <v>145</v>
      </c>
      <c r="H54" s="29">
        <f t="shared" si="0"/>
        <v>0</v>
      </c>
      <c r="J54"/>
      <c r="K54"/>
      <c r="L54"/>
      <c r="M54"/>
      <c r="N54"/>
      <c r="O54"/>
      <c r="P54"/>
      <c r="Q54"/>
      <c r="R54"/>
      <c r="S54"/>
    </row>
    <row r="55" spans="1:21" ht="15.75" x14ac:dyDescent="0.3">
      <c r="A55" s="55" t="s">
        <v>89</v>
      </c>
      <c r="B55" s="53">
        <f>(20*B48)*1.1</f>
        <v>1980.0000000000002</v>
      </c>
      <c r="D55" s="20">
        <v>0</v>
      </c>
      <c r="E55" s="20">
        <v>0</v>
      </c>
      <c r="F55" s="20" t="s">
        <v>139</v>
      </c>
      <c r="G55" s="29">
        <v>295</v>
      </c>
      <c r="H55" s="29">
        <f>+G55*E55</f>
        <v>0</v>
      </c>
      <c r="J55"/>
      <c r="K55"/>
      <c r="L55"/>
      <c r="M55"/>
      <c r="N55"/>
      <c r="O55"/>
      <c r="P55"/>
      <c r="Q55"/>
      <c r="R55"/>
      <c r="S55"/>
    </row>
    <row r="56" spans="1:21" ht="15.75" x14ac:dyDescent="0.3">
      <c r="A56" s="55" t="s">
        <v>140</v>
      </c>
      <c r="B56" s="53">
        <v>200</v>
      </c>
      <c r="D56" s="20">
        <v>0</v>
      </c>
      <c r="E56" s="20">
        <v>0</v>
      </c>
      <c r="F56" s="20" t="s">
        <v>141</v>
      </c>
      <c r="G56" s="29">
        <v>200</v>
      </c>
      <c r="H56" s="29">
        <f>+G56*E56</f>
        <v>0</v>
      </c>
      <c r="J56"/>
      <c r="K56"/>
      <c r="L56"/>
      <c r="M56"/>
      <c r="N56"/>
      <c r="O56"/>
      <c r="P56"/>
      <c r="Q56"/>
      <c r="R56"/>
      <c r="S56"/>
    </row>
    <row r="57" spans="1:21" ht="15.75" x14ac:dyDescent="0.3">
      <c r="A57" s="55" t="s">
        <v>142</v>
      </c>
      <c r="B57" s="53">
        <v>400</v>
      </c>
      <c r="D57" s="20">
        <v>0</v>
      </c>
      <c r="E57" s="20">
        <v>0</v>
      </c>
      <c r="F57" s="20" t="s">
        <v>54</v>
      </c>
      <c r="G57" s="29">
        <v>1.5</v>
      </c>
      <c r="H57" s="29">
        <f t="shared" ref="H57:H59" si="1">+G57*E57</f>
        <v>0</v>
      </c>
      <c r="O57"/>
      <c r="P57"/>
      <c r="Q57"/>
    </row>
    <row r="58" spans="1:21" ht="15.75" x14ac:dyDescent="0.3">
      <c r="A58" s="51" t="s">
        <v>55</v>
      </c>
      <c r="B58" s="56">
        <f>SUM(B50:B56)</f>
        <v>5109.4800000000005</v>
      </c>
      <c r="C58" s="3"/>
      <c r="D58" s="20">
        <v>0</v>
      </c>
      <c r="E58" s="20">
        <v>0</v>
      </c>
      <c r="F58" s="3" t="s">
        <v>56</v>
      </c>
      <c r="G58" s="29">
        <f>+G106</f>
        <v>550</v>
      </c>
      <c r="H58" s="29">
        <f t="shared" si="1"/>
        <v>0</v>
      </c>
      <c r="O58"/>
      <c r="P58"/>
      <c r="Q58"/>
    </row>
    <row r="59" spans="1:21" ht="15.75" x14ac:dyDescent="0.3">
      <c r="A59" s="9"/>
      <c r="B59" s="57"/>
      <c r="C59" s="3"/>
      <c r="D59" s="20"/>
      <c r="E59" s="20"/>
      <c r="F59" s="3"/>
      <c r="G59" s="3"/>
      <c r="H59" s="29">
        <f t="shared" si="1"/>
        <v>0</v>
      </c>
      <c r="O59"/>
      <c r="P59"/>
      <c r="Q59"/>
      <c r="S59"/>
      <c r="T59"/>
      <c r="U59"/>
    </row>
    <row r="60" spans="1:21" ht="15.75" x14ac:dyDescent="0.3">
      <c r="A60" s="9"/>
      <c r="B60" s="31">
        <f>+B58/B48</f>
        <v>56.772000000000006</v>
      </c>
      <c r="C60" s="4" t="s">
        <v>57</v>
      </c>
      <c r="D60" s="3"/>
      <c r="E60" s="3"/>
      <c r="F60" s="3"/>
      <c r="G60" s="3"/>
      <c r="O60"/>
      <c r="P60"/>
      <c r="Q60"/>
      <c r="S60"/>
      <c r="T60"/>
      <c r="U60"/>
    </row>
    <row r="61" spans="1:21" ht="15.75" x14ac:dyDescent="0.3">
      <c r="A61" s="3"/>
      <c r="B61" s="3"/>
      <c r="D61" s="3"/>
      <c r="E61" s="3"/>
      <c r="O61"/>
      <c r="P61"/>
      <c r="Q61"/>
      <c r="S61"/>
      <c r="T61"/>
      <c r="U61"/>
    </row>
    <row r="62" spans="1:21" ht="15.75" x14ac:dyDescent="0.3">
      <c r="A62" s="3"/>
      <c r="B62" s="3"/>
      <c r="D62" s="3"/>
      <c r="E62" s="3"/>
      <c r="O62"/>
      <c r="P62"/>
      <c r="Q62"/>
      <c r="S62"/>
      <c r="T62"/>
      <c r="U62"/>
    </row>
    <row r="63" spans="1:21" ht="15.75" x14ac:dyDescent="0.3">
      <c r="D63" s="3"/>
      <c r="E63" s="3"/>
      <c r="O63"/>
      <c r="P63"/>
      <c r="Q63"/>
      <c r="S63"/>
      <c r="T63"/>
      <c r="U63"/>
    </row>
    <row r="64" spans="1:21" ht="15.75" x14ac:dyDescent="0.3">
      <c r="A64" s="4" t="s">
        <v>60</v>
      </c>
      <c r="B64" s="3"/>
      <c r="C64" s="3"/>
      <c r="E64" s="31"/>
      <c r="F64" s="3"/>
      <c r="G64" s="58" t="s">
        <v>58</v>
      </c>
      <c r="H64" s="29">
        <f>SUM(H49:H60)</f>
        <v>820</v>
      </c>
      <c r="O64"/>
      <c r="P64"/>
      <c r="Q64"/>
      <c r="S64"/>
      <c r="T64"/>
      <c r="U64"/>
    </row>
    <row r="65" spans="1:21" ht="15.75" x14ac:dyDescent="0.3">
      <c r="A65" s="3"/>
      <c r="B65" s="4" t="s">
        <v>62</v>
      </c>
      <c r="C65" s="24" t="s">
        <v>63</v>
      </c>
      <c r="D65" s="3"/>
      <c r="E65" s="3"/>
      <c r="G65" s="5" t="s">
        <v>59</v>
      </c>
      <c r="H65" s="73">
        <v>1.5</v>
      </c>
      <c r="O65"/>
      <c r="P65"/>
      <c r="Q65"/>
      <c r="S65"/>
      <c r="T65"/>
      <c r="U65"/>
    </row>
    <row r="66" spans="1:21" ht="15.75" x14ac:dyDescent="0.3">
      <c r="A66" s="51" t="s">
        <v>64</v>
      </c>
      <c r="B66" s="52"/>
      <c r="C66" s="3"/>
      <c r="D66" s="3"/>
      <c r="E66" s="3"/>
      <c r="G66" s="1" t="s">
        <v>61</v>
      </c>
      <c r="H66" s="59">
        <v>1.75</v>
      </c>
      <c r="O66"/>
      <c r="P66"/>
      <c r="Q66"/>
      <c r="S66"/>
      <c r="T66"/>
      <c r="U66"/>
    </row>
    <row r="67" spans="1:21" ht="15.75" x14ac:dyDescent="0.3">
      <c r="A67" s="52" t="s">
        <v>52</v>
      </c>
      <c r="B67" s="53">
        <f>+E35*C42</f>
        <v>1357.2</v>
      </c>
      <c r="C67" s="60"/>
      <c r="F67" s="3"/>
      <c r="G67" s="1" t="s">
        <v>61</v>
      </c>
      <c r="H67" s="59">
        <v>2</v>
      </c>
      <c r="O67"/>
      <c r="P67"/>
      <c r="Q67"/>
      <c r="S67"/>
      <c r="T67"/>
      <c r="U67"/>
    </row>
    <row r="68" spans="1:21" ht="15.75" x14ac:dyDescent="0.3">
      <c r="A68" s="52" t="s">
        <v>10</v>
      </c>
      <c r="B68" s="53">
        <f>+H64*H65</f>
        <v>1230</v>
      </c>
      <c r="C68" s="60"/>
      <c r="F68" s="3"/>
      <c r="G68" s="5" t="s">
        <v>72</v>
      </c>
      <c r="H68" s="59">
        <v>2.5</v>
      </c>
      <c r="O68"/>
      <c r="P68"/>
      <c r="Q68"/>
      <c r="S68"/>
      <c r="T68"/>
      <c r="U68"/>
    </row>
    <row r="69" spans="1:21" ht="15.75" x14ac:dyDescent="0.3">
      <c r="A69" s="52" t="str">
        <f>+A52</f>
        <v>Tabla de suaje + Placa</v>
      </c>
      <c r="B69" s="53">
        <f>+B52*H65</f>
        <v>0</v>
      </c>
      <c r="C69" s="60"/>
      <c r="O69"/>
      <c r="P69"/>
      <c r="Q69"/>
      <c r="S69"/>
      <c r="T69"/>
      <c r="U69"/>
    </row>
    <row r="70" spans="1:21" ht="15.75" x14ac:dyDescent="0.3">
      <c r="A70" s="52" t="str">
        <f>+A53</f>
        <v>Prueba de Color</v>
      </c>
      <c r="B70" s="53">
        <f>+B53*H65</f>
        <v>279.72000000000003</v>
      </c>
      <c r="C70" s="60"/>
      <c r="O70"/>
      <c r="P70"/>
      <c r="Q70"/>
      <c r="S70"/>
      <c r="T70"/>
      <c r="U70"/>
    </row>
    <row r="71" spans="1:21" ht="15.75" x14ac:dyDescent="0.3">
      <c r="A71" s="52" t="s">
        <v>138</v>
      </c>
      <c r="B71" s="53">
        <f>+C99</f>
        <v>1188.0000000000002</v>
      </c>
      <c r="C71" s="63"/>
      <c r="G71" s="61" t="s">
        <v>65</v>
      </c>
      <c r="H71" s="31">
        <f>+B60</f>
        <v>56.772000000000006</v>
      </c>
      <c r="I71" s="62">
        <f>+H71*B48</f>
        <v>5109.4800000000005</v>
      </c>
      <c r="O71"/>
      <c r="P71"/>
      <c r="Q71"/>
      <c r="S71"/>
      <c r="T71"/>
      <c r="U71"/>
    </row>
    <row r="72" spans="1:21" ht="15.75" x14ac:dyDescent="0.3">
      <c r="A72" s="52" t="str">
        <f>+A55</f>
        <v>Encuadernación</v>
      </c>
      <c r="B72" s="53">
        <f>+B55*H65</f>
        <v>2970.0000000000005</v>
      </c>
      <c r="C72" s="63"/>
      <c r="G72" s="61" t="s">
        <v>66</v>
      </c>
      <c r="H72" s="31">
        <f>+C75</f>
        <v>88.054666666666662</v>
      </c>
      <c r="I72" s="62">
        <f>+H72*B48</f>
        <v>7924.92</v>
      </c>
      <c r="O72"/>
      <c r="P72"/>
      <c r="Q72"/>
      <c r="S72"/>
      <c r="T72"/>
      <c r="U72"/>
    </row>
    <row r="73" spans="1:21" ht="15.75" x14ac:dyDescent="0.3">
      <c r="A73" s="52" t="str">
        <f>+A56</f>
        <v>Empaque</v>
      </c>
      <c r="B73" s="53">
        <f>+B56*H65</f>
        <v>300</v>
      </c>
      <c r="C73" s="63"/>
      <c r="G73" s="64" t="s">
        <v>67</v>
      </c>
      <c r="H73" s="65">
        <f>+H72-H71</f>
        <v>31.282666666666657</v>
      </c>
      <c r="I73" s="93">
        <f>+H73*B48</f>
        <v>2815.4399999999991</v>
      </c>
      <c r="O73"/>
      <c r="P73"/>
      <c r="Q73"/>
      <c r="S73"/>
      <c r="T73"/>
      <c r="U73"/>
    </row>
    <row r="74" spans="1:21" ht="15.75" x14ac:dyDescent="0.3">
      <c r="A74" s="52" t="str">
        <f>+A57</f>
        <v>Envio</v>
      </c>
      <c r="B74" s="53">
        <f>+B57*H65</f>
        <v>600</v>
      </c>
      <c r="C74" s="65" t="s">
        <v>143</v>
      </c>
      <c r="D74" s="25"/>
      <c r="E74" s="25"/>
      <c r="F74" s="25" t="s">
        <v>65</v>
      </c>
      <c r="G74" s="125" t="s">
        <v>144</v>
      </c>
      <c r="H74" s="125"/>
      <c r="I74" s="95">
        <f>+(A81/100)*2.5</f>
        <v>533.64769999999999</v>
      </c>
      <c r="O74"/>
      <c r="P74"/>
      <c r="Q74"/>
      <c r="S74"/>
      <c r="T74"/>
      <c r="U74"/>
    </row>
    <row r="75" spans="1:21" ht="15.75" x14ac:dyDescent="0.3">
      <c r="A75" s="51" t="s">
        <v>55</v>
      </c>
      <c r="B75" s="56">
        <f>SUM(B66:B74)</f>
        <v>7924.92</v>
      </c>
      <c r="C75" s="65">
        <f>+B75/B48</f>
        <v>88.054666666666662</v>
      </c>
      <c r="D75" s="5" t="s">
        <v>170</v>
      </c>
      <c r="F75" s="74">
        <f>+B60</f>
        <v>56.772000000000006</v>
      </c>
      <c r="G75" s="7"/>
      <c r="O75"/>
      <c r="P75"/>
      <c r="Q75"/>
      <c r="S75"/>
      <c r="T75"/>
      <c r="U75"/>
    </row>
    <row r="76" spans="1:21" ht="15.75" x14ac:dyDescent="0.3">
      <c r="C76" s="74">
        <f>+'forro cartera guarda'!C73</f>
        <v>21.031333333333336</v>
      </c>
      <c r="D76" s="5" t="str">
        <f>+'forro cartera guarda'!D73</f>
        <v>forro cartera guarda</v>
      </c>
      <c r="F76" s="74">
        <f>+'forro cartera guarda'!B60</f>
        <v>16.534222222222223</v>
      </c>
      <c r="O76"/>
      <c r="P76"/>
      <c r="Q76"/>
    </row>
    <row r="77" spans="1:21" ht="15.75" x14ac:dyDescent="0.3">
      <c r="C77" s="74">
        <f>+'Forro Caja EXT'!C73</f>
        <v>68.760000000000005</v>
      </c>
      <c r="D77" s="5" t="str">
        <f>+'Forro Caja EXT'!D73</f>
        <v>forro caja EXT</v>
      </c>
      <c r="E77" s="5"/>
      <c r="F77" s="74">
        <f>+'Forro Caja EXT'!B60</f>
        <v>47.966666666666669</v>
      </c>
      <c r="O77"/>
      <c r="P77"/>
      <c r="Q77"/>
    </row>
    <row r="78" spans="1:21" x14ac:dyDescent="0.3">
      <c r="A78" s="5"/>
      <c r="C78" s="74">
        <f>+'Empalme Caja INT'!C73</f>
        <v>30.009166666666665</v>
      </c>
      <c r="D78" s="5" t="str">
        <f>+'Empalme Caja INT'!D73</f>
        <v>EMPALME caja INT</v>
      </c>
      <c r="E78" s="5"/>
      <c r="F78" s="74">
        <f>+'Empalme Caja INT'!B60</f>
        <v>23.727777777777778</v>
      </c>
      <c r="J78" s="7"/>
    </row>
    <row r="79" spans="1:21" x14ac:dyDescent="0.3">
      <c r="B79" s="66"/>
      <c r="C79" s="74">
        <f>+'cartón cartera'!C72</f>
        <v>13.610794444444446</v>
      </c>
      <c r="D79" s="5" t="str">
        <f>+'cartón cartera'!D72</f>
        <v>cartón cartera</v>
      </c>
      <c r="E79" s="5"/>
      <c r="F79" s="74">
        <f>+'cartón cartera'!B60</f>
        <v>10.893444444444444</v>
      </c>
    </row>
    <row r="80" spans="1:21" x14ac:dyDescent="0.3">
      <c r="C80" s="76">
        <f>+'cartón caja'!C72</f>
        <v>15.710794444444446</v>
      </c>
      <c r="D80" s="5" t="str">
        <f>+'cartón caja'!D72</f>
        <v>cartón caja</v>
      </c>
      <c r="E80" s="5"/>
      <c r="F80" s="76">
        <f>+'cartón caja'!B60</f>
        <v>15.337888888888889</v>
      </c>
    </row>
    <row r="81" spans="1:18" ht="15.75" customHeight="1" x14ac:dyDescent="0.3">
      <c r="A81" s="126">
        <f>+C81*B48</f>
        <v>21345.907999999999</v>
      </c>
      <c r="B81" s="126"/>
      <c r="C81" s="78">
        <f>SUM(C75:C80)</f>
        <v>237.17675555555556</v>
      </c>
      <c r="D81" s="5" t="s">
        <v>94</v>
      </c>
      <c r="F81" s="96">
        <f>SUM(F75:F80)</f>
        <v>171.23200000000003</v>
      </c>
      <c r="G81" s="97">
        <f>+F81*B48</f>
        <v>15410.880000000003</v>
      </c>
      <c r="I81" s="127">
        <f>+A81-G81</f>
        <v>5935.0279999999966</v>
      </c>
      <c r="J81" s="127"/>
    </row>
    <row r="82" spans="1:18" ht="15.75" customHeight="1" x14ac:dyDescent="0.3">
      <c r="A82" s="126"/>
      <c r="B82" s="126"/>
      <c r="C82" s="62"/>
      <c r="E82" s="123"/>
    </row>
    <row r="83" spans="1:18" ht="15" thickBot="1" x14ac:dyDescent="0.35"/>
    <row r="84" spans="1:18" ht="16.5" x14ac:dyDescent="0.3">
      <c r="A84" s="5" t="s">
        <v>145</v>
      </c>
      <c r="F84" s="128" t="s">
        <v>146</v>
      </c>
      <c r="G84" s="129"/>
      <c r="H84" s="129"/>
      <c r="I84" s="129"/>
      <c r="J84" s="130"/>
    </row>
    <row r="85" spans="1:18" x14ac:dyDescent="0.3">
      <c r="C85" s="5"/>
      <c r="F85" s="98"/>
      <c r="G85" s="99" t="s">
        <v>147</v>
      </c>
      <c r="H85" s="99" t="s">
        <v>148</v>
      </c>
      <c r="I85" s="99" t="s">
        <v>149</v>
      </c>
      <c r="J85" s="100" t="s">
        <v>150</v>
      </c>
    </row>
    <row r="86" spans="1:18" ht="16.5" x14ac:dyDescent="0.3">
      <c r="B86" s="58" t="s">
        <v>151</v>
      </c>
      <c r="C86" s="101" t="s">
        <v>152</v>
      </c>
      <c r="D86" s="102"/>
      <c r="F86" s="103" t="str">
        <f t="shared" ref="F86:F91" si="2">+D75</f>
        <v>forro cartera EXT.</v>
      </c>
      <c r="G86" s="104" t="str">
        <f>+'[1]forro cartera guarda'!C23</f>
        <v>Couche</v>
      </c>
      <c r="H86" s="105">
        <f>+E34</f>
        <v>52.2</v>
      </c>
      <c r="I86" s="106">
        <f>+C42</f>
        <v>21.666666666666668</v>
      </c>
      <c r="J86" s="107">
        <f>+H86*I86</f>
        <v>1131.0000000000002</v>
      </c>
      <c r="M86" s="54"/>
      <c r="N86" s="54"/>
      <c r="O86" s="54"/>
      <c r="P86" s="54"/>
      <c r="Q86" s="54"/>
      <c r="R86" s="54"/>
    </row>
    <row r="87" spans="1:18" ht="16.5" x14ac:dyDescent="0.3">
      <c r="B87" s="40" t="s">
        <v>153</v>
      </c>
      <c r="C87" s="108"/>
      <c r="D87" s="109"/>
      <c r="F87" s="103" t="str">
        <f t="shared" si="2"/>
        <v>forro cartera guarda</v>
      </c>
      <c r="G87" s="104" t="str">
        <f>+G86</f>
        <v>Couche</v>
      </c>
      <c r="H87" s="105">
        <f>+'forro cartera guarda'!E34</f>
        <v>52.2</v>
      </c>
      <c r="I87" s="106">
        <f>+'forro cartera guarda'!C42</f>
        <v>21.666666666666668</v>
      </c>
      <c r="J87" s="107">
        <f>+J86</f>
        <v>1131.0000000000002</v>
      </c>
      <c r="M87" s="54"/>
      <c r="N87" s="54"/>
      <c r="O87" s="54"/>
      <c r="P87" s="54"/>
      <c r="Q87" s="54"/>
      <c r="R87" s="54"/>
    </row>
    <row r="88" spans="1:18" ht="16.5" x14ac:dyDescent="0.3">
      <c r="B88" s="40" t="s">
        <v>12</v>
      </c>
      <c r="C88" s="110" t="s">
        <v>154</v>
      </c>
      <c r="D88" s="109"/>
      <c r="F88" s="103" t="str">
        <f t="shared" si="2"/>
        <v>forro caja EXT</v>
      </c>
      <c r="G88" s="104" t="str">
        <f>+C23</f>
        <v>Rainbow Blanco</v>
      </c>
      <c r="H88" s="105">
        <f>+'Forro Caja EXT'!E34</f>
        <v>52.2</v>
      </c>
      <c r="I88" s="106">
        <f>+'Forro Caja EXT'!C42</f>
        <v>18.333333333333332</v>
      </c>
      <c r="J88" s="107">
        <f>+J87</f>
        <v>1131.0000000000002</v>
      </c>
      <c r="M88" s="54"/>
      <c r="N88" s="54"/>
      <c r="O88" s="54"/>
      <c r="P88" s="54"/>
      <c r="Q88" s="54"/>
      <c r="R88" s="54"/>
    </row>
    <row r="89" spans="1:18" ht="16.5" x14ac:dyDescent="0.3">
      <c r="B89" s="40" t="s">
        <v>155</v>
      </c>
      <c r="C89" s="110"/>
      <c r="D89" s="109" t="s">
        <v>156</v>
      </c>
      <c r="F89" s="103" t="str">
        <f t="shared" si="2"/>
        <v>EMPALME caja INT</v>
      </c>
      <c r="G89" s="104" t="str">
        <f>+C23</f>
        <v>Rainbow Blanco</v>
      </c>
      <c r="H89" s="105">
        <f>+'Empalme Caja INT'!E34</f>
        <v>52.2</v>
      </c>
      <c r="I89" s="106">
        <f>+'Empalme Caja INT'!C42</f>
        <v>27.5</v>
      </c>
      <c r="J89" s="107">
        <f>+J88</f>
        <v>1131.0000000000002</v>
      </c>
      <c r="K89" s="63"/>
      <c r="M89" s="54"/>
      <c r="N89" s="54"/>
      <c r="O89" s="54"/>
      <c r="P89" s="54"/>
      <c r="Q89" s="54"/>
      <c r="R89" s="54"/>
    </row>
    <row r="90" spans="1:18" ht="16.5" x14ac:dyDescent="0.3">
      <c r="B90" s="40" t="s">
        <v>157</v>
      </c>
      <c r="C90" s="110"/>
      <c r="D90" s="109"/>
      <c r="F90" s="103" t="str">
        <f t="shared" si="2"/>
        <v>cartón cartera</v>
      </c>
      <c r="G90" s="104" t="s">
        <v>159</v>
      </c>
      <c r="H90" s="105">
        <f>+'[1]cartón cartera'!E34</f>
        <v>41.072000000000003</v>
      </c>
      <c r="I90" s="106">
        <f>+'cartón cartera'!C42</f>
        <v>14.375</v>
      </c>
      <c r="J90" s="107">
        <f>+H90*I90</f>
        <v>590.41000000000008</v>
      </c>
      <c r="M90" s="54"/>
      <c r="N90" s="54"/>
      <c r="O90" s="54"/>
      <c r="P90" s="54"/>
      <c r="Q90" s="54"/>
      <c r="R90" s="54"/>
    </row>
    <row r="91" spans="1:18" ht="16.5" x14ac:dyDescent="0.3">
      <c r="B91" s="40" t="s">
        <v>158</v>
      </c>
      <c r="C91" s="110">
        <f>+(B48*2)*1.1</f>
        <v>198.00000000000003</v>
      </c>
      <c r="D91" s="111">
        <f>+((B47*60)*2)</f>
        <v>0</v>
      </c>
      <c r="F91" s="103" t="str">
        <f t="shared" si="2"/>
        <v>cartón caja</v>
      </c>
      <c r="G91" s="104" t="s">
        <v>159</v>
      </c>
      <c r="H91" s="105">
        <f>+'[1]cartón caja'!E34</f>
        <v>41.072000000000003</v>
      </c>
      <c r="I91" s="106">
        <f>+'cartón caja'!C42</f>
        <v>14.375</v>
      </c>
      <c r="J91" s="107">
        <f>+H91*I91</f>
        <v>590.41000000000008</v>
      </c>
      <c r="M91" s="54"/>
      <c r="N91" s="54"/>
      <c r="O91" s="54"/>
      <c r="P91" s="54"/>
      <c r="Q91" s="54"/>
      <c r="R91" s="54"/>
    </row>
    <row r="92" spans="1:18" ht="16.5" x14ac:dyDescent="0.3">
      <c r="B92" s="40" t="s">
        <v>160</v>
      </c>
      <c r="C92" s="112">
        <v>4</v>
      </c>
      <c r="D92" s="109"/>
      <c r="F92" s="103" t="str">
        <f>+A54</f>
        <v>Iman</v>
      </c>
      <c r="G92" s="104"/>
      <c r="H92" s="105">
        <v>4</v>
      </c>
      <c r="I92" s="106">
        <v>44</v>
      </c>
      <c r="J92" s="107">
        <f t="shared" ref="J92:J93" si="3">+H92*I92</f>
        <v>176</v>
      </c>
      <c r="M92" s="54"/>
      <c r="N92" s="54"/>
      <c r="O92" s="54"/>
      <c r="P92" s="54"/>
      <c r="Q92" s="54"/>
      <c r="R92" s="54"/>
    </row>
    <row r="93" spans="1:18" ht="16.5" x14ac:dyDescent="0.3">
      <c r="B93" s="40" t="s">
        <v>161</v>
      </c>
      <c r="C93" s="112">
        <v>0</v>
      </c>
      <c r="D93" s="113" t="s">
        <v>162</v>
      </c>
      <c r="F93" s="103" t="str">
        <f>+A70</f>
        <v>Prueba de Color</v>
      </c>
      <c r="G93" s="104"/>
      <c r="H93" s="105">
        <f>+B53+'forro cartera guarda'!B54</f>
        <v>343.56000000000006</v>
      </c>
      <c r="I93" s="106">
        <v>1</v>
      </c>
      <c r="J93" s="107">
        <f t="shared" si="3"/>
        <v>343.56000000000006</v>
      </c>
      <c r="M93" s="54"/>
      <c r="N93" s="54"/>
      <c r="O93" s="54"/>
      <c r="P93" s="54"/>
      <c r="Q93" s="54"/>
      <c r="R93" s="54"/>
    </row>
    <row r="94" spans="1:18" ht="16.5" x14ac:dyDescent="0.3">
      <c r="B94" s="40" t="s">
        <v>163</v>
      </c>
      <c r="C94" s="112">
        <f>+C92*C91</f>
        <v>792.00000000000011</v>
      </c>
      <c r="D94" s="109"/>
      <c r="F94" s="103"/>
      <c r="G94" s="104"/>
      <c r="H94" s="105"/>
      <c r="I94" s="106"/>
      <c r="J94" s="107"/>
      <c r="M94" s="54"/>
      <c r="N94" s="54"/>
      <c r="O94" s="54"/>
      <c r="P94" s="54"/>
      <c r="Q94" s="54"/>
      <c r="R94" s="54"/>
    </row>
    <row r="95" spans="1:18" ht="17.25" thickBot="1" x14ac:dyDescent="0.35">
      <c r="B95" s="40" t="s">
        <v>164</v>
      </c>
      <c r="C95" s="112">
        <v>0</v>
      </c>
      <c r="D95" s="109"/>
      <c r="F95" s="114"/>
      <c r="G95" s="115"/>
      <c r="H95" s="115"/>
      <c r="I95" s="116"/>
      <c r="J95" s="117"/>
      <c r="M95" s="54"/>
      <c r="N95" s="54"/>
      <c r="O95" s="54"/>
      <c r="P95" s="54"/>
      <c r="Q95" s="54"/>
      <c r="R95" s="54"/>
    </row>
    <row r="96" spans="1:18" ht="16.5" thickBot="1" x14ac:dyDescent="0.35">
      <c r="B96" s="40" t="s">
        <v>165</v>
      </c>
      <c r="C96" s="112">
        <v>0</v>
      </c>
      <c r="D96" s="109"/>
      <c r="F96"/>
      <c r="G96"/>
      <c r="H96"/>
      <c r="I96" s="118" t="s">
        <v>150</v>
      </c>
      <c r="J96" s="119">
        <f>SUM(J86:J95)</f>
        <v>6224.380000000001</v>
      </c>
    </row>
    <row r="97" spans="1:10" x14ac:dyDescent="0.3">
      <c r="B97" s="1" t="s">
        <v>166</v>
      </c>
      <c r="C97" s="112">
        <v>0</v>
      </c>
      <c r="D97" s="109"/>
    </row>
    <row r="98" spans="1:10" x14ac:dyDescent="0.3">
      <c r="B98" s="40" t="s">
        <v>167</v>
      </c>
      <c r="C98" s="120">
        <f>+C94</f>
        <v>792.00000000000011</v>
      </c>
      <c r="D98" s="121">
        <f>+C98/B48</f>
        <v>8.8000000000000007</v>
      </c>
      <c r="E98" s="1" t="s">
        <v>168</v>
      </c>
    </row>
    <row r="99" spans="1:10" x14ac:dyDescent="0.3">
      <c r="B99" s="40" t="s">
        <v>169</v>
      </c>
      <c r="C99" s="120">
        <f>+C98*1.5</f>
        <v>1188.0000000000002</v>
      </c>
      <c r="D99" s="121">
        <f>+C99/B48</f>
        <v>13.200000000000003</v>
      </c>
      <c r="E99" s="1" t="s">
        <v>168</v>
      </c>
    </row>
    <row r="100" spans="1:10" x14ac:dyDescent="0.3">
      <c r="C100" s="108"/>
      <c r="D100" s="109"/>
    </row>
    <row r="101" spans="1:10" x14ac:dyDescent="0.3">
      <c r="C101" s="108"/>
      <c r="D101" s="109"/>
    </row>
    <row r="103" spans="1:10" ht="15" thickBot="1" x14ac:dyDescent="0.35">
      <c r="A103" s="5" t="s">
        <v>131</v>
      </c>
    </row>
    <row r="104" spans="1:10" x14ac:dyDescent="0.3">
      <c r="A104" s="10" t="s">
        <v>97</v>
      </c>
      <c r="B104" s="11"/>
      <c r="C104" s="11"/>
      <c r="D104" s="11"/>
      <c r="E104" s="11"/>
      <c r="F104" s="11"/>
      <c r="G104" s="12"/>
    </row>
    <row r="105" spans="1:10" x14ac:dyDescent="0.3">
      <c r="A105" s="45">
        <f>+F16</f>
        <v>40</v>
      </c>
      <c r="B105" s="70">
        <f>+H16</f>
        <v>41</v>
      </c>
      <c r="C105" s="7" t="s">
        <v>96</v>
      </c>
      <c r="D105" s="70" t="s">
        <v>98</v>
      </c>
      <c r="E105" s="7" t="s">
        <v>99</v>
      </c>
      <c r="F105" s="72" t="s">
        <v>133</v>
      </c>
      <c r="G105" s="8"/>
    </row>
    <row r="106" spans="1:10" x14ac:dyDescent="0.3">
      <c r="A106" s="45">
        <f>0.489*0.455*C41</f>
        <v>28.92435</v>
      </c>
      <c r="B106" s="75">
        <v>4</v>
      </c>
      <c r="C106" s="75">
        <f>+A106*B106</f>
        <v>115.6974</v>
      </c>
      <c r="D106" s="75">
        <v>0</v>
      </c>
      <c r="E106" s="75">
        <f>+C106+D106</f>
        <v>115.6974</v>
      </c>
      <c r="F106" s="94" t="s">
        <v>132</v>
      </c>
      <c r="G106" s="122">
        <v>550</v>
      </c>
    </row>
    <row r="107" spans="1:10" x14ac:dyDescent="0.3">
      <c r="A107" s="6"/>
      <c r="B107" s="75"/>
      <c r="C107" s="75"/>
      <c r="D107" s="75"/>
      <c r="E107" s="75"/>
      <c r="G107" s="8"/>
      <c r="J107" s="68"/>
    </row>
    <row r="108" spans="1:10" x14ac:dyDescent="0.3">
      <c r="A108" s="45">
        <f>+A105</f>
        <v>40</v>
      </c>
      <c r="B108" s="70">
        <f>+B105</f>
        <v>41</v>
      </c>
      <c r="C108" s="7" t="s">
        <v>96</v>
      </c>
      <c r="D108" s="70" t="s">
        <v>98</v>
      </c>
      <c r="E108" s="7" t="s">
        <v>99</v>
      </c>
      <c r="F108" s="94" t="s">
        <v>132</v>
      </c>
      <c r="G108" s="80">
        <v>550</v>
      </c>
    </row>
    <row r="109" spans="1:10" x14ac:dyDescent="0.3">
      <c r="A109" s="45">
        <f>0.463*0.503*C71</f>
        <v>0</v>
      </c>
      <c r="B109" s="75">
        <f>4.1*1.5</f>
        <v>6.1499999999999995</v>
      </c>
      <c r="C109" s="75">
        <f>+A109*B109</f>
        <v>0</v>
      </c>
      <c r="D109" s="75">
        <v>0</v>
      </c>
      <c r="E109" s="79">
        <f>+C109+D109</f>
        <v>0</v>
      </c>
      <c r="F109" s="72" t="s">
        <v>134</v>
      </c>
      <c r="G109" s="8"/>
    </row>
    <row r="110" spans="1:10" x14ac:dyDescent="0.3">
      <c r="A110" s="6"/>
      <c r="B110" s="7"/>
      <c r="C110" s="75"/>
      <c r="D110" s="75"/>
      <c r="E110" s="75"/>
      <c r="F110" s="75"/>
      <c r="G110" s="8"/>
    </row>
    <row r="111" spans="1:10" ht="15" thickBot="1" x14ac:dyDescent="0.35">
      <c r="A111" s="13"/>
      <c r="B111" s="14"/>
      <c r="C111" s="14"/>
      <c r="D111" s="14"/>
      <c r="E111" s="14"/>
      <c r="F111" s="14"/>
      <c r="G111" s="15"/>
    </row>
  </sheetData>
  <mergeCells count="5">
    <mergeCell ref="G74:H74"/>
    <mergeCell ref="A81:B81"/>
    <mergeCell ref="I81:J81"/>
    <mergeCell ref="F84:J84"/>
    <mergeCell ref="A82:B82"/>
  </mergeCells>
  <pageMargins left="0.70866141732283472" right="0.70866141732283472" top="0.74803149606299213" bottom="0.74803149606299213" header="0.31496062992125984" footer="0.31496062992125984"/>
  <pageSetup scale="40" orientation="portrait" r:id="rId1"/>
  <headerFooter>
    <oddFooter>&amp;A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Desarrollo</vt:lpstr>
      <vt:lpstr>cartón caja</vt:lpstr>
      <vt:lpstr>cartón cartera</vt:lpstr>
      <vt:lpstr>Empalme Caja INT</vt:lpstr>
      <vt:lpstr>Forro Caja EXT</vt:lpstr>
      <vt:lpstr>forro cartera guarda</vt:lpstr>
      <vt:lpstr>forro cartera ext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</dc:creator>
  <cp:lastModifiedBy>Ventas-Empresarial</cp:lastModifiedBy>
  <cp:lastPrinted>2017-07-01T00:51:18Z</cp:lastPrinted>
  <dcterms:created xsi:type="dcterms:W3CDTF">2013-03-04T22:24:31Z</dcterms:created>
  <dcterms:modified xsi:type="dcterms:W3CDTF">2017-07-13T00:15:27Z</dcterms:modified>
</cp:coreProperties>
</file>