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0" yWindow="0" windowWidth="20535" windowHeight="4020" activeTab="4"/>
  </bookViews>
  <sheets>
    <sheet name="Desarrollo" sheetId="46" r:id="rId1"/>
    <sheet name="cartón caja" sheetId="39" r:id="rId2"/>
    <sheet name="Interiores" sheetId="47" r:id="rId3"/>
    <sheet name="guarda INT" sheetId="34" r:id="rId4"/>
    <sheet name="forro cartera final" sheetId="38" r:id="rId5"/>
  </sheets>
  <calcPr calcId="145621"/>
</workbook>
</file>

<file path=xl/calcChain.xml><?xml version="1.0" encoding="utf-8"?>
<calcChain xmlns="http://schemas.openxmlformats.org/spreadsheetml/2006/main">
  <c r="J93" i="38" l="1"/>
  <c r="F93" i="38"/>
  <c r="I90" i="38"/>
  <c r="H90" i="38"/>
  <c r="G90" i="38"/>
  <c r="I89" i="38"/>
  <c r="H89" i="38"/>
  <c r="G89" i="38"/>
  <c r="C76" i="38" l="1"/>
  <c r="B68" i="34"/>
  <c r="G59" i="34"/>
  <c r="H60" i="34"/>
  <c r="H59" i="34"/>
  <c r="H58" i="34"/>
  <c r="H57" i="34"/>
  <c r="H56" i="34"/>
  <c r="H55" i="34"/>
  <c r="H54" i="34"/>
  <c r="A80" i="34"/>
  <c r="C80" i="34" s="1"/>
  <c r="E80" i="34" s="1"/>
  <c r="F31" i="38"/>
  <c r="E26" i="38"/>
  <c r="C26" i="38"/>
  <c r="F31" i="34"/>
  <c r="B53" i="38"/>
  <c r="H92" i="38" s="1"/>
  <c r="C40" i="46"/>
  <c r="E40" i="46"/>
  <c r="H20" i="34"/>
  <c r="F20" i="34"/>
  <c r="H20" i="38"/>
  <c r="F20" i="38"/>
  <c r="G58" i="34"/>
  <c r="B79" i="34"/>
  <c r="A79" i="34"/>
  <c r="A82" i="34" s="1"/>
  <c r="A83" i="34"/>
  <c r="C83" i="34" s="1"/>
  <c r="E83" i="34" s="1"/>
  <c r="B82" i="34"/>
  <c r="E27" i="34"/>
  <c r="C27" i="34"/>
  <c r="B68" i="47"/>
  <c r="B49" i="47"/>
  <c r="H16" i="39"/>
  <c r="F16" i="39"/>
  <c r="E26" i="39"/>
  <c r="C26" i="39"/>
  <c r="G37" i="46"/>
  <c r="G45" i="46"/>
  <c r="E43" i="46"/>
  <c r="E27" i="38" s="1"/>
  <c r="C43" i="46"/>
  <c r="E36" i="46"/>
  <c r="C36" i="46"/>
  <c r="G30" i="46"/>
  <c r="D7" i="46"/>
  <c r="E12" i="46"/>
  <c r="G50" i="47" l="1"/>
  <c r="G50" i="38"/>
  <c r="E31" i="38"/>
  <c r="H16" i="38"/>
  <c r="B108" i="38" s="1"/>
  <c r="F16" i="38"/>
  <c r="A108" i="38" s="1"/>
  <c r="A112" i="38" l="1"/>
  <c r="C112" i="38" s="1"/>
  <c r="E112" i="38" s="1"/>
  <c r="B111" i="38"/>
  <c r="A111" i="38"/>
  <c r="E24" i="38" l="1"/>
  <c r="C24" i="38"/>
  <c r="E26" i="34" l="1"/>
  <c r="C26" i="34"/>
  <c r="F24" i="34"/>
  <c r="C24" i="34"/>
  <c r="E25" i="39"/>
  <c r="C25" i="39"/>
  <c r="F23" i="39"/>
  <c r="C23" i="39"/>
  <c r="A71" i="38" l="1"/>
  <c r="C13" i="39"/>
  <c r="C13" i="47" s="1"/>
  <c r="C13" i="34" s="1"/>
  <c r="C11" i="39"/>
  <c r="H35" i="46"/>
  <c r="J92" i="38" l="1"/>
  <c r="F92" i="38"/>
  <c r="F89" i="38"/>
  <c r="G88" i="38"/>
  <c r="D92" i="38"/>
  <c r="E31" i="34"/>
  <c r="E31" i="47"/>
  <c r="B72" i="47" l="1"/>
  <c r="A72" i="47"/>
  <c r="B71" i="47"/>
  <c r="A71" i="47"/>
  <c r="B70" i="47"/>
  <c r="A70" i="47"/>
  <c r="B69" i="47"/>
  <c r="A69" i="47"/>
  <c r="H60" i="47"/>
  <c r="H59" i="47"/>
  <c r="H58" i="47"/>
  <c r="H57" i="47"/>
  <c r="H55" i="47"/>
  <c r="H54" i="47"/>
  <c r="H53" i="47"/>
  <c r="H52" i="47"/>
  <c r="H51" i="47"/>
  <c r="H50" i="47"/>
  <c r="E32" i="47"/>
  <c r="E33" i="47" s="1"/>
  <c r="E35" i="47" s="1"/>
  <c r="H26" i="47"/>
  <c r="F26" i="47"/>
  <c r="E27" i="47"/>
  <c r="C27" i="47"/>
  <c r="C11" i="47"/>
  <c r="C13" i="38"/>
  <c r="B48" i="39"/>
  <c r="B49" i="34" s="1"/>
  <c r="D40" i="39"/>
  <c r="F28" i="46"/>
  <c r="H91" i="38" l="1"/>
  <c r="E30" i="39"/>
  <c r="C41" i="47"/>
  <c r="G44" i="47" s="1"/>
  <c r="H56" i="47"/>
  <c r="H62" i="47" s="1"/>
  <c r="C28" i="47"/>
  <c r="H27" i="47"/>
  <c r="E36" i="47"/>
  <c r="E28" i="47"/>
  <c r="F27" i="47"/>
  <c r="F28" i="47" s="1"/>
  <c r="H28" i="47"/>
  <c r="C9" i="39"/>
  <c r="C9" i="47" s="1"/>
  <c r="B52" i="47" l="1"/>
  <c r="C42" i="47"/>
  <c r="G45" i="47" s="1"/>
  <c r="C43" i="47"/>
  <c r="H42" i="46"/>
  <c r="H28" i="46"/>
  <c r="G19" i="46"/>
  <c r="F15" i="46"/>
  <c r="E15" i="46"/>
  <c r="D15" i="46"/>
  <c r="B67" i="47" l="1"/>
  <c r="J89" i="38"/>
  <c r="B74" i="47"/>
  <c r="C74" i="47" s="1"/>
  <c r="C77" i="38" s="1"/>
  <c r="C47" i="47"/>
  <c r="C44" i="47"/>
  <c r="B51" i="47"/>
  <c r="B16" i="46"/>
  <c r="C29" i="46" s="1"/>
  <c r="C30" i="46" s="1"/>
  <c r="E45" i="46"/>
  <c r="E44" i="46"/>
  <c r="C33" i="46"/>
  <c r="H25" i="46"/>
  <c r="E29" i="46" s="1"/>
  <c r="E33" i="46"/>
  <c r="D41" i="34"/>
  <c r="E32" i="38"/>
  <c r="E33" i="38" s="1"/>
  <c r="E35" i="38" s="1"/>
  <c r="E32" i="34"/>
  <c r="E33" i="34" s="1"/>
  <c r="E35" i="34" s="1"/>
  <c r="H52" i="39"/>
  <c r="H61" i="39" s="1"/>
  <c r="B69" i="39"/>
  <c r="B69" i="34"/>
  <c r="B70" i="34"/>
  <c r="B71" i="34"/>
  <c r="B69" i="38"/>
  <c r="B73" i="38"/>
  <c r="B74" i="38"/>
  <c r="H26" i="38"/>
  <c r="F26" i="38"/>
  <c r="E31" i="39"/>
  <c r="E32" i="39" s="1"/>
  <c r="E34" i="39" s="1"/>
  <c r="D76" i="38"/>
  <c r="F90" i="38" s="1"/>
  <c r="F88" i="38"/>
  <c r="B49" i="38"/>
  <c r="H50" i="38"/>
  <c r="H52" i="38"/>
  <c r="H53" i="38"/>
  <c r="H56" i="38"/>
  <c r="H57" i="38"/>
  <c r="C27" i="38"/>
  <c r="C41" i="34"/>
  <c r="H50" i="34"/>
  <c r="H51" i="34"/>
  <c r="C40" i="39"/>
  <c r="C41" i="39" s="1"/>
  <c r="C42" i="39" s="1"/>
  <c r="C11" i="38"/>
  <c r="C11" i="34"/>
  <c r="C9" i="38"/>
  <c r="C9" i="34"/>
  <c r="D93" i="38"/>
  <c r="D78" i="38"/>
  <c r="F91" i="38" s="1"/>
  <c r="B72" i="34"/>
  <c r="H53" i="34"/>
  <c r="H54" i="38"/>
  <c r="H55" i="38"/>
  <c r="H58" i="38"/>
  <c r="H60" i="38"/>
  <c r="A73" i="38"/>
  <c r="A72" i="38"/>
  <c r="A70" i="38"/>
  <c r="A74" i="38"/>
  <c r="A69" i="38"/>
  <c r="A69" i="34"/>
  <c r="H49" i="39"/>
  <c r="H50" i="39"/>
  <c r="H51" i="39"/>
  <c r="H53" i="39"/>
  <c r="H54" i="39"/>
  <c r="H55" i="39"/>
  <c r="H56" i="39"/>
  <c r="H57" i="39"/>
  <c r="H58" i="39"/>
  <c r="H59" i="39"/>
  <c r="B68" i="39"/>
  <c r="B70" i="39"/>
  <c r="A70" i="39"/>
  <c r="A69" i="39"/>
  <c r="A68" i="39"/>
  <c r="H25" i="39"/>
  <c r="H26" i="39"/>
  <c r="F25" i="39"/>
  <c r="F26" i="39"/>
  <c r="H52" i="34"/>
  <c r="A72" i="34"/>
  <c r="A71" i="34"/>
  <c r="A70" i="34"/>
  <c r="H26" i="34"/>
  <c r="F26" i="34"/>
  <c r="E27" i="39"/>
  <c r="C27" i="39"/>
  <c r="G43" i="39"/>
  <c r="E36" i="38" l="1"/>
  <c r="H88" i="38"/>
  <c r="B56" i="38"/>
  <c r="B54" i="38"/>
  <c r="C93" i="38"/>
  <c r="C96" i="38" s="1"/>
  <c r="C100" i="38" s="1"/>
  <c r="B55" i="38"/>
  <c r="B71" i="38" s="1"/>
  <c r="B72" i="38"/>
  <c r="H27" i="39"/>
  <c r="F27" i="39"/>
  <c r="C46" i="39"/>
  <c r="I91" i="38"/>
  <c r="J91" i="38" s="1"/>
  <c r="E36" i="34"/>
  <c r="G72" i="47"/>
  <c r="H72" i="47" s="1"/>
  <c r="I53" i="47"/>
  <c r="B59" i="47"/>
  <c r="B61" i="47" s="1"/>
  <c r="F77" i="38" s="1"/>
  <c r="C41" i="38"/>
  <c r="G44" i="38" s="1"/>
  <c r="E28" i="34"/>
  <c r="F27" i="34"/>
  <c r="F28" i="34" s="1"/>
  <c r="C42" i="34"/>
  <c r="G45" i="34" s="1"/>
  <c r="G44" i="34"/>
  <c r="B67" i="39"/>
  <c r="B51" i="39"/>
  <c r="G44" i="39"/>
  <c r="C31" i="46"/>
  <c r="F27" i="38"/>
  <c r="F28" i="38" s="1"/>
  <c r="E28" i="38"/>
  <c r="H27" i="38"/>
  <c r="H28" i="38" s="1"/>
  <c r="C28" i="38"/>
  <c r="C28" i="34"/>
  <c r="H27" i="34"/>
  <c r="H28" i="34" s="1"/>
  <c r="C43" i="34"/>
  <c r="C37" i="46"/>
  <c r="C38" i="46"/>
  <c r="E38" i="46"/>
  <c r="E37" i="46"/>
  <c r="E31" i="46"/>
  <c r="E30" i="46"/>
  <c r="C45" i="46"/>
  <c r="C44" i="46"/>
  <c r="B50" i="39"/>
  <c r="B58" i="39" s="1"/>
  <c r="B60" i="39" s="1"/>
  <c r="F78" i="38" s="1"/>
  <c r="E35" i="39"/>
  <c r="B66" i="39" s="1"/>
  <c r="B72" i="39" s="1"/>
  <c r="C101" i="38" l="1"/>
  <c r="D101" i="38" s="1"/>
  <c r="D100" i="38"/>
  <c r="B70" i="38"/>
  <c r="J90" i="38"/>
  <c r="G71" i="47"/>
  <c r="H71" i="47" s="1"/>
  <c r="C42" i="38"/>
  <c r="A109" i="38" s="1"/>
  <c r="H51" i="38"/>
  <c r="B67" i="34"/>
  <c r="C47" i="34"/>
  <c r="C44" i="34"/>
  <c r="B51" i="34"/>
  <c r="C51" i="34" s="1"/>
  <c r="G69" i="39"/>
  <c r="H69" i="39" s="1"/>
  <c r="C72" i="39"/>
  <c r="I52" i="39"/>
  <c r="G73" i="47" l="1"/>
  <c r="H73" i="47" s="1"/>
  <c r="G45" i="38"/>
  <c r="C43" i="38"/>
  <c r="C78" i="38"/>
  <c r="G70" i="39"/>
  <c r="C109" i="38" l="1"/>
  <c r="E109" i="38" s="1"/>
  <c r="G59" i="38" s="1"/>
  <c r="H59" i="38" s="1"/>
  <c r="H62" i="38" s="1"/>
  <c r="B68" i="38" s="1"/>
  <c r="I88" i="38"/>
  <c r="C44" i="38"/>
  <c r="B67" i="38"/>
  <c r="C47" i="38"/>
  <c r="J88" i="38"/>
  <c r="B51" i="38"/>
  <c r="H70" i="39"/>
  <c r="G71" i="39"/>
  <c r="H71" i="39" s="1"/>
  <c r="B75" i="38" l="1"/>
  <c r="C75" i="38" s="1"/>
  <c r="H70" i="38" s="1"/>
  <c r="B52" i="38"/>
  <c r="B59" i="38" s="1"/>
  <c r="B61" i="38" s="1"/>
  <c r="H69" i="38" s="1"/>
  <c r="I69" i="38" s="1"/>
  <c r="I53" i="38"/>
  <c r="J99" i="38"/>
  <c r="F75" i="38" l="1"/>
  <c r="I70" i="38"/>
  <c r="H71" i="38"/>
  <c r="I71" i="38" s="1"/>
  <c r="H62" i="34" l="1"/>
  <c r="B74" i="34" s="1"/>
  <c r="I53" i="34" l="1"/>
  <c r="C74" i="34"/>
  <c r="B52" i="34"/>
  <c r="B59" i="34" s="1"/>
  <c r="B61" i="34" s="1"/>
  <c r="G72" i="34" l="1"/>
  <c r="C80" i="38"/>
  <c r="F76" i="38"/>
  <c r="F80" i="38" s="1"/>
  <c r="G80" i="38" s="1"/>
  <c r="G71" i="34"/>
  <c r="H71" i="34" s="1"/>
  <c r="A80" i="38" l="1"/>
  <c r="I80" i="38" s="1"/>
  <c r="G73" i="34"/>
  <c r="H73" i="34" s="1"/>
  <c r="H72" i="34"/>
  <c r="I72" i="38" l="1"/>
</calcChain>
</file>

<file path=xl/sharedStrings.xml><?xml version="1.0" encoding="utf-8"?>
<sst xmlns="http://schemas.openxmlformats.org/spreadsheetml/2006/main" count="489" uniqueCount="180">
  <si>
    <t>Observaciones</t>
  </si>
  <si>
    <t xml:space="preserve">Material </t>
  </si>
  <si>
    <t>Presupuesto</t>
  </si>
  <si>
    <t>Elabora</t>
  </si>
  <si>
    <t>Lourdes Velasco</t>
  </si>
  <si>
    <t>Tamaño extendido</t>
  </si>
  <si>
    <t>Fecha</t>
  </si>
  <si>
    <t>ODT</t>
  </si>
  <si>
    <t>Cliente</t>
  </si>
  <si>
    <t>Proyecto</t>
  </si>
  <si>
    <t>Descripción</t>
  </si>
  <si>
    <t>Impresión</t>
  </si>
  <si>
    <t>Papel:</t>
  </si>
  <si>
    <t xml:space="preserve">Color </t>
  </si>
  <si>
    <t>Medida pliego</t>
  </si>
  <si>
    <t xml:space="preserve">X </t>
  </si>
  <si>
    <t>Tamaño Extendido</t>
  </si>
  <si>
    <t xml:space="preserve">Salen por lado </t>
  </si>
  <si>
    <t xml:space="preserve">Tamaños por pliego </t>
  </si>
  <si>
    <t>* calculo manual</t>
  </si>
  <si>
    <t>Proveedor:</t>
  </si>
  <si>
    <t>Precio Lista</t>
  </si>
  <si>
    <t>Monto desc.</t>
  </si>
  <si>
    <t xml:space="preserve">Monto descuento </t>
  </si>
  <si>
    <t>Costo  a Historias en Papel</t>
  </si>
  <si>
    <t>Tabla de suaje</t>
  </si>
  <si>
    <t>Original</t>
  </si>
  <si>
    <t>Copia</t>
  </si>
  <si>
    <t>costo de compra</t>
  </si>
  <si>
    <t>precio de venta</t>
  </si>
  <si>
    <t>Hot stamping</t>
  </si>
  <si>
    <t>Nota p/offset</t>
  </si>
  <si>
    <t xml:space="preserve">500 piezas siempre de sobrante para correr, </t>
  </si>
  <si>
    <t>Tamaños por pliego</t>
  </si>
  <si>
    <t>* manual</t>
  </si>
  <si>
    <t xml:space="preserve">aun cuando sean menos de 100 tiros. </t>
  </si>
  <si>
    <t>Para correr</t>
  </si>
  <si>
    <t xml:space="preserve">Tamaños requeridos </t>
  </si>
  <si>
    <t>Formato impresión</t>
  </si>
  <si>
    <t xml:space="preserve">Tamaños a correr </t>
  </si>
  <si>
    <t>Salen por tamaño</t>
  </si>
  <si>
    <t>Pliegos Requeridos</t>
  </si>
  <si>
    <t>Cientos a imprimir</t>
  </si>
  <si>
    <t>Millares a imprimir</t>
  </si>
  <si>
    <t>Cant. Pzas.</t>
  </si>
  <si>
    <t>Tamaños en Total</t>
  </si>
  <si>
    <t>tintas</t>
  </si>
  <si>
    <t>millares a imp</t>
  </si>
  <si>
    <t>concepto</t>
  </si>
  <si>
    <t>$ Millar</t>
  </si>
  <si>
    <t>total</t>
  </si>
  <si>
    <t xml:space="preserve">Costos </t>
  </si>
  <si>
    <t>laminas</t>
  </si>
  <si>
    <t>Papel</t>
  </si>
  <si>
    <t>pegado</t>
  </si>
  <si>
    <t xml:space="preserve">Colocar liston </t>
  </si>
  <si>
    <t>Partes Adiconales</t>
  </si>
  <si>
    <t>Total</t>
  </si>
  <si>
    <t>Laminado</t>
  </si>
  <si>
    <t xml:space="preserve">Producto </t>
  </si>
  <si>
    <t>costo unitario</t>
  </si>
  <si>
    <t xml:space="preserve">Costo proceso </t>
  </si>
  <si>
    <t xml:space="preserve">Porcentaje Despacho </t>
  </si>
  <si>
    <t>Tamaño Final</t>
  </si>
  <si>
    <t>PRECIO DE VENTA FINAL</t>
  </si>
  <si>
    <t>Porcentaje Final</t>
  </si>
  <si>
    <t xml:space="preserve">Presentación </t>
  </si>
  <si>
    <t xml:space="preserve">Importe total </t>
  </si>
  <si>
    <t xml:space="preserve">Unitario </t>
  </si>
  <si>
    <t>Cantidad a comprar</t>
  </si>
  <si>
    <t>Precio</t>
  </si>
  <si>
    <t xml:space="preserve">Precio por pza. </t>
  </si>
  <si>
    <t>Costo</t>
  </si>
  <si>
    <t>Importe de la compra</t>
  </si>
  <si>
    <t>Precio final</t>
  </si>
  <si>
    <t>Utilidad</t>
  </si>
  <si>
    <t>Total Piezas</t>
  </si>
  <si>
    <t>Tinta F</t>
  </si>
  <si>
    <t>arreglo suaje</t>
  </si>
  <si>
    <t>suajado</t>
  </si>
  <si>
    <t>Urgencia</t>
  </si>
  <si>
    <t>X</t>
  </si>
  <si>
    <t>por tamaño</t>
  </si>
  <si>
    <t>Tinta MET</t>
  </si>
  <si>
    <t>Placas</t>
  </si>
  <si>
    <t>Mensajeria</t>
  </si>
  <si>
    <t>Listón</t>
  </si>
  <si>
    <t>Tamaño extendido papel</t>
  </si>
  <si>
    <t>LUMEN</t>
  </si>
  <si>
    <t>Imp Fte</t>
  </si>
  <si>
    <t>Imp Vta</t>
  </si>
  <si>
    <t>Cantidad de piezas a imp.</t>
  </si>
  <si>
    <t>gris</t>
  </si>
  <si>
    <t>Placas HS</t>
  </si>
  <si>
    <t>Arreglo HS</t>
  </si>
  <si>
    <t>Encuadernación</t>
  </si>
  <si>
    <t>Imán</t>
  </si>
  <si>
    <t>corte</t>
  </si>
  <si>
    <t>TOTAL</t>
  </si>
  <si>
    <t>Cartón Gris</t>
  </si>
  <si>
    <t>empalme</t>
  </si>
  <si>
    <t>Empaque</t>
  </si>
  <si>
    <t>Comisiones</t>
  </si>
  <si>
    <t>Suajado</t>
  </si>
  <si>
    <t>mt</t>
  </si>
  <si>
    <t>Precio por Paquete</t>
  </si>
  <si>
    <t>* MT</t>
  </si>
  <si>
    <t>Colocado</t>
  </si>
  <si>
    <t>Maquila Armado</t>
  </si>
  <si>
    <t>TT Costo</t>
  </si>
  <si>
    <t>TT Utilidad</t>
  </si>
  <si>
    <t>Unitario</t>
  </si>
  <si>
    <t>Venta</t>
  </si>
  <si>
    <t>Cartera</t>
  </si>
  <si>
    <t>Envio</t>
  </si>
  <si>
    <t>forro cartera</t>
  </si>
  <si>
    <t>Grabado</t>
  </si>
  <si>
    <t>Tinta V</t>
  </si>
  <si>
    <t>Material</t>
  </si>
  <si>
    <t>$ compra dcto</t>
  </si>
  <si>
    <t>TT</t>
  </si>
  <si>
    <t>Pliegos</t>
  </si>
  <si>
    <t>#4</t>
  </si>
  <si>
    <t xml:space="preserve">Costo Basicos </t>
  </si>
  <si>
    <t>Fecha:</t>
  </si>
  <si>
    <t>Cliente:</t>
  </si>
  <si>
    <t>Proyecto:</t>
  </si>
  <si>
    <t>Cantidad:</t>
  </si>
  <si>
    <t>piezas</t>
  </si>
  <si>
    <t>merma</t>
  </si>
  <si>
    <t>Altura</t>
  </si>
  <si>
    <t>TT Horizontal</t>
  </si>
  <si>
    <t>TT Vertical</t>
  </si>
  <si>
    <t>TT Pliegos</t>
  </si>
  <si>
    <t>Medida Tapa</t>
  </si>
  <si>
    <t>Guarda Interior Cartera</t>
  </si>
  <si>
    <t>Forro Exterior Cartera</t>
  </si>
  <si>
    <t>Portada</t>
  </si>
  <si>
    <t>Contra Portada</t>
  </si>
  <si>
    <t>Lomo</t>
  </si>
  <si>
    <t>Guarda INT</t>
  </si>
  <si>
    <t>Despunte</t>
  </si>
  <si>
    <t xml:space="preserve">Bond </t>
  </si>
  <si>
    <t>despunte</t>
  </si>
  <si>
    <t>Cosido</t>
  </si>
  <si>
    <t>Interiores</t>
  </si>
  <si>
    <t>Lumen</t>
  </si>
  <si>
    <t>Dummy</t>
  </si>
  <si>
    <t>Pruebas de Color</t>
  </si>
  <si>
    <t xml:space="preserve">en papel couche 150 gr. </t>
  </si>
  <si>
    <t>Wire´o</t>
  </si>
  <si>
    <t>LAMINADOS/ UV</t>
  </si>
  <si>
    <t>area + cantidad de hojas</t>
  </si>
  <si>
    <t>Area</t>
  </si>
  <si>
    <t>arreglo</t>
  </si>
  <si>
    <t>total a pagar</t>
  </si>
  <si>
    <t>uv brillante a registro</t>
  </si>
  <si>
    <t>laminado mate</t>
  </si>
  <si>
    <t>mínimo</t>
  </si>
  <si>
    <t>Lamina/ Arreglo</t>
  </si>
  <si>
    <t xml:space="preserve">Interiores </t>
  </si>
  <si>
    <t xml:space="preserve">terminado wire´o metálico </t>
  </si>
  <si>
    <t xml:space="preserve">portada: cartoné forrado </t>
  </si>
  <si>
    <t>impresa a 4 X 0 tintas + laminado mate 1 cara</t>
  </si>
  <si>
    <t>25 de septiembre de 2017.</t>
  </si>
  <si>
    <t>Monex</t>
  </si>
  <si>
    <t>Couche Blanco Mate</t>
  </si>
  <si>
    <t>150 gr.</t>
  </si>
  <si>
    <t xml:space="preserve">Libreta Premium </t>
  </si>
  <si>
    <t>tamaño 14 X 21.5 cm.</t>
  </si>
  <si>
    <t>impresas a 1 X 1 tintas offset</t>
  </si>
  <si>
    <t>100 hojas interiores papel bond 75 gr.</t>
  </si>
  <si>
    <t>Blanco</t>
  </si>
  <si>
    <t>75 gr.</t>
  </si>
  <si>
    <t xml:space="preserve">Prueba de color </t>
  </si>
  <si>
    <t xml:space="preserve">Retractilado </t>
  </si>
  <si>
    <t>4.9 sra rosa</t>
  </si>
  <si>
    <t>Plata Niquelado</t>
  </si>
  <si>
    <t>cartón Pastas</t>
  </si>
  <si>
    <t>tamaño extendido 28.4 X 21.5 cm.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</si>
</sst>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$&quot;* #,##0.00_-;\-&quot;$&quot;* #,##0.00_-;_-&quot;$&quot;* &quot;-&quot;??_-;_-@_-"/>
    <numFmt numFmtId="164" formatCode="0.0"/>
    <numFmt numFmtId="165" formatCode="0.0000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entury Gothic"/>
      <family val="2"/>
    </font>
    <font>
      <b/>
      <sz val="14"/>
      <color theme="3" tint="-0.499984740745262"/>
      <name val="Century Gothic"/>
      <family val="2"/>
    </font>
    <font>
      <sz val="9"/>
      <name val="Century Gothic"/>
      <family val="2"/>
    </font>
    <font>
      <b/>
      <sz val="9"/>
      <name val="Century Gothic"/>
      <family val="2"/>
    </font>
    <font>
      <b/>
      <sz val="9"/>
      <color theme="1"/>
      <name val="Century Gothic"/>
      <family val="2"/>
    </font>
    <font>
      <b/>
      <sz val="10"/>
      <color theme="1"/>
      <name val="Century Gothic"/>
      <family val="2"/>
    </font>
    <font>
      <sz val="9"/>
      <color rgb="FFFF0000"/>
      <name val="Century Gothic"/>
      <family val="2"/>
    </font>
    <font>
      <i/>
      <sz val="9"/>
      <name val="Century Gothic"/>
      <family val="2"/>
    </font>
    <font>
      <sz val="11"/>
      <color theme="1"/>
      <name val="Century Gothic"/>
      <family val="2"/>
    </font>
    <font>
      <b/>
      <sz val="9"/>
      <color rgb="FFFF0000"/>
      <name val="Century Gothic"/>
      <family val="2"/>
    </font>
    <font>
      <sz val="8"/>
      <color theme="1"/>
      <name val="Century Gothic"/>
      <family val="2"/>
    </font>
    <font>
      <sz val="12"/>
      <color indexed="10"/>
      <name val="Calibri"/>
      <family val="2"/>
    </font>
    <font>
      <b/>
      <sz val="12"/>
      <color indexed="52"/>
      <name val="Calibri"/>
      <family val="2"/>
    </font>
    <font>
      <b/>
      <sz val="12"/>
      <color indexed="9"/>
      <name val="Calibri"/>
      <family val="2"/>
    </font>
    <font>
      <sz val="12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i/>
      <sz val="12"/>
      <color indexed="23"/>
      <name val="Calibri"/>
      <family val="2"/>
    </font>
    <font>
      <sz val="10"/>
      <name val="Arial"/>
      <family val="2"/>
    </font>
    <font>
      <b/>
      <sz val="8"/>
      <color rgb="FFFF0000"/>
      <name val="Century Gothic"/>
      <family val="2"/>
    </font>
    <font>
      <sz val="8"/>
      <color rgb="FFFF0000"/>
      <name val="Century Gothic"/>
      <family val="2"/>
    </font>
    <font>
      <b/>
      <sz val="9"/>
      <color theme="0"/>
      <name val="Century Gothic"/>
      <family val="2"/>
    </font>
    <font>
      <b/>
      <sz val="11"/>
      <color theme="1"/>
      <name val="Calibri"/>
      <family val="2"/>
      <scheme val="minor"/>
    </font>
    <font>
      <sz val="10"/>
      <color theme="1"/>
      <name val="Century Gothic"/>
      <family val="2"/>
    </font>
    <font>
      <b/>
      <sz val="12"/>
      <color theme="1"/>
      <name val="Century Gothic"/>
      <family val="2"/>
    </font>
    <font>
      <b/>
      <sz val="11"/>
      <color theme="1"/>
      <name val="Century Gothic"/>
      <family val="2"/>
    </font>
    <font>
      <b/>
      <sz val="16"/>
      <color theme="1"/>
      <name val="Century Gothic"/>
      <family val="2"/>
    </font>
    <font>
      <sz val="9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43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indexed="44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14" fillId="4" borderId="19" applyNumberFormat="0" applyAlignment="0" applyProtection="0"/>
    <xf numFmtId="0" fontId="15" fillId="5" borderId="20" applyNumberFormat="0" applyAlignment="0" applyProtection="0"/>
    <xf numFmtId="0" fontId="16" fillId="6" borderId="0" applyNumberFormat="0" applyBorder="0" applyAlignment="0" applyProtection="0"/>
    <xf numFmtId="0" fontId="17" fillId="0" borderId="21" applyNumberFormat="0" applyFill="0" applyAlignment="0" applyProtection="0"/>
    <xf numFmtId="0" fontId="18" fillId="0" borderId="22" applyNumberFormat="0" applyFill="0" applyAlignment="0" applyProtection="0"/>
    <xf numFmtId="0" fontId="19" fillId="0" borderId="23" applyNumberFormat="0" applyFill="0" applyAlignment="0" applyProtection="0"/>
    <xf numFmtId="0" fontId="20" fillId="0" borderId="0" applyNumberFormat="0" applyFill="0" applyBorder="0" applyAlignment="0" applyProtection="0"/>
    <xf numFmtId="0" fontId="21" fillId="0" borderId="0"/>
    <xf numFmtId="0" fontId="21" fillId="7" borderId="24" applyNumberFormat="0" applyFont="0" applyAlignment="0" applyProtection="0"/>
    <xf numFmtId="44" fontId="21" fillId="0" borderId="0" applyFont="0" applyFill="0" applyBorder="0" applyAlignment="0" applyProtection="0"/>
  </cellStyleXfs>
  <cellXfs count="141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2" fillId="0" borderId="4" xfId="0" applyFont="1" applyBorder="1"/>
    <xf numFmtId="0" fontId="2" fillId="0" borderId="0" xfId="0" applyFont="1" applyBorder="1"/>
    <xf numFmtId="0" fontId="2" fillId="0" borderId="5" xfId="0" applyFont="1" applyBorder="1"/>
    <xf numFmtId="0" fontId="5" fillId="0" borderId="0" xfId="0" applyFont="1" applyBorder="1"/>
    <xf numFmtId="0" fontId="4" fillId="0" borderId="0" xfId="0" applyFont="1" applyBorder="1" applyAlignment="1">
      <alignment horizontal="center"/>
    </xf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2" fontId="4" fillId="2" borderId="0" xfId="0" applyNumberFormat="1" applyFont="1" applyFill="1" applyBorder="1" applyAlignment="1">
      <alignment horizontal="left"/>
    </xf>
    <xf numFmtId="0" fontId="2" fillId="2" borderId="0" xfId="0" applyFont="1" applyFill="1"/>
    <xf numFmtId="2" fontId="5" fillId="2" borderId="0" xfId="0" applyNumberFormat="1" applyFont="1" applyFill="1" applyBorder="1" applyAlignment="1">
      <alignment horizontal="left"/>
    </xf>
    <xf numFmtId="2" fontId="4" fillId="2" borderId="0" xfId="0" applyNumberFormat="1" applyFont="1" applyFill="1"/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2" fontId="4" fillId="0" borderId="0" xfId="0" applyNumberFormat="1" applyFont="1" applyAlignment="1">
      <alignment horizontal="center"/>
    </xf>
    <xf numFmtId="1" fontId="5" fillId="0" borderId="0" xfId="0" applyNumberFormat="1" applyFont="1" applyAlignment="1">
      <alignment horizontal="center"/>
    </xf>
    <xf numFmtId="2" fontId="5" fillId="0" borderId="0" xfId="0" applyNumberFormat="1" applyFont="1" applyAlignment="1">
      <alignment horizontal="center"/>
    </xf>
    <xf numFmtId="164" fontId="6" fillId="0" borderId="0" xfId="0" applyNumberFormat="1" applyFont="1"/>
    <xf numFmtId="1" fontId="4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1" fontId="2" fillId="2" borderId="10" xfId="0" applyNumberFormat="1" applyFont="1" applyFill="1" applyBorder="1" applyAlignment="1">
      <alignment horizontal="center"/>
    </xf>
    <xf numFmtId="164" fontId="2" fillId="0" borderId="0" xfId="0" applyNumberFormat="1" applyFont="1" applyAlignment="1"/>
    <xf numFmtId="0" fontId="2" fillId="0" borderId="0" xfId="0" applyFont="1" applyAlignment="1"/>
    <xf numFmtId="0" fontId="2" fillId="2" borderId="10" xfId="0" applyFont="1" applyFill="1" applyBorder="1" applyAlignment="1">
      <alignment horizontal="center"/>
    </xf>
    <xf numFmtId="2" fontId="8" fillId="0" borderId="0" xfId="0" applyNumberFormat="1" applyFont="1" applyAlignment="1"/>
    <xf numFmtId="0" fontId="2" fillId="0" borderId="0" xfId="0" applyFont="1" applyAlignment="1">
      <alignment horizontal="right"/>
    </xf>
    <xf numFmtId="44" fontId="4" fillId="2" borderId="0" xfId="1" applyFont="1" applyFill="1" applyAlignment="1">
      <alignment horizontal="center"/>
    </xf>
    <xf numFmtId="9" fontId="2" fillId="0" borderId="0" xfId="2" applyFont="1" applyAlignment="1">
      <alignment horizontal="center"/>
    </xf>
    <xf numFmtId="0" fontId="4" fillId="0" borderId="0" xfId="0" applyFont="1" applyAlignment="1">
      <alignment horizontal="right"/>
    </xf>
    <xf numFmtId="44" fontId="5" fillId="0" borderId="0" xfId="1" applyFont="1" applyAlignment="1">
      <alignment horizontal="center"/>
    </xf>
    <xf numFmtId="0" fontId="2" fillId="0" borderId="4" xfId="0" applyFont="1" applyBorder="1" applyAlignment="1">
      <alignment horizontal="center"/>
    </xf>
    <xf numFmtId="44" fontId="4" fillId="0" borderId="0" xfId="1" applyFont="1" applyAlignment="1">
      <alignment horizontal="center"/>
    </xf>
    <xf numFmtId="1" fontId="4" fillId="2" borderId="0" xfId="0" applyNumberFormat="1" applyFont="1" applyFill="1" applyAlignment="1">
      <alignment horizontal="center"/>
    </xf>
    <xf numFmtId="0" fontId="8" fillId="0" borderId="0" xfId="0" applyFont="1"/>
    <xf numFmtId="0" fontId="5" fillId="2" borderId="0" xfId="0" applyFont="1" applyFill="1" applyAlignment="1">
      <alignment horizontal="center"/>
    </xf>
    <xf numFmtId="1" fontId="9" fillId="0" borderId="0" xfId="0" applyNumberFormat="1" applyFont="1" applyAlignment="1">
      <alignment horizontal="center"/>
    </xf>
    <xf numFmtId="0" fontId="5" fillId="0" borderId="12" xfId="0" applyFont="1" applyBorder="1"/>
    <xf numFmtId="0" fontId="4" fillId="0" borderId="12" xfId="0" applyFont="1" applyBorder="1"/>
    <xf numFmtId="2" fontId="4" fillId="0" borderId="12" xfId="0" applyNumberFormat="1" applyFont="1" applyBorder="1" applyAlignment="1">
      <alignment horizontal="center"/>
    </xf>
    <xf numFmtId="0" fontId="10" fillId="0" borderId="0" xfId="0" applyFont="1"/>
    <xf numFmtId="0" fontId="2" fillId="0" borderId="12" xfId="0" applyFont="1" applyBorder="1"/>
    <xf numFmtId="2" fontId="5" fillId="0" borderId="12" xfId="0" applyNumberFormat="1" applyFont="1" applyBorder="1" applyAlignment="1">
      <alignment horizontal="center"/>
    </xf>
    <xf numFmtId="2" fontId="5" fillId="0" borderId="0" xfId="0" applyNumberFormat="1" applyFont="1" applyBorder="1" applyAlignment="1">
      <alignment horizontal="center"/>
    </xf>
    <xf numFmtId="0" fontId="2" fillId="0" borderId="17" xfId="0" applyFont="1" applyBorder="1"/>
    <xf numFmtId="0" fontId="2" fillId="0" borderId="18" xfId="0" applyFont="1" applyBorder="1"/>
    <xf numFmtId="0" fontId="6" fillId="0" borderId="0" xfId="0" applyFont="1" applyAlignment="1">
      <alignment horizontal="right"/>
    </xf>
    <xf numFmtId="9" fontId="2" fillId="0" borderId="0" xfId="0" applyNumberFormat="1" applyFont="1"/>
    <xf numFmtId="2" fontId="4" fillId="0" borderId="0" xfId="0" applyNumberFormat="1" applyFont="1" applyAlignment="1">
      <alignment horizontal="left"/>
    </xf>
    <xf numFmtId="0" fontId="5" fillId="0" borderId="0" xfId="0" applyFont="1" applyAlignment="1">
      <alignment horizontal="right"/>
    </xf>
    <xf numFmtId="2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left"/>
    </xf>
    <xf numFmtId="2" fontId="5" fillId="3" borderId="0" xfId="0" applyNumberFormat="1" applyFont="1" applyFill="1" applyAlignment="1">
      <alignment horizontal="center"/>
    </xf>
    <xf numFmtId="2" fontId="6" fillId="0" borderId="0" xfId="0" applyNumberFormat="1" applyFont="1" applyAlignment="1">
      <alignment horizontal="center"/>
    </xf>
    <xf numFmtId="2" fontId="11" fillId="0" borderId="0" xfId="0" applyNumberFormat="1" applyFont="1" applyAlignment="1">
      <alignment horizontal="center"/>
    </xf>
    <xf numFmtId="2" fontId="11" fillId="0" borderId="0" xfId="0" applyNumberFormat="1" applyFont="1" applyAlignment="1">
      <alignment horizontal="left"/>
    </xf>
    <xf numFmtId="0" fontId="12" fillId="0" borderId="0" xfId="0" applyFont="1"/>
    <xf numFmtId="0" fontId="6" fillId="0" borderId="4" xfId="0" applyFont="1" applyBorder="1"/>
    <xf numFmtId="0" fontId="2" fillId="0" borderId="0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6" fillId="0" borderId="0" xfId="0" applyFont="1" applyBorder="1"/>
    <xf numFmtId="9" fontId="6" fillId="0" borderId="0" xfId="0" applyNumberFormat="1" applyFont="1"/>
    <xf numFmtId="2" fontId="2" fillId="0" borderId="0" xfId="0" applyNumberFormat="1" applyFont="1" applyBorder="1" applyAlignment="1">
      <alignment horizontal="center"/>
    </xf>
    <xf numFmtId="0" fontId="4" fillId="0" borderId="0" xfId="0" applyFont="1" applyAlignment="1">
      <alignment horizontal="left"/>
    </xf>
    <xf numFmtId="2" fontId="6" fillId="0" borderId="0" xfId="0" applyNumberFormat="1" applyFont="1" applyBorder="1" applyAlignment="1">
      <alignment horizontal="center"/>
    </xf>
    <xf numFmtId="44" fontId="2" fillId="0" borderId="0" xfId="1" applyFont="1" applyAlignment="1">
      <alignment horizontal="center"/>
    </xf>
    <xf numFmtId="2" fontId="22" fillId="0" borderId="0" xfId="0" applyNumberFormat="1" applyFont="1" applyAlignment="1">
      <alignment horizontal="center"/>
    </xf>
    <xf numFmtId="44" fontId="23" fillId="0" borderId="0" xfId="1" applyFont="1"/>
    <xf numFmtId="44" fontId="24" fillId="8" borderId="0" xfId="1" applyFont="1" applyFill="1"/>
    <xf numFmtId="0" fontId="2" fillId="0" borderId="17" xfId="0" applyFont="1" applyBorder="1" applyAlignment="1">
      <alignment horizontal="left"/>
    </xf>
    <xf numFmtId="0" fontId="2" fillId="0" borderId="18" xfId="0" applyFont="1" applyBorder="1" applyAlignment="1">
      <alignment horizontal="center"/>
    </xf>
    <xf numFmtId="44" fontId="2" fillId="0" borderId="17" xfId="1" applyFont="1" applyBorder="1" applyAlignment="1">
      <alignment horizontal="left"/>
    </xf>
    <xf numFmtId="0" fontId="6" fillId="0" borderId="18" xfId="0" applyFont="1" applyBorder="1"/>
    <xf numFmtId="44" fontId="2" fillId="0" borderId="17" xfId="0" applyNumberFormat="1" applyFont="1" applyBorder="1"/>
    <xf numFmtId="44" fontId="2" fillId="0" borderId="18" xfId="1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0" fontId="26" fillId="0" borderId="12" xfId="0" applyFont="1" applyBorder="1" applyAlignment="1">
      <alignment horizontal="left"/>
    </xf>
    <xf numFmtId="44" fontId="26" fillId="0" borderId="12" xfId="0" applyNumberFormat="1" applyFont="1" applyBorder="1" applyAlignment="1">
      <alignment horizontal="center"/>
    </xf>
    <xf numFmtId="1" fontId="26" fillId="0" borderId="12" xfId="0" applyNumberFormat="1" applyFont="1" applyBorder="1" applyAlignment="1">
      <alignment horizontal="center"/>
    </xf>
    <xf numFmtId="0" fontId="25" fillId="0" borderId="25" xfId="0" applyFont="1" applyBorder="1"/>
    <xf numFmtId="44" fontId="25" fillId="0" borderId="26" xfId="0" applyNumberFormat="1" applyFont="1" applyBorder="1"/>
    <xf numFmtId="0" fontId="26" fillId="0" borderId="11" xfId="0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26" fillId="0" borderId="11" xfId="0" applyFont="1" applyBorder="1" applyAlignment="1">
      <alignment horizontal="right"/>
    </xf>
    <xf numFmtId="44" fontId="26" fillId="0" borderId="13" xfId="0" applyNumberFormat="1" applyFont="1" applyBorder="1" applyAlignment="1">
      <alignment horizontal="center"/>
    </xf>
    <xf numFmtId="0" fontId="0" fillId="0" borderId="14" xfId="0" applyBorder="1"/>
    <xf numFmtId="0" fontId="0" fillId="0" borderId="15" xfId="0" applyBorder="1"/>
    <xf numFmtId="0" fontId="2" fillId="0" borderId="15" xfId="0" applyFont="1" applyBorder="1"/>
    <xf numFmtId="0" fontId="2" fillId="0" borderId="16" xfId="0" applyFont="1" applyBorder="1"/>
    <xf numFmtId="0" fontId="6" fillId="0" borderId="17" xfId="0" applyFont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28" fillId="0" borderId="0" xfId="0" applyFont="1" applyAlignment="1">
      <alignment horizontal="right"/>
    </xf>
    <xf numFmtId="0" fontId="10" fillId="0" borderId="0" xfId="0" applyFont="1" applyAlignment="1">
      <alignment horizontal="center"/>
    </xf>
    <xf numFmtId="0" fontId="29" fillId="0" borderId="0" xfId="0" applyFont="1"/>
    <xf numFmtId="0" fontId="28" fillId="0" borderId="0" xfId="0" applyFont="1"/>
    <xf numFmtId="0" fontId="28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28" fillId="0" borderId="0" xfId="0" applyFont="1" applyAlignment="1">
      <alignment horizontal="left"/>
    </xf>
    <xf numFmtId="44" fontId="10" fillId="0" borderId="0" xfId="1" applyFont="1"/>
    <xf numFmtId="44" fontId="28" fillId="0" borderId="0" xfId="1" applyFont="1"/>
    <xf numFmtId="2" fontId="10" fillId="0" borderId="0" xfId="0" applyNumberFormat="1" applyFont="1" applyAlignment="1">
      <alignment horizontal="center"/>
    </xf>
    <xf numFmtId="0" fontId="10" fillId="0" borderId="0" xfId="0" applyFont="1" applyAlignment="1">
      <alignment horizontal="right"/>
    </xf>
    <xf numFmtId="44" fontId="2" fillId="0" borderId="0" xfId="1" applyFont="1" applyAlignment="1">
      <alignment horizontal="center"/>
    </xf>
    <xf numFmtId="0" fontId="28" fillId="0" borderId="0" xfId="0" applyFont="1" applyAlignment="1">
      <alignment horizontal="center" wrapText="1"/>
    </xf>
    <xf numFmtId="4" fontId="2" fillId="0" borderId="0" xfId="0" applyNumberFormat="1" applyFont="1"/>
    <xf numFmtId="0" fontId="2" fillId="0" borderId="9" xfId="0" applyFont="1" applyBorder="1"/>
    <xf numFmtId="0" fontId="26" fillId="0" borderId="11" xfId="0" applyFont="1" applyBorder="1" applyAlignment="1">
      <alignment horizontal="left"/>
    </xf>
    <xf numFmtId="2" fontId="2" fillId="0" borderId="0" xfId="0" applyNumberFormat="1" applyFont="1"/>
    <xf numFmtId="0" fontId="11" fillId="0" borderId="0" xfId="0" applyFont="1"/>
    <xf numFmtId="2" fontId="2" fillId="0" borderId="4" xfId="0" applyNumberFormat="1" applyFont="1" applyBorder="1" applyAlignment="1">
      <alignment horizontal="center"/>
    </xf>
    <xf numFmtId="0" fontId="6" fillId="0" borderId="5" xfId="0" applyFont="1" applyBorder="1"/>
    <xf numFmtId="2" fontId="2" fillId="0" borderId="0" xfId="0" applyNumberFormat="1" applyFont="1" applyBorder="1"/>
    <xf numFmtId="44" fontId="2" fillId="0" borderId="0" xfId="1" applyFont="1" applyBorder="1"/>
    <xf numFmtId="44" fontId="30" fillId="9" borderId="5" xfId="13" applyFont="1" applyFill="1" applyBorder="1" applyAlignment="1">
      <alignment horizontal="right" vertical="center"/>
    </xf>
    <xf numFmtId="164" fontId="2" fillId="0" borderId="0" xfId="0" applyNumberFormat="1" applyFont="1" applyBorder="1" applyAlignment="1">
      <alignment horizontal="center"/>
    </xf>
    <xf numFmtId="1" fontId="2" fillId="0" borderId="4" xfId="0" applyNumberFormat="1" applyFont="1" applyBorder="1" applyAlignment="1">
      <alignment horizontal="center"/>
    </xf>
    <xf numFmtId="165" fontId="10" fillId="0" borderId="0" xfId="0" applyNumberFormat="1" applyFont="1"/>
    <xf numFmtId="44" fontId="6" fillId="0" borderId="0" xfId="1" applyFont="1" applyBorder="1"/>
    <xf numFmtId="44" fontId="30" fillId="10" borderId="5" xfId="13" applyFont="1" applyFill="1" applyBorder="1" applyAlignment="1">
      <alignment vertical="center"/>
    </xf>
    <xf numFmtId="44" fontId="30" fillId="0" borderId="5" xfId="13" applyFont="1" applyFill="1" applyBorder="1" applyAlignment="1">
      <alignment vertical="center"/>
    </xf>
    <xf numFmtId="44" fontId="2" fillId="0" borderId="0" xfId="1" applyFont="1" applyAlignment="1">
      <alignment horizontal="center"/>
    </xf>
    <xf numFmtId="44" fontId="6" fillId="0" borderId="0" xfId="1" applyFont="1" applyAlignment="1">
      <alignment horizontal="center"/>
    </xf>
    <xf numFmtId="2" fontId="24" fillId="8" borderId="0" xfId="0" applyNumberFormat="1" applyFont="1" applyFill="1" applyBorder="1" applyAlignment="1">
      <alignment horizontal="center"/>
    </xf>
    <xf numFmtId="0" fontId="27" fillId="0" borderId="27" xfId="0" applyFont="1" applyBorder="1" applyAlignment="1">
      <alignment horizontal="center"/>
    </xf>
    <xf numFmtId="0" fontId="27" fillId="0" borderId="28" xfId="0" applyFont="1" applyBorder="1" applyAlignment="1">
      <alignment horizontal="center"/>
    </xf>
    <xf numFmtId="0" fontId="27" fillId="0" borderId="29" xfId="0" applyFont="1" applyBorder="1" applyAlignment="1">
      <alignment horizontal="center"/>
    </xf>
  </cellXfs>
  <cellStyles count="14">
    <cellStyle name="Advertencia" xfId="3"/>
    <cellStyle name="Calcular" xfId="4"/>
    <cellStyle name="Celda comprob." xfId="5"/>
    <cellStyle name="Correcto" xfId="6"/>
    <cellStyle name="Encabez. 1" xfId="7"/>
    <cellStyle name="Encabez. 2" xfId="8"/>
    <cellStyle name="Encabezado 3" xfId="9"/>
    <cellStyle name="Explicación" xfId="10"/>
    <cellStyle name="Moneda" xfId="1" builtinId="4"/>
    <cellStyle name="Moneda 6" xfId="13"/>
    <cellStyle name="Normal" xfId="0" builtinId="0"/>
    <cellStyle name="Normal 2" xfId="11"/>
    <cellStyle name="Nota" xfId="12"/>
    <cellStyle name="Porcentaje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754064</xdr:colOff>
      <xdr:row>14</xdr:row>
      <xdr:rowOff>198437</xdr:rowOff>
    </xdr:from>
    <xdr:to>
      <xdr:col>3</xdr:col>
      <xdr:colOff>744142</xdr:colOff>
      <xdr:row>23</xdr:row>
      <xdr:rowOff>198437</xdr:rowOff>
    </xdr:to>
    <xdr:sp macro="" textlink="">
      <xdr:nvSpPr>
        <xdr:cNvPr id="4" name="3 Rectángulo"/>
        <xdr:cNvSpPr/>
      </xdr:nvSpPr>
      <xdr:spPr>
        <a:xfrm>
          <a:off x="2506664" y="12390437"/>
          <a:ext cx="752078" cy="18859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9922</xdr:colOff>
      <xdr:row>15</xdr:row>
      <xdr:rowOff>9922</xdr:rowOff>
    </xdr:from>
    <xdr:to>
      <xdr:col>5</xdr:col>
      <xdr:colOff>9922</xdr:colOff>
      <xdr:row>23</xdr:row>
      <xdr:rowOff>198438</xdr:rowOff>
    </xdr:to>
    <xdr:sp macro="" textlink="">
      <xdr:nvSpPr>
        <xdr:cNvPr id="5" name="4 Rectángulo"/>
        <xdr:cNvSpPr/>
      </xdr:nvSpPr>
      <xdr:spPr>
        <a:xfrm>
          <a:off x="3760391" y="3184922"/>
          <a:ext cx="803672" cy="185539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29766</xdr:colOff>
      <xdr:row>14</xdr:row>
      <xdr:rowOff>198440</xdr:rowOff>
    </xdr:from>
    <xdr:to>
      <xdr:col>6</xdr:col>
      <xdr:colOff>19843</xdr:colOff>
      <xdr:row>23</xdr:row>
      <xdr:rowOff>198440</xdr:rowOff>
    </xdr:to>
    <xdr:sp macro="" textlink="">
      <xdr:nvSpPr>
        <xdr:cNvPr id="6" name="5 Rectángulo"/>
        <xdr:cNvSpPr/>
      </xdr:nvSpPr>
      <xdr:spPr>
        <a:xfrm>
          <a:off x="4106466" y="12390440"/>
          <a:ext cx="752077" cy="18859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1</xdr:rowOff>
    </xdr:from>
    <xdr:to>
      <xdr:col>3</xdr:col>
      <xdr:colOff>381001</xdr:colOff>
      <xdr:row>4</xdr:row>
      <xdr:rowOff>95249</xdr:rowOff>
    </xdr:to>
    <xdr:pic>
      <xdr:nvPicPr>
        <xdr:cNvPr id="2" name="Picture 1" descr="3437733264_6942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1"/>
          <a:ext cx="2809875" cy="88582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1</xdr:rowOff>
    </xdr:from>
    <xdr:to>
      <xdr:col>3</xdr:col>
      <xdr:colOff>381001</xdr:colOff>
      <xdr:row>4</xdr:row>
      <xdr:rowOff>95249</xdr:rowOff>
    </xdr:to>
    <xdr:pic>
      <xdr:nvPicPr>
        <xdr:cNvPr id="2" name="Picture 1" descr="3437733264_6942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1"/>
          <a:ext cx="2809875" cy="8953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1</xdr:rowOff>
    </xdr:from>
    <xdr:to>
      <xdr:col>3</xdr:col>
      <xdr:colOff>381001</xdr:colOff>
      <xdr:row>4</xdr:row>
      <xdr:rowOff>95249</xdr:rowOff>
    </xdr:to>
    <xdr:pic>
      <xdr:nvPicPr>
        <xdr:cNvPr id="2" name="Picture 1" descr="3437733264_6942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1"/>
          <a:ext cx="2809875" cy="88582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1</xdr:rowOff>
    </xdr:from>
    <xdr:to>
      <xdr:col>3</xdr:col>
      <xdr:colOff>381001</xdr:colOff>
      <xdr:row>4</xdr:row>
      <xdr:rowOff>95249</xdr:rowOff>
    </xdr:to>
    <xdr:pic>
      <xdr:nvPicPr>
        <xdr:cNvPr id="2" name="Picture 1" descr="3437733264_6942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1"/>
          <a:ext cx="2809875" cy="88582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A1:I45"/>
  <sheetViews>
    <sheetView zoomScale="96" zoomScaleNormal="96" workbookViewId="0">
      <selection activeCell="D12" sqref="D12"/>
    </sheetView>
  </sheetViews>
  <sheetFormatPr baseColWidth="10" defaultRowHeight="16.5" x14ac:dyDescent="0.3"/>
  <cols>
    <col min="1" max="1" width="18.42578125" style="55" customWidth="1"/>
    <col min="2" max="2" width="13.7109375" style="55" customWidth="1"/>
    <col min="3" max="4" width="11.42578125" style="55"/>
    <col min="5" max="5" width="12" style="55" customWidth="1"/>
    <col min="6" max="6" width="11.42578125" style="55"/>
    <col min="7" max="7" width="13" style="55" customWidth="1"/>
    <col min="8" max="8" width="14.28515625" style="55" customWidth="1"/>
    <col min="9" max="16384" width="11.42578125" style="55"/>
  </cols>
  <sheetData>
    <row r="1" spans="1:8" x14ac:dyDescent="0.3">
      <c r="A1" s="106" t="s">
        <v>124</v>
      </c>
      <c r="B1" s="55" t="s">
        <v>164</v>
      </c>
    </row>
    <row r="3" spans="1:8" x14ac:dyDescent="0.3">
      <c r="A3" s="106" t="s">
        <v>125</v>
      </c>
      <c r="B3" s="55" t="s">
        <v>165</v>
      </c>
    </row>
    <row r="5" spans="1:8" x14ac:dyDescent="0.3">
      <c r="A5" s="106" t="s">
        <v>126</v>
      </c>
    </row>
    <row r="6" spans="1:8" x14ac:dyDescent="0.3">
      <c r="A6" s="106"/>
    </row>
    <row r="7" spans="1:8" x14ac:dyDescent="0.3">
      <c r="A7" s="106" t="s">
        <v>127</v>
      </c>
      <c r="B7" s="107">
        <v>1000</v>
      </c>
      <c r="C7" s="55" t="s">
        <v>128</v>
      </c>
      <c r="D7" s="107">
        <f>50*3</f>
        <v>150</v>
      </c>
      <c r="E7" s="55" t="s">
        <v>129</v>
      </c>
    </row>
    <row r="8" spans="1:8" x14ac:dyDescent="0.3">
      <c r="C8" s="107"/>
    </row>
    <row r="11" spans="1:8" ht="30" x14ac:dyDescent="0.3">
      <c r="A11" s="108" t="s">
        <v>113</v>
      </c>
      <c r="C11" s="110" t="s">
        <v>137</v>
      </c>
      <c r="D11" s="112" t="s">
        <v>139</v>
      </c>
      <c r="E11" s="118" t="s">
        <v>138</v>
      </c>
      <c r="F11" s="110" t="s">
        <v>130</v>
      </c>
    </row>
    <row r="12" spans="1:8" x14ac:dyDescent="0.3">
      <c r="A12" s="109" t="s">
        <v>134</v>
      </c>
      <c r="C12" s="107">
        <v>14.2</v>
      </c>
      <c r="D12" s="107">
        <v>0</v>
      </c>
      <c r="E12" s="107">
        <f>+C12</f>
        <v>14.2</v>
      </c>
      <c r="F12" s="107">
        <v>21.5</v>
      </c>
    </row>
    <row r="13" spans="1:8" x14ac:dyDescent="0.3">
      <c r="A13" s="109"/>
    </row>
    <row r="15" spans="1:8" x14ac:dyDescent="0.3">
      <c r="D15" s="107">
        <f>+C12</f>
        <v>14.2</v>
      </c>
      <c r="E15" s="107">
        <f>+D12</f>
        <v>0</v>
      </c>
      <c r="F15" s="55">
        <f>+E12</f>
        <v>14.2</v>
      </c>
    </row>
    <row r="16" spans="1:8" x14ac:dyDescent="0.3">
      <c r="A16" s="112" t="s">
        <v>131</v>
      </c>
      <c r="B16" s="112">
        <f>+D15+E15+F15</f>
        <v>28.4</v>
      </c>
      <c r="G16" s="111"/>
      <c r="H16" s="111"/>
    </row>
    <row r="17" spans="1:9" x14ac:dyDescent="0.3">
      <c r="G17" s="111"/>
      <c r="H17" s="111"/>
    </row>
    <row r="18" spans="1:9" x14ac:dyDescent="0.3">
      <c r="G18" s="111"/>
      <c r="H18" s="111"/>
    </row>
    <row r="19" spans="1:9" x14ac:dyDescent="0.3">
      <c r="G19" s="116">
        <f>+F12</f>
        <v>21.5</v>
      </c>
      <c r="H19" s="111"/>
    </row>
    <row r="20" spans="1:9" x14ac:dyDescent="0.3">
      <c r="C20" s="111"/>
      <c r="G20" s="111"/>
      <c r="H20" s="111"/>
    </row>
    <row r="21" spans="1:9" x14ac:dyDescent="0.3">
      <c r="G21" s="111"/>
      <c r="H21" s="111"/>
    </row>
    <row r="22" spans="1:9" x14ac:dyDescent="0.3">
      <c r="G22" s="111"/>
      <c r="H22" s="111"/>
    </row>
    <row r="23" spans="1:9" x14ac:dyDescent="0.3">
      <c r="G23" s="111"/>
      <c r="H23" s="111"/>
    </row>
    <row r="24" spans="1:9" x14ac:dyDescent="0.3">
      <c r="G24" s="111"/>
      <c r="H24" s="111"/>
    </row>
    <row r="25" spans="1:9" x14ac:dyDescent="0.3">
      <c r="H25" s="109">
        <f>+G19+0</f>
        <v>21.5</v>
      </c>
      <c r="I25" s="112" t="s">
        <v>132</v>
      </c>
    </row>
    <row r="28" spans="1:9" s="109" customFormat="1" x14ac:dyDescent="0.3">
      <c r="A28" s="109" t="s">
        <v>99</v>
      </c>
      <c r="B28" s="109" t="s">
        <v>122</v>
      </c>
      <c r="C28" s="110">
        <v>90</v>
      </c>
      <c r="D28" s="110" t="s">
        <v>81</v>
      </c>
      <c r="E28" s="110">
        <v>130</v>
      </c>
      <c r="F28" s="113">
        <f>+G28/1000</f>
        <v>39.429000000000002</v>
      </c>
      <c r="G28" s="133">
        <v>39429</v>
      </c>
      <c r="H28" s="114">
        <f>+F28*H29</f>
        <v>2523.4560000000001</v>
      </c>
    </row>
    <row r="29" spans="1:9" x14ac:dyDescent="0.3">
      <c r="C29" s="107">
        <f>+B16</f>
        <v>28.4</v>
      </c>
      <c r="D29" s="107" t="s">
        <v>81</v>
      </c>
      <c r="E29" s="107">
        <f>+H25</f>
        <v>21.5</v>
      </c>
      <c r="G29" s="109" t="s">
        <v>133</v>
      </c>
      <c r="H29" s="109">
        <v>64</v>
      </c>
    </row>
    <row r="30" spans="1:9" x14ac:dyDescent="0.3">
      <c r="C30" s="115">
        <f>+C28/C29</f>
        <v>3.1690140845070425</v>
      </c>
      <c r="D30" s="115"/>
      <c r="E30" s="115">
        <f>+E28/E29</f>
        <v>6.0465116279069768</v>
      </c>
      <c r="F30" s="109">
        <v>18</v>
      </c>
      <c r="G30" s="131">
        <f>+((B7+D7)/F30)</f>
        <v>63.888888888888886</v>
      </c>
    </row>
    <row r="31" spans="1:9" x14ac:dyDescent="0.3">
      <c r="C31" s="115">
        <f>+E28/C29</f>
        <v>4.5774647887323949</v>
      </c>
      <c r="D31" s="115"/>
      <c r="E31" s="115">
        <f>+C28/E29</f>
        <v>4.1860465116279073</v>
      </c>
      <c r="F31" s="55">
        <v>16</v>
      </c>
    </row>
    <row r="32" spans="1:9" x14ac:dyDescent="0.3">
      <c r="C32" s="107"/>
      <c r="D32" s="107"/>
      <c r="E32" s="107"/>
    </row>
    <row r="33" spans="1:8" x14ac:dyDescent="0.3">
      <c r="A33" s="109" t="s">
        <v>135</v>
      </c>
      <c r="C33" s="107">
        <f>0.25+D15+E15+0.25+F15</f>
        <v>28.9</v>
      </c>
      <c r="D33" s="107" t="s">
        <v>81</v>
      </c>
      <c r="E33" s="107">
        <f>+G19</f>
        <v>21.5</v>
      </c>
    </row>
    <row r="34" spans="1:8" ht="6" customHeight="1" x14ac:dyDescent="0.3">
      <c r="A34" s="109"/>
      <c r="C34" s="107"/>
      <c r="D34" s="107"/>
      <c r="E34" s="107"/>
    </row>
    <row r="35" spans="1:8" s="109" customFormat="1" x14ac:dyDescent="0.3">
      <c r="A35" s="109" t="s">
        <v>166</v>
      </c>
      <c r="B35" s="109" t="s">
        <v>167</v>
      </c>
      <c r="C35" s="110">
        <v>70</v>
      </c>
      <c r="D35" s="110" t="s">
        <v>81</v>
      </c>
      <c r="E35" s="110">
        <v>95</v>
      </c>
      <c r="F35" s="113">
        <v>0</v>
      </c>
      <c r="G35" s="133">
        <v>3361.0000000000005</v>
      </c>
      <c r="H35" s="114">
        <f>+F35*H36</f>
        <v>0</v>
      </c>
    </row>
    <row r="36" spans="1:8" x14ac:dyDescent="0.3">
      <c r="C36" s="107">
        <f>(1+C12+1)*2</f>
        <v>32.4</v>
      </c>
      <c r="D36" s="107" t="s">
        <v>81</v>
      </c>
      <c r="E36" s="107">
        <f>1+E33+1</f>
        <v>23.5</v>
      </c>
      <c r="G36" s="109" t="s">
        <v>133</v>
      </c>
      <c r="H36" s="109">
        <v>144</v>
      </c>
    </row>
    <row r="37" spans="1:8" x14ac:dyDescent="0.3">
      <c r="C37" s="115">
        <f>+C35/C36</f>
        <v>2.1604938271604941</v>
      </c>
      <c r="D37" s="115"/>
      <c r="E37" s="115">
        <f>+E35/E36</f>
        <v>4.042553191489362</v>
      </c>
      <c r="F37" s="109">
        <v>8</v>
      </c>
      <c r="G37" s="109">
        <f>+((B7+D7)/F37)</f>
        <v>143.75</v>
      </c>
    </row>
    <row r="38" spans="1:8" x14ac:dyDescent="0.3">
      <c r="C38" s="115">
        <f>+E35/C36</f>
        <v>2.9320987654320989</v>
      </c>
      <c r="D38" s="115"/>
      <c r="E38" s="115">
        <f>+C35/E36</f>
        <v>2.978723404255319</v>
      </c>
      <c r="F38" s="55">
        <v>4</v>
      </c>
    </row>
    <row r="40" spans="1:8" x14ac:dyDescent="0.3">
      <c r="A40" s="109" t="s">
        <v>136</v>
      </c>
      <c r="C40" s="107">
        <f>1.5+0.25+D15+0.25+E15+0.25+F15+0.25+1.5</f>
        <v>32.4</v>
      </c>
      <c r="D40" s="107" t="s">
        <v>81</v>
      </c>
      <c r="E40" s="107">
        <f>1.5+0.25+G19+0.25+1.5</f>
        <v>25</v>
      </c>
    </row>
    <row r="41" spans="1:8" ht="6" customHeight="1" x14ac:dyDescent="0.3">
      <c r="A41" s="109"/>
      <c r="C41" s="107"/>
      <c r="D41" s="107"/>
      <c r="E41" s="107"/>
    </row>
    <row r="42" spans="1:8" s="109" customFormat="1" x14ac:dyDescent="0.3">
      <c r="A42" s="109" t="s">
        <v>166</v>
      </c>
      <c r="B42" s="109" t="s">
        <v>167</v>
      </c>
      <c r="C42" s="110">
        <v>61</v>
      </c>
      <c r="D42" s="110" t="s">
        <v>81</v>
      </c>
      <c r="E42" s="110">
        <v>90</v>
      </c>
      <c r="F42" s="113">
        <v>0</v>
      </c>
      <c r="G42" s="134">
        <v>2775</v>
      </c>
      <c r="H42" s="114">
        <f>+F42*H43</f>
        <v>0</v>
      </c>
    </row>
    <row r="43" spans="1:8" x14ac:dyDescent="0.3">
      <c r="C43" s="107">
        <f>(2+C12+2)*2</f>
        <v>36.4</v>
      </c>
      <c r="D43" s="107" t="s">
        <v>81</v>
      </c>
      <c r="E43" s="107">
        <f>0+E40+0</f>
        <v>25</v>
      </c>
      <c r="G43" s="109" t="s">
        <v>133</v>
      </c>
      <c r="H43" s="109">
        <v>288</v>
      </c>
    </row>
    <row r="44" spans="1:8" x14ac:dyDescent="0.3">
      <c r="C44" s="115">
        <f>+C42/C43</f>
        <v>1.6758241758241759</v>
      </c>
      <c r="D44" s="115"/>
      <c r="E44" s="115">
        <f>+E42/E43</f>
        <v>3.6</v>
      </c>
      <c r="F44" s="55">
        <v>3</v>
      </c>
    </row>
    <row r="45" spans="1:8" x14ac:dyDescent="0.3">
      <c r="C45" s="115">
        <f>+E42/C43</f>
        <v>2.4725274725274726</v>
      </c>
      <c r="D45" s="115"/>
      <c r="E45" s="115">
        <f>+C42/E43</f>
        <v>2.44</v>
      </c>
      <c r="F45" s="109">
        <v>4</v>
      </c>
      <c r="G45" s="55">
        <f>+((B7+D7)/F45)</f>
        <v>287.5</v>
      </c>
    </row>
  </sheetData>
  <pageMargins left="0.70866141732283472" right="0.70866141732283472" top="0.74803149606299213" bottom="0.74803149606299213" header="0.31496062992125984" footer="0.31496062992125984"/>
  <pageSetup scale="77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1:V95"/>
  <sheetViews>
    <sheetView topLeftCell="A62" zoomScale="80" zoomScaleNormal="80" workbookViewId="0">
      <selection activeCell="D63" sqref="D63:E65"/>
    </sheetView>
  </sheetViews>
  <sheetFormatPr baseColWidth="10" defaultRowHeight="14.25" x14ac:dyDescent="0.3"/>
  <cols>
    <col min="1" max="1" width="11.42578125" style="1"/>
    <col min="2" max="2" width="13.42578125" style="1" bestFit="1" customWidth="1"/>
    <col min="3" max="3" width="11.5703125" style="1" bestFit="1" customWidth="1"/>
    <col min="4" max="4" width="9.7109375" style="1" customWidth="1"/>
    <col min="5" max="5" width="14.28515625" style="1" customWidth="1"/>
    <col min="6" max="6" width="12.5703125" style="1" customWidth="1"/>
    <col min="7" max="7" width="13.42578125" style="1" customWidth="1"/>
    <col min="8" max="8" width="10.42578125" style="1" customWidth="1"/>
    <col min="9" max="9" width="12.42578125" style="1" customWidth="1"/>
    <col min="10" max="10" width="11.42578125" style="1"/>
    <col min="11" max="11" width="15.85546875" style="1" customWidth="1"/>
    <col min="12" max="12" width="11.42578125" style="1"/>
    <col min="13" max="13" width="14.140625" style="1" customWidth="1"/>
    <col min="14" max="16384" width="11.42578125" style="1"/>
  </cols>
  <sheetData>
    <row r="1" spans="1:22" ht="15.75" x14ac:dyDescent="0.3">
      <c r="J1"/>
      <c r="K1"/>
      <c r="L1"/>
      <c r="M1"/>
      <c r="N1"/>
      <c r="O1"/>
      <c r="P1"/>
      <c r="Q1"/>
      <c r="R1"/>
      <c r="S1"/>
      <c r="T1"/>
      <c r="U1"/>
      <c r="V1"/>
    </row>
    <row r="2" spans="1:22" ht="15.75" x14ac:dyDescent="0.3">
      <c r="J2"/>
      <c r="K2"/>
      <c r="L2"/>
      <c r="M2"/>
      <c r="N2"/>
      <c r="O2"/>
      <c r="P2"/>
      <c r="Q2"/>
      <c r="R2"/>
      <c r="S2"/>
      <c r="T2"/>
      <c r="U2"/>
      <c r="V2"/>
    </row>
    <row r="3" spans="1:22" ht="15.75" x14ac:dyDescent="0.3">
      <c r="J3"/>
      <c r="K3"/>
      <c r="L3"/>
      <c r="M3"/>
      <c r="N3"/>
      <c r="O3"/>
      <c r="P3"/>
      <c r="Q3"/>
      <c r="R3"/>
      <c r="S3"/>
      <c r="T3"/>
      <c r="U3"/>
      <c r="V3"/>
    </row>
    <row r="4" spans="1:22" ht="15.75" x14ac:dyDescent="0.3">
      <c r="J4"/>
      <c r="K4"/>
      <c r="L4"/>
      <c r="M4"/>
      <c r="N4"/>
      <c r="O4"/>
      <c r="P4"/>
      <c r="Q4"/>
      <c r="R4"/>
      <c r="S4"/>
      <c r="T4"/>
      <c r="U4"/>
      <c r="V4"/>
    </row>
    <row r="5" spans="1:22" ht="15.75" x14ac:dyDescent="0.3">
      <c r="A5" s="5"/>
      <c r="J5"/>
      <c r="K5"/>
      <c r="L5"/>
      <c r="M5"/>
      <c r="N5"/>
      <c r="O5"/>
      <c r="P5"/>
      <c r="Q5"/>
      <c r="R5"/>
      <c r="S5"/>
      <c r="T5"/>
      <c r="U5"/>
      <c r="V5"/>
    </row>
    <row r="6" spans="1:22" ht="18.75" x14ac:dyDescent="0.3">
      <c r="A6" s="2" t="s">
        <v>2</v>
      </c>
      <c r="E6" s="5" t="s">
        <v>3</v>
      </c>
      <c r="F6" s="1" t="s">
        <v>4</v>
      </c>
      <c r="J6"/>
      <c r="K6"/>
      <c r="L6"/>
      <c r="M6"/>
      <c r="N6"/>
      <c r="O6"/>
      <c r="P6"/>
      <c r="Q6"/>
      <c r="R6"/>
      <c r="S6"/>
      <c r="T6"/>
      <c r="U6"/>
      <c r="V6"/>
    </row>
    <row r="7" spans="1:22" ht="15.75" x14ac:dyDescent="0.3">
      <c r="J7"/>
      <c r="K7"/>
      <c r="L7"/>
      <c r="M7"/>
      <c r="N7"/>
      <c r="O7"/>
      <c r="P7"/>
      <c r="Q7"/>
      <c r="R7"/>
      <c r="S7"/>
      <c r="T7"/>
      <c r="U7"/>
      <c r="V7"/>
    </row>
    <row r="8" spans="1:22" ht="15.75" x14ac:dyDescent="0.3">
      <c r="J8"/>
      <c r="K8"/>
      <c r="L8"/>
      <c r="M8"/>
      <c r="N8"/>
      <c r="O8"/>
      <c r="P8"/>
      <c r="Q8"/>
      <c r="R8"/>
      <c r="S8"/>
      <c r="T8"/>
      <c r="U8"/>
      <c r="V8"/>
    </row>
    <row r="9" spans="1:22" s="5" customFormat="1" ht="15" x14ac:dyDescent="0.25">
      <c r="A9" s="5" t="s">
        <v>6</v>
      </c>
      <c r="C9" s="5" t="str">
        <f>+Desarrollo!B1</f>
        <v>25 de septiembre de 2017.</v>
      </c>
      <c r="H9" s="5" t="s">
        <v>7</v>
      </c>
      <c r="J9"/>
      <c r="K9"/>
      <c r="L9"/>
      <c r="M9"/>
      <c r="N9"/>
      <c r="O9"/>
      <c r="P9"/>
      <c r="Q9"/>
      <c r="R9"/>
      <c r="S9"/>
      <c r="T9"/>
      <c r="U9"/>
      <c r="V9"/>
    </row>
    <row r="10" spans="1:22" ht="15.75" x14ac:dyDescent="0.3">
      <c r="J10"/>
      <c r="K10"/>
      <c r="L10"/>
      <c r="M10"/>
      <c r="N10"/>
      <c r="O10"/>
      <c r="P10"/>
      <c r="Q10"/>
      <c r="R10"/>
      <c r="S10"/>
      <c r="T10"/>
      <c r="U10"/>
      <c r="V10"/>
    </row>
    <row r="11" spans="1:22" ht="16.5" thickBot="1" x14ac:dyDescent="0.35">
      <c r="A11" s="5" t="s">
        <v>8</v>
      </c>
      <c r="C11" s="1" t="str">
        <f>+Desarrollo!B3</f>
        <v>Monex</v>
      </c>
      <c r="F11" s="5" t="s">
        <v>0</v>
      </c>
      <c r="J11"/>
      <c r="K11"/>
      <c r="L11"/>
      <c r="M11"/>
      <c r="N11"/>
      <c r="O11"/>
      <c r="P11"/>
      <c r="Q11"/>
      <c r="R11"/>
      <c r="S11"/>
      <c r="T11"/>
      <c r="U11"/>
      <c r="V11"/>
    </row>
    <row r="12" spans="1:22" ht="15.75" x14ac:dyDescent="0.3">
      <c r="A12" s="5"/>
      <c r="F12" s="11"/>
      <c r="G12" s="12"/>
      <c r="H12" s="13"/>
      <c r="J12"/>
      <c r="K12"/>
      <c r="L12"/>
      <c r="M12"/>
      <c r="N12"/>
      <c r="O12"/>
      <c r="P12"/>
      <c r="Q12"/>
      <c r="R12"/>
      <c r="S12"/>
      <c r="T12"/>
      <c r="U12"/>
      <c r="V12"/>
    </row>
    <row r="13" spans="1:22" ht="15.75" x14ac:dyDescent="0.3">
      <c r="A13" s="5" t="s">
        <v>9</v>
      </c>
      <c r="C13" s="1">
        <f>+Desarrollo!B5</f>
        <v>0</v>
      </c>
      <c r="F13" s="6"/>
      <c r="G13" s="7"/>
      <c r="H13" s="8"/>
      <c r="J13"/>
      <c r="K13"/>
      <c r="L13"/>
      <c r="M13"/>
      <c r="N13"/>
      <c r="O13"/>
      <c r="P13"/>
      <c r="Q13"/>
      <c r="R13"/>
      <c r="S13"/>
      <c r="T13"/>
      <c r="U13"/>
      <c r="V13"/>
    </row>
    <row r="14" spans="1:22" ht="15.75" x14ac:dyDescent="0.3">
      <c r="A14" s="5"/>
      <c r="F14" s="6"/>
      <c r="G14" s="7"/>
      <c r="H14" s="8"/>
      <c r="J14"/>
      <c r="K14"/>
      <c r="L14"/>
      <c r="M14"/>
      <c r="N14"/>
      <c r="O14"/>
      <c r="P14"/>
      <c r="Q14"/>
      <c r="R14"/>
      <c r="S14"/>
      <c r="T14"/>
      <c r="U14"/>
      <c r="V14"/>
    </row>
    <row r="15" spans="1:22" ht="15.75" x14ac:dyDescent="0.3">
      <c r="A15" s="5" t="s">
        <v>10</v>
      </c>
      <c r="C15" s="19" t="s">
        <v>113</v>
      </c>
      <c r="D15" s="18"/>
      <c r="E15" s="18"/>
      <c r="F15" s="72" t="s">
        <v>87</v>
      </c>
      <c r="G15" s="7"/>
      <c r="H15" s="8"/>
      <c r="J15"/>
      <c r="K15"/>
      <c r="L15"/>
      <c r="M15"/>
      <c r="N15"/>
      <c r="O15"/>
      <c r="P15"/>
      <c r="Q15"/>
      <c r="R15"/>
      <c r="S15"/>
      <c r="T15"/>
      <c r="U15"/>
      <c r="V15"/>
    </row>
    <row r="16" spans="1:22" ht="15.75" x14ac:dyDescent="0.3">
      <c r="C16" s="17" t="s">
        <v>179</v>
      </c>
      <c r="D16" s="18"/>
      <c r="E16" s="18"/>
      <c r="F16" s="46">
        <f>+C26</f>
        <v>28.4</v>
      </c>
      <c r="G16" s="73" t="s">
        <v>81</v>
      </c>
      <c r="H16" s="74">
        <f>+E26</f>
        <v>21.5</v>
      </c>
      <c r="J16"/>
      <c r="K16"/>
      <c r="L16"/>
      <c r="M16"/>
      <c r="N16"/>
      <c r="O16"/>
      <c r="P16"/>
      <c r="Q16"/>
      <c r="R16"/>
      <c r="S16"/>
      <c r="T16"/>
      <c r="U16"/>
      <c r="V16"/>
    </row>
    <row r="17" spans="1:22" ht="15.75" x14ac:dyDescent="0.3">
      <c r="C17" s="17"/>
      <c r="D17" s="18"/>
      <c r="E17" s="18"/>
      <c r="F17" s="72">
        <v>1</v>
      </c>
      <c r="G17" s="75" t="s">
        <v>82</v>
      </c>
      <c r="H17" s="8"/>
      <c r="J17"/>
      <c r="K17"/>
      <c r="L17"/>
      <c r="M17"/>
      <c r="N17"/>
      <c r="O17"/>
      <c r="P17"/>
      <c r="Q17"/>
      <c r="R17"/>
      <c r="S17"/>
      <c r="T17"/>
      <c r="U17"/>
      <c r="V17"/>
    </row>
    <row r="18" spans="1:22" ht="15.75" x14ac:dyDescent="0.3">
      <c r="C18" s="17"/>
      <c r="D18" s="18"/>
      <c r="E18" s="18"/>
      <c r="F18" s="72"/>
      <c r="G18" s="7"/>
      <c r="H18" s="8"/>
      <c r="J18"/>
      <c r="K18"/>
      <c r="L18"/>
      <c r="M18"/>
      <c r="N18"/>
      <c r="O18"/>
      <c r="P18"/>
      <c r="Q18"/>
      <c r="R18"/>
      <c r="S18"/>
      <c r="T18"/>
      <c r="U18"/>
      <c r="V18"/>
    </row>
    <row r="19" spans="1:22" ht="15.75" x14ac:dyDescent="0.3">
      <c r="C19" s="20"/>
      <c r="D19" s="18"/>
      <c r="E19" s="18"/>
      <c r="F19" s="46"/>
      <c r="G19" s="73"/>
      <c r="H19" s="74"/>
      <c r="J19"/>
      <c r="K19"/>
      <c r="L19"/>
      <c r="M19"/>
      <c r="N19"/>
      <c r="O19"/>
      <c r="P19"/>
      <c r="Q19"/>
      <c r="R19"/>
      <c r="S19"/>
      <c r="T19"/>
      <c r="U19"/>
      <c r="V19"/>
    </row>
    <row r="20" spans="1:22" ht="15.75" x14ac:dyDescent="0.3">
      <c r="C20" s="18"/>
      <c r="D20" s="18"/>
      <c r="E20" s="18"/>
      <c r="F20" s="72"/>
      <c r="G20" s="75"/>
      <c r="H20" s="8"/>
      <c r="J20"/>
      <c r="K20"/>
      <c r="L20"/>
      <c r="M20"/>
      <c r="N20"/>
      <c r="O20"/>
      <c r="P20"/>
      <c r="Q20"/>
      <c r="R20"/>
      <c r="S20"/>
      <c r="T20"/>
      <c r="U20"/>
      <c r="V20"/>
    </row>
    <row r="21" spans="1:22" ht="15.75" x14ac:dyDescent="0.3">
      <c r="C21" s="18"/>
      <c r="D21" s="18"/>
      <c r="E21" s="18"/>
      <c r="F21" s="6"/>
      <c r="G21" s="7"/>
      <c r="H21" s="8"/>
      <c r="J21"/>
      <c r="K21"/>
      <c r="L21"/>
      <c r="M21"/>
      <c r="N21"/>
      <c r="O21"/>
      <c r="P21"/>
      <c r="Q21"/>
      <c r="R21"/>
      <c r="S21"/>
      <c r="T21"/>
      <c r="U21"/>
      <c r="V21"/>
    </row>
    <row r="22" spans="1:22" ht="16.5" thickBot="1" x14ac:dyDescent="0.35">
      <c r="C22" s="18"/>
      <c r="D22" s="18"/>
      <c r="E22" s="18"/>
      <c r="F22" s="14"/>
      <c r="G22" s="15"/>
      <c r="H22" s="16"/>
      <c r="J22"/>
      <c r="K22"/>
      <c r="L22"/>
      <c r="M22"/>
      <c r="N22"/>
      <c r="O22"/>
      <c r="P22"/>
      <c r="Q22"/>
      <c r="R22"/>
      <c r="S22"/>
      <c r="T22"/>
      <c r="U22"/>
      <c r="V22"/>
    </row>
    <row r="23" spans="1:22" ht="15.75" x14ac:dyDescent="0.3">
      <c r="A23" s="4" t="s">
        <v>12</v>
      </c>
      <c r="C23" s="21" t="str">
        <f>+Desarrollo!A28</f>
        <v>Cartón Gris</v>
      </c>
      <c r="D23" s="5" t="s">
        <v>13</v>
      </c>
      <c r="E23" s="22" t="s">
        <v>92</v>
      </c>
      <c r="F23" s="1" t="str">
        <f>+Desarrollo!B28</f>
        <v>#4</v>
      </c>
      <c r="J23"/>
      <c r="K23"/>
      <c r="L23"/>
      <c r="M23"/>
      <c r="N23"/>
      <c r="O23"/>
      <c r="P23"/>
      <c r="Q23"/>
      <c r="R23"/>
      <c r="S23"/>
      <c r="T23"/>
      <c r="U23"/>
      <c r="V23"/>
    </row>
    <row r="24" spans="1:22" ht="15.75" x14ac:dyDescent="0.3">
      <c r="J24"/>
      <c r="K24"/>
      <c r="L24"/>
      <c r="M24"/>
      <c r="N24"/>
      <c r="O24"/>
      <c r="P24"/>
      <c r="Q24"/>
      <c r="R24"/>
      <c r="S24"/>
      <c r="T24"/>
      <c r="U24"/>
      <c r="V24"/>
    </row>
    <row r="25" spans="1:22" ht="15.75" x14ac:dyDescent="0.3">
      <c r="A25" s="4" t="s">
        <v>14</v>
      </c>
      <c r="C25" s="23">
        <f>+Desarrollo!C28</f>
        <v>90</v>
      </c>
      <c r="D25" s="22" t="s">
        <v>15</v>
      </c>
      <c r="E25" s="24">
        <f>+Desarrollo!E28</f>
        <v>130</v>
      </c>
      <c r="F25" s="25">
        <f>+C25</f>
        <v>90</v>
      </c>
      <c r="G25" s="26" t="s">
        <v>15</v>
      </c>
      <c r="H25" s="26">
        <f>+E25</f>
        <v>130</v>
      </c>
      <c r="J25"/>
      <c r="K25"/>
      <c r="L25"/>
      <c r="M25"/>
      <c r="N25"/>
      <c r="O25"/>
      <c r="P25"/>
      <c r="Q25"/>
      <c r="R25"/>
      <c r="S25"/>
      <c r="T25"/>
      <c r="U25"/>
      <c r="V25"/>
    </row>
    <row r="26" spans="1:22" ht="15.75" x14ac:dyDescent="0.3">
      <c r="A26" s="4" t="s">
        <v>16</v>
      </c>
      <c r="B26" s="3"/>
      <c r="C26" s="27">
        <f>+Desarrollo!C29</f>
        <v>28.4</v>
      </c>
      <c r="D26" s="28" t="s">
        <v>15</v>
      </c>
      <c r="E26" s="27">
        <f>+Desarrollo!E29</f>
        <v>21.5</v>
      </c>
      <c r="F26" s="29">
        <f>+E26</f>
        <v>21.5</v>
      </c>
      <c r="G26" s="29" t="s">
        <v>15</v>
      </c>
      <c r="H26" s="29">
        <f>+C26</f>
        <v>28.4</v>
      </c>
      <c r="I26" s="30"/>
      <c r="J26"/>
      <c r="K26"/>
      <c r="L26"/>
      <c r="M26"/>
      <c r="N26"/>
      <c r="O26"/>
      <c r="P26"/>
      <c r="Q26"/>
      <c r="R26"/>
      <c r="S26"/>
      <c r="T26"/>
      <c r="U26"/>
      <c r="V26"/>
    </row>
    <row r="27" spans="1:22" ht="16.5" thickBot="1" x14ac:dyDescent="0.35">
      <c r="A27" s="3" t="s">
        <v>17</v>
      </c>
      <c r="B27" s="31"/>
      <c r="C27" s="32">
        <f>+C25/C26</f>
        <v>3.1690140845070425</v>
      </c>
      <c r="D27" s="33"/>
      <c r="E27" s="32">
        <f>+E25/E26</f>
        <v>6.0465116279069768</v>
      </c>
      <c r="F27" s="32">
        <f>+F25/F26</f>
        <v>4.1860465116279073</v>
      </c>
      <c r="G27" s="33"/>
      <c r="H27" s="32">
        <f>+H25/H26</f>
        <v>4.5774647887323949</v>
      </c>
      <c r="I27" s="30"/>
      <c r="J27"/>
      <c r="K27"/>
      <c r="L27"/>
      <c r="M27"/>
      <c r="N27"/>
      <c r="O27"/>
      <c r="P27"/>
      <c r="Q27"/>
      <c r="R27"/>
      <c r="S27"/>
      <c r="T27"/>
      <c r="U27"/>
      <c r="V27"/>
    </row>
    <row r="28" spans="1:22" ht="16.5" thickBot="1" x14ac:dyDescent="0.35">
      <c r="A28" s="3" t="s">
        <v>18</v>
      </c>
      <c r="B28" s="34"/>
      <c r="C28" s="35"/>
      <c r="D28" s="36">
        <v>18</v>
      </c>
      <c r="E28" s="37"/>
      <c r="F28" s="38"/>
      <c r="G28" s="39">
        <v>16</v>
      </c>
      <c r="H28" s="40" t="s">
        <v>19</v>
      </c>
      <c r="J28"/>
      <c r="K28"/>
      <c r="L28"/>
      <c r="M28"/>
      <c r="N28"/>
      <c r="O28"/>
      <c r="P28"/>
      <c r="Q28"/>
      <c r="R28"/>
      <c r="S28"/>
      <c r="T28"/>
      <c r="U28"/>
      <c r="V28"/>
    </row>
    <row r="29" spans="1:22" ht="15.75" x14ac:dyDescent="0.3">
      <c r="A29" s="3"/>
      <c r="B29" s="21"/>
      <c r="C29" s="30"/>
      <c r="G29" s="41"/>
      <c r="H29" s="30"/>
      <c r="J29"/>
      <c r="K29"/>
      <c r="L29"/>
      <c r="M29"/>
      <c r="N29"/>
      <c r="O29"/>
      <c r="P29"/>
      <c r="Q29"/>
      <c r="R29"/>
      <c r="S29"/>
      <c r="T29"/>
      <c r="U29"/>
      <c r="V29"/>
    </row>
    <row r="30" spans="1:22" ht="15.75" x14ac:dyDescent="0.3">
      <c r="A30" s="25" t="s">
        <v>20</v>
      </c>
      <c r="B30" s="25" t="s">
        <v>88</v>
      </c>
      <c r="D30" s="41" t="s">
        <v>21</v>
      </c>
      <c r="E30" s="42">
        <f>+Desarrollo!F28</f>
        <v>39.429000000000002</v>
      </c>
      <c r="G30" s="1" t="s">
        <v>22</v>
      </c>
      <c r="H30" s="43">
        <v>0</v>
      </c>
      <c r="J30"/>
      <c r="K30"/>
      <c r="L30"/>
      <c r="M30"/>
      <c r="N30"/>
      <c r="O30"/>
      <c r="P30"/>
      <c r="Q30"/>
      <c r="R30"/>
      <c r="S30"/>
      <c r="T30"/>
      <c r="U30"/>
      <c r="V30"/>
    </row>
    <row r="31" spans="1:22" ht="15.75" x14ac:dyDescent="0.3">
      <c r="A31" s="3"/>
      <c r="B31" s="3"/>
      <c r="C31" s="3"/>
      <c r="D31" s="44" t="s">
        <v>23</v>
      </c>
      <c r="E31" s="42">
        <f>+H30*E30</f>
        <v>0</v>
      </c>
      <c r="H31" s="43"/>
      <c r="I31" s="30"/>
      <c r="J31"/>
      <c r="K31"/>
      <c r="L31"/>
      <c r="M31"/>
      <c r="N31"/>
      <c r="O31"/>
      <c r="P31"/>
      <c r="Q31"/>
      <c r="R31"/>
      <c r="S31"/>
      <c r="T31"/>
      <c r="U31"/>
      <c r="V31"/>
    </row>
    <row r="32" spans="1:22" ht="15.75" x14ac:dyDescent="0.3">
      <c r="D32" s="44" t="s">
        <v>24</v>
      </c>
      <c r="E32" s="45">
        <f>+E30-E31</f>
        <v>39.429000000000002</v>
      </c>
      <c r="I32" s="30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2" ht="15.75" x14ac:dyDescent="0.3">
      <c r="E33" s="21" t="s">
        <v>26</v>
      </c>
      <c r="F33" s="21" t="s">
        <v>27</v>
      </c>
      <c r="G33" s="21" t="s">
        <v>27</v>
      </c>
      <c r="H33" s="21" t="s">
        <v>27</v>
      </c>
      <c r="I33" s="30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2" ht="15.75" x14ac:dyDescent="0.3">
      <c r="D34" s="41" t="s">
        <v>28</v>
      </c>
      <c r="E34" s="47">
        <f>+E32</f>
        <v>39.429000000000002</v>
      </c>
      <c r="F34" s="47">
        <v>0</v>
      </c>
      <c r="G34" s="47">
        <v>0</v>
      </c>
      <c r="H34" s="47">
        <v>0</v>
      </c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2" ht="15.75" x14ac:dyDescent="0.3">
      <c r="D35" s="41" t="s">
        <v>29</v>
      </c>
      <c r="E35" s="47">
        <f>+E34*1.1</f>
        <v>43.371900000000004</v>
      </c>
      <c r="F35" s="47">
        <v>0</v>
      </c>
      <c r="G35" s="47">
        <v>0</v>
      </c>
      <c r="H35" s="47">
        <v>0</v>
      </c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2" ht="16.5" thickBot="1" x14ac:dyDescent="0.35">
      <c r="A36" s="3"/>
      <c r="G36" s="41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2" ht="15.75" x14ac:dyDescent="0.3">
      <c r="A37" s="3"/>
      <c r="B37" s="21"/>
      <c r="C37" s="30"/>
      <c r="E37" s="11" t="s">
        <v>31</v>
      </c>
      <c r="F37" s="12" t="s">
        <v>32</v>
      </c>
      <c r="G37" s="12"/>
      <c r="H37" s="13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2" ht="16.5" thickBot="1" x14ac:dyDescent="0.35">
      <c r="A38" s="4" t="s">
        <v>33</v>
      </c>
      <c r="C38" s="48">
        <v>18</v>
      </c>
      <c r="D38" s="49" t="s">
        <v>34</v>
      </c>
      <c r="E38" s="14"/>
      <c r="F38" s="15" t="s">
        <v>35</v>
      </c>
      <c r="G38" s="15"/>
      <c r="H38" s="16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2" ht="15.75" x14ac:dyDescent="0.3">
      <c r="A39" s="4"/>
      <c r="C39" s="21"/>
      <c r="D39" s="1" t="s">
        <v>36</v>
      </c>
      <c r="E39" s="3"/>
      <c r="F39" s="3"/>
      <c r="J39"/>
      <c r="K39"/>
      <c r="L39"/>
      <c r="M39"/>
      <c r="N39"/>
      <c r="O39"/>
      <c r="P39"/>
      <c r="Q39"/>
      <c r="R39"/>
      <c r="S39"/>
      <c r="T39"/>
      <c r="U39"/>
      <c r="V39"/>
    </row>
    <row r="40" spans="1:22" ht="15.75" x14ac:dyDescent="0.3">
      <c r="A40" s="4" t="s">
        <v>37</v>
      </c>
      <c r="B40" s="5"/>
      <c r="C40" s="50">
        <f>+B48/F17</f>
        <v>1000</v>
      </c>
      <c r="D40" s="24">
        <f>+Desarrollo!D7</f>
        <v>150</v>
      </c>
      <c r="F40" s="44" t="s">
        <v>38</v>
      </c>
      <c r="G40" s="23">
        <v>1</v>
      </c>
      <c r="H40" s="3"/>
      <c r="J40"/>
      <c r="K40"/>
      <c r="L40"/>
      <c r="M40"/>
      <c r="N40"/>
      <c r="O40"/>
      <c r="P40"/>
      <c r="Q40"/>
      <c r="R40"/>
      <c r="S40"/>
      <c r="T40"/>
      <c r="U40"/>
      <c r="V40"/>
    </row>
    <row r="41" spans="1:22" ht="15.75" x14ac:dyDescent="0.3">
      <c r="A41" s="4" t="s">
        <v>39</v>
      </c>
      <c r="C41" s="34">
        <f>+C40+D40</f>
        <v>1150</v>
      </c>
      <c r="F41" s="44" t="s">
        <v>40</v>
      </c>
      <c r="G41" s="23">
        <v>1</v>
      </c>
      <c r="H41" s="3"/>
      <c r="J41"/>
      <c r="K41"/>
      <c r="L41"/>
      <c r="M41"/>
      <c r="N41"/>
      <c r="O41"/>
      <c r="P41"/>
      <c r="Q41"/>
      <c r="R41"/>
      <c r="S41"/>
      <c r="T41"/>
      <c r="U41"/>
      <c r="V41"/>
    </row>
    <row r="42" spans="1:22" ht="15.75" x14ac:dyDescent="0.3">
      <c r="A42" s="4" t="s">
        <v>41</v>
      </c>
      <c r="C42" s="34">
        <f>+C41/C38</f>
        <v>63.888888888888886</v>
      </c>
      <c r="F42" s="44" t="s">
        <v>42</v>
      </c>
      <c r="G42" s="23"/>
      <c r="H42" s="3"/>
      <c r="J42"/>
      <c r="K42"/>
      <c r="L42"/>
      <c r="M42"/>
      <c r="N42"/>
      <c r="O42"/>
      <c r="P42"/>
      <c r="Q42"/>
      <c r="R42"/>
      <c r="S42"/>
      <c r="T42"/>
      <c r="U42"/>
      <c r="V42"/>
    </row>
    <row r="43" spans="1:22" ht="15.75" x14ac:dyDescent="0.3">
      <c r="A43" s="4"/>
      <c r="C43" s="21"/>
      <c r="F43" s="41" t="s">
        <v>43</v>
      </c>
      <c r="G43" s="23">
        <f>+C40/1000</f>
        <v>1</v>
      </c>
      <c r="H43" s="3"/>
      <c r="J43"/>
      <c r="K43"/>
      <c r="L43"/>
      <c r="M43"/>
      <c r="N43"/>
      <c r="O43"/>
      <c r="P43"/>
      <c r="Q43"/>
      <c r="R43"/>
      <c r="S43"/>
      <c r="T43"/>
      <c r="U43"/>
      <c r="V43"/>
    </row>
    <row r="44" spans="1:22" ht="15.75" x14ac:dyDescent="0.3">
      <c r="A44" s="4"/>
      <c r="C44" s="51"/>
      <c r="F44" s="44" t="s">
        <v>44</v>
      </c>
      <c r="G44" s="48">
        <f>+C41</f>
        <v>1150</v>
      </c>
      <c r="H44" s="3"/>
      <c r="J44"/>
      <c r="K44"/>
      <c r="L44"/>
      <c r="M44"/>
      <c r="N44"/>
      <c r="O44"/>
      <c r="P44"/>
      <c r="Q44"/>
      <c r="R44"/>
      <c r="S44"/>
      <c r="T44"/>
      <c r="U44"/>
      <c r="V44"/>
    </row>
    <row r="45" spans="1:22" ht="15.75" x14ac:dyDescent="0.3">
      <c r="A45" s="4"/>
      <c r="C45" s="21"/>
      <c r="E45" s="44"/>
      <c r="F45" s="44"/>
      <c r="G45" s="30"/>
      <c r="I45" s="3"/>
      <c r="J45"/>
      <c r="K45"/>
      <c r="L45"/>
      <c r="M45"/>
      <c r="N45"/>
      <c r="O45"/>
      <c r="P45"/>
      <c r="Q45"/>
      <c r="R45"/>
      <c r="S45"/>
      <c r="T45"/>
      <c r="U45"/>
      <c r="V45"/>
    </row>
    <row r="46" spans="1:22" ht="15.75" x14ac:dyDescent="0.3">
      <c r="A46" s="4" t="s">
        <v>45</v>
      </c>
      <c r="C46" s="25">
        <f>+C42*C38</f>
        <v>1150</v>
      </c>
      <c r="F46" s="44"/>
      <c r="G46" s="30"/>
      <c r="H46" s="3"/>
      <c r="J46"/>
      <c r="K46"/>
      <c r="L46"/>
      <c r="M46"/>
      <c r="N46"/>
      <c r="O46"/>
      <c r="P46"/>
      <c r="Q46"/>
      <c r="R46"/>
      <c r="S46"/>
      <c r="T46"/>
      <c r="U46"/>
      <c r="V46"/>
    </row>
    <row r="47" spans="1:22" ht="15.75" x14ac:dyDescent="0.3">
      <c r="A47" s="3"/>
      <c r="B47" s="3"/>
      <c r="C47" s="3"/>
      <c r="D47" s="3"/>
      <c r="E47" s="3"/>
      <c r="H47" s="3"/>
      <c r="J47"/>
      <c r="K47"/>
      <c r="L47"/>
      <c r="M47"/>
      <c r="N47"/>
      <c r="O47"/>
      <c r="P47"/>
      <c r="Q47"/>
      <c r="R47"/>
      <c r="S47"/>
      <c r="T47"/>
      <c r="U47"/>
      <c r="V47"/>
    </row>
    <row r="48" spans="1:22" ht="15.75" x14ac:dyDescent="0.3">
      <c r="A48" s="4" t="s">
        <v>76</v>
      </c>
      <c r="B48" s="21">
        <f>+Desarrollo!B7</f>
        <v>1000</v>
      </c>
      <c r="C48" s="3"/>
      <c r="D48" s="25" t="s">
        <v>46</v>
      </c>
      <c r="E48" s="25" t="s">
        <v>47</v>
      </c>
      <c r="F48" s="25" t="s">
        <v>48</v>
      </c>
      <c r="G48" s="25" t="s">
        <v>49</v>
      </c>
      <c r="H48" s="25" t="s">
        <v>50</v>
      </c>
      <c r="J48"/>
      <c r="K48"/>
      <c r="L48"/>
      <c r="M48"/>
      <c r="N48"/>
      <c r="O48"/>
      <c r="P48"/>
      <c r="Q48"/>
      <c r="R48"/>
      <c r="S48"/>
      <c r="T48"/>
      <c r="U48"/>
      <c r="V48"/>
    </row>
    <row r="49" spans="1:22" ht="15.75" x14ac:dyDescent="0.3">
      <c r="A49" s="52" t="s">
        <v>51</v>
      </c>
      <c r="B49" s="53"/>
      <c r="C49" s="3"/>
      <c r="D49" s="21">
        <v>1</v>
      </c>
      <c r="E49" s="21">
        <v>0</v>
      </c>
      <c r="F49" s="21" t="s">
        <v>89</v>
      </c>
      <c r="G49" s="30">
        <v>7</v>
      </c>
      <c r="H49" s="30">
        <f>+(D49*E49)*G49</f>
        <v>0</v>
      </c>
      <c r="J49"/>
      <c r="K49"/>
      <c r="L49"/>
      <c r="M49"/>
      <c r="N49"/>
      <c r="O49"/>
      <c r="P49"/>
      <c r="Q49"/>
      <c r="R49"/>
      <c r="S49"/>
      <c r="T49"/>
      <c r="U49"/>
      <c r="V49"/>
    </row>
    <row r="50" spans="1:22" ht="15.75" x14ac:dyDescent="0.3">
      <c r="A50" s="53" t="s">
        <v>53</v>
      </c>
      <c r="B50" s="54">
        <f>+E34*C42</f>
        <v>2519.0749999999998</v>
      </c>
      <c r="C50" s="3"/>
      <c r="D50" s="21">
        <v>0</v>
      </c>
      <c r="E50" s="21">
        <v>0</v>
      </c>
      <c r="F50" s="21" t="s">
        <v>90</v>
      </c>
      <c r="G50" s="30">
        <v>250</v>
      </c>
      <c r="H50" s="30">
        <f>+(D50*E50)*G50</f>
        <v>0</v>
      </c>
      <c r="J50"/>
      <c r="K50"/>
      <c r="L50"/>
      <c r="M50"/>
      <c r="N50"/>
      <c r="O50"/>
      <c r="P50"/>
      <c r="Q50"/>
      <c r="R50"/>
      <c r="S50"/>
      <c r="T50"/>
      <c r="U50"/>
      <c r="V50"/>
    </row>
    <row r="51" spans="1:22" ht="15.75" x14ac:dyDescent="0.3">
      <c r="A51" s="53" t="s">
        <v>11</v>
      </c>
      <c r="B51" s="54">
        <f>+H61</f>
        <v>400</v>
      </c>
      <c r="C51" s="3"/>
      <c r="D51" s="21">
        <v>0</v>
      </c>
      <c r="E51" s="21">
        <v>0</v>
      </c>
      <c r="F51" s="21" t="s">
        <v>83</v>
      </c>
      <c r="G51" s="30">
        <v>500</v>
      </c>
      <c r="H51" s="30">
        <f>+G51*E51*D51</f>
        <v>0</v>
      </c>
      <c r="J51"/>
      <c r="K51"/>
      <c r="L51"/>
      <c r="M51"/>
      <c r="N51"/>
      <c r="O51"/>
      <c r="P51"/>
      <c r="Q51"/>
      <c r="R51"/>
      <c r="S51"/>
      <c r="T51"/>
      <c r="U51"/>
      <c r="V51"/>
    </row>
    <row r="52" spans="1:22" ht="15.75" x14ac:dyDescent="0.3">
      <c r="A52" s="53"/>
      <c r="B52" s="54"/>
      <c r="C52" s="3"/>
      <c r="D52" s="21">
        <v>1</v>
      </c>
      <c r="E52" s="21">
        <v>1</v>
      </c>
      <c r="F52" s="21" t="s">
        <v>97</v>
      </c>
      <c r="G52" s="30">
        <v>400</v>
      </c>
      <c r="H52" s="30">
        <f t="shared" ref="H52:H59" si="0">+G52*E52</f>
        <v>400</v>
      </c>
      <c r="I52" s="30">
        <f>+(B72/100)*2</f>
        <v>67.419650000000004</v>
      </c>
      <c r="J52"/>
      <c r="K52"/>
      <c r="L52"/>
      <c r="M52"/>
      <c r="N52"/>
      <c r="O52"/>
      <c r="P52"/>
      <c r="Q52"/>
      <c r="R52"/>
      <c r="S52"/>
      <c r="T52"/>
      <c r="U52"/>
      <c r="V52"/>
    </row>
    <row r="53" spans="1:22" ht="16.5" x14ac:dyDescent="0.3">
      <c r="A53" s="53" t="s">
        <v>25</v>
      </c>
      <c r="B53" s="54">
        <v>0</v>
      </c>
      <c r="C53" s="3"/>
      <c r="D53" s="21">
        <v>1</v>
      </c>
      <c r="E53" s="21">
        <v>0</v>
      </c>
      <c r="F53" s="21" t="s">
        <v>78</v>
      </c>
      <c r="G53" s="30">
        <v>120</v>
      </c>
      <c r="H53" s="30">
        <f t="shared" si="0"/>
        <v>0</v>
      </c>
      <c r="I53" s="55"/>
      <c r="J53"/>
      <c r="K53"/>
      <c r="L53"/>
      <c r="M53"/>
      <c r="N53"/>
      <c r="O53"/>
      <c r="P53"/>
      <c r="Q53"/>
      <c r="R53"/>
      <c r="S53"/>
      <c r="T53"/>
      <c r="U53"/>
      <c r="V53"/>
    </row>
    <row r="54" spans="1:22" ht="15.75" x14ac:dyDescent="0.3">
      <c r="A54" s="56" t="s">
        <v>84</v>
      </c>
      <c r="B54" s="54">
        <v>0</v>
      </c>
      <c r="C54" s="3"/>
      <c r="D54" s="21">
        <v>1</v>
      </c>
      <c r="E54" s="21">
        <v>0</v>
      </c>
      <c r="F54" s="21" t="s">
        <v>79</v>
      </c>
      <c r="G54" s="30">
        <v>120</v>
      </c>
      <c r="H54" s="30">
        <f t="shared" si="0"/>
        <v>0</v>
      </c>
      <c r="J54"/>
      <c r="K54"/>
      <c r="L54"/>
      <c r="M54"/>
      <c r="N54"/>
      <c r="O54"/>
      <c r="P54"/>
      <c r="Q54"/>
      <c r="R54"/>
      <c r="S54"/>
      <c r="T54"/>
      <c r="U54"/>
      <c r="V54"/>
    </row>
    <row r="55" spans="1:22" ht="15.75" x14ac:dyDescent="0.3">
      <c r="A55" s="56" t="s">
        <v>85</v>
      </c>
      <c r="B55" s="54">
        <v>0</v>
      </c>
      <c r="D55" s="21">
        <v>0</v>
      </c>
      <c r="E55" s="21">
        <v>0</v>
      </c>
      <c r="F55" s="21" t="s">
        <v>30</v>
      </c>
      <c r="G55" s="30">
        <v>1.5</v>
      </c>
      <c r="H55" s="30">
        <f t="shared" si="0"/>
        <v>0</v>
      </c>
      <c r="J55"/>
      <c r="K55"/>
      <c r="L55"/>
      <c r="M55"/>
      <c r="N55"/>
      <c r="O55"/>
      <c r="P55"/>
      <c r="Q55"/>
      <c r="R55"/>
      <c r="S55"/>
      <c r="T55"/>
      <c r="U55"/>
      <c r="V55"/>
    </row>
    <row r="56" spans="1:22" ht="15.75" x14ac:dyDescent="0.3">
      <c r="A56" s="56" t="s">
        <v>86</v>
      </c>
      <c r="B56" s="54">
        <v>0</v>
      </c>
      <c r="D56" s="21">
        <v>1</v>
      </c>
      <c r="E56" s="21">
        <v>0</v>
      </c>
      <c r="F56" s="21" t="s">
        <v>54</v>
      </c>
      <c r="G56" s="30">
        <v>1.5</v>
      </c>
      <c r="H56" s="30">
        <f t="shared" si="0"/>
        <v>0</v>
      </c>
      <c r="J56"/>
      <c r="K56"/>
      <c r="L56"/>
      <c r="M56"/>
      <c r="N56"/>
      <c r="O56"/>
      <c r="P56"/>
      <c r="Q56"/>
      <c r="R56"/>
      <c r="S56"/>
      <c r="T56"/>
      <c r="U56"/>
      <c r="V56"/>
    </row>
    <row r="57" spans="1:22" ht="15.75" x14ac:dyDescent="0.3">
      <c r="A57" s="56"/>
      <c r="B57" s="56"/>
      <c r="D57" s="21">
        <v>0</v>
      </c>
      <c r="E57" s="21">
        <v>0</v>
      </c>
      <c r="F57" s="21" t="s">
        <v>55</v>
      </c>
      <c r="G57" s="30">
        <v>1.5</v>
      </c>
      <c r="H57" s="30">
        <f t="shared" si="0"/>
        <v>0</v>
      </c>
      <c r="J57"/>
      <c r="K57"/>
      <c r="L57"/>
      <c r="M57"/>
      <c r="N57"/>
      <c r="O57"/>
      <c r="P57"/>
      <c r="Q57"/>
      <c r="R57"/>
      <c r="S57"/>
      <c r="T57"/>
      <c r="U57"/>
      <c r="V57"/>
    </row>
    <row r="58" spans="1:22" ht="15.75" x14ac:dyDescent="0.3">
      <c r="A58" s="52" t="s">
        <v>57</v>
      </c>
      <c r="B58" s="57">
        <f>SUM(B50:B57)</f>
        <v>2919.0749999999998</v>
      </c>
      <c r="C58" s="3"/>
      <c r="D58" s="21">
        <v>0</v>
      </c>
      <c r="E58" s="21">
        <v>0</v>
      </c>
      <c r="F58" s="3" t="s">
        <v>58</v>
      </c>
      <c r="G58" s="30">
        <v>600</v>
      </c>
      <c r="H58" s="30">
        <f t="shared" si="0"/>
        <v>0</v>
      </c>
      <c r="J58"/>
      <c r="K58"/>
      <c r="L58"/>
      <c r="M58"/>
      <c r="N58"/>
      <c r="O58"/>
      <c r="P58"/>
      <c r="Q58"/>
      <c r="R58"/>
      <c r="S58"/>
      <c r="T58"/>
      <c r="U58"/>
      <c r="V58"/>
    </row>
    <row r="59" spans="1:22" ht="15.75" x14ac:dyDescent="0.3">
      <c r="A59" s="9"/>
      <c r="B59" s="58"/>
      <c r="C59" s="3"/>
      <c r="D59" s="21"/>
      <c r="E59" s="21"/>
      <c r="F59" s="3"/>
      <c r="G59" s="3"/>
      <c r="H59" s="30">
        <f t="shared" si="0"/>
        <v>0</v>
      </c>
      <c r="J59"/>
      <c r="K59"/>
      <c r="L59"/>
      <c r="M59"/>
      <c r="N59"/>
      <c r="O59"/>
      <c r="P59"/>
      <c r="Q59"/>
      <c r="R59"/>
      <c r="S59"/>
      <c r="T59"/>
      <c r="U59"/>
      <c r="V59"/>
    </row>
    <row r="60" spans="1:22" ht="15.75" x14ac:dyDescent="0.3">
      <c r="A60" s="9"/>
      <c r="B60" s="32">
        <f>+B58/B48</f>
        <v>2.9190749999999999</v>
      </c>
      <c r="C60" s="4" t="s">
        <v>60</v>
      </c>
      <c r="D60" s="3"/>
      <c r="E60" s="3"/>
      <c r="F60" s="3"/>
      <c r="G60" s="3"/>
      <c r="J60"/>
      <c r="K60"/>
      <c r="L60"/>
      <c r="M60"/>
      <c r="N60"/>
      <c r="O60"/>
      <c r="P60"/>
      <c r="Q60"/>
      <c r="R60"/>
      <c r="S60"/>
      <c r="T60"/>
      <c r="U60"/>
      <c r="V60"/>
    </row>
    <row r="61" spans="1:22" ht="15.75" x14ac:dyDescent="0.3">
      <c r="A61" s="3"/>
      <c r="B61" s="3"/>
      <c r="D61" s="3"/>
      <c r="E61" s="3"/>
      <c r="F61" s="3"/>
      <c r="G61" s="61" t="s">
        <v>61</v>
      </c>
      <c r="H61" s="30">
        <f>SUM(H49:H60)</f>
        <v>400</v>
      </c>
      <c r="J61"/>
      <c r="K61"/>
      <c r="L61"/>
      <c r="M61"/>
      <c r="N61"/>
      <c r="O61"/>
      <c r="P61"/>
      <c r="Q61"/>
      <c r="R61"/>
      <c r="S61"/>
      <c r="T61"/>
      <c r="U61"/>
      <c r="V61"/>
    </row>
    <row r="62" spans="1:22" ht="15.75" x14ac:dyDescent="0.3">
      <c r="D62" s="3"/>
      <c r="E62" s="3"/>
      <c r="G62" s="5" t="s">
        <v>62</v>
      </c>
      <c r="H62" s="76">
        <v>1.5</v>
      </c>
      <c r="J62"/>
      <c r="K62"/>
      <c r="L62"/>
      <c r="M62"/>
      <c r="N62"/>
      <c r="O62"/>
      <c r="P62"/>
      <c r="Q62"/>
      <c r="R62"/>
      <c r="S62"/>
      <c r="T62"/>
      <c r="U62"/>
      <c r="V62"/>
    </row>
    <row r="63" spans="1:22" ht="15.75" x14ac:dyDescent="0.3">
      <c r="A63" s="4" t="s">
        <v>64</v>
      </c>
      <c r="B63" s="3"/>
      <c r="C63" s="3"/>
      <c r="E63" s="32"/>
      <c r="G63" s="1" t="s">
        <v>65</v>
      </c>
      <c r="H63" s="62">
        <v>1.75</v>
      </c>
      <c r="J63"/>
      <c r="K63"/>
      <c r="L63"/>
      <c r="M63"/>
      <c r="N63"/>
      <c r="O63"/>
      <c r="P63"/>
      <c r="Q63"/>
      <c r="R63"/>
      <c r="S63"/>
      <c r="T63"/>
      <c r="U63"/>
      <c r="V63"/>
    </row>
    <row r="64" spans="1:22" ht="15.75" x14ac:dyDescent="0.3">
      <c r="A64" s="3"/>
      <c r="B64" s="4" t="s">
        <v>67</v>
      </c>
      <c r="C64" s="25" t="s">
        <v>68</v>
      </c>
      <c r="D64" s="3"/>
      <c r="E64" s="3"/>
      <c r="F64" s="3"/>
      <c r="G64" s="1" t="s">
        <v>65</v>
      </c>
      <c r="H64" s="62">
        <v>2</v>
      </c>
      <c r="J64"/>
      <c r="K64"/>
      <c r="L64"/>
      <c r="M64"/>
      <c r="N64"/>
      <c r="O64"/>
      <c r="P64"/>
      <c r="Q64"/>
      <c r="R64"/>
      <c r="S64"/>
      <c r="T64"/>
      <c r="U64"/>
      <c r="V64"/>
    </row>
    <row r="65" spans="1:22" ht="15.75" x14ac:dyDescent="0.3">
      <c r="A65" s="52" t="s">
        <v>70</v>
      </c>
      <c r="B65" s="53"/>
      <c r="C65" s="3"/>
      <c r="D65" s="3"/>
      <c r="E65" s="3"/>
      <c r="F65" s="3"/>
      <c r="G65" s="5" t="s">
        <v>80</v>
      </c>
      <c r="H65" s="62">
        <v>2.5</v>
      </c>
      <c r="J65"/>
      <c r="K65"/>
      <c r="L65"/>
      <c r="M65"/>
      <c r="N65"/>
      <c r="O65"/>
      <c r="P65"/>
      <c r="Q65"/>
      <c r="R65"/>
      <c r="S65"/>
      <c r="T65"/>
      <c r="U65"/>
      <c r="V65"/>
    </row>
    <row r="66" spans="1:22" ht="15.75" x14ac:dyDescent="0.3">
      <c r="A66" s="53" t="s">
        <v>53</v>
      </c>
      <c r="B66" s="54">
        <f>+E35*C42</f>
        <v>2770.9825000000001</v>
      </c>
      <c r="C66" s="63"/>
      <c r="J66"/>
      <c r="K66"/>
      <c r="L66"/>
      <c r="M66"/>
      <c r="N66"/>
      <c r="O66"/>
      <c r="P66"/>
      <c r="Q66"/>
      <c r="R66"/>
      <c r="S66"/>
      <c r="T66"/>
      <c r="U66"/>
      <c r="V66"/>
    </row>
    <row r="67" spans="1:22" ht="15.75" x14ac:dyDescent="0.3">
      <c r="A67" s="53" t="s">
        <v>11</v>
      </c>
      <c r="B67" s="54">
        <f>+H61*H62</f>
        <v>600</v>
      </c>
      <c r="C67" s="63"/>
      <c r="J67"/>
      <c r="K67"/>
      <c r="L67"/>
      <c r="M67"/>
      <c r="N67"/>
      <c r="O67"/>
      <c r="P67"/>
      <c r="Q67"/>
      <c r="R67"/>
      <c r="S67"/>
      <c r="T67"/>
      <c r="U67"/>
      <c r="V67"/>
    </row>
    <row r="68" spans="1:22" ht="15.75" x14ac:dyDescent="0.3">
      <c r="A68" s="53" t="str">
        <f>+A54</f>
        <v>Placas</v>
      </c>
      <c r="B68" s="54">
        <f>+B54*H63</f>
        <v>0</v>
      </c>
      <c r="C68" s="63"/>
      <c r="J68"/>
      <c r="K68"/>
      <c r="L68"/>
      <c r="M68"/>
      <c r="N68"/>
      <c r="O68"/>
      <c r="P68"/>
      <c r="Q68"/>
      <c r="R68"/>
      <c r="S68"/>
      <c r="T68"/>
      <c r="U68"/>
      <c r="V68"/>
    </row>
    <row r="69" spans="1:22" ht="15.75" x14ac:dyDescent="0.3">
      <c r="A69" s="53" t="str">
        <f>+A55</f>
        <v>Mensajeria</v>
      </c>
      <c r="B69" s="54">
        <f>+B55*H62</f>
        <v>0</v>
      </c>
      <c r="C69" s="63"/>
      <c r="F69" s="64" t="s">
        <v>72</v>
      </c>
      <c r="G69" s="32">
        <f>+B60</f>
        <v>2.9190749999999999</v>
      </c>
      <c r="H69" s="65">
        <f>+G69*B48</f>
        <v>2919.0749999999998</v>
      </c>
      <c r="J69"/>
      <c r="K69"/>
      <c r="L69"/>
      <c r="M69"/>
      <c r="N69"/>
      <c r="O69"/>
      <c r="P69"/>
      <c r="Q69"/>
      <c r="R69"/>
      <c r="S69"/>
      <c r="T69"/>
      <c r="U69"/>
      <c r="V69"/>
    </row>
    <row r="70" spans="1:22" ht="15.75" x14ac:dyDescent="0.3">
      <c r="A70" s="53" t="str">
        <f>+A56</f>
        <v>Listón</v>
      </c>
      <c r="B70" s="54">
        <f>+B56*H63</f>
        <v>0</v>
      </c>
      <c r="C70" s="66"/>
      <c r="F70" s="64" t="s">
        <v>74</v>
      </c>
      <c r="G70" s="32">
        <f>+C72</f>
        <v>3.3709825000000002</v>
      </c>
      <c r="H70" s="65">
        <f>+G70*B48</f>
        <v>3370.9825000000001</v>
      </c>
      <c r="J70"/>
      <c r="K70"/>
      <c r="L70"/>
      <c r="M70"/>
      <c r="N70"/>
      <c r="O70"/>
      <c r="P70"/>
      <c r="Q70"/>
      <c r="R70"/>
      <c r="S70"/>
      <c r="T70"/>
      <c r="U70"/>
      <c r="V70"/>
    </row>
    <row r="71" spans="1:22" ht="15.75" x14ac:dyDescent="0.3">
      <c r="A71" s="53"/>
      <c r="B71" s="54"/>
      <c r="C71" s="66"/>
      <c r="F71" s="67" t="s">
        <v>75</v>
      </c>
      <c r="G71" s="68">
        <f>+G70-G69</f>
        <v>0.45190750000000035</v>
      </c>
      <c r="H71" s="65">
        <f>+G71*B48</f>
        <v>451.90750000000037</v>
      </c>
      <c r="J71"/>
      <c r="K71"/>
      <c r="L71"/>
      <c r="M71"/>
      <c r="N71"/>
      <c r="O71"/>
      <c r="P71"/>
      <c r="Q71"/>
      <c r="R71"/>
      <c r="S71"/>
      <c r="T71"/>
      <c r="U71"/>
      <c r="V71"/>
    </row>
    <row r="72" spans="1:22" ht="15.75" x14ac:dyDescent="0.3">
      <c r="A72" s="52" t="s">
        <v>57</v>
      </c>
      <c r="B72" s="57">
        <f>SUM(B65:B71)</f>
        <v>3370.9825000000001</v>
      </c>
      <c r="C72" s="68">
        <f>+B72/B48</f>
        <v>3.3709825000000002</v>
      </c>
      <c r="D72" s="5" t="s">
        <v>178</v>
      </c>
      <c r="J72"/>
      <c r="K72"/>
      <c r="L72"/>
      <c r="M72"/>
      <c r="N72"/>
      <c r="O72"/>
      <c r="P72"/>
      <c r="Q72"/>
      <c r="R72"/>
      <c r="S72"/>
      <c r="T72"/>
      <c r="U72"/>
      <c r="V72"/>
    </row>
    <row r="73" spans="1:22" ht="15.75" x14ac:dyDescent="0.3">
      <c r="J73"/>
      <c r="K73"/>
      <c r="L73"/>
      <c r="M73"/>
      <c r="N73"/>
      <c r="O73"/>
      <c r="P73"/>
      <c r="Q73"/>
      <c r="R73"/>
      <c r="S73"/>
      <c r="T73"/>
      <c r="U73"/>
      <c r="V73"/>
    </row>
    <row r="74" spans="1:22" ht="15.75" x14ac:dyDescent="0.3">
      <c r="J74"/>
      <c r="K74"/>
      <c r="L74"/>
      <c r="M74"/>
      <c r="N74"/>
      <c r="O74"/>
      <c r="P74"/>
      <c r="Q74"/>
      <c r="R74"/>
      <c r="S74"/>
      <c r="T74"/>
      <c r="U74"/>
      <c r="V74"/>
    </row>
    <row r="75" spans="1:22" ht="15.75" x14ac:dyDescent="0.3">
      <c r="A75" s="5"/>
      <c r="J75"/>
      <c r="K75"/>
      <c r="L75"/>
      <c r="M75"/>
      <c r="N75"/>
      <c r="O75"/>
      <c r="P75"/>
      <c r="Q75"/>
      <c r="R75"/>
      <c r="S75"/>
      <c r="T75"/>
      <c r="U75"/>
      <c r="V75"/>
    </row>
    <row r="76" spans="1:22" ht="15.75" x14ac:dyDescent="0.3">
      <c r="B76" s="69"/>
      <c r="C76" s="70"/>
      <c r="J76"/>
      <c r="K76"/>
      <c r="L76"/>
      <c r="M76"/>
      <c r="N76"/>
      <c r="O76"/>
      <c r="P76"/>
      <c r="Q76"/>
      <c r="R76"/>
      <c r="S76"/>
      <c r="T76"/>
      <c r="U76"/>
      <c r="V76"/>
    </row>
    <row r="77" spans="1:22" ht="15.75" x14ac:dyDescent="0.3">
      <c r="J77"/>
      <c r="K77"/>
      <c r="L77"/>
      <c r="M77"/>
      <c r="N77"/>
      <c r="O77"/>
      <c r="P77"/>
      <c r="Q77"/>
      <c r="R77"/>
      <c r="S77"/>
      <c r="T77"/>
      <c r="U77"/>
      <c r="V77"/>
    </row>
    <row r="78" spans="1:22" ht="15.75" x14ac:dyDescent="0.3">
      <c r="J78"/>
      <c r="K78"/>
      <c r="L78"/>
      <c r="M78"/>
      <c r="N78"/>
      <c r="O78"/>
      <c r="P78"/>
      <c r="Q78"/>
      <c r="R78"/>
      <c r="S78"/>
      <c r="T78"/>
      <c r="U78"/>
      <c r="V78"/>
    </row>
    <row r="79" spans="1:22" ht="15.75" x14ac:dyDescent="0.3">
      <c r="J79"/>
      <c r="K79"/>
      <c r="L79"/>
      <c r="M79"/>
      <c r="N79"/>
      <c r="O79"/>
      <c r="P79"/>
      <c r="Q79"/>
      <c r="R79"/>
      <c r="S79"/>
      <c r="T79"/>
      <c r="U79"/>
      <c r="V79"/>
    </row>
    <row r="80" spans="1:22" ht="15.75" x14ac:dyDescent="0.3">
      <c r="J80"/>
      <c r="K80"/>
      <c r="L80"/>
      <c r="M80"/>
      <c r="N80"/>
      <c r="O80"/>
      <c r="P80"/>
      <c r="Q80"/>
      <c r="R80"/>
      <c r="S80"/>
      <c r="T80"/>
      <c r="U80"/>
      <c r="V80"/>
    </row>
    <row r="81" spans="10:22" ht="15.75" x14ac:dyDescent="0.3">
      <c r="J81"/>
      <c r="K81"/>
      <c r="L81"/>
      <c r="M81"/>
      <c r="N81"/>
      <c r="O81"/>
      <c r="P81"/>
      <c r="Q81"/>
      <c r="R81"/>
      <c r="S81"/>
      <c r="T81"/>
      <c r="U81"/>
      <c r="V81"/>
    </row>
    <row r="82" spans="10:22" ht="15.75" x14ac:dyDescent="0.3">
      <c r="J82"/>
      <c r="K82"/>
      <c r="L82"/>
      <c r="M82"/>
      <c r="N82"/>
      <c r="O82"/>
      <c r="P82"/>
      <c r="Q82"/>
      <c r="R82"/>
      <c r="S82"/>
      <c r="T82"/>
      <c r="U82"/>
      <c r="V82"/>
    </row>
    <row r="83" spans="10:22" ht="15.75" x14ac:dyDescent="0.3">
      <c r="J83"/>
      <c r="K83"/>
      <c r="L83"/>
      <c r="M83"/>
      <c r="N83"/>
      <c r="O83"/>
      <c r="P83"/>
      <c r="Q83"/>
      <c r="R83"/>
      <c r="S83"/>
      <c r="T83"/>
      <c r="U83"/>
      <c r="V83"/>
    </row>
    <row r="86" spans="10:22" ht="16.5" x14ac:dyDescent="0.3">
      <c r="J86" s="55"/>
      <c r="K86" s="55"/>
      <c r="L86" s="55"/>
      <c r="M86" s="55"/>
      <c r="N86" s="55"/>
      <c r="O86" s="55"/>
      <c r="P86" s="55"/>
      <c r="Q86" s="55"/>
      <c r="R86" s="55"/>
    </row>
    <row r="87" spans="10:22" ht="16.5" x14ac:dyDescent="0.3">
      <c r="J87" s="55"/>
      <c r="K87" s="55"/>
      <c r="L87" s="55"/>
      <c r="M87" s="55"/>
      <c r="N87" s="55"/>
      <c r="O87" s="55"/>
      <c r="P87" s="55"/>
      <c r="Q87" s="55"/>
      <c r="R87" s="55"/>
    </row>
    <row r="88" spans="10:22" ht="16.5" x14ac:dyDescent="0.3">
      <c r="J88" s="55"/>
      <c r="K88" s="55"/>
      <c r="L88" s="55"/>
      <c r="M88" s="55"/>
      <c r="N88" s="55"/>
      <c r="O88" s="55"/>
      <c r="P88" s="55"/>
      <c r="Q88" s="55"/>
      <c r="R88" s="55"/>
    </row>
    <row r="89" spans="10:22" ht="16.5" x14ac:dyDescent="0.3">
      <c r="J89" s="55"/>
      <c r="K89" s="55"/>
      <c r="L89" s="55"/>
      <c r="M89" s="55"/>
      <c r="N89" s="55"/>
      <c r="O89" s="55"/>
      <c r="P89" s="55"/>
      <c r="Q89" s="55"/>
      <c r="R89" s="55"/>
    </row>
    <row r="90" spans="10:22" ht="16.5" x14ac:dyDescent="0.3">
      <c r="J90" s="55"/>
      <c r="K90" s="55"/>
      <c r="L90" s="55"/>
      <c r="M90" s="55"/>
      <c r="N90" s="55"/>
      <c r="O90" s="55"/>
      <c r="P90" s="55"/>
      <c r="Q90" s="55"/>
      <c r="R90" s="55"/>
    </row>
    <row r="91" spans="10:22" ht="16.5" x14ac:dyDescent="0.3">
      <c r="J91" s="55"/>
      <c r="K91" s="55"/>
      <c r="L91" s="55"/>
      <c r="M91" s="55"/>
      <c r="N91" s="55"/>
      <c r="O91" s="55"/>
      <c r="P91" s="55"/>
      <c r="Q91" s="55"/>
      <c r="R91" s="55"/>
    </row>
    <row r="92" spans="10:22" ht="16.5" x14ac:dyDescent="0.3">
      <c r="J92" s="55"/>
      <c r="K92" s="55"/>
      <c r="L92" s="55"/>
      <c r="M92" s="55"/>
      <c r="N92" s="55"/>
      <c r="O92" s="55"/>
      <c r="P92" s="55"/>
      <c r="Q92" s="55"/>
      <c r="R92" s="55"/>
    </row>
    <row r="93" spans="10:22" ht="16.5" x14ac:dyDescent="0.3">
      <c r="J93" s="55"/>
      <c r="K93" s="55"/>
      <c r="L93" s="55"/>
      <c r="M93" s="55"/>
      <c r="N93" s="55"/>
      <c r="O93" s="55"/>
      <c r="P93" s="55"/>
      <c r="Q93" s="55"/>
      <c r="R93" s="55"/>
    </row>
    <row r="94" spans="10:22" ht="16.5" x14ac:dyDescent="0.3">
      <c r="J94" s="55"/>
      <c r="K94" s="55"/>
      <c r="L94" s="55"/>
      <c r="M94" s="55"/>
      <c r="N94" s="55"/>
      <c r="O94" s="55"/>
      <c r="P94" s="55"/>
      <c r="Q94" s="55"/>
      <c r="R94" s="55"/>
    </row>
    <row r="95" spans="10:22" ht="16.5" x14ac:dyDescent="0.3">
      <c r="J95" s="55"/>
      <c r="K95" s="55"/>
      <c r="L95" s="55"/>
      <c r="M95" s="55"/>
      <c r="N95" s="55"/>
      <c r="O95" s="55"/>
      <c r="P95" s="55"/>
      <c r="Q95" s="55"/>
      <c r="R95" s="55"/>
    </row>
  </sheetData>
  <pageMargins left="0.70866141732283472" right="0.70866141732283472" top="0.74803149606299213" bottom="0.74803149606299213" header="0.31496062992125984" footer="0.31496062992125984"/>
  <pageSetup scale="61" orientation="portrait" r:id="rId1"/>
  <headerFooter>
    <oddFooter>&amp;R&amp;A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pageSetUpPr fitToPage="1"/>
  </sheetPr>
  <dimension ref="A1:W85"/>
  <sheetViews>
    <sheetView topLeftCell="A29" zoomScale="85" zoomScaleNormal="85" workbookViewId="0">
      <selection activeCell="E36" sqref="E36"/>
    </sheetView>
  </sheetViews>
  <sheetFormatPr baseColWidth="10" defaultRowHeight="14.25" x14ac:dyDescent="0.3"/>
  <cols>
    <col min="1" max="1" width="11.42578125" style="1"/>
    <col min="2" max="2" width="13.42578125" style="1" bestFit="1" customWidth="1"/>
    <col min="3" max="3" width="11.5703125" style="1" bestFit="1" customWidth="1"/>
    <col min="4" max="4" width="9.7109375" style="1" customWidth="1"/>
    <col min="5" max="5" width="14.28515625" style="1" customWidth="1"/>
    <col min="6" max="6" width="12.5703125" style="1" customWidth="1"/>
    <col min="7" max="7" width="13.42578125" style="1" customWidth="1"/>
    <col min="8" max="8" width="12.7109375" style="1" customWidth="1"/>
    <col min="9" max="9" width="12.42578125" style="1" customWidth="1"/>
    <col min="10" max="10" width="11.42578125" style="1"/>
    <col min="11" max="11" width="15.85546875" style="1" customWidth="1"/>
    <col min="12" max="12" width="11.42578125" style="1"/>
    <col min="13" max="13" width="14.140625" style="1" customWidth="1"/>
    <col min="14" max="16384" width="11.42578125" style="1"/>
  </cols>
  <sheetData>
    <row r="1" spans="1:21" ht="15.75" x14ac:dyDescent="0.3">
      <c r="J1"/>
      <c r="K1"/>
      <c r="L1"/>
      <c r="M1"/>
      <c r="N1"/>
      <c r="O1"/>
      <c r="P1"/>
      <c r="Q1"/>
      <c r="R1"/>
    </row>
    <row r="2" spans="1:21" ht="15.75" x14ac:dyDescent="0.3">
      <c r="J2"/>
      <c r="K2"/>
      <c r="L2"/>
      <c r="M2"/>
      <c r="N2"/>
      <c r="O2"/>
      <c r="P2"/>
      <c r="Q2"/>
      <c r="R2"/>
    </row>
    <row r="3" spans="1:21" ht="15.75" x14ac:dyDescent="0.3">
      <c r="J3"/>
      <c r="K3"/>
      <c r="L3"/>
      <c r="M3"/>
      <c r="N3"/>
      <c r="O3"/>
      <c r="P3"/>
      <c r="Q3"/>
      <c r="R3"/>
      <c r="S3" s="3"/>
      <c r="T3" s="3"/>
      <c r="U3" s="3"/>
    </row>
    <row r="4" spans="1:21" ht="15.75" x14ac:dyDescent="0.3">
      <c r="J4"/>
      <c r="K4"/>
      <c r="L4"/>
      <c r="M4"/>
      <c r="N4"/>
      <c r="O4"/>
      <c r="P4"/>
      <c r="Q4"/>
      <c r="R4"/>
    </row>
    <row r="5" spans="1:21" ht="15.75" x14ac:dyDescent="0.3">
      <c r="A5" s="5"/>
      <c r="J5"/>
      <c r="K5"/>
      <c r="L5"/>
      <c r="M5"/>
      <c r="N5"/>
      <c r="O5"/>
      <c r="P5"/>
      <c r="Q5"/>
      <c r="R5"/>
    </row>
    <row r="6" spans="1:21" ht="18.75" x14ac:dyDescent="0.3">
      <c r="A6" s="2" t="s">
        <v>2</v>
      </c>
      <c r="E6" s="5" t="s">
        <v>3</v>
      </c>
      <c r="F6" s="1" t="s">
        <v>4</v>
      </c>
      <c r="J6"/>
      <c r="K6"/>
      <c r="L6"/>
      <c r="M6"/>
      <c r="N6"/>
      <c r="O6"/>
      <c r="P6"/>
      <c r="Q6"/>
      <c r="R6"/>
    </row>
    <row r="7" spans="1:21" ht="15.75" x14ac:dyDescent="0.3">
      <c r="J7"/>
      <c r="K7"/>
      <c r="L7"/>
      <c r="M7"/>
      <c r="N7"/>
      <c r="O7"/>
      <c r="P7"/>
      <c r="Q7"/>
      <c r="R7"/>
    </row>
    <row r="8" spans="1:21" ht="15.75" x14ac:dyDescent="0.3">
      <c r="J8"/>
      <c r="K8"/>
      <c r="L8"/>
      <c r="M8"/>
      <c r="N8"/>
      <c r="O8"/>
      <c r="P8"/>
      <c r="Q8"/>
      <c r="R8"/>
    </row>
    <row r="9" spans="1:21" s="5" customFormat="1" ht="15.75" x14ac:dyDescent="0.3">
      <c r="A9" s="5" t="s">
        <v>6</v>
      </c>
      <c r="C9" s="5" t="str">
        <f>+'cartón caja'!C9</f>
        <v>25 de septiembre de 2017.</v>
      </c>
      <c r="H9" s="5" t="s">
        <v>7</v>
      </c>
      <c r="J9"/>
      <c r="K9"/>
      <c r="L9"/>
      <c r="M9"/>
      <c r="N9"/>
      <c r="O9"/>
      <c r="P9"/>
      <c r="Q9"/>
      <c r="R9"/>
      <c r="S9" s="1"/>
      <c r="T9" s="1"/>
      <c r="U9" s="1"/>
    </row>
    <row r="10" spans="1:21" ht="15.75" x14ac:dyDescent="0.3">
      <c r="J10"/>
      <c r="K10"/>
      <c r="L10"/>
      <c r="M10"/>
      <c r="N10"/>
      <c r="O10"/>
      <c r="P10"/>
      <c r="Q10"/>
      <c r="R10"/>
    </row>
    <row r="11" spans="1:21" ht="16.5" thickBot="1" x14ac:dyDescent="0.35">
      <c r="A11" s="5" t="s">
        <v>8</v>
      </c>
      <c r="C11" s="1" t="str">
        <f>+'cartón caja'!C11</f>
        <v>Monex</v>
      </c>
      <c r="F11" s="5" t="s">
        <v>0</v>
      </c>
      <c r="J11"/>
      <c r="K11"/>
      <c r="L11"/>
      <c r="M11"/>
      <c r="N11"/>
      <c r="O11"/>
      <c r="P11"/>
      <c r="Q11"/>
      <c r="R11"/>
    </row>
    <row r="12" spans="1:21" ht="15.75" x14ac:dyDescent="0.3">
      <c r="A12" s="5"/>
      <c r="F12" s="11"/>
      <c r="G12" s="12"/>
      <c r="H12" s="13"/>
      <c r="J12"/>
      <c r="K12"/>
      <c r="L12"/>
      <c r="M12"/>
      <c r="N12"/>
      <c r="O12"/>
      <c r="P12"/>
      <c r="Q12"/>
      <c r="R12"/>
    </row>
    <row r="13" spans="1:21" ht="15.75" x14ac:dyDescent="0.3">
      <c r="A13" s="5" t="s">
        <v>9</v>
      </c>
      <c r="C13" s="1">
        <f>+'cartón caja'!C13</f>
        <v>0</v>
      </c>
      <c r="F13" s="6"/>
      <c r="G13" s="7"/>
      <c r="H13" s="8"/>
      <c r="J13"/>
      <c r="K13"/>
      <c r="L13"/>
      <c r="M13"/>
      <c r="N13"/>
      <c r="O13"/>
      <c r="P13"/>
      <c r="Q13"/>
      <c r="R13"/>
    </row>
    <row r="14" spans="1:21" ht="15.75" x14ac:dyDescent="0.3">
      <c r="A14" s="5"/>
      <c r="F14" s="6"/>
      <c r="G14" s="7"/>
      <c r="H14" s="8"/>
      <c r="J14"/>
      <c r="K14"/>
      <c r="L14"/>
      <c r="M14"/>
      <c r="N14"/>
      <c r="O14"/>
      <c r="P14"/>
      <c r="Q14"/>
      <c r="R14"/>
    </row>
    <row r="15" spans="1:21" ht="15.75" x14ac:dyDescent="0.3">
      <c r="A15" s="5" t="s">
        <v>10</v>
      </c>
      <c r="C15" s="19" t="s">
        <v>168</v>
      </c>
      <c r="D15" s="18"/>
      <c r="E15" s="18"/>
      <c r="F15" s="72" t="s">
        <v>5</v>
      </c>
      <c r="G15" s="7"/>
      <c r="H15" s="8"/>
      <c r="J15"/>
      <c r="K15"/>
      <c r="L15"/>
      <c r="M15"/>
      <c r="N15"/>
      <c r="O15"/>
      <c r="P15"/>
      <c r="Q15"/>
      <c r="R15"/>
    </row>
    <row r="16" spans="1:21" ht="15.75" x14ac:dyDescent="0.3">
      <c r="C16" s="17" t="s">
        <v>169</v>
      </c>
      <c r="D16" s="18"/>
      <c r="E16" s="18"/>
      <c r="F16" s="46">
        <v>61</v>
      </c>
      <c r="G16" s="73" t="s">
        <v>81</v>
      </c>
      <c r="H16" s="74">
        <v>90</v>
      </c>
      <c r="J16"/>
      <c r="K16"/>
      <c r="L16"/>
      <c r="M16"/>
      <c r="N16"/>
      <c r="O16"/>
      <c r="P16"/>
      <c r="Q16"/>
      <c r="R16"/>
    </row>
    <row r="17" spans="1:19" ht="15.75" x14ac:dyDescent="0.3">
      <c r="C17" s="17" t="s">
        <v>162</v>
      </c>
      <c r="D17" s="18"/>
      <c r="E17" s="18"/>
      <c r="F17" s="72">
        <v>8</v>
      </c>
      <c r="G17" s="75" t="s">
        <v>82</v>
      </c>
      <c r="H17" s="8"/>
      <c r="J17"/>
      <c r="K17"/>
      <c r="L17"/>
      <c r="M17"/>
      <c r="N17"/>
      <c r="O17"/>
      <c r="P17"/>
      <c r="Q17"/>
      <c r="R17"/>
    </row>
    <row r="18" spans="1:19" ht="15.75" x14ac:dyDescent="0.3">
      <c r="C18" s="17" t="s">
        <v>149</v>
      </c>
      <c r="D18" s="18"/>
      <c r="E18" s="18"/>
      <c r="F18" s="6"/>
      <c r="G18" s="7"/>
      <c r="H18" s="8"/>
      <c r="J18"/>
      <c r="K18"/>
      <c r="L18"/>
      <c r="M18"/>
      <c r="N18"/>
      <c r="O18"/>
      <c r="P18"/>
      <c r="Q18"/>
      <c r="R18"/>
    </row>
    <row r="19" spans="1:19" ht="15.75" x14ac:dyDescent="0.3">
      <c r="C19" s="17" t="s">
        <v>163</v>
      </c>
      <c r="D19" s="18"/>
      <c r="E19" s="18"/>
      <c r="F19" s="6"/>
      <c r="G19" s="7"/>
      <c r="H19" s="8"/>
      <c r="J19"/>
      <c r="K19"/>
      <c r="L19"/>
      <c r="M19"/>
      <c r="N19"/>
      <c r="O19"/>
      <c r="P19"/>
      <c r="Q19"/>
      <c r="R19"/>
    </row>
    <row r="20" spans="1:19" ht="15.75" x14ac:dyDescent="0.3">
      <c r="C20" s="18" t="s">
        <v>171</v>
      </c>
      <c r="D20" s="18"/>
      <c r="E20" s="18"/>
      <c r="F20" s="46">
        <v>21.5</v>
      </c>
      <c r="G20" s="73" t="s">
        <v>81</v>
      </c>
      <c r="H20" s="74">
        <v>14</v>
      </c>
      <c r="J20"/>
      <c r="K20"/>
      <c r="L20"/>
      <c r="M20"/>
      <c r="N20"/>
      <c r="O20"/>
      <c r="P20"/>
      <c r="Q20"/>
      <c r="R20"/>
    </row>
    <row r="21" spans="1:19" ht="15.75" x14ac:dyDescent="0.3">
      <c r="C21" s="18" t="s">
        <v>170</v>
      </c>
      <c r="D21" s="18"/>
      <c r="E21" s="18"/>
      <c r="F21" s="6"/>
      <c r="G21" s="7"/>
      <c r="H21" s="8"/>
      <c r="J21"/>
      <c r="K21"/>
      <c r="L21"/>
      <c r="M21"/>
      <c r="N21"/>
      <c r="O21"/>
      <c r="P21"/>
      <c r="Q21"/>
      <c r="R21"/>
    </row>
    <row r="22" spans="1:19" ht="15.75" x14ac:dyDescent="0.3">
      <c r="C22" s="18" t="s">
        <v>161</v>
      </c>
      <c r="D22" s="18"/>
      <c r="E22" s="18"/>
      <c r="F22" s="6"/>
      <c r="G22" s="7"/>
      <c r="H22" s="8"/>
      <c r="J22"/>
      <c r="K22"/>
      <c r="L22"/>
      <c r="M22"/>
      <c r="N22"/>
      <c r="O22"/>
      <c r="P22"/>
      <c r="Q22"/>
      <c r="R22"/>
    </row>
    <row r="23" spans="1:19" ht="16.5" thickBot="1" x14ac:dyDescent="0.35">
      <c r="C23" s="18"/>
      <c r="D23" s="18"/>
      <c r="E23" s="18"/>
      <c r="F23" s="14"/>
      <c r="G23" s="15"/>
      <c r="H23" s="16"/>
      <c r="J23"/>
      <c r="K23"/>
      <c r="L23"/>
      <c r="M23"/>
      <c r="N23"/>
      <c r="O23"/>
      <c r="P23"/>
      <c r="Q23"/>
      <c r="R23"/>
    </row>
    <row r="24" spans="1:19" ht="15.75" x14ac:dyDescent="0.3">
      <c r="A24" s="4" t="s">
        <v>12</v>
      </c>
      <c r="C24" s="78" t="s">
        <v>142</v>
      </c>
      <c r="D24" s="5" t="s">
        <v>13</v>
      </c>
      <c r="E24" s="22" t="s">
        <v>172</v>
      </c>
      <c r="F24" s="1" t="s">
        <v>173</v>
      </c>
      <c r="J24"/>
      <c r="K24"/>
      <c r="L24"/>
      <c r="M24"/>
      <c r="N24"/>
      <c r="O24"/>
      <c r="P24"/>
      <c r="Q24"/>
      <c r="R24"/>
    </row>
    <row r="25" spans="1:19" ht="15.75" x14ac:dyDescent="0.3">
      <c r="J25"/>
      <c r="K25"/>
      <c r="L25"/>
      <c r="M25"/>
      <c r="N25"/>
      <c r="O25"/>
      <c r="P25"/>
      <c r="Q25"/>
      <c r="R25"/>
    </row>
    <row r="26" spans="1:19" ht="15.75" x14ac:dyDescent="0.3">
      <c r="A26" s="4" t="s">
        <v>14</v>
      </c>
      <c r="C26" s="23">
        <v>61</v>
      </c>
      <c r="D26" s="22" t="s">
        <v>15</v>
      </c>
      <c r="E26" s="24">
        <v>90</v>
      </c>
      <c r="F26" s="25">
        <f>+C26</f>
        <v>61</v>
      </c>
      <c r="G26" s="26" t="s">
        <v>15</v>
      </c>
      <c r="H26" s="26">
        <f>+E26</f>
        <v>90</v>
      </c>
      <c r="J26"/>
      <c r="K26"/>
      <c r="L26"/>
      <c r="M26"/>
      <c r="N26"/>
      <c r="O26"/>
      <c r="P26"/>
      <c r="Q26"/>
      <c r="R26"/>
    </row>
    <row r="27" spans="1:19" ht="15.75" x14ac:dyDescent="0.3">
      <c r="A27" s="4" t="s">
        <v>16</v>
      </c>
      <c r="B27" s="3"/>
      <c r="C27" s="27">
        <f>+F16</f>
        <v>61</v>
      </c>
      <c r="D27" s="28" t="s">
        <v>15</v>
      </c>
      <c r="E27" s="27">
        <f>+H16</f>
        <v>90</v>
      </c>
      <c r="F27" s="29">
        <f>+E27</f>
        <v>90</v>
      </c>
      <c r="G27" s="29" t="s">
        <v>15</v>
      </c>
      <c r="H27" s="29">
        <f>+C27</f>
        <v>61</v>
      </c>
      <c r="I27" s="30"/>
      <c r="J27"/>
      <c r="K27"/>
      <c r="L27"/>
      <c r="M27"/>
      <c r="N27"/>
      <c r="O27"/>
      <c r="P27"/>
      <c r="Q27"/>
      <c r="R27"/>
    </row>
    <row r="28" spans="1:19" ht="16.5" thickBot="1" x14ac:dyDescent="0.35">
      <c r="A28" s="3" t="s">
        <v>17</v>
      </c>
      <c r="B28" s="31"/>
      <c r="C28" s="32">
        <f>+C26/C27</f>
        <v>1</v>
      </c>
      <c r="D28" s="33"/>
      <c r="E28" s="32">
        <f>+E26/E27</f>
        <v>1</v>
      </c>
      <c r="F28" s="32">
        <f>+F26/F27</f>
        <v>0.67777777777777781</v>
      </c>
      <c r="G28" s="33"/>
      <c r="H28" s="32">
        <f>+H26/H27</f>
        <v>1.4754098360655739</v>
      </c>
      <c r="I28" s="30"/>
      <c r="J28"/>
      <c r="K28"/>
      <c r="L28"/>
      <c r="M28"/>
      <c r="N28"/>
      <c r="O28"/>
      <c r="P28"/>
      <c r="Q28"/>
      <c r="R28"/>
    </row>
    <row r="29" spans="1:19" ht="16.5" thickBot="1" x14ac:dyDescent="0.35">
      <c r="A29" s="3" t="s">
        <v>18</v>
      </c>
      <c r="B29" s="34"/>
      <c r="C29" s="35"/>
      <c r="D29" s="36">
        <v>1</v>
      </c>
      <c r="E29" s="37"/>
      <c r="F29" s="38"/>
      <c r="G29" s="39">
        <v>0</v>
      </c>
      <c r="H29" s="40" t="s">
        <v>19</v>
      </c>
      <c r="J29"/>
      <c r="K29"/>
      <c r="L29"/>
      <c r="M29"/>
      <c r="N29"/>
      <c r="O29"/>
      <c r="P29"/>
      <c r="Q29"/>
      <c r="R29"/>
    </row>
    <row r="30" spans="1:19" ht="15.75" x14ac:dyDescent="0.3">
      <c r="A30" s="3"/>
      <c r="B30" s="21"/>
      <c r="C30" s="30"/>
      <c r="G30" s="41"/>
      <c r="H30" s="30"/>
      <c r="J30"/>
      <c r="K30"/>
      <c r="L30"/>
      <c r="M30"/>
      <c r="N30"/>
      <c r="O30"/>
      <c r="P30"/>
      <c r="Q30"/>
      <c r="R30"/>
    </row>
    <row r="31" spans="1:19" ht="15.75" x14ac:dyDescent="0.3">
      <c r="A31" s="25" t="s">
        <v>20</v>
      </c>
      <c r="B31" s="25" t="s">
        <v>88</v>
      </c>
      <c r="D31" s="41" t="s">
        <v>21</v>
      </c>
      <c r="E31" s="42">
        <f>+F31/1000</f>
        <v>2.0379999999999998</v>
      </c>
      <c r="F31" s="133">
        <v>2038</v>
      </c>
      <c r="G31" s="1" t="s">
        <v>22</v>
      </c>
      <c r="H31" s="43">
        <v>0.5</v>
      </c>
      <c r="J31"/>
      <c r="K31"/>
      <c r="L31"/>
      <c r="M31"/>
      <c r="N31"/>
      <c r="O31"/>
      <c r="P31"/>
      <c r="Q31"/>
      <c r="R31"/>
      <c r="S31"/>
    </row>
    <row r="32" spans="1:19" ht="15.75" x14ac:dyDescent="0.3">
      <c r="A32" s="3"/>
      <c r="B32" s="3"/>
      <c r="C32" s="3"/>
      <c r="D32" s="44" t="s">
        <v>23</v>
      </c>
      <c r="E32" s="42">
        <f>+H31*E31</f>
        <v>1.0189999999999999</v>
      </c>
      <c r="H32" s="43"/>
      <c r="I32" s="30"/>
      <c r="J32"/>
      <c r="K32"/>
      <c r="L32"/>
      <c r="M32"/>
      <c r="N32"/>
      <c r="O32"/>
      <c r="P32"/>
      <c r="Q32"/>
      <c r="R32"/>
      <c r="S32"/>
    </row>
    <row r="33" spans="1:19" ht="15.75" x14ac:dyDescent="0.3">
      <c r="D33" s="44" t="s">
        <v>24</v>
      </c>
      <c r="E33" s="45">
        <f>+E31-E32</f>
        <v>1.0189999999999999</v>
      </c>
      <c r="I33" s="30"/>
      <c r="J33"/>
      <c r="K33"/>
      <c r="L33"/>
      <c r="M33"/>
      <c r="N33"/>
      <c r="O33"/>
      <c r="P33"/>
      <c r="Q33"/>
      <c r="R33"/>
      <c r="S33"/>
    </row>
    <row r="34" spans="1:19" ht="15.75" x14ac:dyDescent="0.3">
      <c r="E34" s="21" t="s">
        <v>26</v>
      </c>
      <c r="F34" s="21" t="s">
        <v>27</v>
      </c>
      <c r="G34" s="21" t="s">
        <v>27</v>
      </c>
      <c r="H34" s="21" t="s">
        <v>27</v>
      </c>
      <c r="I34" s="30"/>
      <c r="J34"/>
      <c r="K34"/>
      <c r="L34"/>
      <c r="M34"/>
      <c r="N34"/>
      <c r="O34"/>
      <c r="P34"/>
      <c r="Q34"/>
      <c r="R34"/>
      <c r="S34"/>
    </row>
    <row r="35" spans="1:19" ht="15.75" x14ac:dyDescent="0.3">
      <c r="D35" s="41" t="s">
        <v>28</v>
      </c>
      <c r="E35" s="47">
        <f>+E33</f>
        <v>1.0189999999999999</v>
      </c>
      <c r="F35" s="47">
        <v>0</v>
      </c>
      <c r="G35" s="47">
        <v>0</v>
      </c>
      <c r="H35" s="47">
        <v>0</v>
      </c>
      <c r="J35"/>
      <c r="K35"/>
      <c r="L35"/>
      <c r="M35"/>
      <c r="N35"/>
      <c r="O35"/>
      <c r="P35"/>
      <c r="Q35"/>
      <c r="R35"/>
      <c r="S35"/>
    </row>
    <row r="36" spans="1:19" ht="15.75" x14ac:dyDescent="0.3">
      <c r="D36" s="41" t="s">
        <v>29</v>
      </c>
      <c r="E36" s="47">
        <f>+E35*1.1</f>
        <v>1.1209</v>
      </c>
      <c r="F36" s="47">
        <v>0</v>
      </c>
      <c r="G36" s="47">
        <v>0</v>
      </c>
      <c r="H36" s="47">
        <v>0</v>
      </c>
      <c r="J36"/>
      <c r="K36"/>
      <c r="L36"/>
      <c r="M36"/>
      <c r="N36"/>
      <c r="O36"/>
      <c r="P36"/>
      <c r="Q36"/>
      <c r="R36"/>
      <c r="S36"/>
    </row>
    <row r="37" spans="1:19" ht="16.5" thickBot="1" x14ac:dyDescent="0.35">
      <c r="A37" s="3"/>
      <c r="G37" s="41"/>
      <c r="J37"/>
      <c r="K37"/>
      <c r="L37"/>
      <c r="M37"/>
      <c r="N37"/>
      <c r="O37"/>
      <c r="P37"/>
      <c r="Q37"/>
      <c r="R37"/>
      <c r="S37"/>
    </row>
    <row r="38" spans="1:19" ht="15.75" x14ac:dyDescent="0.3">
      <c r="A38" s="3"/>
      <c r="B38" s="21"/>
      <c r="C38" s="30"/>
      <c r="E38" s="11" t="s">
        <v>31</v>
      </c>
      <c r="F38" s="12" t="s">
        <v>32</v>
      </c>
      <c r="G38" s="12"/>
      <c r="H38" s="13"/>
      <c r="J38"/>
      <c r="K38"/>
      <c r="L38"/>
      <c r="M38"/>
      <c r="N38"/>
      <c r="O38"/>
      <c r="P38"/>
      <c r="Q38"/>
      <c r="R38"/>
      <c r="S38"/>
    </row>
    <row r="39" spans="1:19" ht="16.5" thickBot="1" x14ac:dyDescent="0.35">
      <c r="A39" s="4" t="s">
        <v>33</v>
      </c>
      <c r="C39" s="48">
        <v>1</v>
      </c>
      <c r="D39" s="49" t="s">
        <v>34</v>
      </c>
      <c r="E39" s="14"/>
      <c r="F39" s="15" t="s">
        <v>35</v>
      </c>
      <c r="G39" s="15"/>
      <c r="H39" s="16"/>
      <c r="J39"/>
      <c r="K39"/>
      <c r="L39"/>
      <c r="M39"/>
      <c r="N39"/>
      <c r="O39"/>
      <c r="P39"/>
      <c r="Q39"/>
      <c r="R39"/>
      <c r="S39"/>
    </row>
    <row r="40" spans="1:19" ht="15.75" x14ac:dyDescent="0.3">
      <c r="A40" s="4"/>
      <c r="C40" s="21"/>
      <c r="D40" s="1" t="s">
        <v>36</v>
      </c>
      <c r="E40" s="3"/>
      <c r="F40" s="3"/>
      <c r="J40"/>
      <c r="K40"/>
      <c r="L40"/>
      <c r="M40"/>
      <c r="N40"/>
      <c r="O40"/>
      <c r="P40"/>
      <c r="Q40"/>
      <c r="R40"/>
      <c r="S40"/>
    </row>
    <row r="41" spans="1:19" ht="15.75" x14ac:dyDescent="0.3">
      <c r="A41" s="4" t="s">
        <v>37</v>
      </c>
      <c r="B41" s="5"/>
      <c r="C41" s="50">
        <f>+B49/F17</f>
        <v>13750.000000000002</v>
      </c>
      <c r="D41" s="24">
        <v>1000</v>
      </c>
      <c r="F41" s="44" t="s">
        <v>38</v>
      </c>
      <c r="G41" s="23">
        <v>1</v>
      </c>
      <c r="H41" s="3"/>
      <c r="J41"/>
      <c r="K41"/>
      <c r="L41"/>
      <c r="M41"/>
      <c r="N41"/>
      <c r="O41"/>
      <c r="P41"/>
      <c r="Q41"/>
      <c r="R41"/>
      <c r="S41"/>
    </row>
    <row r="42" spans="1:19" ht="15.75" x14ac:dyDescent="0.3">
      <c r="A42" s="4" t="s">
        <v>39</v>
      </c>
      <c r="C42" s="34">
        <f>+C41+D41</f>
        <v>14750.000000000002</v>
      </c>
      <c r="F42" s="44" t="s">
        <v>40</v>
      </c>
      <c r="G42" s="23">
        <v>2</v>
      </c>
      <c r="H42" s="3"/>
      <c r="J42"/>
      <c r="K42"/>
      <c r="L42"/>
      <c r="M42"/>
      <c r="N42"/>
      <c r="O42"/>
      <c r="P42"/>
      <c r="Q42"/>
      <c r="R42"/>
      <c r="S42"/>
    </row>
    <row r="43" spans="1:19" ht="15.75" x14ac:dyDescent="0.3">
      <c r="A43" s="4" t="s">
        <v>41</v>
      </c>
      <c r="C43" s="34">
        <f>+C42/C39</f>
        <v>14750.000000000002</v>
      </c>
      <c r="F43" s="44" t="s">
        <v>42</v>
      </c>
      <c r="G43" s="23"/>
      <c r="H43" s="3"/>
      <c r="J43"/>
      <c r="K43"/>
      <c r="L43"/>
      <c r="M43"/>
      <c r="N43"/>
      <c r="O43"/>
      <c r="P43"/>
      <c r="Q43"/>
      <c r="R43"/>
      <c r="S43"/>
    </row>
    <row r="44" spans="1:19" ht="15.75" x14ac:dyDescent="0.3">
      <c r="A44" s="4" t="s">
        <v>91</v>
      </c>
      <c r="C44" s="21">
        <f>+(C43*C39)*F17</f>
        <v>118000.00000000001</v>
      </c>
      <c r="F44" s="41" t="s">
        <v>43</v>
      </c>
      <c r="G44" s="23">
        <f>+C41/1000</f>
        <v>13.750000000000002</v>
      </c>
      <c r="H44" s="3"/>
      <c r="J44"/>
      <c r="K44"/>
      <c r="L44"/>
      <c r="M44"/>
      <c r="N44"/>
      <c r="O44"/>
      <c r="P44"/>
      <c r="Q44"/>
      <c r="R44"/>
      <c r="S44"/>
    </row>
    <row r="45" spans="1:19" ht="15.75" x14ac:dyDescent="0.3">
      <c r="A45" s="4"/>
      <c r="C45" s="51"/>
      <c r="F45" s="44" t="s">
        <v>44</v>
      </c>
      <c r="G45" s="48">
        <f>+C42</f>
        <v>14750.000000000002</v>
      </c>
      <c r="H45" s="3"/>
      <c r="J45"/>
      <c r="K45"/>
      <c r="L45"/>
      <c r="M45"/>
      <c r="N45"/>
      <c r="O45"/>
      <c r="P45"/>
      <c r="Q45"/>
      <c r="R45"/>
      <c r="S45"/>
    </row>
    <row r="46" spans="1:19" ht="15.75" x14ac:dyDescent="0.3">
      <c r="A46" s="4"/>
      <c r="C46" s="21"/>
      <c r="E46" s="44"/>
      <c r="F46" s="44"/>
      <c r="G46" s="30"/>
      <c r="I46" s="3"/>
      <c r="J46"/>
      <c r="K46"/>
      <c r="L46"/>
      <c r="M46"/>
      <c r="N46"/>
      <c r="O46"/>
      <c r="P46"/>
      <c r="Q46"/>
      <c r="R46"/>
      <c r="S46"/>
    </row>
    <row r="47" spans="1:19" ht="15.75" x14ac:dyDescent="0.3">
      <c r="A47" s="4" t="s">
        <v>45</v>
      </c>
      <c r="C47" s="25">
        <f>+C43*C39</f>
        <v>14750.000000000002</v>
      </c>
      <c r="F47" s="44"/>
      <c r="G47" s="30"/>
      <c r="H47" s="3"/>
      <c r="J47"/>
      <c r="K47"/>
      <c r="L47"/>
      <c r="M47"/>
      <c r="N47"/>
      <c r="O47"/>
      <c r="P47"/>
      <c r="Q47"/>
      <c r="R47"/>
      <c r="S47"/>
    </row>
    <row r="48" spans="1:19" ht="15.75" x14ac:dyDescent="0.3">
      <c r="A48" s="3"/>
      <c r="B48" s="3"/>
      <c r="C48" s="3"/>
      <c r="D48" s="3"/>
      <c r="E48" s="3"/>
      <c r="H48" s="3"/>
      <c r="J48"/>
      <c r="K48"/>
      <c r="L48"/>
      <c r="M48"/>
      <c r="N48"/>
      <c r="O48"/>
      <c r="P48"/>
      <c r="Q48"/>
      <c r="R48"/>
    </row>
    <row r="49" spans="1:23" ht="15.75" x14ac:dyDescent="0.3">
      <c r="A49" s="4" t="s">
        <v>76</v>
      </c>
      <c r="B49" s="21">
        <f>+(C49*100)*1.1</f>
        <v>110000.00000000001</v>
      </c>
      <c r="C49" s="21">
        <v>1000</v>
      </c>
      <c r="D49" s="25" t="s">
        <v>46</v>
      </c>
      <c r="E49" s="25" t="s">
        <v>47</v>
      </c>
      <c r="F49" s="25" t="s">
        <v>48</v>
      </c>
      <c r="G49" s="25" t="s">
        <v>49</v>
      </c>
      <c r="H49" s="25" t="s">
        <v>50</v>
      </c>
      <c r="J49"/>
      <c r="K49"/>
      <c r="L49"/>
      <c r="M49"/>
      <c r="N49"/>
      <c r="O49"/>
      <c r="P49"/>
      <c r="Q49"/>
      <c r="R49"/>
      <c r="S49"/>
    </row>
    <row r="50" spans="1:23" ht="15.75" x14ac:dyDescent="0.3">
      <c r="A50" s="52" t="s">
        <v>51</v>
      </c>
      <c r="B50" s="53"/>
      <c r="C50" s="3"/>
      <c r="D50" s="21">
        <v>2</v>
      </c>
      <c r="E50" s="21">
        <v>1</v>
      </c>
      <c r="F50" s="21" t="s">
        <v>52</v>
      </c>
      <c r="G50" s="30">
        <f>185+145</f>
        <v>330</v>
      </c>
      <c r="H50" s="30">
        <f>+(D50*E50)*G50</f>
        <v>660</v>
      </c>
      <c r="J50"/>
      <c r="K50"/>
      <c r="L50"/>
      <c r="M50"/>
      <c r="N50"/>
      <c r="O50"/>
      <c r="P50"/>
      <c r="Q50"/>
      <c r="R50"/>
      <c r="S50"/>
    </row>
    <row r="51" spans="1:23" ht="15.75" x14ac:dyDescent="0.3">
      <c r="A51" s="53" t="s">
        <v>53</v>
      </c>
      <c r="B51" s="54">
        <f>+E35*C43</f>
        <v>15030.25</v>
      </c>
      <c r="C51" s="3"/>
      <c r="D51" s="21">
        <v>1</v>
      </c>
      <c r="E51" s="21">
        <v>14</v>
      </c>
      <c r="F51" s="21" t="s">
        <v>77</v>
      </c>
      <c r="G51" s="30">
        <v>270</v>
      </c>
      <c r="H51" s="30">
        <f>+(D51*E51)*G51</f>
        <v>3780</v>
      </c>
      <c r="J51"/>
      <c r="K51"/>
      <c r="L51"/>
      <c r="M51"/>
      <c r="N51"/>
      <c r="O51"/>
      <c r="P51"/>
      <c r="Q51"/>
      <c r="R51"/>
      <c r="S51"/>
    </row>
    <row r="52" spans="1:23" ht="15.75" x14ac:dyDescent="0.3">
      <c r="A52" s="53" t="s">
        <v>11</v>
      </c>
      <c r="B52" s="54">
        <f>+H62</f>
        <v>9220</v>
      </c>
      <c r="C52" s="3"/>
      <c r="D52" s="21">
        <v>1</v>
      </c>
      <c r="E52" s="21">
        <v>14</v>
      </c>
      <c r="F52" s="21" t="s">
        <v>117</v>
      </c>
      <c r="G52" s="30">
        <v>270</v>
      </c>
      <c r="H52" s="30">
        <f>+G52*E52*D52</f>
        <v>3780</v>
      </c>
      <c r="J52"/>
      <c r="K52"/>
      <c r="L52"/>
      <c r="M52"/>
      <c r="N52"/>
      <c r="O52"/>
      <c r="P52"/>
      <c r="Q52"/>
      <c r="R52"/>
      <c r="S52"/>
    </row>
    <row r="53" spans="1:23" ht="15.75" x14ac:dyDescent="0.3">
      <c r="A53" s="53"/>
      <c r="B53" s="54"/>
      <c r="C53" s="3"/>
      <c r="D53" s="21">
        <v>1</v>
      </c>
      <c r="E53" s="21">
        <v>1</v>
      </c>
      <c r="F53" s="21" t="s">
        <v>97</v>
      </c>
      <c r="G53" s="30">
        <v>1000</v>
      </c>
      <c r="H53" s="30">
        <f t="shared" ref="H53:H60" si="0">+G53*E53</f>
        <v>1000</v>
      </c>
      <c r="I53" s="30">
        <f>+(B74/100)*2</f>
        <v>613.26549999999997</v>
      </c>
      <c r="Q53"/>
      <c r="R53"/>
      <c r="S53"/>
    </row>
    <row r="54" spans="1:23" ht="16.5" x14ac:dyDescent="0.3">
      <c r="A54" s="53" t="s">
        <v>148</v>
      </c>
      <c r="B54" s="54">
        <v>200</v>
      </c>
      <c r="C54" s="3"/>
      <c r="D54" s="21">
        <v>0</v>
      </c>
      <c r="E54" s="21">
        <v>0</v>
      </c>
      <c r="F54" s="21" t="s">
        <v>100</v>
      </c>
      <c r="G54" s="30">
        <v>0</v>
      </c>
      <c r="H54" s="30">
        <f t="shared" si="0"/>
        <v>0</v>
      </c>
      <c r="I54" s="55"/>
      <c r="Q54"/>
      <c r="R54"/>
      <c r="S54"/>
    </row>
    <row r="55" spans="1:23" ht="15.75" x14ac:dyDescent="0.3">
      <c r="A55" s="56" t="s">
        <v>93</v>
      </c>
      <c r="B55" s="54">
        <v>0</v>
      </c>
      <c r="C55" s="3"/>
      <c r="D55" s="21">
        <v>0</v>
      </c>
      <c r="E55" s="21">
        <v>0</v>
      </c>
      <c r="F55" s="21" t="s">
        <v>143</v>
      </c>
      <c r="G55" s="30">
        <v>45</v>
      </c>
      <c r="H55" s="30">
        <f t="shared" si="0"/>
        <v>0</v>
      </c>
      <c r="Q55"/>
      <c r="R55"/>
      <c r="S55"/>
    </row>
    <row r="56" spans="1:23" ht="15.75" x14ac:dyDescent="0.3">
      <c r="A56" s="56" t="s">
        <v>96</v>
      </c>
      <c r="B56" s="54">
        <v>0</v>
      </c>
      <c r="D56" s="21">
        <v>0</v>
      </c>
      <c r="E56" s="21">
        <v>0</v>
      </c>
      <c r="F56" s="21" t="s">
        <v>144</v>
      </c>
      <c r="G56" s="30">
        <v>0.5</v>
      </c>
      <c r="H56" s="30">
        <f>+G56*E56</f>
        <v>0</v>
      </c>
      <c r="Q56"/>
      <c r="R56"/>
      <c r="S56"/>
    </row>
    <row r="57" spans="1:23" x14ac:dyDescent="0.3">
      <c r="A57" s="56" t="s">
        <v>95</v>
      </c>
      <c r="B57" s="54">
        <v>0</v>
      </c>
      <c r="D57" s="21">
        <v>0</v>
      </c>
      <c r="E57" s="21">
        <v>0</v>
      </c>
      <c r="F57" s="21" t="s">
        <v>30</v>
      </c>
      <c r="G57" s="30">
        <v>1.5</v>
      </c>
      <c r="H57" s="30">
        <f>+G57*E57</f>
        <v>0</v>
      </c>
    </row>
    <row r="58" spans="1:23" ht="15.75" x14ac:dyDescent="0.3">
      <c r="A58" s="56"/>
      <c r="B58" s="56"/>
      <c r="D58" s="21">
        <v>0</v>
      </c>
      <c r="E58" s="21">
        <v>0</v>
      </c>
      <c r="F58" s="21" t="s">
        <v>55</v>
      </c>
      <c r="G58" s="30">
        <v>1.5</v>
      </c>
      <c r="H58" s="30">
        <f t="shared" si="0"/>
        <v>0</v>
      </c>
      <c r="Q58"/>
      <c r="R58"/>
      <c r="S58"/>
      <c r="T58"/>
      <c r="U58"/>
      <c r="V58"/>
      <c r="W58"/>
    </row>
    <row r="59" spans="1:23" ht="15.75" x14ac:dyDescent="0.3">
      <c r="A59" s="52" t="s">
        <v>57</v>
      </c>
      <c r="B59" s="57">
        <f>SUM(B51:B58)</f>
        <v>24450.25</v>
      </c>
      <c r="C59" s="3"/>
      <c r="D59" s="21">
        <v>0</v>
      </c>
      <c r="E59" s="21">
        <v>0</v>
      </c>
      <c r="F59" s="3" t="s">
        <v>58</v>
      </c>
      <c r="G59" s="30">
        <v>0</v>
      </c>
      <c r="H59" s="30">
        <f t="shared" si="0"/>
        <v>0</v>
      </c>
      <c r="Q59"/>
      <c r="R59"/>
      <c r="S59"/>
      <c r="T59"/>
      <c r="U59"/>
      <c r="V59"/>
      <c r="W59"/>
    </row>
    <row r="60" spans="1:23" ht="15.75" x14ac:dyDescent="0.3">
      <c r="A60" s="9"/>
      <c r="B60" s="58"/>
      <c r="C60" s="3"/>
      <c r="D60" s="21"/>
      <c r="E60" s="21"/>
      <c r="F60" s="3"/>
      <c r="G60" s="3"/>
      <c r="H60" s="30">
        <f t="shared" si="0"/>
        <v>0</v>
      </c>
      <c r="J60"/>
      <c r="K60"/>
      <c r="L60"/>
      <c r="M60"/>
      <c r="N60"/>
      <c r="O60"/>
      <c r="P60"/>
      <c r="Q60"/>
      <c r="R60"/>
      <c r="S60"/>
      <c r="T60"/>
      <c r="U60"/>
      <c r="V60"/>
      <c r="W60"/>
    </row>
    <row r="61" spans="1:23" ht="15.75" x14ac:dyDescent="0.3">
      <c r="A61" s="9"/>
      <c r="B61" s="32">
        <f>+B59/C49</f>
        <v>24.45025</v>
      </c>
      <c r="C61" s="4" t="s">
        <v>60</v>
      </c>
      <c r="D61" s="3"/>
      <c r="E61" s="3"/>
      <c r="F61" s="3"/>
      <c r="G61" s="3"/>
      <c r="J61"/>
      <c r="K61"/>
      <c r="L61"/>
      <c r="M61"/>
      <c r="N61"/>
      <c r="O61"/>
      <c r="P61"/>
      <c r="Q61"/>
      <c r="R61"/>
      <c r="S61"/>
      <c r="T61"/>
      <c r="U61"/>
      <c r="V61"/>
      <c r="W61"/>
    </row>
    <row r="62" spans="1:23" ht="15.75" x14ac:dyDescent="0.3">
      <c r="A62" s="3"/>
      <c r="B62" s="3"/>
      <c r="D62" s="3"/>
      <c r="E62" s="3"/>
      <c r="F62" s="3"/>
      <c r="G62" s="61" t="s">
        <v>61</v>
      </c>
      <c r="H62" s="30">
        <f>SUM(H50:H61)</f>
        <v>9220</v>
      </c>
      <c r="J62"/>
      <c r="K62"/>
      <c r="L62"/>
      <c r="M62"/>
      <c r="N62"/>
      <c r="O62"/>
      <c r="P62"/>
      <c r="Q62"/>
      <c r="R62"/>
      <c r="S62"/>
      <c r="T62"/>
      <c r="U62"/>
      <c r="V62"/>
      <c r="W62"/>
    </row>
    <row r="63" spans="1:23" ht="15.75" x14ac:dyDescent="0.3">
      <c r="D63" s="3"/>
      <c r="E63" s="3"/>
      <c r="G63" s="5" t="s">
        <v>62</v>
      </c>
      <c r="H63" s="76">
        <v>1.5</v>
      </c>
      <c r="J63"/>
      <c r="K63"/>
      <c r="L63"/>
      <c r="M63"/>
      <c r="N63"/>
      <c r="O63"/>
      <c r="P63"/>
      <c r="Q63"/>
      <c r="R63"/>
      <c r="S63"/>
      <c r="T63"/>
      <c r="U63"/>
      <c r="V63"/>
      <c r="W63"/>
    </row>
    <row r="64" spans="1:23" ht="15.75" x14ac:dyDescent="0.3">
      <c r="A64" s="4" t="s">
        <v>64</v>
      </c>
      <c r="B64" s="3"/>
      <c r="C64" s="3"/>
      <c r="E64" s="32"/>
      <c r="G64" s="1" t="s">
        <v>65</v>
      </c>
      <c r="H64" s="62">
        <v>1.75</v>
      </c>
      <c r="J64"/>
      <c r="K64"/>
      <c r="L64"/>
      <c r="M64"/>
      <c r="N64"/>
      <c r="O64"/>
      <c r="P64"/>
      <c r="Q64"/>
      <c r="R64"/>
      <c r="S64"/>
      <c r="T64"/>
      <c r="U64"/>
      <c r="V64"/>
      <c r="W64"/>
    </row>
    <row r="65" spans="1:23" ht="15.75" x14ac:dyDescent="0.3">
      <c r="A65" s="3"/>
      <c r="B65" s="4" t="s">
        <v>67</v>
      </c>
      <c r="C65" s="25" t="s">
        <v>68</v>
      </c>
      <c r="D65" s="3"/>
      <c r="E65" s="3"/>
      <c r="F65" s="3"/>
      <c r="G65" s="1" t="s">
        <v>65</v>
      </c>
      <c r="H65" s="62">
        <v>2</v>
      </c>
      <c r="J65"/>
      <c r="K65"/>
      <c r="L65"/>
      <c r="M65"/>
      <c r="N65"/>
      <c r="O65"/>
      <c r="P65"/>
      <c r="Q65"/>
      <c r="R65"/>
      <c r="S65"/>
      <c r="T65"/>
      <c r="U65"/>
      <c r="V65"/>
      <c r="W65"/>
    </row>
    <row r="66" spans="1:23" ht="15.75" x14ac:dyDescent="0.3">
      <c r="A66" s="52" t="s">
        <v>70</v>
      </c>
      <c r="B66" s="53"/>
      <c r="C66" s="3"/>
      <c r="D66" s="3"/>
      <c r="E66" s="3"/>
      <c r="F66" s="3"/>
      <c r="G66" s="5" t="s">
        <v>80</v>
      </c>
      <c r="H66" s="62">
        <v>2.5</v>
      </c>
      <c r="J66"/>
      <c r="K66"/>
      <c r="L66"/>
      <c r="M66"/>
      <c r="N66"/>
      <c r="O66"/>
      <c r="P66"/>
      <c r="Q66"/>
      <c r="R66"/>
      <c r="S66"/>
      <c r="T66"/>
      <c r="U66"/>
      <c r="V66"/>
      <c r="W66"/>
    </row>
    <row r="67" spans="1:23" ht="15.75" x14ac:dyDescent="0.3">
      <c r="A67" s="53" t="s">
        <v>53</v>
      </c>
      <c r="B67" s="54">
        <f>+E36*C43</f>
        <v>16533.275000000001</v>
      </c>
      <c r="C67" s="63"/>
      <c r="J67"/>
      <c r="K67"/>
      <c r="L67"/>
      <c r="M67"/>
      <c r="N67"/>
      <c r="O67"/>
      <c r="P67"/>
      <c r="Q67"/>
      <c r="R67"/>
      <c r="S67"/>
      <c r="T67"/>
      <c r="U67"/>
      <c r="V67"/>
      <c r="W67"/>
    </row>
    <row r="68" spans="1:23" ht="15.75" x14ac:dyDescent="0.3">
      <c r="A68" s="53" t="s">
        <v>11</v>
      </c>
      <c r="B68" s="54">
        <f>+H62*H63</f>
        <v>13830</v>
      </c>
      <c r="C68" s="63"/>
      <c r="J68"/>
      <c r="K68"/>
      <c r="L68"/>
      <c r="M68"/>
      <c r="N68"/>
      <c r="O68"/>
      <c r="P68"/>
      <c r="Q68"/>
      <c r="R68"/>
      <c r="S68"/>
      <c r="T68"/>
      <c r="U68"/>
      <c r="V68"/>
      <c r="W68"/>
    </row>
    <row r="69" spans="1:23" ht="15.75" x14ac:dyDescent="0.3">
      <c r="A69" s="53" t="str">
        <f>+A54</f>
        <v>Pruebas de Color</v>
      </c>
      <c r="B69" s="54">
        <f>+B54*H63</f>
        <v>300</v>
      </c>
      <c r="C69" s="63"/>
      <c r="J69"/>
      <c r="K69"/>
      <c r="L69"/>
      <c r="M69"/>
      <c r="N69"/>
      <c r="O69"/>
      <c r="P69"/>
      <c r="Q69"/>
      <c r="R69"/>
      <c r="S69"/>
      <c r="T69"/>
      <c r="U69"/>
      <c r="V69"/>
      <c r="W69"/>
    </row>
    <row r="70" spans="1:23" ht="15.75" x14ac:dyDescent="0.3">
      <c r="A70" s="53" t="str">
        <f>+A55</f>
        <v>Placas HS</v>
      </c>
      <c r="B70" s="54">
        <f>+B55*H63</f>
        <v>0</v>
      </c>
      <c r="C70" s="63"/>
      <c r="J70"/>
      <c r="K70"/>
      <c r="L70"/>
      <c r="M70"/>
      <c r="N70"/>
      <c r="O70"/>
      <c r="P70"/>
      <c r="Q70"/>
      <c r="R70"/>
      <c r="S70"/>
      <c r="T70"/>
      <c r="U70"/>
      <c r="V70"/>
      <c r="W70"/>
    </row>
    <row r="71" spans="1:23" ht="15.75" x14ac:dyDescent="0.3">
      <c r="A71" s="53" t="str">
        <f>+A56</f>
        <v>Imán</v>
      </c>
      <c r="B71" s="54">
        <f>+B56*H63</f>
        <v>0</v>
      </c>
      <c r="C71" s="63"/>
      <c r="F71" s="64" t="s">
        <v>72</v>
      </c>
      <c r="G71" s="32">
        <f>+B61</f>
        <v>24.45025</v>
      </c>
      <c r="H71" s="65">
        <f>+G71*C49</f>
        <v>24450.25</v>
      </c>
      <c r="J71"/>
      <c r="K71"/>
      <c r="L71"/>
      <c r="M71"/>
      <c r="N71"/>
      <c r="O71"/>
      <c r="P71"/>
      <c r="Q71"/>
      <c r="R71"/>
      <c r="S71"/>
      <c r="T71"/>
      <c r="U71"/>
      <c r="V71"/>
      <c r="W71"/>
    </row>
    <row r="72" spans="1:23" ht="15.75" x14ac:dyDescent="0.3">
      <c r="A72" s="53" t="str">
        <f>+A57</f>
        <v>Encuadernación</v>
      </c>
      <c r="B72" s="54">
        <f>+B57*1.2</f>
        <v>0</v>
      </c>
      <c r="C72" s="66"/>
      <c r="F72" s="64" t="s">
        <v>74</v>
      </c>
      <c r="G72" s="32">
        <f>+C74</f>
        <v>30.663275000000002</v>
      </c>
      <c r="H72" s="65">
        <f>+G72*C49</f>
        <v>30663.275000000001</v>
      </c>
      <c r="J72"/>
      <c r="K72"/>
      <c r="L72"/>
      <c r="M72"/>
      <c r="N72"/>
      <c r="O72"/>
      <c r="P72"/>
      <c r="Q72"/>
      <c r="R72"/>
      <c r="S72"/>
      <c r="T72"/>
      <c r="U72"/>
      <c r="V72"/>
      <c r="W72"/>
    </row>
    <row r="73" spans="1:23" ht="15.75" x14ac:dyDescent="0.3">
      <c r="A73" s="53"/>
      <c r="B73" s="54"/>
      <c r="C73" s="66"/>
      <c r="F73" s="67" t="s">
        <v>75</v>
      </c>
      <c r="G73" s="68">
        <f>+G72-G71</f>
        <v>6.2130250000000018</v>
      </c>
      <c r="H73" s="117">
        <f>+G73*C49</f>
        <v>6213.0250000000015</v>
      </c>
      <c r="J73"/>
      <c r="K73"/>
      <c r="L73"/>
      <c r="M73"/>
      <c r="N73"/>
      <c r="O73"/>
      <c r="P73"/>
      <c r="Q73"/>
      <c r="R73"/>
      <c r="S73"/>
      <c r="T73"/>
      <c r="U73"/>
      <c r="V73"/>
      <c r="W73"/>
    </row>
    <row r="74" spans="1:23" x14ac:dyDescent="0.3">
      <c r="A74" s="52" t="s">
        <v>57</v>
      </c>
      <c r="B74" s="57">
        <f>SUM(B66:B73)</f>
        <v>30663.275000000001</v>
      </c>
      <c r="C74" s="68">
        <f>+B74/C49</f>
        <v>30.663275000000002</v>
      </c>
      <c r="D74" s="5" t="s">
        <v>160</v>
      </c>
    </row>
    <row r="75" spans="1:23" x14ac:dyDescent="0.3">
      <c r="C75" s="77"/>
      <c r="D75" s="5"/>
    </row>
    <row r="76" spans="1:23" x14ac:dyDescent="0.3">
      <c r="C76" s="77"/>
      <c r="D76" s="5"/>
    </row>
    <row r="77" spans="1:23" ht="16.5" x14ac:dyDescent="0.3">
      <c r="J77" s="55"/>
      <c r="K77" s="55"/>
      <c r="L77" s="55"/>
      <c r="M77" s="55"/>
      <c r="N77" s="55"/>
      <c r="O77" s="55"/>
      <c r="P77" s="55"/>
      <c r="Q77" s="55"/>
      <c r="R77" s="55"/>
    </row>
    <row r="78" spans="1:23" ht="16.5" x14ac:dyDescent="0.3">
      <c r="J78" s="55"/>
      <c r="K78" s="55"/>
      <c r="L78" s="55"/>
      <c r="M78" s="55"/>
      <c r="N78" s="55"/>
      <c r="O78" s="55"/>
      <c r="P78" s="55"/>
      <c r="Q78" s="55"/>
      <c r="R78" s="55"/>
    </row>
    <row r="79" spans="1:23" ht="16.5" x14ac:dyDescent="0.3">
      <c r="J79" s="55"/>
      <c r="K79" s="55"/>
      <c r="L79" s="55"/>
      <c r="M79" s="55"/>
      <c r="N79" s="55"/>
      <c r="O79" s="55"/>
      <c r="P79" s="55"/>
      <c r="Q79" s="55"/>
      <c r="R79" s="55"/>
    </row>
    <row r="80" spans="1:23" ht="16.5" x14ac:dyDescent="0.3">
      <c r="J80" s="55"/>
      <c r="K80" s="55"/>
      <c r="L80" s="55"/>
      <c r="M80" s="55"/>
      <c r="N80" s="55"/>
      <c r="O80" s="55"/>
      <c r="P80" s="55"/>
      <c r="Q80" s="55"/>
      <c r="R80" s="55"/>
    </row>
    <row r="81" spans="10:18" ht="16.5" x14ac:dyDescent="0.3">
      <c r="J81" s="55"/>
      <c r="K81" s="55"/>
      <c r="L81" s="55"/>
      <c r="M81" s="55"/>
      <c r="N81" s="55"/>
      <c r="O81" s="55"/>
      <c r="P81" s="55"/>
      <c r="Q81" s="55"/>
      <c r="R81" s="55"/>
    </row>
    <row r="82" spans="10:18" ht="16.5" x14ac:dyDescent="0.3">
      <c r="J82" s="55"/>
      <c r="K82" s="55"/>
      <c r="L82" s="55"/>
      <c r="M82" s="55"/>
      <c r="N82" s="55"/>
      <c r="O82" s="55"/>
      <c r="P82" s="55"/>
      <c r="Q82" s="55"/>
      <c r="R82" s="55"/>
    </row>
    <row r="83" spans="10:18" ht="16.5" x14ac:dyDescent="0.3">
      <c r="J83" s="55"/>
      <c r="K83" s="55"/>
      <c r="L83" s="55"/>
      <c r="M83" s="55"/>
      <c r="N83" s="55"/>
      <c r="O83" s="55"/>
      <c r="P83" s="55"/>
      <c r="Q83" s="55"/>
      <c r="R83" s="55"/>
    </row>
    <row r="84" spans="10:18" ht="16.5" x14ac:dyDescent="0.3">
      <c r="J84" s="55"/>
      <c r="K84" s="55"/>
      <c r="L84" s="55"/>
      <c r="M84" s="55"/>
      <c r="N84" s="55"/>
      <c r="O84" s="55"/>
      <c r="P84" s="55"/>
      <c r="Q84" s="55"/>
      <c r="R84" s="55"/>
    </row>
    <row r="85" spans="10:18" ht="16.5" x14ac:dyDescent="0.3">
      <c r="J85" s="55"/>
      <c r="K85" s="55"/>
      <c r="L85" s="55"/>
      <c r="M85" s="55"/>
      <c r="N85" s="55"/>
      <c r="O85" s="55"/>
      <c r="P85" s="55"/>
      <c r="Q85" s="55"/>
      <c r="R85" s="55"/>
    </row>
  </sheetData>
  <pageMargins left="0.70866141732283472" right="0.70866141732283472" top="0.74803149606299213" bottom="0.74803149606299213" header="0.31496062992125984" footer="0.31496062992125984"/>
  <pageSetup scale="60" orientation="portrait" r:id="rId1"/>
  <headerFooter>
    <oddFooter>&amp;A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pageSetUpPr fitToPage="1"/>
  </sheetPr>
  <dimension ref="A1:W85"/>
  <sheetViews>
    <sheetView topLeftCell="A49" zoomScale="80" zoomScaleNormal="80" workbookViewId="0">
      <selection activeCell="G49" sqref="G49"/>
    </sheetView>
  </sheetViews>
  <sheetFormatPr baseColWidth="10" defaultRowHeight="14.25" x14ac:dyDescent="0.3"/>
  <cols>
    <col min="1" max="1" width="11.42578125" style="1"/>
    <col min="2" max="2" width="13.42578125" style="1" bestFit="1" customWidth="1"/>
    <col min="3" max="3" width="11.5703125" style="1" bestFit="1" customWidth="1"/>
    <col min="4" max="4" width="9.7109375" style="1" customWidth="1"/>
    <col min="5" max="5" width="14.28515625" style="1" customWidth="1"/>
    <col min="6" max="6" width="12.5703125" style="1" customWidth="1"/>
    <col min="7" max="7" width="13.42578125" style="1" customWidth="1"/>
    <col min="8" max="8" width="12.7109375" style="1" customWidth="1"/>
    <col min="9" max="9" width="12.42578125" style="1" customWidth="1"/>
    <col min="10" max="10" width="11.42578125" style="1"/>
    <col min="11" max="11" width="15.85546875" style="1" customWidth="1"/>
    <col min="12" max="12" width="11.42578125" style="1"/>
    <col min="13" max="13" width="14.140625" style="1" customWidth="1"/>
    <col min="14" max="16384" width="11.42578125" style="1"/>
  </cols>
  <sheetData>
    <row r="1" spans="1:21" ht="15.75" x14ac:dyDescent="0.3">
      <c r="J1"/>
      <c r="K1"/>
      <c r="L1"/>
      <c r="M1"/>
      <c r="N1"/>
      <c r="O1"/>
      <c r="P1"/>
      <c r="Q1"/>
      <c r="R1"/>
    </row>
    <row r="2" spans="1:21" ht="15.75" x14ac:dyDescent="0.3">
      <c r="J2"/>
      <c r="K2"/>
      <c r="L2"/>
      <c r="M2"/>
      <c r="N2"/>
      <c r="O2"/>
      <c r="P2"/>
      <c r="Q2"/>
      <c r="R2"/>
    </row>
    <row r="3" spans="1:21" ht="15.75" x14ac:dyDescent="0.3">
      <c r="J3"/>
      <c r="K3"/>
      <c r="L3"/>
      <c r="M3"/>
      <c r="N3"/>
      <c r="O3"/>
      <c r="P3"/>
      <c r="Q3"/>
      <c r="R3"/>
      <c r="S3" s="3"/>
      <c r="T3" s="3"/>
      <c r="U3" s="3"/>
    </row>
    <row r="4" spans="1:21" ht="15.75" x14ac:dyDescent="0.3">
      <c r="J4"/>
      <c r="K4"/>
      <c r="L4"/>
      <c r="M4"/>
      <c r="N4"/>
      <c r="O4"/>
      <c r="P4"/>
      <c r="Q4"/>
      <c r="R4"/>
    </row>
    <row r="5" spans="1:21" ht="15.75" x14ac:dyDescent="0.3">
      <c r="A5" s="5"/>
      <c r="J5"/>
      <c r="K5"/>
      <c r="L5"/>
      <c r="M5"/>
      <c r="N5"/>
      <c r="O5"/>
      <c r="P5"/>
      <c r="Q5"/>
      <c r="R5"/>
    </row>
    <row r="6" spans="1:21" ht="18.75" x14ac:dyDescent="0.3">
      <c r="A6" s="2" t="s">
        <v>2</v>
      </c>
      <c r="E6" s="5" t="s">
        <v>3</v>
      </c>
      <c r="F6" s="1" t="s">
        <v>4</v>
      </c>
      <c r="J6"/>
      <c r="K6"/>
      <c r="L6"/>
      <c r="M6"/>
      <c r="N6"/>
      <c r="O6"/>
      <c r="P6"/>
      <c r="Q6"/>
      <c r="R6"/>
    </row>
    <row r="7" spans="1:21" ht="15.75" x14ac:dyDescent="0.3">
      <c r="J7"/>
      <c r="K7"/>
      <c r="L7"/>
      <c r="M7"/>
      <c r="N7"/>
      <c r="O7"/>
      <c r="P7"/>
      <c r="Q7"/>
      <c r="R7"/>
    </row>
    <row r="8" spans="1:21" ht="15.75" x14ac:dyDescent="0.3">
      <c r="J8"/>
      <c r="K8"/>
      <c r="L8"/>
      <c r="M8"/>
      <c r="N8"/>
      <c r="O8"/>
      <c r="P8"/>
      <c r="Q8"/>
      <c r="R8"/>
    </row>
    <row r="9" spans="1:21" s="5" customFormat="1" ht="15.75" x14ac:dyDescent="0.3">
      <c r="A9" s="5" t="s">
        <v>6</v>
      </c>
      <c r="C9" s="5" t="str">
        <f>+'cartón caja'!C9</f>
        <v>25 de septiembre de 2017.</v>
      </c>
      <c r="H9" s="5" t="s">
        <v>7</v>
      </c>
      <c r="J9"/>
      <c r="K9"/>
      <c r="L9"/>
      <c r="M9"/>
      <c r="N9"/>
      <c r="O9"/>
      <c r="P9"/>
      <c r="Q9"/>
      <c r="R9"/>
      <c r="S9" s="1"/>
      <c r="T9" s="1"/>
      <c r="U9" s="1"/>
    </row>
    <row r="10" spans="1:21" ht="15.75" x14ac:dyDescent="0.3">
      <c r="J10"/>
      <c r="K10"/>
      <c r="L10"/>
      <c r="M10"/>
      <c r="N10"/>
      <c r="O10"/>
      <c r="P10"/>
      <c r="Q10"/>
      <c r="R10"/>
    </row>
    <row r="11" spans="1:21" ht="16.5" thickBot="1" x14ac:dyDescent="0.35">
      <c r="A11" s="5" t="s">
        <v>8</v>
      </c>
      <c r="C11" s="1" t="str">
        <f>+'cartón caja'!C11</f>
        <v>Monex</v>
      </c>
      <c r="F11" s="5" t="s">
        <v>0</v>
      </c>
      <c r="J11"/>
      <c r="K11"/>
      <c r="L11"/>
      <c r="M11"/>
      <c r="N11"/>
      <c r="O11"/>
      <c r="P11"/>
      <c r="Q11"/>
      <c r="R11"/>
    </row>
    <row r="12" spans="1:21" ht="15.75" x14ac:dyDescent="0.3">
      <c r="A12" s="5"/>
      <c r="F12" s="11"/>
      <c r="G12" s="12"/>
      <c r="H12" s="13"/>
      <c r="J12"/>
      <c r="K12"/>
      <c r="L12"/>
      <c r="M12"/>
      <c r="N12"/>
      <c r="O12"/>
      <c r="P12"/>
      <c r="Q12"/>
      <c r="R12"/>
    </row>
    <row r="13" spans="1:21" ht="15.75" x14ac:dyDescent="0.3">
      <c r="A13" s="5" t="s">
        <v>9</v>
      </c>
      <c r="C13" s="1">
        <f>+Interiores!C13</f>
        <v>0</v>
      </c>
      <c r="F13" s="6"/>
      <c r="G13" s="7"/>
      <c r="H13" s="8"/>
      <c r="J13"/>
      <c r="K13"/>
      <c r="L13"/>
      <c r="M13"/>
      <c r="N13"/>
      <c r="O13"/>
      <c r="P13"/>
      <c r="Q13"/>
      <c r="R13"/>
    </row>
    <row r="14" spans="1:21" ht="15.75" x14ac:dyDescent="0.3">
      <c r="A14" s="5"/>
      <c r="F14" s="6"/>
      <c r="G14" s="7"/>
      <c r="H14" s="8"/>
      <c r="J14"/>
      <c r="K14"/>
      <c r="L14"/>
      <c r="M14"/>
      <c r="N14"/>
      <c r="O14"/>
      <c r="P14"/>
      <c r="Q14"/>
      <c r="R14"/>
    </row>
    <row r="15" spans="1:21" ht="15.75" x14ac:dyDescent="0.3">
      <c r="A15" s="5" t="s">
        <v>10</v>
      </c>
      <c r="C15" s="19" t="s">
        <v>168</v>
      </c>
      <c r="D15" s="18"/>
      <c r="E15" s="18"/>
      <c r="F15" s="72" t="s">
        <v>5</v>
      </c>
      <c r="G15" s="7"/>
      <c r="H15" s="8"/>
      <c r="J15"/>
      <c r="K15"/>
      <c r="L15"/>
      <c r="M15"/>
      <c r="N15"/>
      <c r="O15"/>
      <c r="P15"/>
      <c r="Q15"/>
      <c r="R15"/>
    </row>
    <row r="16" spans="1:21" ht="15.75" x14ac:dyDescent="0.3">
      <c r="C16" s="17" t="s">
        <v>169</v>
      </c>
      <c r="D16" s="18"/>
      <c r="E16" s="18"/>
      <c r="F16" s="46">
        <v>70</v>
      </c>
      <c r="G16" s="73" t="s">
        <v>81</v>
      </c>
      <c r="H16" s="74">
        <v>47.5</v>
      </c>
      <c r="J16"/>
      <c r="K16"/>
      <c r="L16"/>
      <c r="M16"/>
      <c r="N16"/>
      <c r="O16"/>
      <c r="P16"/>
      <c r="Q16"/>
      <c r="R16"/>
    </row>
    <row r="17" spans="1:19" ht="15.75" x14ac:dyDescent="0.3">
      <c r="C17" s="17" t="s">
        <v>162</v>
      </c>
      <c r="D17" s="18"/>
      <c r="E17" s="18"/>
      <c r="F17" s="72">
        <v>1</v>
      </c>
      <c r="G17" s="75" t="s">
        <v>82</v>
      </c>
      <c r="H17" s="8"/>
      <c r="J17"/>
      <c r="K17"/>
      <c r="L17"/>
      <c r="M17"/>
      <c r="N17"/>
      <c r="O17"/>
      <c r="P17"/>
      <c r="Q17"/>
      <c r="R17"/>
    </row>
    <row r="18" spans="1:19" ht="15.75" x14ac:dyDescent="0.3">
      <c r="C18" s="17" t="s">
        <v>149</v>
      </c>
      <c r="D18" s="18"/>
      <c r="E18" s="18"/>
      <c r="F18" s="6"/>
      <c r="G18" s="7"/>
      <c r="H18" s="8"/>
      <c r="J18"/>
      <c r="K18"/>
      <c r="L18"/>
      <c r="M18"/>
      <c r="N18"/>
      <c r="O18"/>
      <c r="P18"/>
      <c r="Q18"/>
      <c r="R18"/>
    </row>
    <row r="19" spans="1:19" ht="15.75" x14ac:dyDescent="0.3">
      <c r="C19" s="17" t="s">
        <v>163</v>
      </c>
      <c r="D19" s="18"/>
      <c r="E19" s="18"/>
      <c r="F19" s="6"/>
      <c r="G19" s="7"/>
      <c r="H19" s="8"/>
      <c r="J19"/>
      <c r="K19"/>
      <c r="L19"/>
      <c r="M19"/>
      <c r="N19"/>
      <c r="O19"/>
      <c r="P19"/>
      <c r="Q19"/>
      <c r="R19"/>
    </row>
    <row r="20" spans="1:19" ht="15.75" x14ac:dyDescent="0.3">
      <c r="C20" s="18" t="s">
        <v>171</v>
      </c>
      <c r="D20" s="18"/>
      <c r="E20" s="18"/>
      <c r="F20" s="46">
        <f>+Desarrollo!C40</f>
        <v>32.4</v>
      </c>
      <c r="G20" s="73" t="s">
        <v>81</v>
      </c>
      <c r="H20" s="74">
        <f>+Desarrollo!E40</f>
        <v>25</v>
      </c>
      <c r="J20"/>
      <c r="K20"/>
      <c r="L20"/>
      <c r="M20"/>
      <c r="N20"/>
      <c r="O20"/>
      <c r="P20"/>
      <c r="Q20"/>
      <c r="R20"/>
    </row>
    <row r="21" spans="1:19" ht="15.75" x14ac:dyDescent="0.3">
      <c r="C21" s="18" t="s">
        <v>170</v>
      </c>
      <c r="D21" s="18"/>
      <c r="E21" s="18"/>
      <c r="F21" s="6"/>
      <c r="G21" s="7"/>
      <c r="H21" s="8"/>
      <c r="J21"/>
      <c r="K21"/>
      <c r="L21"/>
      <c r="M21"/>
      <c r="N21"/>
      <c r="O21"/>
      <c r="P21"/>
      <c r="Q21"/>
      <c r="R21"/>
    </row>
    <row r="22" spans="1:19" ht="15.75" x14ac:dyDescent="0.3">
      <c r="C22" s="18" t="s">
        <v>161</v>
      </c>
      <c r="D22" s="18"/>
      <c r="E22" s="18"/>
      <c r="F22" s="6"/>
      <c r="G22" s="7"/>
      <c r="H22" s="8"/>
      <c r="J22"/>
      <c r="K22"/>
      <c r="L22"/>
      <c r="M22"/>
      <c r="N22"/>
      <c r="O22"/>
      <c r="P22"/>
      <c r="Q22"/>
      <c r="R22"/>
    </row>
    <row r="23" spans="1:19" ht="16.5" thickBot="1" x14ac:dyDescent="0.35">
      <c r="C23" s="18"/>
      <c r="D23" s="18"/>
      <c r="E23" s="18"/>
      <c r="F23" s="14"/>
      <c r="G23" s="15"/>
      <c r="H23" s="16"/>
      <c r="J23"/>
      <c r="K23"/>
      <c r="L23"/>
      <c r="M23"/>
      <c r="N23"/>
      <c r="O23"/>
      <c r="P23"/>
      <c r="Q23"/>
      <c r="R23"/>
    </row>
    <row r="24" spans="1:19" ht="15.75" x14ac:dyDescent="0.3">
      <c r="A24" s="4" t="s">
        <v>12</v>
      </c>
      <c r="C24" s="78" t="str">
        <f>+Desarrollo!A35</f>
        <v>Couche Blanco Mate</v>
      </c>
      <c r="D24" s="5" t="s">
        <v>13</v>
      </c>
      <c r="E24" s="22"/>
      <c r="F24" s="1" t="str">
        <f>+Desarrollo!B35</f>
        <v>150 gr.</v>
      </c>
      <c r="J24"/>
      <c r="K24"/>
      <c r="L24"/>
      <c r="M24"/>
      <c r="N24"/>
      <c r="O24"/>
      <c r="P24"/>
      <c r="Q24"/>
      <c r="R24"/>
    </row>
    <row r="25" spans="1:19" ht="15.75" x14ac:dyDescent="0.3">
      <c r="J25"/>
      <c r="K25"/>
      <c r="L25"/>
      <c r="M25"/>
      <c r="N25"/>
      <c r="O25"/>
      <c r="P25"/>
      <c r="Q25"/>
      <c r="R25"/>
    </row>
    <row r="26" spans="1:19" ht="15.75" x14ac:dyDescent="0.3">
      <c r="A26" s="4" t="s">
        <v>14</v>
      </c>
      <c r="C26" s="23">
        <f>+Desarrollo!C35</f>
        <v>70</v>
      </c>
      <c r="D26" s="22" t="s">
        <v>15</v>
      </c>
      <c r="E26" s="24">
        <f>+Desarrollo!E35</f>
        <v>95</v>
      </c>
      <c r="F26" s="25">
        <f>+C26</f>
        <v>70</v>
      </c>
      <c r="G26" s="26" t="s">
        <v>15</v>
      </c>
      <c r="H26" s="26">
        <f>+E26</f>
        <v>95</v>
      </c>
      <c r="J26"/>
      <c r="K26"/>
      <c r="L26"/>
      <c r="M26"/>
      <c r="N26"/>
      <c r="O26"/>
      <c r="P26"/>
      <c r="Q26"/>
      <c r="R26"/>
    </row>
    <row r="27" spans="1:19" ht="15.75" x14ac:dyDescent="0.3">
      <c r="A27" s="4" t="s">
        <v>16</v>
      </c>
      <c r="B27" s="3"/>
      <c r="C27" s="27">
        <f>+Desarrollo!C36</f>
        <v>32.4</v>
      </c>
      <c r="D27" s="28" t="s">
        <v>15</v>
      </c>
      <c r="E27" s="27">
        <f>+Desarrollo!E36</f>
        <v>23.5</v>
      </c>
      <c r="F27" s="29">
        <f>+E27</f>
        <v>23.5</v>
      </c>
      <c r="G27" s="29" t="s">
        <v>15</v>
      </c>
      <c r="H27" s="29">
        <f>+C27</f>
        <v>32.4</v>
      </c>
      <c r="I27" s="30"/>
      <c r="J27"/>
      <c r="K27"/>
      <c r="L27"/>
      <c r="M27"/>
      <c r="N27"/>
      <c r="O27"/>
      <c r="P27"/>
      <c r="Q27"/>
      <c r="R27"/>
    </row>
    <row r="28" spans="1:19" ht="16.5" thickBot="1" x14ac:dyDescent="0.35">
      <c r="A28" s="3" t="s">
        <v>17</v>
      </c>
      <c r="B28" s="31"/>
      <c r="C28" s="32">
        <f>+C26/C27</f>
        <v>2.1604938271604941</v>
      </c>
      <c r="D28" s="33"/>
      <c r="E28" s="32">
        <f>+E26/E27</f>
        <v>4.042553191489362</v>
      </c>
      <c r="F28" s="32">
        <f>+F26/F27</f>
        <v>2.978723404255319</v>
      </c>
      <c r="G28" s="33"/>
      <c r="H28" s="32">
        <f>+H26/H27</f>
        <v>2.9320987654320989</v>
      </c>
      <c r="I28" s="30"/>
      <c r="J28"/>
      <c r="K28"/>
      <c r="L28"/>
      <c r="M28"/>
      <c r="N28"/>
      <c r="O28"/>
      <c r="P28"/>
      <c r="Q28"/>
      <c r="R28"/>
    </row>
    <row r="29" spans="1:19" ht="16.5" thickBot="1" x14ac:dyDescent="0.35">
      <c r="A29" s="3" t="s">
        <v>18</v>
      </c>
      <c r="B29" s="34"/>
      <c r="C29" s="35"/>
      <c r="D29" s="36">
        <v>8</v>
      </c>
      <c r="E29" s="37"/>
      <c r="F29" s="38"/>
      <c r="G29" s="39">
        <v>4</v>
      </c>
      <c r="H29" s="40" t="s">
        <v>19</v>
      </c>
      <c r="J29"/>
      <c r="K29"/>
      <c r="L29"/>
      <c r="M29"/>
      <c r="N29"/>
      <c r="O29"/>
      <c r="P29"/>
      <c r="Q29"/>
      <c r="R29"/>
    </row>
    <row r="30" spans="1:19" ht="15.75" x14ac:dyDescent="0.3">
      <c r="A30" s="3"/>
      <c r="B30" s="21"/>
      <c r="C30" s="30"/>
      <c r="G30" s="41"/>
      <c r="H30" s="30"/>
      <c r="J30"/>
      <c r="K30"/>
      <c r="L30"/>
      <c r="M30"/>
      <c r="N30"/>
      <c r="O30"/>
      <c r="P30"/>
      <c r="Q30"/>
      <c r="R30"/>
    </row>
    <row r="31" spans="1:19" ht="15.75" x14ac:dyDescent="0.3">
      <c r="A31" s="25" t="s">
        <v>20</v>
      </c>
      <c r="B31" s="25" t="s">
        <v>146</v>
      </c>
      <c r="D31" s="41" t="s">
        <v>21</v>
      </c>
      <c r="E31" s="42">
        <f>+F31/1000</f>
        <v>3.3610000000000007</v>
      </c>
      <c r="F31" s="119">
        <f>+Desarrollo!G35</f>
        <v>3361.0000000000005</v>
      </c>
      <c r="G31" s="1" t="s">
        <v>22</v>
      </c>
      <c r="H31" s="43">
        <v>0.15</v>
      </c>
      <c r="J31"/>
      <c r="K31"/>
      <c r="L31"/>
      <c r="M31"/>
      <c r="N31"/>
      <c r="O31"/>
      <c r="P31"/>
      <c r="Q31"/>
      <c r="R31"/>
      <c r="S31"/>
    </row>
    <row r="32" spans="1:19" ht="15.75" x14ac:dyDescent="0.3">
      <c r="A32" s="3"/>
      <c r="B32" s="3"/>
      <c r="C32" s="3"/>
      <c r="D32" s="44" t="s">
        <v>23</v>
      </c>
      <c r="E32" s="42">
        <f>+H31*E31</f>
        <v>0.5041500000000001</v>
      </c>
      <c r="H32" s="43"/>
      <c r="I32" s="30"/>
      <c r="J32"/>
      <c r="K32"/>
      <c r="L32"/>
      <c r="M32"/>
      <c r="N32"/>
      <c r="O32"/>
      <c r="P32"/>
      <c r="Q32"/>
      <c r="R32"/>
      <c r="S32"/>
    </row>
    <row r="33" spans="1:19" ht="15.75" x14ac:dyDescent="0.3">
      <c r="D33" s="44" t="s">
        <v>24</v>
      </c>
      <c r="E33" s="45">
        <f>+E31-E32</f>
        <v>2.8568500000000006</v>
      </c>
      <c r="I33" s="30"/>
      <c r="J33"/>
      <c r="K33"/>
      <c r="L33"/>
      <c r="M33"/>
      <c r="N33"/>
      <c r="O33"/>
      <c r="P33"/>
      <c r="Q33"/>
      <c r="R33"/>
      <c r="S33"/>
    </row>
    <row r="34" spans="1:19" ht="15.75" x14ac:dyDescent="0.3">
      <c r="E34" s="21" t="s">
        <v>26</v>
      </c>
      <c r="F34" s="21" t="s">
        <v>27</v>
      </c>
      <c r="G34" s="21" t="s">
        <v>27</v>
      </c>
      <c r="H34" s="21" t="s">
        <v>27</v>
      </c>
      <c r="I34" s="30"/>
      <c r="J34"/>
      <c r="K34"/>
      <c r="L34"/>
      <c r="M34"/>
      <c r="N34"/>
      <c r="O34"/>
      <c r="P34"/>
      <c r="Q34"/>
      <c r="R34"/>
      <c r="S34"/>
    </row>
    <row r="35" spans="1:19" ht="15.75" x14ac:dyDescent="0.3">
      <c r="D35" s="41" t="s">
        <v>28</v>
      </c>
      <c r="E35" s="47">
        <f>+E33</f>
        <v>2.8568500000000006</v>
      </c>
      <c r="F35" s="47">
        <v>0</v>
      </c>
      <c r="G35" s="47">
        <v>0</v>
      </c>
      <c r="H35" s="47">
        <v>0</v>
      </c>
      <c r="J35"/>
      <c r="K35"/>
      <c r="L35"/>
      <c r="M35"/>
      <c r="N35"/>
      <c r="O35"/>
      <c r="P35"/>
      <c r="Q35"/>
      <c r="R35"/>
      <c r="S35"/>
    </row>
    <row r="36" spans="1:19" ht="15.75" x14ac:dyDescent="0.3">
      <c r="D36" s="41" t="s">
        <v>29</v>
      </c>
      <c r="E36" s="47">
        <f>+E35*1.1</f>
        <v>3.142535000000001</v>
      </c>
      <c r="F36" s="47">
        <v>0</v>
      </c>
      <c r="G36" s="47">
        <v>0</v>
      </c>
      <c r="H36" s="47">
        <v>0</v>
      </c>
      <c r="J36"/>
      <c r="K36"/>
      <c r="L36"/>
      <c r="M36"/>
      <c r="N36"/>
      <c r="O36"/>
      <c r="P36"/>
      <c r="Q36"/>
      <c r="R36"/>
      <c r="S36"/>
    </row>
    <row r="37" spans="1:19" ht="16.5" thickBot="1" x14ac:dyDescent="0.35">
      <c r="A37" s="3"/>
      <c r="G37" s="41"/>
      <c r="J37"/>
      <c r="K37"/>
      <c r="L37"/>
      <c r="M37"/>
      <c r="N37"/>
      <c r="O37"/>
      <c r="P37"/>
      <c r="Q37"/>
      <c r="R37"/>
      <c r="S37"/>
    </row>
    <row r="38" spans="1:19" ht="15.75" x14ac:dyDescent="0.3">
      <c r="A38" s="3"/>
      <c r="B38" s="21"/>
      <c r="C38" s="30"/>
      <c r="E38" s="11" t="s">
        <v>31</v>
      </c>
      <c r="F38" s="12" t="s">
        <v>32</v>
      </c>
      <c r="G38" s="12"/>
      <c r="H38" s="13"/>
      <c r="J38"/>
      <c r="K38"/>
      <c r="L38"/>
      <c r="M38"/>
      <c r="N38"/>
      <c r="O38"/>
      <c r="P38"/>
      <c r="Q38"/>
      <c r="R38"/>
      <c r="S38"/>
    </row>
    <row r="39" spans="1:19" ht="16.5" thickBot="1" x14ac:dyDescent="0.35">
      <c r="A39" s="4" t="s">
        <v>33</v>
      </c>
      <c r="C39" s="48">
        <v>8</v>
      </c>
      <c r="D39" s="49" t="s">
        <v>34</v>
      </c>
      <c r="E39" s="14"/>
      <c r="F39" s="15" t="s">
        <v>35</v>
      </c>
      <c r="G39" s="15"/>
      <c r="H39" s="16"/>
      <c r="J39"/>
      <c r="K39"/>
      <c r="L39"/>
      <c r="M39"/>
      <c r="N39"/>
      <c r="O39"/>
      <c r="P39"/>
      <c r="Q39"/>
      <c r="R39"/>
      <c r="S39"/>
    </row>
    <row r="40" spans="1:19" ht="15.75" x14ac:dyDescent="0.3">
      <c r="A40" s="4"/>
      <c r="C40" s="21"/>
      <c r="D40" s="1" t="s">
        <v>36</v>
      </c>
      <c r="E40" s="3"/>
      <c r="F40" s="3"/>
      <c r="J40"/>
      <c r="K40"/>
      <c r="L40"/>
      <c r="M40"/>
      <c r="N40"/>
      <c r="O40"/>
      <c r="P40"/>
      <c r="Q40"/>
      <c r="R40"/>
      <c r="S40"/>
    </row>
    <row r="41" spans="1:19" ht="15.75" x14ac:dyDescent="0.3">
      <c r="A41" s="4" t="s">
        <v>37</v>
      </c>
      <c r="B41" s="5"/>
      <c r="C41" s="50">
        <f>+B49/F17</f>
        <v>1000</v>
      </c>
      <c r="D41" s="24">
        <f>+'cartón caja'!D40</f>
        <v>150</v>
      </c>
      <c r="F41" s="44" t="s">
        <v>38</v>
      </c>
      <c r="G41" s="23">
        <v>1</v>
      </c>
      <c r="H41" s="3"/>
      <c r="J41"/>
      <c r="K41"/>
      <c r="L41"/>
      <c r="M41"/>
      <c r="N41"/>
      <c r="O41"/>
      <c r="P41"/>
      <c r="Q41"/>
      <c r="R41"/>
      <c r="S41"/>
    </row>
    <row r="42" spans="1:19" ht="15.75" x14ac:dyDescent="0.3">
      <c r="A42" s="4" t="s">
        <v>39</v>
      </c>
      <c r="C42" s="34">
        <f>+C41+D41</f>
        <v>1150</v>
      </c>
      <c r="F42" s="44" t="s">
        <v>40</v>
      </c>
      <c r="G42" s="23">
        <v>2</v>
      </c>
      <c r="H42" s="3"/>
      <c r="J42"/>
      <c r="K42"/>
      <c r="L42"/>
      <c r="M42"/>
      <c r="N42"/>
      <c r="O42"/>
      <c r="P42"/>
      <c r="Q42"/>
      <c r="R42"/>
      <c r="S42"/>
    </row>
    <row r="43" spans="1:19" ht="15.75" x14ac:dyDescent="0.3">
      <c r="A43" s="4" t="s">
        <v>41</v>
      </c>
      <c r="C43" s="34">
        <f>+C42/C39</f>
        <v>143.75</v>
      </c>
      <c r="F43" s="44" t="s">
        <v>42</v>
      </c>
      <c r="G43" s="23"/>
      <c r="H43" s="3"/>
      <c r="J43"/>
      <c r="K43"/>
      <c r="L43"/>
      <c r="M43"/>
      <c r="N43"/>
      <c r="O43"/>
      <c r="P43"/>
      <c r="Q43"/>
      <c r="R43"/>
      <c r="S43"/>
    </row>
    <row r="44" spans="1:19" ht="15.75" x14ac:dyDescent="0.3">
      <c r="A44" s="4" t="s">
        <v>91</v>
      </c>
      <c r="C44" s="21">
        <f>+(C43*C39)*F17</f>
        <v>1150</v>
      </c>
      <c r="F44" s="41" t="s">
        <v>43</v>
      </c>
      <c r="G44" s="23">
        <f>+C41/1000</f>
        <v>1</v>
      </c>
      <c r="H44" s="3"/>
      <c r="J44"/>
      <c r="K44"/>
      <c r="L44"/>
      <c r="M44"/>
      <c r="N44"/>
      <c r="O44"/>
      <c r="P44"/>
      <c r="Q44"/>
      <c r="R44"/>
      <c r="S44"/>
    </row>
    <row r="45" spans="1:19" ht="15.75" x14ac:dyDescent="0.3">
      <c r="A45" s="4"/>
      <c r="C45" s="51"/>
      <c r="F45" s="44" t="s">
        <v>44</v>
      </c>
      <c r="G45" s="48">
        <f>+C42</f>
        <v>1150</v>
      </c>
      <c r="H45" s="3"/>
      <c r="J45"/>
      <c r="K45"/>
      <c r="L45"/>
      <c r="M45"/>
      <c r="N45"/>
      <c r="O45"/>
      <c r="P45"/>
      <c r="Q45"/>
      <c r="R45"/>
      <c r="S45"/>
    </row>
    <row r="46" spans="1:19" ht="15.75" x14ac:dyDescent="0.3">
      <c r="A46" s="4"/>
      <c r="C46" s="21"/>
      <c r="E46" s="44"/>
      <c r="F46" s="44"/>
      <c r="G46" s="30"/>
      <c r="I46" s="3"/>
      <c r="J46"/>
      <c r="K46"/>
      <c r="L46"/>
      <c r="M46"/>
      <c r="N46"/>
      <c r="O46"/>
      <c r="P46"/>
      <c r="Q46"/>
      <c r="R46"/>
      <c r="S46"/>
    </row>
    <row r="47" spans="1:19" ht="15.75" x14ac:dyDescent="0.3">
      <c r="A47" s="4" t="s">
        <v>45</v>
      </c>
      <c r="C47" s="25">
        <f>+C43*C39</f>
        <v>1150</v>
      </c>
      <c r="F47" s="44"/>
      <c r="G47" s="30"/>
      <c r="H47" s="3"/>
      <c r="J47"/>
      <c r="K47"/>
      <c r="L47"/>
      <c r="M47"/>
      <c r="N47"/>
      <c r="O47"/>
      <c r="P47"/>
      <c r="Q47"/>
      <c r="R47"/>
      <c r="S47"/>
    </row>
    <row r="48" spans="1:19" ht="15.75" x14ac:dyDescent="0.3">
      <c r="A48" s="3"/>
      <c r="B48" s="3"/>
      <c r="C48" s="3"/>
      <c r="D48" s="3"/>
      <c r="E48" s="3"/>
      <c r="H48" s="3"/>
      <c r="J48"/>
      <c r="K48"/>
      <c r="L48"/>
      <c r="M48"/>
      <c r="N48"/>
      <c r="O48"/>
      <c r="P48"/>
      <c r="Q48"/>
      <c r="R48"/>
    </row>
    <row r="49" spans="1:23" ht="15.75" x14ac:dyDescent="0.3">
      <c r="A49" s="4" t="s">
        <v>76</v>
      </c>
      <c r="B49" s="21">
        <f>+'cartón caja'!B48</f>
        <v>1000</v>
      </c>
      <c r="C49" s="21"/>
      <c r="D49" s="25" t="s">
        <v>46</v>
      </c>
      <c r="E49" s="25" t="s">
        <v>47</v>
      </c>
      <c r="F49" s="25" t="s">
        <v>48</v>
      </c>
      <c r="G49" s="25" t="s">
        <v>49</v>
      </c>
      <c r="H49" s="25" t="s">
        <v>50</v>
      </c>
      <c r="J49"/>
      <c r="K49"/>
      <c r="L49"/>
      <c r="M49"/>
      <c r="N49"/>
      <c r="O49"/>
      <c r="P49"/>
      <c r="Q49"/>
      <c r="R49"/>
      <c r="S49"/>
    </row>
    <row r="50" spans="1:23" ht="15.75" x14ac:dyDescent="0.3">
      <c r="A50" s="52" t="s">
        <v>51</v>
      </c>
      <c r="B50" s="53"/>
      <c r="C50" s="3"/>
      <c r="D50" s="21">
        <v>0</v>
      </c>
      <c r="E50" s="21">
        <v>0</v>
      </c>
      <c r="F50" s="21" t="s">
        <v>52</v>
      </c>
      <c r="G50" s="30">
        <v>295</v>
      </c>
      <c r="H50" s="30">
        <f>+(D50*E50)*G50</f>
        <v>0</v>
      </c>
      <c r="J50"/>
      <c r="K50"/>
      <c r="L50"/>
      <c r="M50"/>
      <c r="N50"/>
      <c r="O50"/>
      <c r="P50"/>
      <c r="Q50"/>
      <c r="R50"/>
      <c r="S50"/>
    </row>
    <row r="51" spans="1:23" ht="15.75" x14ac:dyDescent="0.3">
      <c r="A51" s="53" t="s">
        <v>53</v>
      </c>
      <c r="B51" s="54">
        <f>+E35*C43</f>
        <v>410.67218750000006</v>
      </c>
      <c r="C51" s="3">
        <f>+B51/2</f>
        <v>205.33609375000003</v>
      </c>
      <c r="D51" s="21">
        <v>0</v>
      </c>
      <c r="E51" s="21">
        <v>0</v>
      </c>
      <c r="F51" s="21" t="s">
        <v>77</v>
      </c>
      <c r="G51" s="30">
        <v>140</v>
      </c>
      <c r="H51" s="30">
        <f>+(D51*E51)*G51</f>
        <v>0</v>
      </c>
      <c r="J51"/>
      <c r="K51"/>
      <c r="L51"/>
      <c r="M51"/>
      <c r="N51"/>
      <c r="O51"/>
      <c r="P51"/>
      <c r="Q51"/>
      <c r="R51"/>
      <c r="S51"/>
    </row>
    <row r="52" spans="1:23" ht="15.75" x14ac:dyDescent="0.3">
      <c r="A52" s="53" t="s">
        <v>11</v>
      </c>
      <c r="B52" s="54">
        <f>+H62</f>
        <v>1829.4999999999998</v>
      </c>
      <c r="C52" s="3"/>
      <c r="D52" s="21">
        <v>0</v>
      </c>
      <c r="E52" s="21">
        <v>0</v>
      </c>
      <c r="F52" s="21" t="s">
        <v>83</v>
      </c>
      <c r="G52" s="30">
        <v>500</v>
      </c>
      <c r="H52" s="30">
        <f>+G52*E52*D52</f>
        <v>0</v>
      </c>
      <c r="J52"/>
      <c r="K52"/>
      <c r="L52"/>
      <c r="M52"/>
      <c r="N52"/>
      <c r="O52"/>
      <c r="P52"/>
      <c r="Q52"/>
      <c r="R52"/>
      <c r="S52"/>
    </row>
    <row r="53" spans="1:23" ht="15.75" x14ac:dyDescent="0.3">
      <c r="A53" s="53"/>
      <c r="B53" s="54"/>
      <c r="C53" s="3"/>
      <c r="D53" s="21">
        <v>1</v>
      </c>
      <c r="E53" s="21">
        <v>1</v>
      </c>
      <c r="F53" s="21" t="s">
        <v>97</v>
      </c>
      <c r="G53" s="30">
        <v>300</v>
      </c>
      <c r="H53" s="30">
        <f t="shared" ref="H53:H60" si="0">+G53*E53</f>
        <v>300</v>
      </c>
      <c r="I53" s="30">
        <f>+(B74/100)*2</f>
        <v>63.919788124999997</v>
      </c>
      <c r="Q53"/>
      <c r="R53"/>
      <c r="S53"/>
    </row>
    <row r="54" spans="1:23" ht="16.5" x14ac:dyDescent="0.3">
      <c r="A54" s="53" t="s">
        <v>147</v>
      </c>
      <c r="B54" s="54">
        <v>0</v>
      </c>
      <c r="C54" s="3"/>
      <c r="D54" s="21">
        <v>0</v>
      </c>
      <c r="E54" s="21">
        <v>0</v>
      </c>
      <c r="F54" s="21" t="s">
        <v>100</v>
      </c>
      <c r="G54" s="30">
        <v>0</v>
      </c>
      <c r="H54" s="30">
        <f t="shared" si="0"/>
        <v>0</v>
      </c>
      <c r="I54" s="55"/>
      <c r="Q54"/>
      <c r="R54"/>
      <c r="S54"/>
    </row>
    <row r="55" spans="1:23" ht="15.75" x14ac:dyDescent="0.3">
      <c r="A55" s="56" t="s">
        <v>93</v>
      </c>
      <c r="B55" s="54">
        <v>0</v>
      </c>
      <c r="C55" s="3"/>
      <c r="D55" s="21">
        <v>0</v>
      </c>
      <c r="E55" s="21">
        <v>0</v>
      </c>
      <c r="F55" s="21" t="s">
        <v>79</v>
      </c>
      <c r="G55" s="30">
        <v>130</v>
      </c>
      <c r="H55" s="30">
        <f t="shared" si="0"/>
        <v>0</v>
      </c>
      <c r="Q55"/>
      <c r="R55"/>
      <c r="S55"/>
    </row>
    <row r="56" spans="1:23" ht="15.75" x14ac:dyDescent="0.3">
      <c r="A56" s="56" t="s">
        <v>96</v>
      </c>
      <c r="B56" s="54">
        <v>0</v>
      </c>
      <c r="D56" s="21">
        <v>0</v>
      </c>
      <c r="E56" s="21">
        <v>0</v>
      </c>
      <c r="F56" s="21" t="s">
        <v>94</v>
      </c>
      <c r="G56" s="30">
        <v>120</v>
      </c>
      <c r="H56" s="30">
        <f t="shared" si="0"/>
        <v>0</v>
      </c>
      <c r="Q56"/>
      <c r="R56"/>
      <c r="S56"/>
    </row>
    <row r="57" spans="1:23" x14ac:dyDescent="0.3">
      <c r="A57" s="56" t="s">
        <v>95</v>
      </c>
      <c r="B57" s="54">
        <v>0</v>
      </c>
      <c r="D57" s="21">
        <v>0</v>
      </c>
      <c r="E57" s="21">
        <v>0</v>
      </c>
      <c r="F57" s="21" t="s">
        <v>30</v>
      </c>
      <c r="G57" s="30">
        <v>1.5</v>
      </c>
      <c r="H57" s="30">
        <f t="shared" si="0"/>
        <v>0</v>
      </c>
    </row>
    <row r="58" spans="1:23" ht="15.75" x14ac:dyDescent="0.3">
      <c r="A58" s="56"/>
      <c r="B58" s="56"/>
      <c r="D58" s="21">
        <v>0</v>
      </c>
      <c r="E58" s="21">
        <v>0</v>
      </c>
      <c r="F58" s="21" t="s">
        <v>55</v>
      </c>
      <c r="G58" s="30">
        <f>+F80</f>
        <v>550</v>
      </c>
      <c r="H58" s="30">
        <f t="shared" si="0"/>
        <v>0</v>
      </c>
      <c r="Q58"/>
      <c r="R58"/>
      <c r="S58"/>
      <c r="T58"/>
      <c r="U58"/>
      <c r="V58"/>
      <c r="W58"/>
    </row>
    <row r="59" spans="1:23" ht="15.75" x14ac:dyDescent="0.3">
      <c r="A59" s="52" t="s">
        <v>57</v>
      </c>
      <c r="B59" s="57">
        <f>SUM(B51:B58)</f>
        <v>2240.1721874999998</v>
      </c>
      <c r="C59" s="3"/>
      <c r="D59" s="21">
        <v>1</v>
      </c>
      <c r="E59" s="21">
        <v>1</v>
      </c>
      <c r="F59" s="3" t="s">
        <v>58</v>
      </c>
      <c r="G59" s="30">
        <f>+E80</f>
        <v>1529.4999999999998</v>
      </c>
      <c r="H59" s="30">
        <f t="shared" si="0"/>
        <v>1529.4999999999998</v>
      </c>
      <c r="Q59"/>
      <c r="R59"/>
      <c r="S59"/>
      <c r="T59"/>
      <c r="U59"/>
      <c r="V59"/>
      <c r="W59"/>
    </row>
    <row r="60" spans="1:23" ht="15.75" x14ac:dyDescent="0.3">
      <c r="A60" s="9"/>
      <c r="B60" s="58"/>
      <c r="C60" s="3"/>
      <c r="D60" s="21"/>
      <c r="E60" s="21"/>
      <c r="F60" s="3"/>
      <c r="G60" s="3"/>
      <c r="H60" s="30">
        <f t="shared" si="0"/>
        <v>0</v>
      </c>
      <c r="J60"/>
      <c r="K60"/>
      <c r="L60"/>
      <c r="M60"/>
      <c r="N60"/>
      <c r="O60"/>
      <c r="P60"/>
      <c r="Q60"/>
      <c r="R60"/>
      <c r="S60"/>
      <c r="T60"/>
      <c r="U60"/>
      <c r="V60"/>
      <c r="W60"/>
    </row>
    <row r="61" spans="1:23" ht="15.75" x14ac:dyDescent="0.3">
      <c r="A61" s="9"/>
      <c r="B61" s="32">
        <f>+B59/B49</f>
        <v>2.2401721874999998</v>
      </c>
      <c r="C61" s="4" t="s">
        <v>60</v>
      </c>
      <c r="D61" s="3"/>
      <c r="E61" s="3"/>
      <c r="F61" s="3"/>
      <c r="G61" s="3"/>
      <c r="J61"/>
      <c r="K61"/>
      <c r="L61"/>
      <c r="M61"/>
      <c r="N61"/>
      <c r="O61"/>
      <c r="P61"/>
      <c r="Q61"/>
      <c r="R61"/>
      <c r="S61"/>
      <c r="T61"/>
      <c r="U61"/>
      <c r="V61"/>
      <c r="W61"/>
    </row>
    <row r="62" spans="1:23" ht="15.75" x14ac:dyDescent="0.3">
      <c r="A62" s="3"/>
      <c r="B62" s="3"/>
      <c r="D62" s="3"/>
      <c r="E62" s="3"/>
      <c r="F62" s="3"/>
      <c r="G62" s="61" t="s">
        <v>61</v>
      </c>
      <c r="H62" s="30">
        <f>SUM(H50:H61)</f>
        <v>1829.4999999999998</v>
      </c>
      <c r="J62"/>
      <c r="K62"/>
      <c r="L62"/>
      <c r="M62"/>
      <c r="N62"/>
      <c r="O62"/>
      <c r="P62"/>
      <c r="Q62"/>
      <c r="R62"/>
      <c r="S62"/>
      <c r="T62"/>
      <c r="U62"/>
      <c r="V62"/>
      <c r="W62"/>
    </row>
    <row r="63" spans="1:23" ht="15.75" x14ac:dyDescent="0.3">
      <c r="D63" s="3"/>
      <c r="E63" s="3"/>
      <c r="G63" s="5" t="s">
        <v>62</v>
      </c>
      <c r="H63" s="76">
        <v>1.5</v>
      </c>
      <c r="J63"/>
      <c r="K63"/>
      <c r="L63"/>
      <c r="M63"/>
      <c r="N63"/>
      <c r="O63"/>
      <c r="P63"/>
      <c r="Q63"/>
      <c r="R63"/>
      <c r="S63"/>
      <c r="T63"/>
      <c r="U63"/>
      <c r="V63"/>
      <c r="W63"/>
    </row>
    <row r="64" spans="1:23" ht="15.75" x14ac:dyDescent="0.3">
      <c r="A64" s="4" t="s">
        <v>64</v>
      </c>
      <c r="B64" s="3"/>
      <c r="C64" s="3"/>
      <c r="E64" s="32"/>
      <c r="G64" s="1" t="s">
        <v>65</v>
      </c>
      <c r="H64" s="62">
        <v>1.75</v>
      </c>
      <c r="J64"/>
      <c r="K64"/>
      <c r="L64"/>
      <c r="M64"/>
      <c r="N64"/>
      <c r="O64"/>
      <c r="P64"/>
      <c r="Q64"/>
      <c r="R64"/>
      <c r="S64"/>
      <c r="T64"/>
      <c r="U64"/>
      <c r="V64"/>
      <c r="W64"/>
    </row>
    <row r="65" spans="1:23" ht="15.75" x14ac:dyDescent="0.3">
      <c r="A65" s="3"/>
      <c r="B65" s="4" t="s">
        <v>67</v>
      </c>
      <c r="C65" s="25" t="s">
        <v>68</v>
      </c>
      <c r="D65" s="3"/>
      <c r="E65" s="3"/>
      <c r="F65" s="3"/>
      <c r="G65" s="1" t="s">
        <v>65</v>
      </c>
      <c r="H65" s="62">
        <v>2</v>
      </c>
      <c r="J65"/>
      <c r="K65"/>
      <c r="L65"/>
      <c r="M65"/>
      <c r="N65"/>
      <c r="O65"/>
      <c r="P65"/>
      <c r="Q65"/>
      <c r="R65"/>
      <c r="S65"/>
      <c r="T65"/>
      <c r="U65"/>
      <c r="V65"/>
      <c r="W65"/>
    </row>
    <row r="66" spans="1:23" ht="15.75" x14ac:dyDescent="0.3">
      <c r="A66" s="52" t="s">
        <v>70</v>
      </c>
      <c r="B66" s="53"/>
      <c r="C66" s="3"/>
      <c r="D66" s="3"/>
      <c r="E66" s="3"/>
      <c r="F66" s="3"/>
      <c r="G66" s="5" t="s">
        <v>80</v>
      </c>
      <c r="H66" s="62">
        <v>2.5</v>
      </c>
      <c r="J66"/>
      <c r="K66"/>
      <c r="L66"/>
      <c r="M66"/>
      <c r="N66"/>
      <c r="O66"/>
      <c r="P66"/>
      <c r="Q66"/>
      <c r="R66"/>
      <c r="S66"/>
      <c r="T66"/>
      <c r="U66"/>
      <c r="V66"/>
      <c r="W66"/>
    </row>
    <row r="67" spans="1:23" ht="15.75" x14ac:dyDescent="0.3">
      <c r="A67" s="53" t="s">
        <v>53</v>
      </c>
      <c r="B67" s="54">
        <f>+E36*C43</f>
        <v>451.73940625000012</v>
      </c>
      <c r="C67" s="63"/>
      <c r="J67"/>
      <c r="K67"/>
      <c r="L67"/>
      <c r="M67"/>
      <c r="N67"/>
      <c r="O67"/>
      <c r="P67"/>
      <c r="Q67"/>
      <c r="R67"/>
      <c r="S67"/>
      <c r="T67"/>
      <c r="U67"/>
      <c r="V67"/>
      <c r="W67"/>
    </row>
    <row r="68" spans="1:23" ht="15.75" x14ac:dyDescent="0.3">
      <c r="A68" s="53" t="s">
        <v>11</v>
      </c>
      <c r="B68" s="54">
        <f>+H62*H63</f>
        <v>2744.2499999999995</v>
      </c>
      <c r="C68" s="63"/>
      <c r="J68"/>
      <c r="K68"/>
      <c r="L68"/>
      <c r="M68"/>
      <c r="N68"/>
      <c r="O68"/>
      <c r="P68"/>
      <c r="Q68"/>
      <c r="R68"/>
      <c r="S68"/>
      <c r="T68"/>
      <c r="U68"/>
      <c r="V68"/>
      <c r="W68"/>
    </row>
    <row r="69" spans="1:23" ht="15.75" x14ac:dyDescent="0.3">
      <c r="A69" s="53" t="str">
        <f>+A54</f>
        <v>Dummy</v>
      </c>
      <c r="B69" s="54">
        <f>+B54*H63</f>
        <v>0</v>
      </c>
      <c r="C69" s="63"/>
      <c r="J69"/>
      <c r="K69"/>
      <c r="L69"/>
      <c r="M69"/>
      <c r="N69"/>
      <c r="O69"/>
      <c r="P69"/>
      <c r="Q69"/>
      <c r="R69"/>
      <c r="S69"/>
      <c r="T69"/>
      <c r="U69"/>
      <c r="V69"/>
      <c r="W69"/>
    </row>
    <row r="70" spans="1:23" ht="15.75" x14ac:dyDescent="0.3">
      <c r="A70" s="53" t="str">
        <f>+A55</f>
        <v>Placas HS</v>
      </c>
      <c r="B70" s="54">
        <f>+B55*H63</f>
        <v>0</v>
      </c>
      <c r="C70" s="63"/>
      <c r="J70"/>
      <c r="K70"/>
      <c r="L70"/>
      <c r="M70"/>
      <c r="N70"/>
      <c r="O70"/>
      <c r="P70"/>
      <c r="Q70"/>
      <c r="R70"/>
      <c r="S70"/>
      <c r="T70"/>
      <c r="U70"/>
      <c r="V70"/>
      <c r="W70"/>
    </row>
    <row r="71" spans="1:23" ht="15.75" x14ac:dyDescent="0.3">
      <c r="A71" s="53" t="str">
        <f>+A56</f>
        <v>Imán</v>
      </c>
      <c r="B71" s="54">
        <f>+B56*H63</f>
        <v>0</v>
      </c>
      <c r="C71" s="63"/>
      <c r="F71" s="64" t="s">
        <v>72</v>
      </c>
      <c r="G71" s="32">
        <f>+B61</f>
        <v>2.2401721874999998</v>
      </c>
      <c r="H71" s="65">
        <f>+G71*B49</f>
        <v>2240.1721874999998</v>
      </c>
      <c r="J71"/>
      <c r="K71"/>
      <c r="L71"/>
      <c r="M71"/>
      <c r="N71"/>
      <c r="O71"/>
      <c r="P71"/>
      <c r="Q71"/>
      <c r="R71"/>
      <c r="S71"/>
      <c r="T71"/>
      <c r="U71"/>
      <c r="V71"/>
      <c r="W71"/>
    </row>
    <row r="72" spans="1:23" ht="15.75" x14ac:dyDescent="0.3">
      <c r="A72" s="53" t="str">
        <f>+A57</f>
        <v>Encuadernación</v>
      </c>
      <c r="B72" s="54">
        <f>+B57*1.2</f>
        <v>0</v>
      </c>
      <c r="C72" s="66"/>
      <c r="F72" s="64" t="s">
        <v>74</v>
      </c>
      <c r="G72" s="32">
        <f>+C74</f>
        <v>3.1959894062499998</v>
      </c>
      <c r="H72" s="65">
        <f>+G72*B49</f>
        <v>3195.9894062499998</v>
      </c>
      <c r="J72"/>
      <c r="K72"/>
      <c r="L72"/>
      <c r="M72"/>
      <c r="N72"/>
      <c r="O72"/>
      <c r="P72"/>
      <c r="Q72"/>
      <c r="R72"/>
      <c r="S72"/>
      <c r="T72"/>
      <c r="U72"/>
      <c r="V72"/>
      <c r="W72"/>
    </row>
    <row r="73" spans="1:23" ht="15.75" x14ac:dyDescent="0.3">
      <c r="A73" s="53"/>
      <c r="B73" s="54"/>
      <c r="C73" s="66"/>
      <c r="F73" s="67" t="s">
        <v>75</v>
      </c>
      <c r="G73" s="68">
        <f>+G72-G71</f>
        <v>0.95581721875000003</v>
      </c>
      <c r="H73" s="80">
        <f>+G73*B49</f>
        <v>955.81721875000005</v>
      </c>
      <c r="J73"/>
      <c r="K73"/>
      <c r="L73"/>
      <c r="M73"/>
      <c r="N73"/>
      <c r="O73"/>
      <c r="P73"/>
      <c r="Q73"/>
      <c r="R73"/>
      <c r="S73"/>
      <c r="T73"/>
      <c r="U73"/>
      <c r="V73"/>
      <c r="W73"/>
    </row>
    <row r="74" spans="1:23" x14ac:dyDescent="0.3">
      <c r="A74" s="52" t="s">
        <v>57</v>
      </c>
      <c r="B74" s="57">
        <f>SUM(B66:B73)</f>
        <v>3195.9894062499998</v>
      </c>
      <c r="C74" s="68">
        <f>+B74/B49</f>
        <v>3.1959894062499998</v>
      </c>
      <c r="D74" s="5" t="s">
        <v>140</v>
      </c>
    </row>
    <row r="75" spans="1:23" x14ac:dyDescent="0.3">
      <c r="C75" s="77"/>
      <c r="D75" s="5"/>
    </row>
    <row r="76" spans="1:23" x14ac:dyDescent="0.3">
      <c r="C76" s="77"/>
      <c r="D76" s="5"/>
    </row>
    <row r="77" spans="1:23" ht="15" thickBot="1" x14ac:dyDescent="0.35">
      <c r="A77" s="5" t="s">
        <v>151</v>
      </c>
    </row>
    <row r="78" spans="1:23" x14ac:dyDescent="0.3">
      <c r="A78" s="11" t="s">
        <v>152</v>
      </c>
      <c r="B78" s="12"/>
      <c r="C78" s="12"/>
      <c r="D78" s="12"/>
      <c r="E78" s="12"/>
      <c r="F78" s="12"/>
      <c r="G78" s="13"/>
    </row>
    <row r="79" spans="1:23" x14ac:dyDescent="0.3">
      <c r="A79" s="130">
        <f>+F16</f>
        <v>70</v>
      </c>
      <c r="B79" s="129">
        <f>+H16</f>
        <v>47.5</v>
      </c>
      <c r="C79" s="7" t="s">
        <v>153</v>
      </c>
      <c r="D79" s="73" t="s">
        <v>154</v>
      </c>
      <c r="E79" s="7" t="s">
        <v>155</v>
      </c>
      <c r="F79" s="75" t="s">
        <v>157</v>
      </c>
      <c r="G79" s="8"/>
    </row>
    <row r="80" spans="1:23" x14ac:dyDescent="0.3">
      <c r="A80" s="46">
        <f>0.7*0.475*C42</f>
        <v>382.37499999999994</v>
      </c>
      <c r="B80" s="77">
        <v>4</v>
      </c>
      <c r="C80" s="73">
        <f>+A80*B80</f>
        <v>1529.4999999999998</v>
      </c>
      <c r="D80" s="77">
        <v>0</v>
      </c>
      <c r="E80" s="77">
        <f>+C80+D80</f>
        <v>1529.4999999999998</v>
      </c>
      <c r="F80" s="132">
        <v>550</v>
      </c>
      <c r="G80" s="125" t="s">
        <v>158</v>
      </c>
    </row>
    <row r="81" spans="1:7" x14ac:dyDescent="0.3">
      <c r="A81" s="6"/>
      <c r="B81" s="75"/>
      <c r="C81" s="126"/>
      <c r="D81" s="73"/>
      <c r="E81" s="77">
        <v>500</v>
      </c>
      <c r="F81" s="7"/>
      <c r="G81" s="8"/>
    </row>
    <row r="82" spans="1:7" x14ac:dyDescent="0.3">
      <c r="A82" s="124">
        <f>+A79</f>
        <v>70</v>
      </c>
      <c r="B82" s="77">
        <f>+B79</f>
        <v>47.5</v>
      </c>
      <c r="C82" s="77"/>
      <c r="D82" s="77"/>
      <c r="E82" s="77"/>
      <c r="F82" s="75" t="s">
        <v>156</v>
      </c>
      <c r="G82" s="8"/>
    </row>
    <row r="83" spans="1:7" x14ac:dyDescent="0.3">
      <c r="A83" s="46">
        <f>0.66*0.365*C43</f>
        <v>34.629375000000003</v>
      </c>
      <c r="B83" s="77">
        <v>2.5</v>
      </c>
      <c r="C83" s="77">
        <f>+A83*B83</f>
        <v>86.573437500000011</v>
      </c>
      <c r="D83" s="77">
        <v>400</v>
      </c>
      <c r="E83" s="77">
        <f>+C83+D83</f>
        <v>486.57343750000001</v>
      </c>
      <c r="F83" s="127">
        <v>500</v>
      </c>
      <c r="G83" s="125" t="s">
        <v>158</v>
      </c>
    </row>
    <row r="84" spans="1:7" x14ac:dyDescent="0.3">
      <c r="A84" s="6"/>
      <c r="B84" s="7"/>
      <c r="C84" s="7"/>
      <c r="D84" s="73"/>
      <c r="E84" s="77">
        <v>1500</v>
      </c>
      <c r="F84" s="7"/>
      <c r="G84" s="8"/>
    </row>
    <row r="85" spans="1:7" ht="15" thickBot="1" x14ac:dyDescent="0.35">
      <c r="A85" s="14"/>
      <c r="B85" s="15"/>
      <c r="C85" s="15"/>
      <c r="D85" s="15"/>
      <c r="E85" s="15"/>
      <c r="F85" s="15"/>
      <c r="G85" s="16"/>
    </row>
  </sheetData>
  <pageMargins left="0.70866141732283472" right="0.70866141732283472" top="0.74803149606299213" bottom="0.74803149606299213" header="0.31496062992125984" footer="0.31496062992125984"/>
  <pageSetup scale="53" orientation="portrait" r:id="rId1"/>
  <headerFooter>
    <oddFooter>&amp;A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>
    <pageSetUpPr fitToPage="1"/>
  </sheetPr>
  <dimension ref="A1:U116"/>
  <sheetViews>
    <sheetView tabSelected="1" zoomScale="80" zoomScaleNormal="80" workbookViewId="0">
      <selection activeCell="C16" sqref="C16"/>
    </sheetView>
  </sheetViews>
  <sheetFormatPr baseColWidth="10" defaultRowHeight="14.25" x14ac:dyDescent="0.3"/>
  <cols>
    <col min="1" max="1" width="11.42578125" style="1"/>
    <col min="2" max="2" width="13.42578125" style="1" bestFit="1" customWidth="1"/>
    <col min="3" max="3" width="13.42578125" style="1" customWidth="1"/>
    <col min="4" max="4" width="9.7109375" style="1" customWidth="1"/>
    <col min="5" max="5" width="14.28515625" style="1" customWidth="1"/>
    <col min="6" max="6" width="12.5703125" style="1" customWidth="1"/>
    <col min="7" max="7" width="13.42578125" style="1" customWidth="1"/>
    <col min="8" max="8" width="14.5703125" style="1" customWidth="1"/>
    <col min="9" max="9" width="14.28515625" style="1" customWidth="1"/>
    <col min="10" max="10" width="12" style="1" customWidth="1"/>
    <col min="11" max="11" width="15.85546875" style="1" customWidth="1"/>
    <col min="12" max="12" width="16.85546875" style="1" customWidth="1"/>
    <col min="13" max="13" width="14.140625" style="1" customWidth="1"/>
    <col min="14" max="14" width="11.42578125" style="1"/>
    <col min="15" max="15" width="12.5703125" style="1" customWidth="1"/>
    <col min="16" max="16384" width="11.42578125" style="1"/>
  </cols>
  <sheetData>
    <row r="1" spans="1:21" ht="18.75" x14ac:dyDescent="0.3">
      <c r="J1" s="2"/>
      <c r="K1" s="3"/>
      <c r="L1" s="3"/>
      <c r="M1" s="3"/>
      <c r="N1" s="3"/>
      <c r="O1" s="3"/>
      <c r="P1" s="3"/>
    </row>
    <row r="2" spans="1:21" x14ac:dyDescent="0.3">
      <c r="J2" s="3"/>
      <c r="K2" s="3"/>
      <c r="L2" s="3"/>
      <c r="M2" s="3"/>
      <c r="N2" s="3"/>
      <c r="O2" s="4"/>
      <c r="P2" s="3"/>
    </row>
    <row r="3" spans="1:21" ht="15.75" x14ac:dyDescent="0.3">
      <c r="J3"/>
      <c r="P3"/>
      <c r="Q3"/>
      <c r="R3"/>
      <c r="S3" s="3"/>
      <c r="T3" s="3"/>
      <c r="U3" s="3"/>
    </row>
    <row r="4" spans="1:21" ht="15.75" x14ac:dyDescent="0.3">
      <c r="J4"/>
      <c r="P4"/>
      <c r="Q4"/>
      <c r="R4"/>
    </row>
    <row r="5" spans="1:21" ht="15.75" x14ac:dyDescent="0.3">
      <c r="A5" s="5"/>
      <c r="J5"/>
      <c r="P5"/>
      <c r="Q5"/>
      <c r="R5"/>
    </row>
    <row r="6" spans="1:21" ht="18.75" x14ac:dyDescent="0.3">
      <c r="A6" s="2" t="s">
        <v>2</v>
      </c>
      <c r="E6" s="5" t="s">
        <v>3</v>
      </c>
      <c r="F6" s="1" t="s">
        <v>4</v>
      </c>
      <c r="J6"/>
      <c r="P6"/>
      <c r="Q6"/>
      <c r="R6"/>
    </row>
    <row r="7" spans="1:21" ht="15.75" x14ac:dyDescent="0.3">
      <c r="J7"/>
      <c r="P7"/>
      <c r="Q7"/>
      <c r="R7"/>
    </row>
    <row r="8" spans="1:21" ht="15.75" x14ac:dyDescent="0.3">
      <c r="J8"/>
      <c r="P8"/>
      <c r="Q8"/>
      <c r="R8"/>
    </row>
    <row r="9" spans="1:21" s="5" customFormat="1" ht="15.75" x14ac:dyDescent="0.3">
      <c r="A9" s="5" t="s">
        <v>6</v>
      </c>
      <c r="C9" s="5" t="str">
        <f>+'cartón caja'!C9</f>
        <v>25 de septiembre de 2017.</v>
      </c>
      <c r="H9" s="5" t="s">
        <v>7</v>
      </c>
      <c r="J9"/>
      <c r="P9"/>
      <c r="Q9"/>
      <c r="R9"/>
      <c r="S9" s="1"/>
      <c r="T9" s="1"/>
      <c r="U9" s="1"/>
    </row>
    <row r="10" spans="1:21" ht="15.75" x14ac:dyDescent="0.3">
      <c r="J10"/>
      <c r="P10"/>
      <c r="Q10"/>
      <c r="R10"/>
    </row>
    <row r="11" spans="1:21" ht="16.5" thickBot="1" x14ac:dyDescent="0.35">
      <c r="A11" s="5" t="s">
        <v>8</v>
      </c>
      <c r="C11" s="1" t="str">
        <f>+'cartón caja'!C11</f>
        <v>Monex</v>
      </c>
      <c r="F11" s="5" t="s">
        <v>0</v>
      </c>
      <c r="J11"/>
      <c r="P11"/>
      <c r="Q11"/>
      <c r="R11"/>
    </row>
    <row r="12" spans="1:21" ht="15.75" x14ac:dyDescent="0.3">
      <c r="A12" s="5"/>
      <c r="F12" s="11"/>
      <c r="G12" s="12"/>
      <c r="H12" s="13"/>
      <c r="J12"/>
      <c r="P12"/>
      <c r="Q12"/>
      <c r="R12"/>
    </row>
    <row r="13" spans="1:21" ht="15.75" x14ac:dyDescent="0.3">
      <c r="A13" s="5" t="s">
        <v>9</v>
      </c>
      <c r="C13" s="1">
        <f>+'guarda INT'!C13</f>
        <v>0</v>
      </c>
      <c r="F13" s="6"/>
      <c r="G13" s="7"/>
      <c r="H13" s="8"/>
      <c r="J13"/>
      <c r="P13"/>
      <c r="Q13"/>
      <c r="R13"/>
    </row>
    <row r="14" spans="1:21" ht="15.75" x14ac:dyDescent="0.3">
      <c r="A14" s="5"/>
      <c r="F14" s="6"/>
      <c r="G14" s="7"/>
      <c r="H14" s="8"/>
      <c r="J14"/>
      <c r="P14"/>
      <c r="Q14"/>
      <c r="R14"/>
    </row>
    <row r="15" spans="1:21" ht="15.75" x14ac:dyDescent="0.3">
      <c r="A15" s="5" t="s">
        <v>10</v>
      </c>
      <c r="C15" s="19" t="s">
        <v>168</v>
      </c>
      <c r="D15" s="18"/>
      <c r="E15" s="18"/>
      <c r="F15" s="72" t="s">
        <v>5</v>
      </c>
      <c r="G15" s="7"/>
      <c r="H15" s="8"/>
      <c r="J15"/>
      <c r="P15"/>
      <c r="Q15"/>
      <c r="R15"/>
    </row>
    <row r="16" spans="1:21" ht="15.75" x14ac:dyDescent="0.3">
      <c r="C16" s="17" t="s">
        <v>169</v>
      </c>
      <c r="D16" s="18"/>
      <c r="E16" s="18"/>
      <c r="F16" s="46">
        <f>+F20</f>
        <v>32.4</v>
      </c>
      <c r="G16" s="73" t="s">
        <v>81</v>
      </c>
      <c r="H16" s="74">
        <f>+H20</f>
        <v>25</v>
      </c>
      <c r="J16"/>
      <c r="P16"/>
      <c r="Q16"/>
      <c r="R16"/>
    </row>
    <row r="17" spans="1:18" ht="15.75" x14ac:dyDescent="0.3">
      <c r="C17" s="17" t="s">
        <v>162</v>
      </c>
      <c r="D17" s="18"/>
      <c r="E17" s="18"/>
      <c r="F17" s="72">
        <v>1</v>
      </c>
      <c r="G17" s="75" t="s">
        <v>82</v>
      </c>
      <c r="H17" s="8"/>
      <c r="J17"/>
      <c r="P17"/>
      <c r="Q17"/>
      <c r="R17"/>
    </row>
    <row r="18" spans="1:18" ht="15.75" x14ac:dyDescent="0.3">
      <c r="C18" s="17" t="s">
        <v>149</v>
      </c>
      <c r="D18" s="18"/>
      <c r="E18" s="18"/>
      <c r="F18" s="6"/>
      <c r="G18" s="7"/>
      <c r="H18" s="8"/>
      <c r="J18"/>
      <c r="K18"/>
      <c r="L18"/>
      <c r="M18"/>
      <c r="N18"/>
      <c r="O18"/>
      <c r="P18"/>
      <c r="Q18"/>
      <c r="R18"/>
    </row>
    <row r="19" spans="1:18" ht="15.75" x14ac:dyDescent="0.3">
      <c r="C19" s="17" t="s">
        <v>163</v>
      </c>
      <c r="D19" s="18"/>
      <c r="E19" s="18"/>
      <c r="F19" s="6"/>
      <c r="G19" s="7"/>
      <c r="H19" s="8"/>
      <c r="J19"/>
      <c r="K19"/>
      <c r="L19"/>
      <c r="M19"/>
      <c r="N19"/>
      <c r="O19"/>
      <c r="P19"/>
      <c r="Q19"/>
      <c r="R19"/>
    </row>
    <row r="20" spans="1:18" ht="15.75" x14ac:dyDescent="0.3">
      <c r="C20" s="18" t="s">
        <v>171</v>
      </c>
      <c r="D20" s="18"/>
      <c r="E20" s="18"/>
      <c r="F20" s="46">
        <f>+Desarrollo!C40</f>
        <v>32.4</v>
      </c>
      <c r="G20" s="73" t="s">
        <v>81</v>
      </c>
      <c r="H20" s="74">
        <f>+Desarrollo!E40</f>
        <v>25</v>
      </c>
      <c r="J20"/>
      <c r="K20"/>
      <c r="L20"/>
      <c r="M20"/>
      <c r="N20"/>
      <c r="O20"/>
      <c r="P20"/>
      <c r="Q20"/>
      <c r="R20"/>
    </row>
    <row r="21" spans="1:18" ht="15.75" x14ac:dyDescent="0.3">
      <c r="C21" s="18" t="s">
        <v>170</v>
      </c>
      <c r="D21" s="18"/>
      <c r="E21" s="18"/>
      <c r="F21" s="6"/>
      <c r="G21" s="7"/>
      <c r="H21" s="8"/>
      <c r="J21"/>
      <c r="K21"/>
      <c r="L21"/>
      <c r="M21"/>
      <c r="N21"/>
      <c r="O21"/>
      <c r="P21"/>
      <c r="Q21"/>
      <c r="R21"/>
    </row>
    <row r="22" spans="1:18" ht="15.75" x14ac:dyDescent="0.3">
      <c r="C22" s="18" t="s">
        <v>161</v>
      </c>
      <c r="D22" s="18"/>
      <c r="E22" s="18"/>
      <c r="F22" s="6"/>
      <c r="G22" s="7"/>
      <c r="H22" s="8"/>
      <c r="J22"/>
      <c r="K22"/>
      <c r="L22"/>
      <c r="M22"/>
      <c r="N22"/>
      <c r="O22"/>
      <c r="P22"/>
      <c r="Q22"/>
      <c r="R22"/>
    </row>
    <row r="23" spans="1:18" ht="16.5" thickBot="1" x14ac:dyDescent="0.35">
      <c r="C23" s="18"/>
      <c r="D23" s="18"/>
      <c r="E23" s="18"/>
      <c r="F23" s="14"/>
      <c r="G23" s="15"/>
      <c r="H23" s="16"/>
      <c r="J23"/>
      <c r="K23"/>
      <c r="L23"/>
      <c r="M23"/>
      <c r="N23"/>
      <c r="O23"/>
      <c r="P23"/>
      <c r="Q23"/>
      <c r="R23"/>
    </row>
    <row r="24" spans="1:18" ht="15.75" x14ac:dyDescent="0.3">
      <c r="A24" s="4" t="s">
        <v>12</v>
      </c>
      <c r="C24" s="78" t="str">
        <f>+Desarrollo!A42</f>
        <v>Couche Blanco Mate</v>
      </c>
      <c r="D24" s="5" t="s">
        <v>13</v>
      </c>
      <c r="E24" s="22" t="str">
        <f>+Desarrollo!B42</f>
        <v>150 gr.</v>
      </c>
      <c r="J24"/>
      <c r="K24"/>
      <c r="L24"/>
      <c r="M24"/>
      <c r="N24"/>
      <c r="O24"/>
      <c r="P24"/>
      <c r="Q24"/>
      <c r="R24"/>
    </row>
    <row r="25" spans="1:18" ht="15.75" x14ac:dyDescent="0.3">
      <c r="J25"/>
      <c r="K25"/>
      <c r="L25"/>
      <c r="M25"/>
      <c r="N25"/>
      <c r="O25"/>
      <c r="P25"/>
      <c r="Q25"/>
      <c r="R25"/>
    </row>
    <row r="26" spans="1:18" ht="15.75" x14ac:dyDescent="0.3">
      <c r="A26" s="4" t="s">
        <v>14</v>
      </c>
      <c r="C26" s="23">
        <f>+Desarrollo!C42</f>
        <v>61</v>
      </c>
      <c r="D26" s="22" t="s">
        <v>15</v>
      </c>
      <c r="E26" s="24">
        <f>+Desarrollo!E42</f>
        <v>90</v>
      </c>
      <c r="F26" s="25">
        <f>+C26</f>
        <v>61</v>
      </c>
      <c r="G26" s="26" t="s">
        <v>15</v>
      </c>
      <c r="H26" s="26">
        <f>+E26</f>
        <v>90</v>
      </c>
      <c r="J26"/>
      <c r="K26"/>
      <c r="L26"/>
      <c r="M26"/>
      <c r="N26"/>
      <c r="O26"/>
      <c r="P26"/>
      <c r="Q26"/>
      <c r="R26"/>
    </row>
    <row r="27" spans="1:18" ht="15.75" x14ac:dyDescent="0.3">
      <c r="A27" s="4" t="s">
        <v>16</v>
      </c>
      <c r="B27" s="3"/>
      <c r="C27" s="27">
        <f>+F16</f>
        <v>32.4</v>
      </c>
      <c r="D27" s="28" t="s">
        <v>15</v>
      </c>
      <c r="E27" s="27">
        <f>+Desarrollo!E43</f>
        <v>25</v>
      </c>
      <c r="F27" s="29">
        <f>+E27</f>
        <v>25</v>
      </c>
      <c r="G27" s="29" t="s">
        <v>15</v>
      </c>
      <c r="H27" s="29">
        <f>+C27</f>
        <v>32.4</v>
      </c>
      <c r="I27" s="30"/>
      <c r="J27"/>
      <c r="K27"/>
      <c r="L27"/>
      <c r="M27"/>
      <c r="N27"/>
      <c r="O27"/>
      <c r="P27"/>
      <c r="Q27"/>
      <c r="R27"/>
    </row>
    <row r="28" spans="1:18" ht="16.5" thickBot="1" x14ac:dyDescent="0.35">
      <c r="A28" s="3" t="s">
        <v>17</v>
      </c>
      <c r="B28" s="31"/>
      <c r="C28" s="32">
        <f>+C26/C27</f>
        <v>1.8827160493827162</v>
      </c>
      <c r="D28" s="33"/>
      <c r="E28" s="32">
        <f>+E26/E27</f>
        <v>3.6</v>
      </c>
      <c r="F28" s="32">
        <f>+F26/F27</f>
        <v>2.44</v>
      </c>
      <c r="G28" s="33"/>
      <c r="H28" s="32">
        <f>+H26/H27</f>
        <v>2.7777777777777777</v>
      </c>
      <c r="I28" s="30"/>
      <c r="J28"/>
      <c r="K28"/>
      <c r="L28"/>
      <c r="M28"/>
      <c r="N28"/>
      <c r="O28"/>
      <c r="P28"/>
      <c r="Q28"/>
      <c r="R28"/>
    </row>
    <row r="29" spans="1:18" ht="16.5" thickBot="1" x14ac:dyDescent="0.35">
      <c r="A29" s="3" t="s">
        <v>18</v>
      </c>
      <c r="B29" s="34"/>
      <c r="C29" s="35"/>
      <c r="D29" s="36">
        <v>3</v>
      </c>
      <c r="E29" s="37"/>
      <c r="F29" s="38"/>
      <c r="G29" s="39">
        <v>4</v>
      </c>
      <c r="H29" s="40" t="s">
        <v>19</v>
      </c>
      <c r="J29"/>
      <c r="K29"/>
      <c r="L29"/>
      <c r="M29"/>
      <c r="N29"/>
      <c r="O29"/>
      <c r="P29"/>
      <c r="Q29"/>
      <c r="R29"/>
    </row>
    <row r="30" spans="1:18" ht="15.75" x14ac:dyDescent="0.3">
      <c r="A30" s="3"/>
      <c r="B30" s="21"/>
      <c r="C30" s="30"/>
      <c r="G30" s="41"/>
      <c r="H30" s="30"/>
      <c r="J30"/>
      <c r="K30"/>
      <c r="L30"/>
      <c r="M30"/>
      <c r="N30"/>
      <c r="O30"/>
      <c r="P30"/>
      <c r="Q30"/>
      <c r="R30"/>
    </row>
    <row r="31" spans="1:18" ht="15.75" x14ac:dyDescent="0.3">
      <c r="A31" s="25" t="s">
        <v>20</v>
      </c>
      <c r="B31" s="25" t="s">
        <v>88</v>
      </c>
      <c r="D31" s="41" t="s">
        <v>21</v>
      </c>
      <c r="E31" s="42">
        <f>+F31/1000</f>
        <v>2.7749999999999999</v>
      </c>
      <c r="F31" s="128">
        <f>+Desarrollo!G42</f>
        <v>2775</v>
      </c>
      <c r="G31" s="1" t="s">
        <v>22</v>
      </c>
      <c r="H31" s="43">
        <v>0.5</v>
      </c>
      <c r="J31"/>
      <c r="K31"/>
      <c r="L31"/>
      <c r="M31"/>
      <c r="N31"/>
      <c r="O31"/>
      <c r="P31"/>
      <c r="Q31"/>
      <c r="R31"/>
    </row>
    <row r="32" spans="1:18" ht="15.75" x14ac:dyDescent="0.3">
      <c r="A32" s="3"/>
      <c r="B32" s="3"/>
      <c r="C32" s="3"/>
      <c r="D32" s="44" t="s">
        <v>23</v>
      </c>
      <c r="E32" s="42">
        <f>+H31*E31</f>
        <v>1.3875</v>
      </c>
      <c r="H32" s="43"/>
      <c r="I32" s="30"/>
      <c r="J32"/>
      <c r="K32"/>
      <c r="L32"/>
      <c r="M32"/>
      <c r="N32"/>
      <c r="O32"/>
      <c r="P32"/>
      <c r="Q32"/>
      <c r="R32"/>
    </row>
    <row r="33" spans="1:19" ht="15.75" x14ac:dyDescent="0.3">
      <c r="D33" s="44" t="s">
        <v>24</v>
      </c>
      <c r="E33" s="45">
        <f>+E31-E32</f>
        <v>1.3875</v>
      </c>
      <c r="I33" s="30"/>
      <c r="J33"/>
      <c r="K33"/>
      <c r="L33"/>
      <c r="M33"/>
      <c r="N33"/>
      <c r="O33"/>
      <c r="P33"/>
      <c r="Q33"/>
      <c r="R33"/>
    </row>
    <row r="34" spans="1:19" ht="15.75" x14ac:dyDescent="0.3">
      <c r="E34" s="21" t="s">
        <v>26</v>
      </c>
      <c r="F34" s="21" t="s">
        <v>27</v>
      </c>
      <c r="G34" s="21" t="s">
        <v>27</v>
      </c>
      <c r="H34" s="21" t="s">
        <v>27</v>
      </c>
      <c r="I34" s="30"/>
      <c r="J34"/>
      <c r="K34"/>
      <c r="L34"/>
      <c r="M34"/>
      <c r="N34"/>
      <c r="O34"/>
      <c r="P34"/>
      <c r="Q34"/>
      <c r="R34"/>
    </row>
    <row r="35" spans="1:19" ht="15.75" x14ac:dyDescent="0.3">
      <c r="D35" s="41" t="s">
        <v>28</v>
      </c>
      <c r="E35" s="47">
        <f>+E33</f>
        <v>1.3875</v>
      </c>
      <c r="F35" s="47">
        <v>0</v>
      </c>
      <c r="G35" s="47">
        <v>0</v>
      </c>
      <c r="H35" s="47">
        <v>0</v>
      </c>
      <c r="J35"/>
      <c r="K35"/>
      <c r="L35"/>
      <c r="M35"/>
      <c r="N35"/>
      <c r="O35"/>
      <c r="P35"/>
      <c r="Q35"/>
      <c r="R35"/>
    </row>
    <row r="36" spans="1:19" ht="15.75" x14ac:dyDescent="0.3">
      <c r="D36" s="41" t="s">
        <v>29</v>
      </c>
      <c r="E36" s="47">
        <f>+E35*1.2</f>
        <v>1.6649999999999998</v>
      </c>
      <c r="F36" s="47">
        <v>0</v>
      </c>
      <c r="G36" s="47">
        <v>0</v>
      </c>
      <c r="H36" s="47">
        <v>0</v>
      </c>
      <c r="J36"/>
      <c r="K36"/>
      <c r="L36"/>
      <c r="M36"/>
      <c r="N36"/>
      <c r="O36"/>
      <c r="P36"/>
      <c r="Q36"/>
      <c r="R36"/>
    </row>
    <row r="37" spans="1:19" ht="16.5" thickBot="1" x14ac:dyDescent="0.35">
      <c r="A37" s="3"/>
      <c r="G37" s="41"/>
      <c r="J37"/>
      <c r="K37"/>
      <c r="L37"/>
      <c r="M37"/>
      <c r="N37"/>
      <c r="O37"/>
      <c r="P37"/>
      <c r="Q37"/>
      <c r="R37"/>
    </row>
    <row r="38" spans="1:19" ht="15.75" x14ac:dyDescent="0.3">
      <c r="A38" s="3"/>
      <c r="B38" s="21"/>
      <c r="C38" s="30"/>
      <c r="E38" s="11" t="s">
        <v>31</v>
      </c>
      <c r="F38" s="12" t="s">
        <v>32</v>
      </c>
      <c r="G38" s="12"/>
      <c r="H38" s="13"/>
      <c r="J38"/>
      <c r="K38"/>
      <c r="L38"/>
      <c r="M38"/>
      <c r="N38"/>
      <c r="O38"/>
      <c r="P38"/>
      <c r="Q38"/>
      <c r="R38"/>
    </row>
    <row r="39" spans="1:19" ht="16.5" thickBot="1" x14ac:dyDescent="0.35">
      <c r="A39" s="4" t="s">
        <v>33</v>
      </c>
      <c r="C39" s="48">
        <v>1</v>
      </c>
      <c r="D39" s="49" t="s">
        <v>34</v>
      </c>
      <c r="E39" s="14"/>
      <c r="F39" s="15" t="s">
        <v>35</v>
      </c>
      <c r="G39" s="15"/>
      <c r="H39" s="16"/>
      <c r="J39"/>
      <c r="K39"/>
      <c r="L39"/>
      <c r="M39"/>
      <c r="N39"/>
      <c r="O39"/>
      <c r="P39"/>
      <c r="Q39"/>
      <c r="R39"/>
    </row>
    <row r="40" spans="1:19" ht="15.75" x14ac:dyDescent="0.3">
      <c r="A40" s="4"/>
      <c r="C40" s="21"/>
      <c r="D40" s="1" t="s">
        <v>36</v>
      </c>
      <c r="E40" s="3"/>
      <c r="F40" s="3"/>
      <c r="J40"/>
      <c r="K40"/>
      <c r="L40"/>
      <c r="M40"/>
      <c r="N40"/>
      <c r="O40"/>
      <c r="P40"/>
      <c r="Q40"/>
      <c r="R40"/>
    </row>
    <row r="41" spans="1:19" ht="15.75" x14ac:dyDescent="0.3">
      <c r="A41" s="4" t="s">
        <v>37</v>
      </c>
      <c r="B41" s="5"/>
      <c r="C41" s="50">
        <f>+B49/F17</f>
        <v>1000</v>
      </c>
      <c r="D41" s="24">
        <v>800</v>
      </c>
      <c r="F41" s="44" t="s">
        <v>38</v>
      </c>
      <c r="G41" s="23">
        <v>1</v>
      </c>
      <c r="H41" s="3"/>
      <c r="J41"/>
      <c r="K41"/>
      <c r="L41"/>
      <c r="M41"/>
      <c r="N41"/>
      <c r="O41"/>
      <c r="P41"/>
      <c r="Q41"/>
      <c r="R41"/>
    </row>
    <row r="42" spans="1:19" ht="15.75" x14ac:dyDescent="0.3">
      <c r="A42" s="4" t="s">
        <v>39</v>
      </c>
      <c r="C42" s="34">
        <f>+C41+D41</f>
        <v>1800</v>
      </c>
      <c r="F42" s="44" t="s">
        <v>40</v>
      </c>
      <c r="G42" s="23">
        <v>2</v>
      </c>
      <c r="H42" s="3"/>
      <c r="J42"/>
      <c r="K42"/>
      <c r="L42"/>
      <c r="M42"/>
      <c r="N42"/>
      <c r="O42"/>
      <c r="P42"/>
      <c r="Q42"/>
      <c r="R42"/>
    </row>
    <row r="43" spans="1:19" ht="15.75" x14ac:dyDescent="0.3">
      <c r="A43" s="4" t="s">
        <v>41</v>
      </c>
      <c r="C43" s="34">
        <f>+C42/C39</f>
        <v>1800</v>
      </c>
      <c r="F43" s="44" t="s">
        <v>42</v>
      </c>
      <c r="G43" s="23"/>
      <c r="H43" s="3"/>
      <c r="J43"/>
      <c r="K43"/>
      <c r="L43"/>
      <c r="M43"/>
      <c r="N43"/>
      <c r="O43"/>
      <c r="P43"/>
      <c r="Q43"/>
      <c r="R43"/>
    </row>
    <row r="44" spans="1:19" ht="15.75" x14ac:dyDescent="0.3">
      <c r="A44" s="4" t="s">
        <v>91</v>
      </c>
      <c r="C44" s="21">
        <f>+(C43*C39)*F17</f>
        <v>1800</v>
      </c>
      <c r="F44" s="41" t="s">
        <v>43</v>
      </c>
      <c r="G44" s="23">
        <f>+C41/1000</f>
        <v>1</v>
      </c>
      <c r="H44" s="3"/>
      <c r="J44"/>
      <c r="K44"/>
      <c r="L44"/>
      <c r="M44"/>
      <c r="N44"/>
      <c r="O44"/>
      <c r="P44"/>
      <c r="Q44" s="7"/>
      <c r="R44" s="7"/>
    </row>
    <row r="45" spans="1:19" x14ac:dyDescent="0.3">
      <c r="A45" s="4"/>
      <c r="C45" s="51"/>
      <c r="F45" s="44" t="s">
        <v>44</v>
      </c>
      <c r="G45" s="48">
        <f>+C42</f>
        <v>1800</v>
      </c>
      <c r="H45" s="3"/>
      <c r="M45" s="7"/>
      <c r="N45" s="10"/>
      <c r="O45" s="73"/>
      <c r="P45" s="73"/>
      <c r="Q45" s="7"/>
      <c r="R45" s="7"/>
    </row>
    <row r="46" spans="1:19" x14ac:dyDescent="0.3">
      <c r="A46" s="4"/>
      <c r="C46" s="21"/>
      <c r="E46" s="44"/>
      <c r="F46" s="44"/>
      <c r="G46" s="30"/>
      <c r="I46" s="3"/>
      <c r="M46" s="7"/>
      <c r="N46" s="10"/>
      <c r="O46" s="73"/>
      <c r="P46" s="73"/>
      <c r="Q46" s="7"/>
      <c r="R46" s="7"/>
    </row>
    <row r="47" spans="1:19" x14ac:dyDescent="0.3">
      <c r="A47" s="4" t="s">
        <v>45</v>
      </c>
      <c r="C47" s="25">
        <f>+C43*C39</f>
        <v>1800</v>
      </c>
      <c r="F47" s="44"/>
      <c r="G47" s="30"/>
      <c r="H47" s="3"/>
      <c r="M47" s="7"/>
      <c r="N47" s="10"/>
      <c r="O47" s="73"/>
      <c r="P47" s="73"/>
      <c r="Q47" s="7"/>
      <c r="R47" s="7"/>
    </row>
    <row r="48" spans="1:19" ht="15.75" x14ac:dyDescent="0.3">
      <c r="A48" s="3"/>
      <c r="B48" s="3"/>
      <c r="C48" s="3"/>
      <c r="D48" s="3"/>
      <c r="E48" s="3"/>
      <c r="H48" s="3"/>
      <c r="J48"/>
      <c r="K48"/>
      <c r="L48"/>
      <c r="M48"/>
      <c r="N48"/>
      <c r="O48"/>
      <c r="P48"/>
      <c r="Q48"/>
      <c r="R48"/>
      <c r="S48"/>
    </row>
    <row r="49" spans="1:21" ht="15.75" x14ac:dyDescent="0.3">
      <c r="A49" s="4" t="s">
        <v>76</v>
      </c>
      <c r="B49" s="21">
        <f>+'cartón caja'!B48</f>
        <v>1000</v>
      </c>
      <c r="C49" s="3"/>
      <c r="D49" s="25" t="s">
        <v>46</v>
      </c>
      <c r="E49" s="25" t="s">
        <v>47</v>
      </c>
      <c r="F49" s="25" t="s">
        <v>48</v>
      </c>
      <c r="G49" s="25" t="s">
        <v>49</v>
      </c>
      <c r="H49" s="25" t="s">
        <v>50</v>
      </c>
      <c r="J49"/>
      <c r="K49"/>
      <c r="L49"/>
      <c r="M49"/>
      <c r="N49"/>
      <c r="O49"/>
      <c r="P49"/>
      <c r="Q49"/>
      <c r="R49"/>
      <c r="S49"/>
    </row>
    <row r="50" spans="1:21" ht="15.75" x14ac:dyDescent="0.3">
      <c r="A50" s="52" t="s">
        <v>51</v>
      </c>
      <c r="B50" s="53"/>
      <c r="C50" s="3"/>
      <c r="D50" s="21">
        <v>4</v>
      </c>
      <c r="E50" s="21">
        <v>1</v>
      </c>
      <c r="F50" s="21" t="s">
        <v>159</v>
      </c>
      <c r="G50" s="30">
        <f>185+145</f>
        <v>330</v>
      </c>
      <c r="H50" s="30">
        <f>+(D50*E50)*G50</f>
        <v>1320</v>
      </c>
      <c r="J50"/>
      <c r="K50"/>
      <c r="L50"/>
      <c r="M50"/>
      <c r="N50"/>
      <c r="O50"/>
      <c r="P50"/>
      <c r="Q50"/>
      <c r="R50"/>
      <c r="S50"/>
    </row>
    <row r="51" spans="1:21" ht="15.75" x14ac:dyDescent="0.3">
      <c r="A51" s="53" t="s">
        <v>53</v>
      </c>
      <c r="B51" s="54">
        <f>+E35*C43</f>
        <v>2497.5</v>
      </c>
      <c r="C51" s="3"/>
      <c r="D51" s="21">
        <v>4</v>
      </c>
      <c r="E51" s="21">
        <v>1</v>
      </c>
      <c r="F51" s="21" t="s">
        <v>77</v>
      </c>
      <c r="G51" s="30">
        <v>805</v>
      </c>
      <c r="H51" s="30">
        <f>+(D51*E51)*G51</f>
        <v>3220</v>
      </c>
      <c r="J51"/>
      <c r="K51"/>
      <c r="L51"/>
      <c r="M51"/>
      <c r="N51"/>
      <c r="O51"/>
      <c r="P51"/>
      <c r="Q51"/>
      <c r="R51"/>
      <c r="S51"/>
    </row>
    <row r="52" spans="1:21" ht="15.75" x14ac:dyDescent="0.3">
      <c r="A52" s="53" t="s">
        <v>11</v>
      </c>
      <c r="B52" s="54">
        <f>+H62</f>
        <v>5986</v>
      </c>
      <c r="C52" s="3"/>
      <c r="D52" s="21">
        <v>0</v>
      </c>
      <c r="E52" s="21">
        <v>0</v>
      </c>
      <c r="F52" s="21" t="s">
        <v>117</v>
      </c>
      <c r="G52" s="30">
        <v>160</v>
      </c>
      <c r="H52" s="30">
        <f>+G52*E52*D52</f>
        <v>0</v>
      </c>
      <c r="J52"/>
      <c r="K52"/>
      <c r="L52"/>
      <c r="M52"/>
      <c r="N52"/>
      <c r="O52"/>
      <c r="P52"/>
      <c r="Q52"/>
      <c r="R52"/>
      <c r="S52"/>
    </row>
    <row r="53" spans="1:21" ht="15.75" x14ac:dyDescent="0.3">
      <c r="A53" s="53" t="s">
        <v>174</v>
      </c>
      <c r="B53" s="54">
        <f>100*4</f>
        <v>400</v>
      </c>
      <c r="C53" s="3"/>
      <c r="D53" s="21">
        <v>1</v>
      </c>
      <c r="E53" s="21">
        <v>1</v>
      </c>
      <c r="F53" s="21" t="s">
        <v>97</v>
      </c>
      <c r="G53" s="30">
        <v>870</v>
      </c>
      <c r="H53" s="30">
        <f t="shared" ref="H53:H55" si="0">+G53*E53</f>
        <v>870</v>
      </c>
      <c r="I53" s="30">
        <f>+(B75/100)*2</f>
        <v>733.95</v>
      </c>
      <c r="J53"/>
      <c r="K53"/>
      <c r="L53"/>
      <c r="M53"/>
      <c r="N53"/>
      <c r="O53"/>
      <c r="P53"/>
      <c r="Q53"/>
      <c r="R53"/>
      <c r="S53"/>
    </row>
    <row r="54" spans="1:21" ht="16.5" x14ac:dyDescent="0.3">
      <c r="A54" s="56" t="s">
        <v>175</v>
      </c>
      <c r="B54" s="54">
        <f>+(B49*1.3)*1.1</f>
        <v>1430.0000000000002</v>
      </c>
      <c r="C54" s="3"/>
      <c r="D54" s="21">
        <v>0</v>
      </c>
      <c r="E54" s="21">
        <v>0</v>
      </c>
      <c r="F54" s="21" t="s">
        <v>78</v>
      </c>
      <c r="G54" s="30">
        <v>135</v>
      </c>
      <c r="H54" s="30">
        <f t="shared" si="0"/>
        <v>0</v>
      </c>
      <c r="I54" s="55"/>
      <c r="J54"/>
      <c r="K54"/>
      <c r="L54"/>
      <c r="M54"/>
      <c r="N54"/>
      <c r="O54"/>
      <c r="P54"/>
      <c r="Q54"/>
      <c r="R54"/>
      <c r="S54"/>
    </row>
    <row r="55" spans="1:21" ht="15.75" x14ac:dyDescent="0.3">
      <c r="A55" s="56" t="s">
        <v>150</v>
      </c>
      <c r="B55" s="54">
        <f>+(C95*B49)*1.1</f>
        <v>5390</v>
      </c>
      <c r="C55" s="3" t="s">
        <v>176</v>
      </c>
      <c r="D55" s="21">
        <v>0</v>
      </c>
      <c r="E55" s="21">
        <v>0</v>
      </c>
      <c r="F55" s="21" t="s">
        <v>79</v>
      </c>
      <c r="G55" s="30">
        <v>135</v>
      </c>
      <c r="H55" s="30">
        <f t="shared" si="0"/>
        <v>0</v>
      </c>
      <c r="J55"/>
      <c r="K55"/>
      <c r="L55"/>
      <c r="M55"/>
      <c r="N55"/>
      <c r="O55"/>
      <c r="P55"/>
      <c r="Q55"/>
      <c r="R55"/>
      <c r="S55"/>
    </row>
    <row r="56" spans="1:21" ht="15.75" x14ac:dyDescent="0.3">
      <c r="A56" s="56" t="s">
        <v>95</v>
      </c>
      <c r="B56" s="54">
        <f>(8*B49)*1.1</f>
        <v>8800</v>
      </c>
      <c r="D56" s="21">
        <v>0</v>
      </c>
      <c r="E56" s="21">
        <v>0</v>
      </c>
      <c r="F56" s="21" t="s">
        <v>141</v>
      </c>
      <c r="G56" s="30">
        <v>400</v>
      </c>
      <c r="H56" s="30">
        <f>+G56*E56</f>
        <v>0</v>
      </c>
      <c r="J56"/>
      <c r="K56"/>
      <c r="L56"/>
      <c r="M56"/>
      <c r="N56"/>
      <c r="O56"/>
      <c r="P56"/>
      <c r="Q56"/>
      <c r="R56"/>
      <c r="S56"/>
    </row>
    <row r="57" spans="1:21" ht="15.75" x14ac:dyDescent="0.3">
      <c r="A57" s="56" t="s">
        <v>101</v>
      </c>
      <c r="B57" s="54">
        <v>600</v>
      </c>
      <c r="D57" s="21">
        <v>0</v>
      </c>
      <c r="E57" s="21">
        <v>0</v>
      </c>
      <c r="F57" s="21" t="s">
        <v>116</v>
      </c>
      <c r="G57" s="30">
        <v>200</v>
      </c>
      <c r="H57" s="30">
        <f>+G57*E57</f>
        <v>0</v>
      </c>
      <c r="J57"/>
      <c r="K57"/>
      <c r="L57"/>
      <c r="M57"/>
      <c r="N57"/>
      <c r="O57"/>
      <c r="P57"/>
      <c r="Q57"/>
      <c r="R57"/>
      <c r="S57"/>
    </row>
    <row r="58" spans="1:21" ht="15.75" x14ac:dyDescent="0.3">
      <c r="A58" s="56" t="s">
        <v>114</v>
      </c>
      <c r="B58" s="54">
        <v>400</v>
      </c>
      <c r="D58" s="21">
        <v>0</v>
      </c>
      <c r="E58" s="21">
        <v>0</v>
      </c>
      <c r="F58" s="21" t="s">
        <v>55</v>
      </c>
      <c r="G58" s="30">
        <v>1.5</v>
      </c>
      <c r="H58" s="30">
        <f t="shared" ref="H58:H59" si="1">+G58*E58</f>
        <v>0</v>
      </c>
      <c r="O58"/>
      <c r="P58"/>
      <c r="Q58"/>
    </row>
    <row r="59" spans="1:21" ht="15.75" x14ac:dyDescent="0.3">
      <c r="A59" s="52" t="s">
        <v>57</v>
      </c>
      <c r="B59" s="57">
        <f>SUM(B51:B57)</f>
        <v>25103.5</v>
      </c>
      <c r="C59" s="3"/>
      <c r="D59" s="21">
        <v>1</v>
      </c>
      <c r="E59" s="21">
        <v>1</v>
      </c>
      <c r="F59" s="3" t="s">
        <v>58</v>
      </c>
      <c r="G59" s="30">
        <f>+E109</f>
        <v>576</v>
      </c>
      <c r="H59" s="30">
        <f t="shared" si="1"/>
        <v>576</v>
      </c>
      <c r="O59"/>
      <c r="P59"/>
      <c r="Q59"/>
    </row>
    <row r="60" spans="1:21" ht="15.75" x14ac:dyDescent="0.3">
      <c r="A60" s="9"/>
      <c r="B60" s="58"/>
      <c r="C60" s="3"/>
      <c r="D60" s="21"/>
      <c r="E60" s="21"/>
      <c r="F60" s="3"/>
      <c r="G60" s="3"/>
      <c r="H60" s="30">
        <f t="shared" ref="H60" si="2">+G60*E60</f>
        <v>0</v>
      </c>
      <c r="O60"/>
      <c r="P60"/>
      <c r="Q60"/>
      <c r="S60"/>
      <c r="T60"/>
      <c r="U60"/>
    </row>
    <row r="61" spans="1:21" ht="15.75" x14ac:dyDescent="0.3">
      <c r="A61" s="9"/>
      <c r="B61" s="32">
        <f>+B59/B49</f>
        <v>25.1035</v>
      </c>
      <c r="C61" s="4" t="s">
        <v>60</v>
      </c>
      <c r="D61" s="3"/>
      <c r="E61" s="3"/>
      <c r="F61" s="3"/>
      <c r="G61" s="3"/>
      <c r="O61"/>
      <c r="P61"/>
      <c r="Q61"/>
      <c r="S61"/>
      <c r="T61"/>
      <c r="U61"/>
    </row>
    <row r="62" spans="1:21" ht="15.75" x14ac:dyDescent="0.3">
      <c r="A62" s="3"/>
      <c r="B62" s="3"/>
      <c r="D62" s="3"/>
      <c r="E62" s="3"/>
      <c r="F62" s="3"/>
      <c r="G62" s="61" t="s">
        <v>61</v>
      </c>
      <c r="H62" s="30">
        <f>SUM(H50:H61)</f>
        <v>5986</v>
      </c>
      <c r="O62"/>
      <c r="P62"/>
      <c r="Q62"/>
      <c r="S62"/>
      <c r="T62"/>
      <c r="U62"/>
    </row>
    <row r="63" spans="1:21" ht="15.75" x14ac:dyDescent="0.3">
      <c r="D63" s="3"/>
      <c r="E63" s="3"/>
      <c r="G63" s="5" t="s">
        <v>62</v>
      </c>
      <c r="H63" s="76">
        <v>1.5</v>
      </c>
      <c r="O63"/>
      <c r="P63"/>
      <c r="Q63"/>
      <c r="S63"/>
      <c r="T63"/>
      <c r="U63"/>
    </row>
    <row r="64" spans="1:21" ht="15.75" x14ac:dyDescent="0.3">
      <c r="A64" s="4" t="s">
        <v>64</v>
      </c>
      <c r="B64" s="3"/>
      <c r="C64" s="3"/>
      <c r="E64" s="32"/>
      <c r="G64" s="1" t="s">
        <v>65</v>
      </c>
      <c r="H64" s="62">
        <v>1.75</v>
      </c>
      <c r="O64"/>
      <c r="P64"/>
      <c r="Q64"/>
      <c r="S64"/>
      <c r="T64"/>
      <c r="U64"/>
    </row>
    <row r="65" spans="1:21" ht="15.75" x14ac:dyDescent="0.3">
      <c r="A65" s="3"/>
      <c r="B65" s="4" t="s">
        <v>67</v>
      </c>
      <c r="C65" s="25" t="s">
        <v>68</v>
      </c>
      <c r="D65" s="3"/>
      <c r="E65" s="3"/>
      <c r="F65" s="3"/>
      <c r="G65" s="1" t="s">
        <v>65</v>
      </c>
      <c r="H65" s="62">
        <v>2</v>
      </c>
      <c r="O65"/>
      <c r="P65"/>
      <c r="Q65"/>
      <c r="S65"/>
      <c r="T65"/>
      <c r="U65"/>
    </row>
    <row r="66" spans="1:21" ht="15.75" x14ac:dyDescent="0.3">
      <c r="A66" s="52" t="s">
        <v>70</v>
      </c>
      <c r="B66" s="53"/>
      <c r="C66" s="3"/>
      <c r="D66" s="3"/>
      <c r="E66" s="3"/>
      <c r="F66" s="3"/>
      <c r="G66" s="5" t="s">
        <v>150</v>
      </c>
      <c r="H66" s="76">
        <v>1.35</v>
      </c>
      <c r="O66"/>
      <c r="P66"/>
      <c r="Q66"/>
      <c r="S66"/>
      <c r="T66"/>
      <c r="U66"/>
    </row>
    <row r="67" spans="1:21" ht="15.75" x14ac:dyDescent="0.3">
      <c r="A67" s="53" t="s">
        <v>53</v>
      </c>
      <c r="B67" s="54">
        <f>+E36*C43</f>
        <v>2996.9999999999995</v>
      </c>
      <c r="C67" s="63"/>
      <c r="O67"/>
      <c r="P67"/>
      <c r="Q67"/>
      <c r="S67"/>
      <c r="T67"/>
      <c r="U67"/>
    </row>
    <row r="68" spans="1:21" ht="15.75" x14ac:dyDescent="0.3">
      <c r="A68" s="53" t="s">
        <v>11</v>
      </c>
      <c r="B68" s="54">
        <f>+H62*H63</f>
        <v>8979</v>
      </c>
      <c r="C68" s="63"/>
      <c r="O68"/>
      <c r="P68"/>
      <c r="Q68"/>
      <c r="S68"/>
      <c r="T68"/>
      <c r="U68"/>
    </row>
    <row r="69" spans="1:21" ht="15.75" x14ac:dyDescent="0.3">
      <c r="A69" s="53" t="str">
        <f t="shared" ref="A69:A74" si="3">+A53</f>
        <v xml:space="preserve">Prueba de color </v>
      </c>
      <c r="B69" s="54">
        <f>+B53*H63</f>
        <v>600</v>
      </c>
      <c r="C69" s="63"/>
      <c r="G69" s="64" t="s">
        <v>72</v>
      </c>
      <c r="H69" s="32">
        <f>+B61</f>
        <v>25.1035</v>
      </c>
      <c r="I69" s="65">
        <f>+H69*B49</f>
        <v>25103.5</v>
      </c>
      <c r="O69"/>
      <c r="P69"/>
      <c r="Q69"/>
      <c r="S69"/>
      <c r="T69"/>
      <c r="U69"/>
    </row>
    <row r="70" spans="1:21" ht="15.75" x14ac:dyDescent="0.3">
      <c r="A70" s="53" t="str">
        <f t="shared" si="3"/>
        <v xml:space="preserve">Retractilado </v>
      </c>
      <c r="B70" s="54">
        <f>+B54*H63</f>
        <v>2145.0000000000005</v>
      </c>
      <c r="C70" s="63"/>
      <c r="G70" s="64" t="s">
        <v>74</v>
      </c>
      <c r="H70" s="32">
        <f>+C75</f>
        <v>36.697499999999998</v>
      </c>
      <c r="I70" s="65">
        <f>+H70*B49</f>
        <v>36697.5</v>
      </c>
      <c r="O70"/>
      <c r="P70"/>
      <c r="Q70"/>
      <c r="S70"/>
      <c r="T70"/>
      <c r="U70"/>
    </row>
    <row r="71" spans="1:21" ht="15.75" x14ac:dyDescent="0.3">
      <c r="A71" s="53" t="str">
        <f t="shared" si="3"/>
        <v>Wire´o</v>
      </c>
      <c r="B71" s="54">
        <f>+B55*H66</f>
        <v>7276.5000000000009</v>
      </c>
      <c r="C71" s="66"/>
      <c r="G71" s="67" t="s">
        <v>75</v>
      </c>
      <c r="H71" s="68">
        <f>+H70-H69</f>
        <v>11.593999999999998</v>
      </c>
      <c r="I71" s="80">
        <f>+H71*B49</f>
        <v>11593.999999999998</v>
      </c>
      <c r="O71"/>
      <c r="P71"/>
      <c r="Q71"/>
      <c r="S71"/>
      <c r="T71"/>
      <c r="U71"/>
    </row>
    <row r="72" spans="1:21" ht="15.75" x14ac:dyDescent="0.3">
      <c r="A72" s="53" t="str">
        <f t="shared" si="3"/>
        <v>Encuadernación</v>
      </c>
      <c r="B72" s="54">
        <f>+B56*H63</f>
        <v>13200</v>
      </c>
      <c r="C72" s="66"/>
      <c r="G72" s="137" t="s">
        <v>102</v>
      </c>
      <c r="H72" s="137"/>
      <c r="I72" s="83">
        <f>+(A80/100)*2.5</f>
        <v>1848.1936726562499</v>
      </c>
      <c r="O72"/>
      <c r="P72"/>
      <c r="Q72"/>
      <c r="S72"/>
      <c r="T72"/>
      <c r="U72"/>
    </row>
    <row r="73" spans="1:21" ht="15.75" x14ac:dyDescent="0.3">
      <c r="A73" s="53" t="str">
        <f t="shared" si="3"/>
        <v>Empaque</v>
      </c>
      <c r="B73" s="54">
        <f>+B57*H63</f>
        <v>900</v>
      </c>
      <c r="C73" s="66"/>
      <c r="O73"/>
      <c r="P73"/>
      <c r="Q73"/>
      <c r="S73"/>
      <c r="T73"/>
      <c r="U73"/>
    </row>
    <row r="74" spans="1:21" ht="15.75" x14ac:dyDescent="0.3">
      <c r="A74" s="53" t="str">
        <f t="shared" si="3"/>
        <v>Envio</v>
      </c>
      <c r="B74" s="54">
        <f>+B58*H63</f>
        <v>600</v>
      </c>
      <c r="C74" s="68" t="s">
        <v>112</v>
      </c>
      <c r="D74" s="26"/>
      <c r="E74" s="26"/>
      <c r="F74" s="26" t="s">
        <v>72</v>
      </c>
      <c r="O74"/>
      <c r="P74"/>
      <c r="Q74"/>
      <c r="S74"/>
      <c r="T74"/>
      <c r="U74"/>
    </row>
    <row r="75" spans="1:21" ht="15.75" x14ac:dyDescent="0.3">
      <c r="A75" s="52" t="s">
        <v>57</v>
      </c>
      <c r="B75" s="57">
        <f>SUM(B66:B74)</f>
        <v>36697.5</v>
      </c>
      <c r="C75" s="68">
        <f>+B75/B49</f>
        <v>36.697499999999998</v>
      </c>
      <c r="D75" s="5" t="s">
        <v>115</v>
      </c>
      <c r="F75" s="77">
        <f>+B61</f>
        <v>25.1035</v>
      </c>
      <c r="G75" s="7"/>
      <c r="O75"/>
      <c r="P75"/>
      <c r="Q75"/>
      <c r="S75"/>
      <c r="T75"/>
      <c r="U75"/>
    </row>
    <row r="76" spans="1:21" ht="15.75" x14ac:dyDescent="0.3">
      <c r="C76" s="77">
        <f>+'guarda INT'!C74*1</f>
        <v>3.1959894062499998</v>
      </c>
      <c r="D76" s="5" t="str">
        <f>+'guarda INT'!D74</f>
        <v>Guarda INT</v>
      </c>
      <c r="E76" s="5"/>
      <c r="F76" s="77">
        <f>+'guarda INT'!B61</f>
        <v>2.2401721874999998</v>
      </c>
      <c r="O76"/>
      <c r="P76"/>
      <c r="Q76"/>
    </row>
    <row r="77" spans="1:21" ht="15.75" x14ac:dyDescent="0.3">
      <c r="C77" s="65">
        <f>+Interiores!C74</f>
        <v>30.663275000000002</v>
      </c>
      <c r="D77" s="5" t="s">
        <v>145</v>
      </c>
      <c r="F77" s="77">
        <f>+Interiores!B61</f>
        <v>24.45025</v>
      </c>
      <c r="O77"/>
      <c r="P77"/>
      <c r="Q77"/>
    </row>
    <row r="78" spans="1:21" x14ac:dyDescent="0.3">
      <c r="A78" s="5"/>
      <c r="C78" s="77">
        <f>+'cartón caja'!C72</f>
        <v>3.3709825000000002</v>
      </c>
      <c r="D78" s="5" t="str">
        <f>+'cartón caja'!D72</f>
        <v>cartón Pastas</v>
      </c>
      <c r="E78" s="5"/>
      <c r="F78" s="77">
        <f>+'cartón caja'!B60</f>
        <v>2.9190749999999999</v>
      </c>
      <c r="J78" s="7"/>
    </row>
    <row r="79" spans="1:21" x14ac:dyDescent="0.3">
      <c r="C79" s="120"/>
      <c r="F79" s="120"/>
    </row>
    <row r="80" spans="1:21" ht="15.75" customHeight="1" x14ac:dyDescent="0.3">
      <c r="A80" s="136">
        <f>+C80*B49</f>
        <v>73927.746906249988</v>
      </c>
      <c r="B80" s="136"/>
      <c r="C80" s="79">
        <f>SUM(C75:C78)</f>
        <v>73.927746906249993</v>
      </c>
      <c r="D80" s="5" t="s">
        <v>98</v>
      </c>
      <c r="F80" s="81">
        <f>SUM(F75:F78)</f>
        <v>54.712997187500001</v>
      </c>
      <c r="G80" s="82">
        <f>+F80*B49</f>
        <v>54712.997187499997</v>
      </c>
      <c r="I80" s="135">
        <f>+A80-G80</f>
        <v>19214.74971874999</v>
      </c>
      <c r="J80" s="135"/>
    </row>
    <row r="81" spans="1:18" x14ac:dyDescent="0.3">
      <c r="C81" s="68"/>
      <c r="D81" s="123"/>
    </row>
    <row r="82" spans="1:18" x14ac:dyDescent="0.3">
      <c r="C82" s="122"/>
      <c r="J82" s="71"/>
    </row>
    <row r="85" spans="1:18" ht="15" thickBot="1" x14ac:dyDescent="0.35"/>
    <row r="86" spans="1:18" ht="16.5" x14ac:dyDescent="0.3">
      <c r="A86" s="5" t="s">
        <v>56</v>
      </c>
      <c r="F86" s="138" t="s">
        <v>123</v>
      </c>
      <c r="G86" s="139"/>
      <c r="H86" s="139"/>
      <c r="I86" s="139"/>
      <c r="J86" s="140"/>
    </row>
    <row r="87" spans="1:18" x14ac:dyDescent="0.3">
      <c r="C87" s="5"/>
      <c r="F87" s="96"/>
      <c r="G87" s="90" t="s">
        <v>118</v>
      </c>
      <c r="H87" s="90" t="s">
        <v>119</v>
      </c>
      <c r="I87" s="90" t="s">
        <v>121</v>
      </c>
      <c r="J87" s="97" t="s">
        <v>120</v>
      </c>
    </row>
    <row r="88" spans="1:18" ht="16.5" x14ac:dyDescent="0.3">
      <c r="B88" s="61" t="s">
        <v>59</v>
      </c>
      <c r="C88" s="104" t="s">
        <v>150</v>
      </c>
      <c r="D88" s="105"/>
      <c r="F88" s="98" t="str">
        <f>+D75</f>
        <v>forro cartera</v>
      </c>
      <c r="G88" s="91" t="str">
        <f>+C24</f>
        <v>Couche Blanco Mate</v>
      </c>
      <c r="H88" s="92">
        <f>+E35</f>
        <v>1.3875</v>
      </c>
      <c r="I88" s="93">
        <f>+C43</f>
        <v>1800</v>
      </c>
      <c r="J88" s="99">
        <f>+H88*I88</f>
        <v>2497.5</v>
      </c>
      <c r="M88" s="55"/>
      <c r="N88" s="55"/>
      <c r="O88" s="55"/>
      <c r="P88" s="55"/>
      <c r="Q88" s="55"/>
      <c r="R88" s="55"/>
    </row>
    <row r="89" spans="1:18" ht="16.5" x14ac:dyDescent="0.3">
      <c r="B89" s="41" t="s">
        <v>1</v>
      </c>
      <c r="C89" s="59"/>
      <c r="D89" s="60"/>
      <c r="F89" s="98" t="str">
        <f>+D77</f>
        <v>Interiores</v>
      </c>
      <c r="G89" s="91" t="str">
        <f>+CONCATENATE(Interiores!C24, Interiores!E24, Interiores!F24)</f>
        <v>Bond Blanco75 gr.</v>
      </c>
      <c r="H89" s="92">
        <f>+Interiores!E35</f>
        <v>1.0189999999999999</v>
      </c>
      <c r="I89" s="93">
        <f>+Interiores!C43</f>
        <v>14750.000000000002</v>
      </c>
      <c r="J89" s="99">
        <f>+I89*H89</f>
        <v>15030.25</v>
      </c>
      <c r="M89" s="55"/>
      <c r="N89" s="55"/>
      <c r="O89" s="55"/>
      <c r="P89" s="55"/>
      <c r="Q89" s="55"/>
      <c r="R89" s="55"/>
    </row>
    <row r="90" spans="1:18" ht="16.5" x14ac:dyDescent="0.3">
      <c r="B90" s="41" t="s">
        <v>13</v>
      </c>
      <c r="C90" s="84" t="s">
        <v>177</v>
      </c>
      <c r="D90" s="60"/>
      <c r="F90" s="98" t="str">
        <f>+D76</f>
        <v>Guarda INT</v>
      </c>
      <c r="G90" s="91" t="str">
        <f>+CONCATENATE('guarda INT'!C24,  'guarda INT'!F24)</f>
        <v>Couche Blanco Mate150 gr.</v>
      </c>
      <c r="H90" s="92">
        <f>+'guarda INT'!E35</f>
        <v>2.8568500000000006</v>
      </c>
      <c r="I90" s="93">
        <f>+'guarda INT'!C43</f>
        <v>143.75</v>
      </c>
      <c r="J90" s="99">
        <f t="shared" ref="J90:J91" si="4">+I90*H90</f>
        <v>410.67218750000006</v>
      </c>
      <c r="M90" s="55"/>
      <c r="N90" s="55"/>
      <c r="O90" s="55"/>
      <c r="P90" s="55"/>
      <c r="Q90" s="55"/>
      <c r="R90" s="55"/>
    </row>
    <row r="91" spans="1:18" ht="16.5" x14ac:dyDescent="0.3">
      <c r="B91" s="41" t="s">
        <v>63</v>
      </c>
      <c r="C91" s="84">
        <v>1</v>
      </c>
      <c r="D91" s="60" t="s">
        <v>104</v>
      </c>
      <c r="F91" s="98" t="str">
        <f>+D78</f>
        <v>cartón Pastas</v>
      </c>
      <c r="G91" s="91" t="s">
        <v>122</v>
      </c>
      <c r="H91" s="92">
        <f>+'cartón caja'!E30</f>
        <v>39.429000000000002</v>
      </c>
      <c r="I91" s="93">
        <f>+'cartón caja'!C42</f>
        <v>63.888888888888886</v>
      </c>
      <c r="J91" s="99">
        <f t="shared" si="4"/>
        <v>2519.0749999999998</v>
      </c>
      <c r="K91" s="66"/>
      <c r="M91" s="55"/>
      <c r="N91" s="55"/>
      <c r="O91" s="55"/>
      <c r="P91" s="55"/>
      <c r="Q91" s="55"/>
      <c r="R91" s="55"/>
    </row>
    <row r="92" spans="1:18" ht="16.5" x14ac:dyDescent="0.3">
      <c r="B92" s="41" t="s">
        <v>66</v>
      </c>
      <c r="C92" s="84">
        <v>1</v>
      </c>
      <c r="D92" s="60">
        <f>+C91*100</f>
        <v>100</v>
      </c>
      <c r="F92" s="98" t="str">
        <f>+A53</f>
        <v xml:space="preserve">Prueba de color </v>
      </c>
      <c r="G92" s="91"/>
      <c r="H92" s="92">
        <f>+B53+Interiores!B54</f>
        <v>600</v>
      </c>
      <c r="I92" s="93">
        <v>1</v>
      </c>
      <c r="J92" s="99">
        <f>+I92*H92</f>
        <v>600</v>
      </c>
      <c r="M92" s="55"/>
      <c r="N92" s="55"/>
      <c r="O92" s="55"/>
      <c r="P92" s="55"/>
      <c r="Q92" s="55"/>
      <c r="R92" s="55"/>
    </row>
    <row r="93" spans="1:18" ht="16.5" x14ac:dyDescent="0.3">
      <c r="B93" s="41" t="s">
        <v>69</v>
      </c>
      <c r="C93" s="84">
        <f>+B49*1.1</f>
        <v>1100</v>
      </c>
      <c r="D93" s="85">
        <f>+((B48*60)*2)</f>
        <v>0</v>
      </c>
      <c r="F93" s="98" t="str">
        <f>+C88</f>
        <v>Wire´o</v>
      </c>
      <c r="G93" s="91"/>
      <c r="H93" s="92">
        <v>4.9000000000000004</v>
      </c>
      <c r="I93" s="93">
        <v>1050</v>
      </c>
      <c r="J93" s="99">
        <f>+I93*H93</f>
        <v>5145</v>
      </c>
      <c r="M93" s="55"/>
      <c r="N93" s="55"/>
      <c r="O93" s="55"/>
      <c r="P93" s="55"/>
      <c r="Q93" s="55"/>
      <c r="R93" s="55"/>
    </row>
    <row r="94" spans="1:18" ht="16.5" x14ac:dyDescent="0.3">
      <c r="B94" s="41" t="s">
        <v>71</v>
      </c>
      <c r="C94" s="86"/>
      <c r="D94" s="60"/>
      <c r="F94" s="98"/>
      <c r="G94" s="91"/>
      <c r="H94" s="92"/>
      <c r="I94" s="93"/>
      <c r="J94" s="99"/>
      <c r="M94" s="55"/>
      <c r="N94" s="55"/>
      <c r="O94" s="55"/>
      <c r="P94" s="55"/>
      <c r="Q94" s="55"/>
      <c r="R94" s="55"/>
    </row>
    <row r="95" spans="1:18" ht="16.5" x14ac:dyDescent="0.3">
      <c r="B95" s="41" t="s">
        <v>105</v>
      </c>
      <c r="C95" s="86">
        <v>4.9000000000000004</v>
      </c>
      <c r="D95" s="87" t="s">
        <v>106</v>
      </c>
      <c r="F95" s="98"/>
      <c r="G95" s="91"/>
      <c r="H95" s="92"/>
      <c r="I95" s="93"/>
      <c r="J95" s="99"/>
      <c r="M95" s="55"/>
      <c r="N95" s="55"/>
      <c r="O95" s="55"/>
      <c r="P95" s="55"/>
      <c r="Q95" s="55"/>
      <c r="R95" s="55"/>
    </row>
    <row r="96" spans="1:18" ht="16.5" x14ac:dyDescent="0.3">
      <c r="B96" s="41" t="s">
        <v>73</v>
      </c>
      <c r="C96" s="86">
        <f>+C95*C93</f>
        <v>5390</v>
      </c>
      <c r="D96" s="60"/>
      <c r="F96" s="121"/>
      <c r="G96" s="91"/>
      <c r="H96" s="92"/>
      <c r="I96" s="93"/>
      <c r="J96" s="99"/>
      <c r="M96" s="55"/>
      <c r="N96" s="55"/>
      <c r="O96" s="55"/>
      <c r="P96" s="55"/>
      <c r="Q96" s="55"/>
      <c r="R96" s="55"/>
    </row>
    <row r="97" spans="1:18" ht="16.5" x14ac:dyDescent="0.3">
      <c r="B97" s="41" t="s">
        <v>103</v>
      </c>
      <c r="C97" s="86">
        <v>0</v>
      </c>
      <c r="D97" s="60"/>
      <c r="F97" s="98"/>
      <c r="G97" s="91"/>
      <c r="H97" s="92"/>
      <c r="I97" s="93"/>
      <c r="J97" s="99"/>
      <c r="M97" s="55"/>
      <c r="N97" s="55"/>
      <c r="O97" s="55"/>
      <c r="P97" s="55"/>
      <c r="Q97" s="55"/>
      <c r="R97" s="55"/>
    </row>
    <row r="98" spans="1:18" ht="16.5" thickBot="1" x14ac:dyDescent="0.35">
      <c r="B98" s="41" t="s">
        <v>107</v>
      </c>
      <c r="C98" s="86">
        <v>0</v>
      </c>
      <c r="D98" s="60"/>
      <c r="F98" s="100"/>
      <c r="G98" s="101"/>
      <c r="H98" s="101"/>
      <c r="I98" s="102"/>
      <c r="J98" s="103"/>
    </row>
    <row r="99" spans="1:18" ht="16.5" thickBot="1" x14ac:dyDescent="0.35">
      <c r="B99" s="1" t="s">
        <v>108</v>
      </c>
      <c r="C99" s="86">
        <v>0</v>
      </c>
      <c r="D99" s="60"/>
      <c r="F99"/>
      <c r="G99"/>
      <c r="H99"/>
      <c r="I99" s="94" t="s">
        <v>120</v>
      </c>
      <c r="J99" s="95">
        <f>SUM(J88:J98)</f>
        <v>26202.497187500001</v>
      </c>
    </row>
    <row r="100" spans="1:18" x14ac:dyDescent="0.3">
      <c r="B100" s="41" t="s">
        <v>109</v>
      </c>
      <c r="C100" s="88">
        <f>+C98+C96</f>
        <v>5390</v>
      </c>
      <c r="D100" s="89">
        <f>+C100/B49</f>
        <v>5.39</v>
      </c>
      <c r="E100" s="1" t="s">
        <v>111</v>
      </c>
    </row>
    <row r="101" spans="1:18" x14ac:dyDescent="0.3">
      <c r="B101" s="41" t="s">
        <v>110</v>
      </c>
      <c r="C101" s="88">
        <f>+C100*H66</f>
        <v>7276.5000000000009</v>
      </c>
      <c r="D101" s="89">
        <f>+C101/B49</f>
        <v>7.2765000000000013</v>
      </c>
      <c r="E101" s="1" t="s">
        <v>111</v>
      </c>
    </row>
    <row r="102" spans="1:18" x14ac:dyDescent="0.3">
      <c r="C102" s="59"/>
      <c r="D102" s="60"/>
    </row>
    <row r="103" spans="1:18" x14ac:dyDescent="0.3">
      <c r="C103" s="59"/>
      <c r="D103" s="60"/>
    </row>
    <row r="106" spans="1:18" ht="15" thickBot="1" x14ac:dyDescent="0.35">
      <c r="A106" s="5" t="s">
        <v>151</v>
      </c>
    </row>
    <row r="107" spans="1:18" x14ac:dyDescent="0.3">
      <c r="A107" s="11" t="s">
        <v>152</v>
      </c>
      <c r="B107" s="12"/>
      <c r="C107" s="12"/>
      <c r="D107" s="12"/>
      <c r="E107" s="12"/>
      <c r="F107" s="12"/>
      <c r="G107" s="13"/>
    </row>
    <row r="108" spans="1:18" x14ac:dyDescent="0.3">
      <c r="A108" s="130">
        <f>+F16</f>
        <v>32.4</v>
      </c>
      <c r="B108" s="129">
        <f>+H16</f>
        <v>25</v>
      </c>
      <c r="C108" s="7" t="s">
        <v>153</v>
      </c>
      <c r="D108" s="73" t="s">
        <v>154</v>
      </c>
      <c r="E108" s="7" t="s">
        <v>155</v>
      </c>
      <c r="F108" s="75" t="s">
        <v>157</v>
      </c>
      <c r="G108" s="8"/>
    </row>
    <row r="109" spans="1:18" x14ac:dyDescent="0.3">
      <c r="A109" s="46">
        <f>0.32*0.25*C42</f>
        <v>144</v>
      </c>
      <c r="B109" s="77">
        <v>4</v>
      </c>
      <c r="C109" s="73">
        <f>+A109*B109</f>
        <v>576</v>
      </c>
      <c r="D109" s="77">
        <v>0</v>
      </c>
      <c r="E109" s="79">
        <f>+C109+D109</f>
        <v>576</v>
      </c>
      <c r="F109" s="127">
        <v>500</v>
      </c>
      <c r="G109" s="125" t="s">
        <v>158</v>
      </c>
    </row>
    <row r="110" spans="1:18" x14ac:dyDescent="0.3">
      <c r="A110" s="6"/>
      <c r="B110" s="75"/>
      <c r="C110" s="126"/>
      <c r="D110" s="73"/>
      <c r="E110" s="77"/>
      <c r="F110" s="7"/>
      <c r="G110" s="8"/>
    </row>
    <row r="111" spans="1:18" x14ac:dyDescent="0.3">
      <c r="A111" s="124">
        <f>+A108</f>
        <v>32.4</v>
      </c>
      <c r="B111" s="77">
        <f>+B108</f>
        <v>25</v>
      </c>
      <c r="C111" s="77"/>
      <c r="D111" s="77"/>
      <c r="E111" s="77"/>
      <c r="F111" s="75" t="s">
        <v>156</v>
      </c>
      <c r="G111" s="8"/>
    </row>
    <row r="112" spans="1:18" x14ac:dyDescent="0.3">
      <c r="A112" s="46">
        <f>0.66*0.365*C73</f>
        <v>0</v>
      </c>
      <c r="B112" s="77">
        <v>2.5</v>
      </c>
      <c r="C112" s="77">
        <f>+A112*B112</f>
        <v>0</v>
      </c>
      <c r="D112" s="77">
        <v>400</v>
      </c>
      <c r="E112" s="77">
        <f>+C112+D112</f>
        <v>400</v>
      </c>
      <c r="F112" s="127">
        <v>1500</v>
      </c>
      <c r="G112" s="125" t="s">
        <v>158</v>
      </c>
    </row>
    <row r="113" spans="1:18" x14ac:dyDescent="0.3">
      <c r="A113" s="6"/>
      <c r="B113" s="7"/>
      <c r="C113" s="7"/>
      <c r="D113" s="73"/>
      <c r="E113" s="77"/>
      <c r="G113" s="125"/>
    </row>
    <row r="114" spans="1:18" ht="15" thickBot="1" x14ac:dyDescent="0.35">
      <c r="A114" s="14"/>
      <c r="B114" s="15"/>
      <c r="C114" s="15"/>
      <c r="D114" s="15"/>
      <c r="E114" s="15"/>
      <c r="F114" s="15"/>
      <c r="G114" s="16"/>
    </row>
    <row r="116" spans="1:18" ht="16.5" x14ac:dyDescent="0.3">
      <c r="A116" s="5"/>
      <c r="M116" s="55"/>
      <c r="N116" s="55"/>
      <c r="O116" s="55"/>
      <c r="P116" s="55"/>
      <c r="Q116" s="55"/>
      <c r="R116" s="55"/>
    </row>
  </sheetData>
  <mergeCells count="4">
    <mergeCell ref="I80:J80"/>
    <mergeCell ref="A80:B80"/>
    <mergeCell ref="G72:H72"/>
    <mergeCell ref="F86:J86"/>
  </mergeCells>
  <pageMargins left="0.70866141732283472" right="0.70866141732283472" top="0.74803149606299213" bottom="0.74803149606299213" header="0.31496062992125984" footer="0.31496062992125984"/>
  <pageSetup scale="39" orientation="portrait" r:id="rId1"/>
  <headerFooter>
    <oddFooter>&amp;A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Desarrollo</vt:lpstr>
      <vt:lpstr>cartón caja</vt:lpstr>
      <vt:lpstr>Interiores</vt:lpstr>
      <vt:lpstr>guarda INT</vt:lpstr>
      <vt:lpstr>forro cartera final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</dc:creator>
  <cp:lastModifiedBy>Ventas-Empresarial</cp:lastModifiedBy>
  <cp:lastPrinted>2017-09-26T00:33:40Z</cp:lastPrinted>
  <dcterms:created xsi:type="dcterms:W3CDTF">2013-03-04T22:24:31Z</dcterms:created>
  <dcterms:modified xsi:type="dcterms:W3CDTF">2017-10-18T18:31:38Z</dcterms:modified>
</cp:coreProperties>
</file>