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5"/>
  </bookViews>
  <sheets>
    <sheet name="cartón caja" sheetId="39" r:id="rId1"/>
    <sheet name="cartón cartera" sheetId="40" r:id="rId2"/>
    <sheet name="forro caja INT" sheetId="34" r:id="rId3"/>
    <sheet name="forro caja EXT" sheetId="42" r:id="rId4"/>
    <sheet name="forro guarda" sheetId="43" r:id="rId5"/>
    <sheet name="forro cartera final" sheetId="38" r:id="rId6"/>
  </sheets>
  <calcPr calcId="145621" concurrentCalc="0"/>
</workbook>
</file>

<file path=xl/calcChain.xml><?xml version="1.0" encoding="utf-8"?>
<calcChain xmlns="http://schemas.openxmlformats.org/spreadsheetml/2006/main">
  <c r="G52" i="40" l="1"/>
  <c r="A82" i="43"/>
  <c r="B82" i="43"/>
  <c r="C82" i="43"/>
  <c r="E82" i="43"/>
  <c r="G53" i="43"/>
  <c r="H53" i="43"/>
  <c r="G58" i="43"/>
  <c r="H58" i="43"/>
  <c r="H50" i="43"/>
  <c r="H52" i="43"/>
  <c r="H61" i="43"/>
  <c r="A78" i="43"/>
  <c r="B78" i="43"/>
  <c r="A79" i="43"/>
  <c r="C79" i="43"/>
  <c r="E79" i="43"/>
  <c r="A81" i="43"/>
  <c r="B81" i="43"/>
  <c r="A82" i="42"/>
  <c r="B82" i="42"/>
  <c r="C82" i="42"/>
  <c r="E82" i="42"/>
  <c r="G53" i="42"/>
  <c r="H53" i="42"/>
  <c r="G58" i="42"/>
  <c r="H58" i="42"/>
  <c r="H52" i="42"/>
  <c r="H50" i="42"/>
  <c r="H61" i="42"/>
  <c r="A78" i="42"/>
  <c r="B78" i="42"/>
  <c r="A79" i="42"/>
  <c r="C79" i="42"/>
  <c r="E79" i="42"/>
  <c r="A81" i="42"/>
  <c r="B81" i="42"/>
  <c r="H49" i="38"/>
  <c r="D108" i="38"/>
  <c r="D107" i="38"/>
  <c r="B106" i="38"/>
  <c r="E103" i="38"/>
  <c r="E102" i="38"/>
  <c r="E101" i="38"/>
  <c r="B48" i="38"/>
  <c r="C40" i="38"/>
  <c r="C41" i="38"/>
  <c r="C42" i="38"/>
  <c r="E100" i="38"/>
  <c r="C100" i="38"/>
  <c r="C101" i="38"/>
  <c r="C102" i="38"/>
  <c r="C103" i="38"/>
  <c r="D102" i="38"/>
  <c r="E105" i="38"/>
  <c r="E104" i="38"/>
  <c r="D104" i="38"/>
  <c r="D105" i="38"/>
  <c r="E31" i="38"/>
  <c r="E32" i="38"/>
  <c r="E34" i="38"/>
  <c r="D100" i="38"/>
  <c r="F100" i="38"/>
  <c r="F101" i="38"/>
  <c r="F102" i="38"/>
  <c r="F103" i="38"/>
  <c r="F104" i="38"/>
  <c r="F105" i="38"/>
  <c r="F106" i="38"/>
  <c r="F107" i="38"/>
  <c r="F108" i="38"/>
  <c r="F111" i="38"/>
  <c r="D84" i="38"/>
  <c r="B105" i="38"/>
  <c r="D83" i="38"/>
  <c r="B104" i="38"/>
  <c r="D101" i="38"/>
  <c r="D103" i="38"/>
  <c r="D82" i="38"/>
  <c r="B103" i="38"/>
  <c r="D81" i="38"/>
  <c r="B102" i="38"/>
  <c r="D80" i="38"/>
  <c r="B101" i="38"/>
  <c r="B100" i="38"/>
  <c r="G58" i="38"/>
  <c r="H58" i="38"/>
  <c r="H50" i="38"/>
  <c r="H51" i="38"/>
  <c r="H52" i="38"/>
  <c r="H53" i="38"/>
  <c r="H54" i="38"/>
  <c r="H55" i="38"/>
  <c r="H56" i="38"/>
  <c r="H57" i="38"/>
  <c r="H59" i="38"/>
  <c r="H68" i="38"/>
  <c r="B72" i="38"/>
  <c r="B73" i="38"/>
  <c r="B54" i="38"/>
  <c r="B74" i="38"/>
  <c r="B55" i="38"/>
  <c r="B75" i="38"/>
  <c r="B77" i="38"/>
  <c r="B78" i="38"/>
  <c r="E35" i="38"/>
  <c r="B71" i="38"/>
  <c r="B79" i="38"/>
  <c r="C79" i="38"/>
  <c r="B67" i="43"/>
  <c r="B68" i="43"/>
  <c r="B69" i="43"/>
  <c r="B70" i="43"/>
  <c r="B71" i="43"/>
  <c r="E31" i="43"/>
  <c r="E32" i="43"/>
  <c r="E34" i="43"/>
  <c r="E35" i="43"/>
  <c r="B66" i="43"/>
  <c r="B73" i="43"/>
  <c r="C73" i="43"/>
  <c r="C80" i="38"/>
  <c r="B67" i="42"/>
  <c r="B68" i="42"/>
  <c r="B69" i="42"/>
  <c r="B70" i="42"/>
  <c r="B71" i="42"/>
  <c r="B73" i="42"/>
  <c r="C73" i="42"/>
  <c r="C81" i="38"/>
  <c r="H50" i="34"/>
  <c r="C82" i="34"/>
  <c r="E82" i="34"/>
  <c r="G53" i="34"/>
  <c r="H53" i="34"/>
  <c r="G58" i="34"/>
  <c r="H58" i="34"/>
  <c r="H52" i="34"/>
  <c r="H61" i="34"/>
  <c r="B67" i="34"/>
  <c r="B68" i="34"/>
  <c r="B69" i="34"/>
  <c r="B70" i="34"/>
  <c r="B73" i="34"/>
  <c r="C73" i="34"/>
  <c r="C82" i="38"/>
  <c r="H52" i="39"/>
  <c r="H61" i="39"/>
  <c r="B67" i="39"/>
  <c r="B72" i="39"/>
  <c r="C72" i="39"/>
  <c r="C84" i="38"/>
  <c r="H52" i="40"/>
  <c r="H61" i="40"/>
  <c r="B67" i="40"/>
  <c r="B72" i="40"/>
  <c r="C72" i="40"/>
  <c r="C83" i="38"/>
  <c r="C85" i="38"/>
  <c r="A91" i="38"/>
  <c r="C91" i="38"/>
  <c r="E91" i="38"/>
  <c r="H55" i="42"/>
  <c r="H54" i="42"/>
  <c r="H25" i="38"/>
  <c r="F16" i="38"/>
  <c r="C26" i="38"/>
  <c r="H26" i="38"/>
  <c r="H27" i="38"/>
  <c r="F25" i="38"/>
  <c r="H16" i="38"/>
  <c r="E26" i="38"/>
  <c r="F26" i="38"/>
  <c r="F27" i="38"/>
  <c r="E27" i="38"/>
  <c r="C27" i="38"/>
  <c r="C11" i="38"/>
  <c r="B48" i="43"/>
  <c r="C40" i="43"/>
  <c r="C41" i="43"/>
  <c r="F16" i="43"/>
  <c r="H16" i="43"/>
  <c r="H25" i="43"/>
  <c r="C26" i="43"/>
  <c r="H26" i="43"/>
  <c r="H27" i="43"/>
  <c r="F25" i="43"/>
  <c r="E26" i="43"/>
  <c r="F26" i="43"/>
  <c r="F27" i="43"/>
  <c r="E27" i="43"/>
  <c r="C27" i="43"/>
  <c r="C11" i="43"/>
  <c r="B54" i="42"/>
  <c r="B48" i="42"/>
  <c r="C40" i="42"/>
  <c r="C41" i="42"/>
  <c r="F25" i="42"/>
  <c r="E26" i="42"/>
  <c r="F26" i="42"/>
  <c r="F27" i="42"/>
  <c r="E27" i="42"/>
  <c r="C26" i="42"/>
  <c r="C27" i="42"/>
  <c r="C11" i="42"/>
  <c r="B48" i="34"/>
  <c r="C40" i="34"/>
  <c r="C41" i="34"/>
  <c r="A79" i="34"/>
  <c r="C79" i="34"/>
  <c r="E79" i="34"/>
  <c r="H16" i="34"/>
  <c r="F16" i="34"/>
  <c r="C11" i="34"/>
  <c r="C11" i="40"/>
  <c r="E26" i="39"/>
  <c r="C26" i="39"/>
  <c r="E26" i="34"/>
  <c r="E27" i="34"/>
  <c r="C26" i="34"/>
  <c r="C27" i="34"/>
  <c r="H16" i="42"/>
  <c r="F16" i="42"/>
  <c r="C9" i="38"/>
  <c r="C9" i="43"/>
  <c r="C9" i="42"/>
  <c r="C9" i="34"/>
  <c r="C9" i="40"/>
  <c r="E35" i="39"/>
  <c r="A90" i="38"/>
  <c r="B90" i="38"/>
  <c r="A71" i="43"/>
  <c r="A70" i="43"/>
  <c r="A69" i="43"/>
  <c r="A68" i="43"/>
  <c r="H59" i="43"/>
  <c r="H57" i="43"/>
  <c r="H56" i="43"/>
  <c r="H55" i="43"/>
  <c r="H54" i="43"/>
  <c r="H51" i="43"/>
  <c r="H49" i="43"/>
  <c r="G43" i="43"/>
  <c r="B56" i="42"/>
  <c r="H59" i="42"/>
  <c r="H57" i="42"/>
  <c r="H56" i="42"/>
  <c r="H51" i="42"/>
  <c r="H49" i="42"/>
  <c r="E31" i="42"/>
  <c r="E32" i="42"/>
  <c r="E34" i="42"/>
  <c r="E35" i="42"/>
  <c r="H25" i="42"/>
  <c r="B82" i="34"/>
  <c r="G44" i="43"/>
  <c r="C42" i="43"/>
  <c r="C46" i="43"/>
  <c r="C43" i="43"/>
  <c r="B50" i="43"/>
  <c r="B51" i="43"/>
  <c r="B58" i="43"/>
  <c r="B60" i="43"/>
  <c r="A82" i="34"/>
  <c r="I52" i="43"/>
  <c r="E63" i="43"/>
  <c r="D65" i="43"/>
  <c r="G43" i="38"/>
  <c r="C42" i="42"/>
  <c r="C43" i="42"/>
  <c r="H69" i="43"/>
  <c r="I69" i="43"/>
  <c r="F80" i="38"/>
  <c r="H70" i="43"/>
  <c r="I70" i="43"/>
  <c r="C42" i="34"/>
  <c r="C43" i="34"/>
  <c r="H71" i="43"/>
  <c r="I71" i="43"/>
  <c r="C43" i="38"/>
  <c r="B93" i="38"/>
  <c r="A93" i="38"/>
  <c r="A71" i="42"/>
  <c r="A70" i="42"/>
  <c r="A69" i="42"/>
  <c r="A68" i="42"/>
  <c r="G43" i="42"/>
  <c r="H26" i="42"/>
  <c r="B71" i="34"/>
  <c r="B78" i="34"/>
  <c r="B81" i="34"/>
  <c r="A78" i="34"/>
  <c r="A81" i="34"/>
  <c r="H27" i="42"/>
  <c r="G44" i="42"/>
  <c r="B50" i="42"/>
  <c r="B51" i="42"/>
  <c r="B66" i="42"/>
  <c r="B58" i="42"/>
  <c r="B60" i="42"/>
  <c r="F81" i="38"/>
  <c r="C46" i="42"/>
  <c r="I52" i="42"/>
  <c r="H69" i="42"/>
  <c r="I69" i="42"/>
  <c r="D65" i="42"/>
  <c r="E63" i="42"/>
  <c r="H70" i="42"/>
  <c r="I70" i="42"/>
  <c r="H71" i="42"/>
  <c r="I71" i="42"/>
  <c r="G43" i="34"/>
  <c r="B48" i="40"/>
  <c r="E31" i="34"/>
  <c r="E32" i="34"/>
  <c r="E34" i="34"/>
  <c r="E35" i="34"/>
  <c r="H49" i="34"/>
  <c r="C40" i="39"/>
  <c r="C41" i="39"/>
  <c r="G44" i="39"/>
  <c r="A77" i="38"/>
  <c r="A75" i="38"/>
  <c r="A74" i="38"/>
  <c r="A78" i="38"/>
  <c r="A73" i="38"/>
  <c r="A68" i="34"/>
  <c r="E31" i="40"/>
  <c r="E32" i="40"/>
  <c r="E34" i="40"/>
  <c r="E35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E31" i="39"/>
  <c r="E32" i="39"/>
  <c r="E34" i="39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/>
  <c r="F25" i="39"/>
  <c r="F26" i="39"/>
  <c r="H51" i="34"/>
  <c r="H54" i="34"/>
  <c r="H55" i="34"/>
  <c r="H56" i="34"/>
  <c r="H57" i="34"/>
  <c r="H59" i="34"/>
  <c r="A71" i="34"/>
  <c r="A70" i="34"/>
  <c r="A69" i="34"/>
  <c r="H25" i="34"/>
  <c r="H26" i="34"/>
  <c r="F25" i="34"/>
  <c r="C40" i="40"/>
  <c r="C41" i="40"/>
  <c r="C42" i="40"/>
  <c r="E27" i="39"/>
  <c r="F27" i="39"/>
  <c r="C27" i="39"/>
  <c r="B51" i="39"/>
  <c r="G43" i="39"/>
  <c r="G43" i="40"/>
  <c r="F26" i="40"/>
  <c r="F27" i="40"/>
  <c r="C27" i="40"/>
  <c r="A94" i="38"/>
  <c r="C94" i="38"/>
  <c r="E94" i="38"/>
  <c r="G44" i="38"/>
  <c r="G44" i="34"/>
  <c r="F26" i="34"/>
  <c r="F27" i="34"/>
  <c r="H27" i="34"/>
  <c r="C42" i="39"/>
  <c r="G44" i="40"/>
  <c r="B51" i="40"/>
  <c r="B51" i="34"/>
  <c r="B51" i="38"/>
  <c r="B50" i="38"/>
  <c r="C46" i="38"/>
  <c r="C46" i="34"/>
  <c r="B66" i="34"/>
  <c r="B50" i="34"/>
  <c r="C50" i="34"/>
  <c r="B66" i="40"/>
  <c r="B50" i="40"/>
  <c r="C46" i="40"/>
  <c r="B50" i="39"/>
  <c r="B58" i="39"/>
  <c r="B60" i="39"/>
  <c r="F84" i="38"/>
  <c r="C46" i="39"/>
  <c r="B66" i="39"/>
  <c r="I52" i="39"/>
  <c r="B58" i="40"/>
  <c r="B60" i="40"/>
  <c r="F83" i="38"/>
  <c r="H68" i="39"/>
  <c r="I68" i="39"/>
  <c r="B58" i="38"/>
  <c r="B60" i="38"/>
  <c r="F79" i="38"/>
  <c r="B58" i="34"/>
  <c r="B60" i="34"/>
  <c r="F82" i="38"/>
  <c r="E63" i="40"/>
  <c r="D65" i="40"/>
  <c r="D65" i="39"/>
  <c r="E63" i="39"/>
  <c r="H68" i="40"/>
  <c r="H75" i="38"/>
  <c r="I52" i="38"/>
  <c r="I52" i="34"/>
  <c r="H74" i="38"/>
  <c r="I74" i="38"/>
  <c r="E63" i="34"/>
  <c r="D65" i="34"/>
  <c r="H69" i="40"/>
  <c r="H69" i="39"/>
  <c r="I69" i="39"/>
  <c r="H69" i="34"/>
  <c r="I69" i="34"/>
  <c r="H76" i="38"/>
  <c r="I76" i="38"/>
  <c r="I75" i="38"/>
  <c r="H70" i="34"/>
  <c r="I70" i="34"/>
  <c r="H70" i="40"/>
  <c r="H70" i="39"/>
  <c r="I70" i="39"/>
  <c r="F85" i="38"/>
  <c r="G85" i="38"/>
  <c r="H71" i="34"/>
  <c r="I71" i="34"/>
  <c r="A85" i="38"/>
  <c r="I77" i="38"/>
  <c r="I85" i="38"/>
</calcChain>
</file>

<file path=xl/sharedStrings.xml><?xml version="1.0" encoding="utf-8"?>
<sst xmlns="http://schemas.openxmlformats.org/spreadsheetml/2006/main" count="677" uniqueCount="141">
  <si>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</si>
  <si>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</si>
  <si>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</si>
  <si>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</si>
  <si>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</si>
  <si>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</si>
  <si>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</si>
  <si>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</si>
  <si>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</si>
  <si>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</si>
  <si>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</si>
  <si>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</si>
  <si>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</si>
  <si>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</si>
  <si>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</si>
  <si>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</si>
  <si>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</si>
  <si>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</si>
  <si>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</si>
  <si>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</si>
  <si>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</si>
  <si>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</si>
  <si>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</si>
  <si>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</si>
  <si>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</si>
  <si>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</si>
  <si>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</si>
  <si>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</si>
  <si>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</si>
  <si>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</si>
  <si>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</si>
  <si>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</si>
  <si>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</si>
  <si>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</si>
  <si>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</si>
  <si>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</si>
  <si>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</si>
  <si>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</si>
  <si>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</si>
  <si>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</si>
  <si>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</si>
  <si>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</si>
  <si>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</si>
  <si>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</si>
  <si>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</si>
  <si>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</si>
  <si>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</si>
  <si>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</si>
  <si>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</si>
  <si>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</si>
  <si>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</si>
  <si>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</si>
  <si>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</si>
  <si>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</si>
  <si>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</si>
  <si>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</si>
  <si>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</si>
  <si>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</si>
  <si>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</si>
  <si>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</si>
  <si>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</si>
  <si>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</si>
  <si>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</si>
  <si>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</si>
  <si>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</si>
  <si>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</si>
  <si>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</si>
  <si>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</si>
  <si>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</si>
  <si>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</si>
  <si>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</si>
  <si>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</si>
  <si>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</si>
  <si>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</si>
  <si>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</si>
  <si>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</si>
  <si>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</si>
  <si>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</si>
  <si>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</si>
  <si>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</si>
  <si>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</si>
  <si>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</si>
  <si>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</si>
  <si>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</si>
  <si>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</si>
  <si>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</si>
  <si>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</si>
  <si>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</si>
  <si>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</si>
  <si>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</si>
  <si>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</si>
  <si>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</si>
  <si>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</si>
  <si>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</si>
  <si>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</si>
  <si>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</si>
  <si>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</si>
  <si>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</si>
  <si>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</si>
  <si>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</si>
  <si>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</si>
  <si>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minimo 1500.00</t>
  </si>
  <si>
    <t>uv brillante a registro</t>
  </si>
  <si>
    <t>Cartón Gris</t>
  </si>
  <si>
    <t>empalme</t>
  </si>
  <si>
    <t>forro guarda</t>
  </si>
  <si>
    <t>Arreglo</t>
  </si>
  <si>
    <t>Empaque</t>
  </si>
  <si>
    <t>Comisiones</t>
  </si>
  <si>
    <t>LAMINADOS</t>
  </si>
  <si>
    <t>Venta</t>
  </si>
  <si>
    <t>tamaño extendido 36 X 56 cm.</t>
  </si>
  <si>
    <t>Cartera</t>
  </si>
  <si>
    <t>Envio</t>
  </si>
  <si>
    <t>24 de octubre de 2016.</t>
  </si>
  <si>
    <t>Monex</t>
  </si>
  <si>
    <t>35.2 X 41.5 cm.</t>
  </si>
  <si>
    <t>tamaño extendido 35.2 X 35.3 cm.</t>
  </si>
  <si>
    <t>Caja Libro Almeja Suajada</t>
  </si>
  <si>
    <t>tamaño 29 X 35.3 X 3.1 cm.</t>
  </si>
  <si>
    <t>forrado en papel couche 150 gr.</t>
  </si>
  <si>
    <t>impreso a 4 X 0 tintas offset +</t>
  </si>
  <si>
    <t xml:space="preserve">laminado mate 2 caras </t>
  </si>
  <si>
    <t xml:space="preserve">Couche </t>
  </si>
  <si>
    <t>Blanco</t>
  </si>
  <si>
    <t>150 gr.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</si>
  <si>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</si>
  <si>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</si>
  <si>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</si>
  <si>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</si>
  <si>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</si>
  <si>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</si>
  <si>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</si>
  <si>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Material</t>
  </si>
  <si>
    <t>$ compra dcto</t>
  </si>
  <si>
    <t>Pliegos</t>
  </si>
  <si>
    <t>TT</t>
  </si>
  <si>
    <t>par</t>
  </si>
  <si>
    <t>Gris #5</t>
  </si>
  <si>
    <t>tabla suaje</t>
  </si>
  <si>
    <t>laminas y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</si>
</sst>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5" fillId="0" borderId="0" xfId="0" applyFont="1" applyAlignment="1">
      <alignment horizontal="lef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6" fillId="0" borderId="26" xfId="0" applyFont="1" applyBorder="1" applyAlignment="1">
      <alignment horizontal="right"/>
    </xf>
    <xf numFmtId="44" fontId="26" fillId="0" borderId="27" xfId="0" applyNumberFormat="1" applyFont="1" applyBorder="1" applyAlignment="1">
      <alignment horizontal="center"/>
    </xf>
    <xf numFmtId="1" fontId="26" fillId="0" borderId="27" xfId="0" applyNumberFormat="1" applyFont="1" applyBorder="1" applyAlignment="1">
      <alignment horizontal="center"/>
    </xf>
    <xf numFmtId="44" fontId="26" fillId="0" borderId="28" xfId="0" applyNumberFormat="1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44" fontId="26" fillId="0" borderId="13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9" xfId="0" applyFont="1" applyBorder="1"/>
    <xf numFmtId="44" fontId="25" fillId="0" borderId="30" xfId="0" applyNumberFormat="1" applyFont="1" applyBorder="1"/>
    <xf numFmtId="44" fontId="6" fillId="0" borderId="5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6" fillId="0" borderId="7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29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">
        <v>114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115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9" t="s">
        <v>85</v>
      </c>
      <c r="D15" s="18"/>
      <c r="E15" s="18"/>
      <c r="F15" s="72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7" t="s">
        <v>111</v>
      </c>
      <c r="D16" s="18"/>
      <c r="E16" s="18"/>
      <c r="F16" s="46">
        <v>36</v>
      </c>
      <c r="G16" s="73" t="s">
        <v>74</v>
      </c>
      <c r="H16" s="74">
        <v>56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7" t="s">
        <v>116</v>
      </c>
      <c r="D17" s="18"/>
      <c r="E17" s="18"/>
      <c r="F17" s="72">
        <v>1</v>
      </c>
      <c r="G17" s="75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11</v>
      </c>
      <c r="C23" s="21" t="s">
        <v>103</v>
      </c>
      <c r="D23" s="5" t="s">
        <v>12</v>
      </c>
      <c r="E23" s="22" t="s">
        <v>87</v>
      </c>
      <c r="F23" s="1" t="s">
        <v>88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13</v>
      </c>
      <c r="C25" s="23">
        <v>90</v>
      </c>
      <c r="D25" s="22" t="s">
        <v>14</v>
      </c>
      <c r="E25" s="24">
        <v>130</v>
      </c>
      <c r="F25" s="25">
        <f>+C25</f>
        <v>90</v>
      </c>
      <c r="G25" s="26" t="s">
        <v>14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15</v>
      </c>
      <c r="B26" s="3"/>
      <c r="C26" s="27">
        <f>+F16</f>
        <v>36</v>
      </c>
      <c r="D26" s="28" t="s">
        <v>14</v>
      </c>
      <c r="E26" s="27">
        <f>+H16</f>
        <v>56</v>
      </c>
      <c r="F26" s="29">
        <f>+E26</f>
        <v>56</v>
      </c>
      <c r="G26" s="29" t="s">
        <v>14</v>
      </c>
      <c r="H26" s="29">
        <f>+C26</f>
        <v>36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16</v>
      </c>
      <c r="B27" s="31"/>
      <c r="C27" s="32">
        <f>+C25/C26</f>
        <v>2.5</v>
      </c>
      <c r="D27" s="33"/>
      <c r="E27" s="32">
        <f>+E25/E26</f>
        <v>2.3214285714285716</v>
      </c>
      <c r="F27" s="32">
        <f>+F25/F26</f>
        <v>1.6071428571428572</v>
      </c>
      <c r="G27" s="33"/>
      <c r="H27" s="32">
        <f>+H25/H26</f>
        <v>3.6111111111111112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17</v>
      </c>
      <c r="B28" s="34"/>
      <c r="C28" s="35"/>
      <c r="D28" s="36">
        <v>4</v>
      </c>
      <c r="E28" s="37"/>
      <c r="F28" s="38"/>
      <c r="G28" s="39">
        <v>3</v>
      </c>
      <c r="H28" s="40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5" t="s">
        <v>19</v>
      </c>
      <c r="B30" s="25" t="s">
        <v>81</v>
      </c>
      <c r="D30" s="41" t="s">
        <v>20</v>
      </c>
      <c r="E30" s="42">
        <v>44.332000000000001</v>
      </c>
      <c r="G30" s="1" t="s">
        <v>21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4" t="s">
        <v>23</v>
      </c>
      <c r="E32" s="45">
        <f>+E30-E31</f>
        <v>44.332000000000001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1" t="s">
        <v>27</v>
      </c>
      <c r="E34" s="47">
        <f>+E32</f>
        <v>44.332000000000001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1" t="s">
        <v>28</v>
      </c>
      <c r="E35" s="47">
        <f>+E34*1.15</f>
        <v>50.9818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32</v>
      </c>
      <c r="C38" s="48">
        <v>4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36</v>
      </c>
      <c r="B40" s="5"/>
      <c r="C40" s="50">
        <f>+B48/F17</f>
        <v>140</v>
      </c>
      <c r="D40" s="24">
        <v>30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38</v>
      </c>
      <c r="C41" s="34">
        <f>+C40+D40</f>
        <v>170</v>
      </c>
      <c r="F41" s="44" t="s">
        <v>39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40</v>
      </c>
      <c r="C42" s="34">
        <f>+C41/C38</f>
        <v>42.5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1"/>
      <c r="F43" s="41" t="s">
        <v>42</v>
      </c>
      <c r="G43" s="23">
        <f>+C40/1000</f>
        <v>0.14000000000000001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1"/>
      <c r="F44" s="44" t="s">
        <v>43</v>
      </c>
      <c r="G44" s="48">
        <f>+C41</f>
        <v>170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44</v>
      </c>
      <c r="C46" s="25">
        <f>+C42*C38</f>
        <v>170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69</v>
      </c>
      <c r="B48" s="21">
        <v>140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3" t="s">
        <v>50</v>
      </c>
      <c r="B49" s="54"/>
      <c r="C49" s="3"/>
      <c r="D49" s="21">
        <v>1</v>
      </c>
      <c r="E49" s="21">
        <v>0</v>
      </c>
      <c r="F49" s="21" t="s">
        <v>82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4" t="s">
        <v>52</v>
      </c>
      <c r="B50" s="55">
        <f>+E34*C42</f>
        <v>1884.1100000000001</v>
      </c>
      <c r="C50" s="3"/>
      <c r="D50" s="21">
        <v>0</v>
      </c>
      <c r="E50" s="21">
        <v>0</v>
      </c>
      <c r="F50" s="21" t="s">
        <v>83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4" t="s">
        <v>10</v>
      </c>
      <c r="B51" s="55">
        <f>+H61</f>
        <v>300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5.75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v>300</v>
      </c>
      <c r="H52" s="30">
        <f t="shared" ref="H52:H59" si="0">+G52*E52</f>
        <v>300</v>
      </c>
      <c r="I52" s="30">
        <f>+(B72/100)*2</f>
        <v>51.734530000000007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4" t="s">
        <v>24</v>
      </c>
      <c r="B53" s="55">
        <v>0</v>
      </c>
      <c r="C53" s="3"/>
      <c r="D53" s="21">
        <v>1</v>
      </c>
      <c r="E53" s="21">
        <v>0</v>
      </c>
      <c r="F53" s="21" t="s">
        <v>71</v>
      </c>
      <c r="G53" s="30">
        <v>120</v>
      </c>
      <c r="H53" s="30">
        <f t="shared" si="0"/>
        <v>0</v>
      </c>
      <c r="I53" s="56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7" t="s">
        <v>77</v>
      </c>
      <c r="B54" s="55">
        <v>0</v>
      </c>
      <c r="C54" s="3"/>
      <c r="D54" s="21">
        <v>1</v>
      </c>
      <c r="E54" s="21">
        <v>0</v>
      </c>
      <c r="F54" s="21" t="s">
        <v>72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7" t="s">
        <v>78</v>
      </c>
      <c r="B55" s="55">
        <v>0</v>
      </c>
      <c r="D55" s="21">
        <v>0</v>
      </c>
      <c r="E55" s="21">
        <v>0</v>
      </c>
      <c r="F55" s="21" t="s">
        <v>29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7" t="s">
        <v>79</v>
      </c>
      <c r="B56" s="55">
        <v>0</v>
      </c>
      <c r="D56" s="21">
        <v>1</v>
      </c>
      <c r="E56" s="21">
        <v>0</v>
      </c>
      <c r="F56" s="21" t="s">
        <v>53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7"/>
      <c r="B57" s="57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3" t="s">
        <v>55</v>
      </c>
      <c r="B58" s="58">
        <f>SUM(B50:B57)</f>
        <v>2184.11</v>
      </c>
      <c r="C58" s="3"/>
      <c r="D58" s="21">
        <v>0</v>
      </c>
      <c r="E58" s="21">
        <v>0</v>
      </c>
      <c r="F58" s="3" t="s">
        <v>56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9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15.600785714285715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0" t="s">
        <v>58</v>
      </c>
      <c r="H61" s="30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2">
        <f>+B72/C40</f>
        <v>18.476617857142859</v>
      </c>
      <c r="G63" s="1" t="s">
        <v>61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3" t="s">
        <v>64</v>
      </c>
      <c r="B65" s="54"/>
      <c r="C65" s="3"/>
      <c r="D65" s="3">
        <f>+B72*C68</f>
        <v>0</v>
      </c>
      <c r="E65" s="3"/>
      <c r="F65" s="3"/>
      <c r="G65" s="5" t="s">
        <v>73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4" t="s">
        <v>52</v>
      </c>
      <c r="B66" s="55">
        <f>+E35*C42</f>
        <v>2166.7265000000002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4" t="s">
        <v>10</v>
      </c>
      <c r="B67" s="55">
        <f>+H61*H62</f>
        <v>420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4" t="str">
        <f>+A54</f>
        <v>Placas</v>
      </c>
      <c r="B68" s="55">
        <f>+B54*H63</f>
        <v>0</v>
      </c>
      <c r="C68" s="62"/>
      <c r="G68" s="63" t="s">
        <v>65</v>
      </c>
      <c r="H68" s="32">
        <f>+B60</f>
        <v>15.600785714285715</v>
      </c>
      <c r="I68" s="64">
        <f>+H68*B48</f>
        <v>2184.11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4" t="str">
        <f>+A55</f>
        <v>Mensajeria</v>
      </c>
      <c r="B69" s="55">
        <f>+B55*H62</f>
        <v>0</v>
      </c>
      <c r="C69" s="62"/>
      <c r="G69" s="63" t="s">
        <v>66</v>
      </c>
      <c r="H69" s="32">
        <f>+C72</f>
        <v>18.476617857142859</v>
      </c>
      <c r="I69" s="64">
        <f>+H69*B48</f>
        <v>2586.7265000000002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6.5" thickBot="1" x14ac:dyDescent="0.35">
      <c r="A70" s="54" t="str">
        <f>+A56</f>
        <v>Listón</v>
      </c>
      <c r="B70" s="55">
        <f>+B56*H63</f>
        <v>0</v>
      </c>
      <c r="C70" s="65"/>
      <c r="G70" s="66" t="s">
        <v>67</v>
      </c>
      <c r="H70" s="67">
        <f>+H69-H68</f>
        <v>2.8758321428571438</v>
      </c>
      <c r="I70" s="64">
        <f>+H70*B48</f>
        <v>402.61650000000014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4"/>
      <c r="B71" s="55"/>
      <c r="C71" s="65"/>
      <c r="G71" s="68" t="s">
        <v>68</v>
      </c>
      <c r="H71" s="43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 t="s">
        <v>55</v>
      </c>
      <c r="B72" s="58">
        <f>SUM(B65:B71)</f>
        <v>2586.7265000000002</v>
      </c>
      <c r="C72" s="67">
        <f>+B72/B48</f>
        <v>18.476617857142859</v>
      </c>
      <c r="D72" s="5" t="s">
        <v>128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5" spans="1:23" x14ac:dyDescent="0.3">
      <c r="A75" s="5"/>
    </row>
    <row r="76" spans="1:23" x14ac:dyDescent="0.3">
      <c r="B76" s="69"/>
      <c r="C76" s="70"/>
    </row>
    <row r="80" spans="1:23" x14ac:dyDescent="0.3">
      <c r="J80" s="71"/>
    </row>
    <row r="86" spans="10:18" ht="16.5" x14ac:dyDescent="0.3">
      <c r="J86" s="56"/>
      <c r="K86" s="56"/>
      <c r="L86" s="56"/>
      <c r="M86" s="56"/>
      <c r="N86" s="56"/>
      <c r="O86" s="56"/>
      <c r="P86" s="56"/>
      <c r="Q86" s="56"/>
      <c r="R86" s="56"/>
    </row>
    <row r="87" spans="10:18" ht="16.5" x14ac:dyDescent="0.3">
      <c r="J87" s="56"/>
      <c r="K87" s="56"/>
      <c r="L87" s="56"/>
      <c r="M87" s="56"/>
      <c r="N87" s="56"/>
      <c r="O87" s="56"/>
      <c r="P87" s="56"/>
      <c r="Q87" s="56"/>
      <c r="R87" s="56"/>
    </row>
    <row r="88" spans="10:18" ht="16.5" x14ac:dyDescent="0.3">
      <c r="J88" s="56"/>
      <c r="K88" s="56"/>
      <c r="L88" s="56"/>
      <c r="M88" s="56"/>
      <c r="N88" s="56"/>
      <c r="O88" s="56"/>
      <c r="P88" s="56"/>
      <c r="Q88" s="56"/>
      <c r="R88" s="56"/>
    </row>
    <row r="89" spans="10:18" ht="16.5" x14ac:dyDescent="0.3">
      <c r="J89" s="56"/>
      <c r="K89" s="56"/>
      <c r="L89" s="56"/>
      <c r="M89" s="56"/>
      <c r="N89" s="56"/>
      <c r="O89" s="56"/>
      <c r="P89" s="56"/>
      <c r="Q89" s="56"/>
      <c r="R89" s="56"/>
    </row>
    <row r="90" spans="10:18" ht="16.5" x14ac:dyDescent="0.3">
      <c r="J90" s="56"/>
      <c r="K90" s="56"/>
      <c r="L90" s="56"/>
      <c r="M90" s="56"/>
      <c r="N90" s="56"/>
      <c r="O90" s="56"/>
      <c r="P90" s="56"/>
      <c r="Q90" s="56"/>
      <c r="R90" s="56"/>
    </row>
    <row r="91" spans="10:18" ht="16.5" x14ac:dyDescent="0.3">
      <c r="J91" s="56"/>
      <c r="K91" s="56"/>
      <c r="L91" s="56"/>
      <c r="M91" s="56"/>
      <c r="N91" s="56"/>
      <c r="O91" s="56"/>
      <c r="P91" s="56"/>
      <c r="Q91" s="56"/>
      <c r="R91" s="56"/>
    </row>
    <row r="92" spans="10:18" ht="16.5" x14ac:dyDescent="0.3">
      <c r="J92" s="56"/>
      <c r="K92" s="56"/>
      <c r="L92" s="56"/>
      <c r="M92" s="56"/>
      <c r="N92" s="56"/>
      <c r="O92" s="56"/>
      <c r="P92" s="56"/>
      <c r="Q92" s="56"/>
      <c r="R92" s="56"/>
    </row>
    <row r="93" spans="10:18" ht="16.5" x14ac:dyDescent="0.3">
      <c r="J93" s="56"/>
      <c r="K93" s="56"/>
      <c r="L93" s="56"/>
      <c r="M93" s="56"/>
      <c r="N93" s="56"/>
      <c r="O93" s="56"/>
      <c r="P93" s="56"/>
      <c r="Q93" s="56"/>
      <c r="R93" s="56"/>
    </row>
    <row r="94" spans="10:18" ht="16.5" x14ac:dyDescent="0.3">
      <c r="J94" s="56"/>
      <c r="K94" s="56"/>
      <c r="L94" s="56"/>
      <c r="M94" s="56"/>
      <c r="N94" s="56"/>
      <c r="O94" s="56"/>
      <c r="P94" s="56"/>
      <c r="Q94" s="56"/>
      <c r="R94" s="56"/>
    </row>
    <row r="95" spans="10:18" ht="16.5" x14ac:dyDescent="0.3">
      <c r="J95" s="56"/>
      <c r="K95" s="56"/>
      <c r="L95" s="56"/>
      <c r="M95" s="56"/>
      <c r="N95" s="56"/>
      <c r="O95" s="56"/>
      <c r="P95" s="56"/>
      <c r="Q95" s="56"/>
      <c r="R95" s="56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49" zoomScale="80" zoomScaleNormal="80" workbookViewId="0">
      <selection activeCell="A77" sqref="A7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caja'!C9</f>
        <v>24 de octubre de 2016.</v>
      </c>
      <c r="H9" s="5" t="s">
        <v>6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caja'!C11</f>
        <v>Monex</v>
      </c>
      <c r="F11" s="5" t="s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F13" s="6"/>
      <c r="G13" s="7"/>
      <c r="H13" s="8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9" t="s">
        <v>112</v>
      </c>
      <c r="D15" s="18"/>
      <c r="E15" s="18"/>
      <c r="F15" s="72" t="s">
        <v>80</v>
      </c>
      <c r="G15" s="7"/>
      <c r="H15" s="8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117</v>
      </c>
      <c r="D16" s="18"/>
      <c r="E16" s="18"/>
      <c r="F16" s="46">
        <v>35.200000000000003</v>
      </c>
      <c r="G16" s="73" t="s">
        <v>74</v>
      </c>
      <c r="H16" s="74">
        <v>35.299999999999997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86</v>
      </c>
      <c r="D17" s="18"/>
      <c r="E17" s="18"/>
      <c r="F17" s="72">
        <v>1</v>
      </c>
      <c r="G17" s="75" t="s">
        <v>75</v>
      </c>
      <c r="H17" s="8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1" t="s">
        <v>103</v>
      </c>
      <c r="D23" s="5" t="s">
        <v>12</v>
      </c>
      <c r="E23" s="22" t="s">
        <v>87</v>
      </c>
      <c r="F23" s="1" t="s">
        <v>88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3">
        <v>90</v>
      </c>
      <c r="D25" s="22" t="s">
        <v>14</v>
      </c>
      <c r="E25" s="24">
        <v>130</v>
      </c>
      <c r="F25" s="25">
        <f>+C25</f>
        <v>90</v>
      </c>
      <c r="G25" s="26" t="s">
        <v>14</v>
      </c>
      <c r="H25" s="26">
        <f>+E25</f>
        <v>130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7">
        <f>+F16</f>
        <v>35.200000000000003</v>
      </c>
      <c r="D26" s="28" t="s">
        <v>14</v>
      </c>
      <c r="E26" s="27">
        <f>+H16</f>
        <v>35.299999999999997</v>
      </c>
      <c r="F26" s="29">
        <f>+E26</f>
        <v>35.299999999999997</v>
      </c>
      <c r="G26" s="29" t="s">
        <v>14</v>
      </c>
      <c r="H26" s="29">
        <f>+C26</f>
        <v>35.200000000000003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1"/>
      <c r="C27" s="32">
        <f>+C25/C26</f>
        <v>2.5568181818181817</v>
      </c>
      <c r="D27" s="33"/>
      <c r="E27" s="32">
        <f>+E25/E26</f>
        <v>3.6827195467422098</v>
      </c>
      <c r="F27" s="32">
        <f>+F25/F26</f>
        <v>2.5495750708215299</v>
      </c>
      <c r="G27" s="33"/>
      <c r="H27" s="32">
        <f>+H25/H26</f>
        <v>3.6931818181818179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4"/>
      <c r="C28" s="35"/>
      <c r="D28" s="36">
        <v>6</v>
      </c>
      <c r="E28" s="37"/>
      <c r="F28" s="38"/>
      <c r="G28" s="39">
        <v>6</v>
      </c>
      <c r="H28" s="40" t="s">
        <v>18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19</v>
      </c>
      <c r="B30" s="25" t="s">
        <v>81</v>
      </c>
      <c r="D30" s="41" t="s">
        <v>20</v>
      </c>
      <c r="E30" s="42">
        <v>44.332000000000001</v>
      </c>
      <c r="G30" s="1" t="s">
        <v>21</v>
      </c>
      <c r="H30" s="43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22</v>
      </c>
      <c r="E31" s="42">
        <f>+H30*E30</f>
        <v>0</v>
      </c>
      <c r="H31" s="43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23</v>
      </c>
      <c r="E32" s="45">
        <f>+E30-E31</f>
        <v>44.332000000000001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27</v>
      </c>
      <c r="E34" s="47">
        <f>+E32</f>
        <v>44.332000000000001</v>
      </c>
      <c r="F34" s="47">
        <v>0</v>
      </c>
      <c r="G34" s="47">
        <v>0</v>
      </c>
      <c r="H34" s="47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28</v>
      </c>
      <c r="E35" s="47">
        <f>+E34*1.15</f>
        <v>50.9818</v>
      </c>
      <c r="F35" s="47">
        <v>0</v>
      </c>
      <c r="G35" s="47">
        <v>0</v>
      </c>
      <c r="H35" s="47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8">
        <v>6</v>
      </c>
      <c r="D38" s="49" t="s">
        <v>33</v>
      </c>
      <c r="E38" s="14"/>
      <c r="F38" s="15" t="s">
        <v>34</v>
      </c>
      <c r="G38" s="15"/>
      <c r="H38" s="16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35</v>
      </c>
      <c r="E39" s="3"/>
      <c r="F39" s="3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50">
        <f>+B48/F17</f>
        <v>140</v>
      </c>
      <c r="D40" s="24">
        <v>30</v>
      </c>
      <c r="F40" s="44" t="s">
        <v>37</v>
      </c>
      <c r="G40" s="23">
        <v>1</v>
      </c>
      <c r="H40" s="3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4">
        <f>+C40+D40</f>
        <v>170</v>
      </c>
      <c r="F41" s="44" t="s">
        <v>39</v>
      </c>
      <c r="G41" s="23">
        <v>1</v>
      </c>
      <c r="H41" s="3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4">
        <f>+C41/C38</f>
        <v>28.333333333333332</v>
      </c>
      <c r="F42" s="44" t="s">
        <v>41</v>
      </c>
      <c r="G42" s="23"/>
      <c r="H42" s="3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42</v>
      </c>
      <c r="G43" s="23">
        <f>+C40/1000</f>
        <v>0.14000000000000001</v>
      </c>
      <c r="H43" s="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43</v>
      </c>
      <c r="G44" s="48">
        <f>+C41</f>
        <v>170</v>
      </c>
      <c r="H44" s="3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5">
        <f>+C42*C38</f>
        <v>170</v>
      </c>
      <c r="F46" s="44"/>
      <c r="G46" s="30"/>
      <c r="H46" s="3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1">
        <f>+'cartón caja'!B48</f>
        <v>140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3" t="s">
        <v>50</v>
      </c>
      <c r="B49" s="54"/>
      <c r="C49" s="3"/>
      <c r="D49" s="21">
        <v>1</v>
      </c>
      <c r="E49" s="21">
        <v>0</v>
      </c>
      <c r="F49" s="21" t="s">
        <v>82</v>
      </c>
      <c r="G49" s="30">
        <v>7</v>
      </c>
      <c r="H49" s="30">
        <f>+(D49*E49)*G49</f>
        <v>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4" t="s">
        <v>52</v>
      </c>
      <c r="B50" s="55">
        <f>+E34*C42</f>
        <v>1256.0733333333333</v>
      </c>
      <c r="C50" s="3"/>
      <c r="D50" s="21">
        <v>0</v>
      </c>
      <c r="E50" s="21">
        <v>0</v>
      </c>
      <c r="F50" s="21" t="s">
        <v>83</v>
      </c>
      <c r="G50" s="30">
        <v>250</v>
      </c>
      <c r="H50" s="30">
        <f>+(D50*E50)*G50</f>
        <v>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4" t="s">
        <v>10</v>
      </c>
      <c r="B51" s="55">
        <f>+H61</f>
        <v>300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f>+'cartón caja'!G52</f>
        <v>300</v>
      </c>
      <c r="H52" s="30">
        <f t="shared" ref="H52" si="0">+G52*E52</f>
        <v>300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4" t="s">
        <v>24</v>
      </c>
      <c r="B53" s="55">
        <v>0</v>
      </c>
      <c r="C53" s="3"/>
      <c r="D53" s="21">
        <v>1</v>
      </c>
      <c r="E53" s="21">
        <v>0</v>
      </c>
      <c r="F53" s="21" t="s">
        <v>71</v>
      </c>
      <c r="G53" s="30">
        <v>130</v>
      </c>
      <c r="H53" s="30">
        <f t="shared" ref="H53:H59" si="1">+G53*E53</f>
        <v>0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7" t="s">
        <v>77</v>
      </c>
      <c r="B54" s="55">
        <v>0</v>
      </c>
      <c r="C54" s="3"/>
      <c r="D54" s="21">
        <v>1</v>
      </c>
      <c r="E54" s="21">
        <v>0</v>
      </c>
      <c r="F54" s="21" t="s">
        <v>72</v>
      </c>
      <c r="G54" s="30">
        <v>130</v>
      </c>
      <c r="H54" s="30">
        <f t="shared" si="1"/>
        <v>0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7" t="s">
        <v>78</v>
      </c>
      <c r="B55" s="55">
        <v>0</v>
      </c>
      <c r="D55" s="21">
        <v>0</v>
      </c>
      <c r="E55" s="21">
        <v>0</v>
      </c>
      <c r="F55" s="21" t="s">
        <v>29</v>
      </c>
      <c r="G55" s="30">
        <v>1.5</v>
      </c>
      <c r="H55" s="30">
        <f t="shared" si="1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7" t="s">
        <v>79</v>
      </c>
      <c r="B56" s="55">
        <v>0</v>
      </c>
      <c r="D56" s="21">
        <v>1</v>
      </c>
      <c r="E56" s="21">
        <v>0</v>
      </c>
      <c r="F56" s="21" t="s">
        <v>53</v>
      </c>
      <c r="G56" s="30">
        <v>1.5</v>
      </c>
      <c r="H56" s="30">
        <f t="shared" si="1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7"/>
      <c r="B57" s="57"/>
      <c r="D57" s="21">
        <v>0</v>
      </c>
      <c r="E57" s="21">
        <v>0</v>
      </c>
      <c r="F57" s="21" t="s">
        <v>54</v>
      </c>
      <c r="G57" s="30">
        <v>1.5</v>
      </c>
      <c r="H57" s="30">
        <f t="shared" si="1"/>
        <v>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3" t="s">
        <v>55</v>
      </c>
      <c r="B58" s="58">
        <f>SUM(B50:B57)</f>
        <v>1556.0733333333333</v>
      </c>
      <c r="C58" s="3"/>
      <c r="D58" s="21">
        <v>0</v>
      </c>
      <c r="E58" s="21">
        <v>0</v>
      </c>
      <c r="F58" s="3" t="s">
        <v>56</v>
      </c>
      <c r="G58" s="30">
        <v>600</v>
      </c>
      <c r="H58" s="30">
        <f t="shared" si="1"/>
        <v>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9"/>
      <c r="C59" s="3"/>
      <c r="D59" s="21"/>
      <c r="E59" s="21"/>
      <c r="F59" s="3"/>
      <c r="G59" s="3"/>
      <c r="H59" s="30">
        <f t="shared" si="1"/>
        <v>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11.114809523809523</v>
      </c>
      <c r="C60" s="4" t="s">
        <v>57</v>
      </c>
      <c r="D60" s="3"/>
      <c r="E60" s="3"/>
      <c r="F60" s="3"/>
      <c r="G60" s="3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0" t="s">
        <v>58</v>
      </c>
      <c r="H61" s="30">
        <f>SUM(H49:H60)</f>
        <v>300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6">
        <v>1.4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2">
        <f>+B72/C40</f>
        <v>13.317745238095238</v>
      </c>
      <c r="G63" s="1" t="s">
        <v>61</v>
      </c>
      <c r="H63" s="61">
        <v>1.75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1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3" t="s">
        <v>64</v>
      </c>
      <c r="B65" s="54"/>
      <c r="C65" s="3"/>
      <c r="D65" s="3">
        <f>+B72*C68</f>
        <v>0</v>
      </c>
      <c r="E65" s="3"/>
      <c r="F65" s="3"/>
      <c r="G65" s="5" t="s">
        <v>73</v>
      </c>
      <c r="H65" s="61">
        <v>2.5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4" t="s">
        <v>52</v>
      </c>
      <c r="B66" s="55">
        <f>+E35*C42</f>
        <v>1444.4843333333333</v>
      </c>
      <c r="C66" s="62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4" t="s">
        <v>10</v>
      </c>
      <c r="B67" s="55">
        <f>+H61*H62</f>
        <v>420</v>
      </c>
      <c r="C67" s="62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4" t="str">
        <f>+A54</f>
        <v>Placas</v>
      </c>
      <c r="B68" s="55">
        <f>+B54*H63</f>
        <v>0</v>
      </c>
      <c r="C68" s="62"/>
      <c r="G68" s="63" t="s">
        <v>65</v>
      </c>
      <c r="H68" s="32">
        <f>+B60</f>
        <v>11.114809523809523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4" t="str">
        <f>+A55</f>
        <v>Mensajeria</v>
      </c>
      <c r="B69" s="55">
        <f>+B55*H62</f>
        <v>0</v>
      </c>
      <c r="C69" s="62"/>
      <c r="G69" s="63" t="s">
        <v>66</v>
      </c>
      <c r="H69" s="32">
        <f>+C72</f>
        <v>13.317745238095238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4" t="str">
        <f>+A56</f>
        <v>Listón</v>
      </c>
      <c r="B70" s="55">
        <f>+B56*H63</f>
        <v>0</v>
      </c>
      <c r="C70" s="65"/>
      <c r="G70" s="66" t="s">
        <v>67</v>
      </c>
      <c r="H70" s="67">
        <f>+H69-H68</f>
        <v>2.2029357142857151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4"/>
      <c r="B71" s="55"/>
      <c r="C71" s="65"/>
      <c r="G71" s="68" t="s">
        <v>68</v>
      </c>
      <c r="H71" s="43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 t="s">
        <v>55</v>
      </c>
      <c r="B72" s="58">
        <f>SUM(B65:B71)</f>
        <v>1864.4843333333333</v>
      </c>
      <c r="C72" s="67">
        <f>+B72/B48</f>
        <v>13.317745238095238</v>
      </c>
      <c r="D72" s="5" t="s">
        <v>129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5" spans="1:22" x14ac:dyDescent="0.3">
      <c r="A75" s="5"/>
    </row>
    <row r="76" spans="1:22" x14ac:dyDescent="0.3">
      <c r="B76" s="69"/>
      <c r="C76" s="70"/>
    </row>
    <row r="80" spans="1:22" x14ac:dyDescent="0.3">
      <c r="J80" s="71"/>
    </row>
    <row r="86" spans="10:18" ht="16.5" x14ac:dyDescent="0.3">
      <c r="J86" s="56"/>
      <c r="K86" s="56"/>
      <c r="L86" s="56"/>
      <c r="M86" s="56"/>
      <c r="N86" s="56"/>
      <c r="O86" s="56"/>
      <c r="P86" s="56"/>
      <c r="Q86" s="56"/>
      <c r="R86" s="56"/>
    </row>
    <row r="87" spans="10:18" ht="16.5" x14ac:dyDescent="0.3">
      <c r="J87" s="56"/>
      <c r="K87" s="56"/>
      <c r="L87" s="56"/>
      <c r="M87" s="56"/>
      <c r="N87" s="56"/>
      <c r="O87" s="56"/>
      <c r="P87" s="56"/>
      <c r="Q87" s="56"/>
      <c r="R87" s="56"/>
    </row>
    <row r="88" spans="10:18" ht="16.5" x14ac:dyDescent="0.3">
      <c r="J88" s="56"/>
      <c r="K88" s="56"/>
      <c r="L88" s="56"/>
      <c r="M88" s="56"/>
      <c r="N88" s="56"/>
      <c r="O88" s="56"/>
      <c r="P88" s="56"/>
      <c r="Q88" s="56"/>
      <c r="R88" s="56"/>
    </row>
    <row r="89" spans="10:18" ht="16.5" x14ac:dyDescent="0.3">
      <c r="J89" s="56"/>
      <c r="K89" s="56"/>
      <c r="L89" s="56"/>
      <c r="M89" s="56"/>
      <c r="N89" s="56"/>
      <c r="O89" s="56"/>
      <c r="P89" s="56"/>
      <c r="Q89" s="56"/>
      <c r="R89" s="56"/>
    </row>
    <row r="90" spans="10:18" ht="16.5" x14ac:dyDescent="0.3">
      <c r="J90" s="56"/>
      <c r="K90" s="56"/>
      <c r="L90" s="56"/>
      <c r="M90" s="56"/>
      <c r="N90" s="56"/>
      <c r="O90" s="56"/>
      <c r="P90" s="56"/>
      <c r="Q90" s="56"/>
      <c r="R90" s="56"/>
    </row>
    <row r="91" spans="10:18" ht="16.5" x14ac:dyDescent="0.3">
      <c r="J91" s="56"/>
      <c r="K91" s="56"/>
      <c r="L91" s="56"/>
      <c r="M91" s="56"/>
      <c r="N91" s="56"/>
      <c r="O91" s="56"/>
      <c r="P91" s="56"/>
      <c r="Q91" s="56"/>
      <c r="R91" s="56"/>
    </row>
    <row r="92" spans="10:18" ht="16.5" x14ac:dyDescent="0.3">
      <c r="J92" s="56"/>
      <c r="K92" s="56"/>
      <c r="L92" s="56"/>
      <c r="M92" s="56"/>
      <c r="N92" s="56"/>
      <c r="O92" s="56"/>
      <c r="P92" s="56"/>
      <c r="Q92" s="56"/>
      <c r="R92" s="56"/>
    </row>
    <row r="93" spans="10:18" ht="16.5" x14ac:dyDescent="0.3">
      <c r="J93" s="56"/>
      <c r="K93" s="56"/>
      <c r="L93" s="56"/>
      <c r="M93" s="56"/>
      <c r="N93" s="56"/>
      <c r="O93" s="56"/>
      <c r="P93" s="56"/>
      <c r="Q93" s="56"/>
      <c r="R93" s="56"/>
    </row>
    <row r="94" spans="10:18" ht="16.5" x14ac:dyDescent="0.3">
      <c r="J94" s="56"/>
      <c r="K94" s="56"/>
      <c r="L94" s="56"/>
      <c r="M94" s="56"/>
      <c r="N94" s="56"/>
      <c r="O94" s="56"/>
      <c r="P94" s="56"/>
      <c r="Q94" s="56"/>
      <c r="R94" s="56"/>
    </row>
    <row r="95" spans="10:18" ht="16.5" x14ac:dyDescent="0.3">
      <c r="J95" s="56"/>
      <c r="K95" s="56"/>
      <c r="L95" s="56"/>
      <c r="M95" s="56"/>
      <c r="N95" s="56"/>
      <c r="O95" s="56"/>
      <c r="P95" s="56"/>
      <c r="Q95" s="56"/>
      <c r="R95" s="56"/>
    </row>
  </sheetData>
  <pageMargins left="0.70866141732283472" right="0.70866141732283472" top="0.74803149606299213" bottom="0.74803149606299213" header="0.31496062992125984" footer="0.31496062992125984"/>
  <pageSetup paperSize="14" scale="74" orientation="portrait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39" zoomScale="80" zoomScaleNormal="80" workbookViewId="0">
      <selection activeCell="G51" sqref="G5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caja'!C9</f>
        <v>24 de octubre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caja'!C11</f>
        <v>Monex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9" t="s">
        <v>118</v>
      </c>
      <c r="D15" s="18"/>
      <c r="E15" s="18"/>
      <c r="F15" s="72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119</v>
      </c>
      <c r="D16" s="18"/>
      <c r="E16" s="18"/>
      <c r="F16" s="46">
        <f>+F20</f>
        <v>35.700000000000003</v>
      </c>
      <c r="G16" s="73" t="s">
        <v>74</v>
      </c>
      <c r="H16" s="74">
        <f>+H20</f>
        <v>42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86</v>
      </c>
      <c r="D17" s="18"/>
      <c r="E17" s="18"/>
      <c r="F17" s="72">
        <v>1</v>
      </c>
      <c r="G17" s="75" t="s">
        <v>75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120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121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122</v>
      </c>
      <c r="D20" s="18"/>
      <c r="E20" s="18"/>
      <c r="F20" s="46">
        <v>35.700000000000003</v>
      </c>
      <c r="G20" s="73" t="s">
        <v>74</v>
      </c>
      <c r="H20" s="74">
        <v>42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93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80" t="s">
        <v>123</v>
      </c>
      <c r="D23" s="5" t="s">
        <v>12</v>
      </c>
      <c r="E23" s="22" t="s">
        <v>124</v>
      </c>
      <c r="F23" s="1" t="s">
        <v>125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3">
        <v>61</v>
      </c>
      <c r="D25" s="22" t="s">
        <v>14</v>
      </c>
      <c r="E25" s="24">
        <v>90</v>
      </c>
      <c r="F25" s="25">
        <f>+C25</f>
        <v>61</v>
      </c>
      <c r="G25" s="26" t="s">
        <v>14</v>
      </c>
      <c r="H25" s="26">
        <f>+E25</f>
        <v>90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7">
        <f>+F16</f>
        <v>35.700000000000003</v>
      </c>
      <c r="D26" s="28" t="s">
        <v>14</v>
      </c>
      <c r="E26" s="27">
        <f>+H16</f>
        <v>42</v>
      </c>
      <c r="F26" s="29">
        <f>+E26</f>
        <v>42</v>
      </c>
      <c r="G26" s="29" t="s">
        <v>14</v>
      </c>
      <c r="H26" s="29">
        <f>+C26</f>
        <v>35.700000000000003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1"/>
      <c r="C27" s="32">
        <f>+C25/C26</f>
        <v>1.7086834733893557</v>
      </c>
      <c r="D27" s="33"/>
      <c r="E27" s="32">
        <f>+E25/E26</f>
        <v>2.1428571428571428</v>
      </c>
      <c r="F27" s="32">
        <f>+F25/F26</f>
        <v>1.4523809523809523</v>
      </c>
      <c r="G27" s="33"/>
      <c r="H27" s="32">
        <f>+H25/H26</f>
        <v>2.5210084033613445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4"/>
      <c r="C28" s="35"/>
      <c r="D28" s="36">
        <v>2</v>
      </c>
      <c r="E28" s="37"/>
      <c r="F28" s="38"/>
      <c r="G28" s="39">
        <v>2</v>
      </c>
      <c r="H28" s="40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19</v>
      </c>
      <c r="B30" s="25" t="s">
        <v>81</v>
      </c>
      <c r="D30" s="41" t="s">
        <v>20</v>
      </c>
      <c r="E30" s="42">
        <v>3.056</v>
      </c>
      <c r="G30" s="1" t="s">
        <v>21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22</v>
      </c>
      <c r="E31" s="42">
        <f>+H30*E30</f>
        <v>1.528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23</v>
      </c>
      <c r="E32" s="45">
        <f>+E30-E31</f>
        <v>1.528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27</v>
      </c>
      <c r="E34" s="47">
        <f>+E32</f>
        <v>1.528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28</v>
      </c>
      <c r="E35" s="47">
        <f>+E34*1.15</f>
        <v>1.7571999999999999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8">
        <v>2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50">
        <f>+B48/F17</f>
        <v>140</v>
      </c>
      <c r="D40" s="24">
        <v>400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4">
        <f>+C40+D40</f>
        <v>540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4">
        <f>+C41/C38</f>
        <v>270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1">
        <f>+(C42*C38)*F17</f>
        <v>540</v>
      </c>
      <c r="F43" s="41" t="s">
        <v>42</v>
      </c>
      <c r="G43" s="23">
        <f>+C40/1000</f>
        <v>0.14000000000000001</v>
      </c>
      <c r="H43" s="3"/>
      <c r="J43"/>
      <c r="K43"/>
      <c r="L43"/>
      <c r="M43"/>
      <c r="N43"/>
      <c r="O43"/>
      <c r="P43"/>
      <c r="Q43"/>
      <c r="R43"/>
    </row>
    <row r="44" spans="1:19" ht="15.75" x14ac:dyDescent="0.3">
      <c r="A44" s="4"/>
      <c r="C44" s="51"/>
      <c r="F44" s="44" t="s">
        <v>43</v>
      </c>
      <c r="G44" s="48">
        <f>+C41</f>
        <v>540</v>
      </c>
      <c r="H44" s="3"/>
      <c r="J44"/>
      <c r="K44"/>
      <c r="L44"/>
      <c r="M44"/>
      <c r="N44"/>
      <c r="O44"/>
      <c r="P44"/>
      <c r="Q44"/>
      <c r="R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9" ht="15.75" x14ac:dyDescent="0.3">
      <c r="A46" s="4" t="s">
        <v>44</v>
      </c>
      <c r="C46" s="25">
        <f>+C42*C38</f>
        <v>540</v>
      </c>
      <c r="F46" s="44"/>
      <c r="G46" s="30"/>
      <c r="H46" s="3"/>
      <c r="J46"/>
      <c r="K46"/>
      <c r="L46"/>
      <c r="M46"/>
      <c r="N46"/>
      <c r="O46"/>
      <c r="P46"/>
      <c r="Q46"/>
      <c r="R46"/>
    </row>
    <row r="47" spans="1:19" ht="15.75" x14ac:dyDescent="0.3">
      <c r="A47" s="3"/>
      <c r="B47" s="3"/>
      <c r="C47" s="3"/>
      <c r="D47" s="3"/>
      <c r="E47" s="3"/>
      <c r="H47" s="3"/>
      <c r="J47" s="86"/>
      <c r="R47" s="86"/>
      <c r="S47" s="7"/>
    </row>
    <row r="48" spans="1:19" x14ac:dyDescent="0.3">
      <c r="A48" s="4" t="s">
        <v>69</v>
      </c>
      <c r="B48" s="21">
        <f>+'cartón caja'!B48</f>
        <v>140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 s="7"/>
      <c r="R48" s="7"/>
      <c r="S48" s="7"/>
    </row>
    <row r="49" spans="1:23" x14ac:dyDescent="0.3">
      <c r="A49" s="53" t="s">
        <v>50</v>
      </c>
      <c r="B49" s="54"/>
      <c r="C49" s="3"/>
      <c r="D49" s="21">
        <v>4</v>
      </c>
      <c r="E49" s="21">
        <v>1</v>
      </c>
      <c r="F49" s="21" t="s">
        <v>51</v>
      </c>
      <c r="G49" s="30">
        <v>295</v>
      </c>
      <c r="H49" s="30">
        <f>+(D49*E49)*G49</f>
        <v>1180</v>
      </c>
      <c r="J49" s="7"/>
      <c r="R49" s="7"/>
      <c r="S49" s="7"/>
    </row>
    <row r="50" spans="1:23" x14ac:dyDescent="0.3">
      <c r="A50" s="54" t="s">
        <v>52</v>
      </c>
      <c r="B50" s="55">
        <f>+E34*C42</f>
        <v>412.56</v>
      </c>
      <c r="C50" s="3">
        <f>+B50/2</f>
        <v>206.28</v>
      </c>
      <c r="D50" s="21">
        <v>4</v>
      </c>
      <c r="E50" s="21">
        <v>1</v>
      </c>
      <c r="F50" s="21" t="s">
        <v>70</v>
      </c>
      <c r="G50" s="30">
        <v>140</v>
      </c>
      <c r="H50" s="30">
        <f>+(D50*E50)*G50</f>
        <v>560</v>
      </c>
      <c r="J50" s="7"/>
      <c r="R50" s="7"/>
      <c r="S50" s="7"/>
    </row>
    <row r="51" spans="1:23" x14ac:dyDescent="0.3">
      <c r="A51" s="54" t="s">
        <v>10</v>
      </c>
      <c r="B51" s="55">
        <f>+H61</f>
        <v>4185.0811999999996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J51" s="7"/>
      <c r="R51" s="7"/>
      <c r="S51" s="7"/>
    </row>
    <row r="52" spans="1:23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v>300</v>
      </c>
      <c r="H52" s="30">
        <f t="shared" ref="H52:H59" si="0">+G52*E52</f>
        <v>300</v>
      </c>
      <c r="I52" s="30">
        <f>+(B73/100)*2</f>
        <v>126.6711536</v>
      </c>
      <c r="J52" s="7"/>
      <c r="R52" s="7"/>
      <c r="S52" s="7"/>
    </row>
    <row r="53" spans="1:23" ht="16.5" x14ac:dyDescent="0.3">
      <c r="A53" s="54" t="s">
        <v>24</v>
      </c>
      <c r="B53" s="55">
        <v>0</v>
      </c>
      <c r="C53" s="3"/>
      <c r="D53" s="21">
        <v>1</v>
      </c>
      <c r="E53" s="21">
        <v>1</v>
      </c>
      <c r="F53" s="21" t="s">
        <v>104</v>
      </c>
      <c r="G53" s="30">
        <f>+E82</f>
        <v>1645.0811999999996</v>
      </c>
      <c r="H53" s="30">
        <f t="shared" si="0"/>
        <v>1645.0811999999996</v>
      </c>
      <c r="I53" s="56"/>
      <c r="J53" s="7"/>
      <c r="R53" s="7"/>
      <c r="S53" s="7"/>
    </row>
    <row r="54" spans="1:23" x14ac:dyDescent="0.3">
      <c r="A54" s="57" t="s">
        <v>89</v>
      </c>
      <c r="B54" s="55">
        <v>0</v>
      </c>
      <c r="C54" s="3"/>
      <c r="D54" s="21">
        <v>0</v>
      </c>
      <c r="E54" s="21">
        <v>0</v>
      </c>
      <c r="F54" s="21" t="s">
        <v>72</v>
      </c>
      <c r="G54" s="30">
        <v>130</v>
      </c>
      <c r="H54" s="30">
        <f t="shared" si="0"/>
        <v>0</v>
      </c>
      <c r="J54" s="7"/>
      <c r="K54" s="7"/>
      <c r="L54" s="78"/>
      <c r="M54" s="78"/>
      <c r="N54" s="78"/>
      <c r="O54" s="78"/>
      <c r="P54" s="7"/>
      <c r="Q54" s="7"/>
      <c r="R54" s="7"/>
      <c r="S54" s="7"/>
    </row>
    <row r="55" spans="1:23" x14ac:dyDescent="0.3">
      <c r="A55" s="57" t="s">
        <v>92</v>
      </c>
      <c r="B55" s="55">
        <v>0</v>
      </c>
      <c r="D55" s="21">
        <v>0</v>
      </c>
      <c r="E55" s="21">
        <v>0</v>
      </c>
      <c r="F55" s="21" t="s">
        <v>90</v>
      </c>
      <c r="G55" s="30">
        <v>120</v>
      </c>
      <c r="H55" s="30">
        <f>+G55*E55</f>
        <v>0</v>
      </c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3" x14ac:dyDescent="0.3">
      <c r="A56" s="57" t="s">
        <v>91</v>
      </c>
      <c r="B56" s="55">
        <v>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3" ht="15.75" x14ac:dyDescent="0.3">
      <c r="A57" s="57"/>
      <c r="B57" s="57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3" t="s">
        <v>55</v>
      </c>
      <c r="B58" s="58">
        <f>SUM(B50:B57)</f>
        <v>4597.6412</v>
      </c>
      <c r="C58" s="3"/>
      <c r="D58" s="21">
        <v>1</v>
      </c>
      <c r="E58" s="21">
        <v>1</v>
      </c>
      <c r="F58" s="3" t="s">
        <v>56</v>
      </c>
      <c r="G58" s="30">
        <f>+G78</f>
        <v>500</v>
      </c>
      <c r="H58" s="30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9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32.840294285714286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0" t="s">
        <v>58</v>
      </c>
      <c r="H61" s="30">
        <f>SUM(H49:H60)</f>
        <v>4185.0811999999996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2">
        <f>+B73/C40</f>
        <v>45.239697714285711</v>
      </c>
      <c r="G63" s="1" t="s">
        <v>61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3" t="s">
        <v>64</v>
      </c>
      <c r="B65" s="54"/>
      <c r="C65" s="3"/>
      <c r="D65" s="3">
        <f>+B73*C69</f>
        <v>0</v>
      </c>
      <c r="E65" s="3"/>
      <c r="F65" s="3"/>
      <c r="G65" s="5" t="s">
        <v>73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4" t="s">
        <v>52</v>
      </c>
      <c r="B66" s="55">
        <f>+E35*C42</f>
        <v>474.44399999999996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4" t="s">
        <v>10</v>
      </c>
      <c r="B67" s="55">
        <f>+H61*H62</f>
        <v>5859.1136799999995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4" t="str">
        <f>+A53</f>
        <v>Tabla de suaje</v>
      </c>
      <c r="B68" s="55">
        <f>+B53*H62</f>
        <v>0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4" t="str">
        <f>+A54</f>
        <v>Placas HS</v>
      </c>
      <c r="B69" s="55">
        <f>+B54*H62</f>
        <v>0</v>
      </c>
      <c r="C69" s="62"/>
      <c r="G69" s="63" t="s">
        <v>65</v>
      </c>
      <c r="H69" s="32">
        <f>+B60</f>
        <v>32.840294285714286</v>
      </c>
      <c r="I69" s="64">
        <f>+H69*B48</f>
        <v>4597.6412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4" t="str">
        <f>+A55</f>
        <v>Imán</v>
      </c>
      <c r="B70" s="55">
        <f>+B55*H62</f>
        <v>0</v>
      </c>
      <c r="C70" s="62"/>
      <c r="G70" s="63" t="s">
        <v>66</v>
      </c>
      <c r="H70" s="32">
        <f>+C73</f>
        <v>45.239697714285711</v>
      </c>
      <c r="I70" s="64">
        <f>+H70*B48</f>
        <v>6333.5576799999999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4" t="str">
        <f>+A56</f>
        <v>Encuadernación</v>
      </c>
      <c r="B71" s="55">
        <f>+B56*1.2</f>
        <v>0</v>
      </c>
      <c r="C71" s="65"/>
      <c r="G71" s="66" t="s">
        <v>67</v>
      </c>
      <c r="H71" s="67">
        <f>+H70-H69</f>
        <v>12.399403428571425</v>
      </c>
      <c r="I71" s="82">
        <f>+H71*B48</f>
        <v>1735.9164799999994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4"/>
      <c r="B72" s="55"/>
      <c r="C72" s="65"/>
      <c r="G72" s="68" t="s">
        <v>68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 t="s">
        <v>55</v>
      </c>
      <c r="B73" s="58">
        <f>SUM(B65:B72)</f>
        <v>6333.5576799999999</v>
      </c>
      <c r="C73" s="67">
        <f>+B73/B48</f>
        <v>45.239697714285711</v>
      </c>
      <c r="D73" s="5" t="s">
        <v>130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C75" s="77"/>
      <c r="D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6.5" thickBot="1" x14ac:dyDescent="0.35">
      <c r="A76" s="5" t="s">
        <v>109</v>
      </c>
      <c r="B76" s="86"/>
      <c r="C76" s="86"/>
      <c r="D76" s="86"/>
      <c r="E76" s="86"/>
      <c r="F76" s="86"/>
      <c r="G76" s="8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A77" s="11" t="s">
        <v>97</v>
      </c>
      <c r="B77" s="12"/>
      <c r="C77" s="12"/>
      <c r="D77" s="12"/>
      <c r="E77" s="12"/>
      <c r="F77" s="12"/>
      <c r="G77" s="13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A78" s="46">
        <f>+F16</f>
        <v>35.700000000000003</v>
      </c>
      <c r="B78" s="73">
        <f>+H16</f>
        <v>42</v>
      </c>
      <c r="C78" s="7" t="s">
        <v>96</v>
      </c>
      <c r="D78" s="73" t="s">
        <v>98</v>
      </c>
      <c r="E78" s="7" t="s">
        <v>99</v>
      </c>
      <c r="F78" s="87" t="s">
        <v>127</v>
      </c>
      <c r="G78" s="111">
        <v>500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5.75" x14ac:dyDescent="0.3">
      <c r="A79" s="46">
        <f>0.357*0.42*C41</f>
        <v>80.96759999999999</v>
      </c>
      <c r="B79" s="78">
        <v>3.9</v>
      </c>
      <c r="C79" s="78">
        <f>+A79*B79</f>
        <v>315.77363999999994</v>
      </c>
      <c r="D79" s="78">
        <v>0</v>
      </c>
      <c r="E79" s="78">
        <f>+C79+D79</f>
        <v>315.77363999999994</v>
      </c>
      <c r="F79" s="75" t="s">
        <v>100</v>
      </c>
      <c r="G79" s="8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5.75" x14ac:dyDescent="0.3">
      <c r="A80" s="6"/>
      <c r="B80" s="78"/>
      <c r="C80" s="78"/>
      <c r="D80" s="78"/>
      <c r="E80" s="78"/>
      <c r="F80" s="7"/>
      <c r="G80" s="8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ht="15.75" x14ac:dyDescent="0.3">
      <c r="A81" s="46">
        <f>+A78</f>
        <v>35.700000000000003</v>
      </c>
      <c r="B81" s="73">
        <f>+B78</f>
        <v>42</v>
      </c>
      <c r="C81" s="7" t="s">
        <v>96</v>
      </c>
      <c r="D81" s="73" t="s">
        <v>98</v>
      </c>
      <c r="E81" s="7" t="s">
        <v>99</v>
      </c>
      <c r="F81" s="7" t="s">
        <v>101</v>
      </c>
      <c r="G81" s="8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ht="16.5" thickBot="1" x14ac:dyDescent="0.35">
      <c r="A82" s="52">
        <f>0.36*0.565*C41</f>
        <v>109.83599999999998</v>
      </c>
      <c r="B82" s="112">
        <f>3.9*3</f>
        <v>11.7</v>
      </c>
      <c r="C82" s="112">
        <f>+A82*B82</f>
        <v>1285.0811999999996</v>
      </c>
      <c r="D82" s="112">
        <v>360</v>
      </c>
      <c r="E82" s="112">
        <f>+C82+D82</f>
        <v>1645.0811999999996</v>
      </c>
      <c r="F82" s="113" t="s">
        <v>102</v>
      </c>
      <c r="G82" s="16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ht="15.75" x14ac:dyDescent="0.3"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ht="15.75" x14ac:dyDescent="0.3"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ht="15.75" x14ac:dyDescent="0.3"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ht="15.75" x14ac:dyDescent="0.3"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ht="15.75" x14ac:dyDescent="0.3"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ht="16.5" x14ac:dyDescent="0.3">
      <c r="J89" s="56"/>
      <c r="K89" s="56"/>
      <c r="L89" s="56"/>
      <c r="M89" s="56"/>
      <c r="N89" s="56"/>
      <c r="O89" s="56"/>
      <c r="P89" s="56"/>
      <c r="Q89" s="56"/>
      <c r="R89" s="56"/>
    </row>
    <row r="90" spans="1:23" ht="16.5" x14ac:dyDescent="0.3">
      <c r="J90" s="56"/>
      <c r="K90" s="56"/>
      <c r="L90" s="56"/>
      <c r="M90" s="56"/>
      <c r="N90" s="56"/>
      <c r="O90" s="56"/>
      <c r="P90" s="56"/>
      <c r="Q90" s="56"/>
      <c r="R90" s="56"/>
    </row>
    <row r="91" spans="1:23" ht="16.5" x14ac:dyDescent="0.3">
      <c r="J91" s="56"/>
      <c r="K91" s="56"/>
      <c r="L91" s="56"/>
      <c r="M91" s="56"/>
      <c r="N91" s="56"/>
      <c r="O91" s="56"/>
      <c r="P91" s="56"/>
      <c r="Q91" s="56"/>
      <c r="R91" s="56"/>
    </row>
    <row r="92" spans="1:23" ht="16.5" x14ac:dyDescent="0.3">
      <c r="J92" s="56"/>
      <c r="K92" s="56"/>
      <c r="L92" s="56"/>
      <c r="M92" s="56"/>
      <c r="N92" s="56"/>
      <c r="O92" s="56"/>
      <c r="P92" s="56"/>
      <c r="Q92" s="56"/>
      <c r="R92" s="56"/>
    </row>
    <row r="93" spans="1:23" ht="16.5" x14ac:dyDescent="0.3">
      <c r="J93" s="56"/>
      <c r="K93" s="56"/>
      <c r="L93" s="56"/>
      <c r="M93" s="56"/>
      <c r="N93" s="56"/>
      <c r="O93" s="56"/>
      <c r="P93" s="56"/>
      <c r="Q93" s="56"/>
      <c r="R93" s="56"/>
    </row>
    <row r="94" spans="1:23" ht="16.5" x14ac:dyDescent="0.3">
      <c r="J94" s="56"/>
      <c r="K94" s="56"/>
      <c r="L94" s="56"/>
      <c r="M94" s="56"/>
      <c r="N94" s="56"/>
      <c r="O94" s="56"/>
      <c r="P94" s="56"/>
      <c r="Q94" s="56"/>
      <c r="R94" s="56"/>
    </row>
    <row r="95" spans="1:23" ht="16.5" x14ac:dyDescent="0.3">
      <c r="J95" s="56"/>
      <c r="K95" s="56"/>
      <c r="L95" s="56"/>
      <c r="M95" s="56"/>
      <c r="N95" s="56"/>
      <c r="O95" s="56"/>
      <c r="P95" s="56"/>
      <c r="Q95" s="56"/>
      <c r="R95" s="56"/>
    </row>
    <row r="96" spans="1:23" ht="16.5" x14ac:dyDescent="0.3">
      <c r="J96" s="56"/>
      <c r="K96" s="56"/>
      <c r="L96" s="56"/>
      <c r="M96" s="56"/>
      <c r="N96" s="56"/>
      <c r="O96" s="56"/>
      <c r="P96" s="56"/>
      <c r="Q96" s="56"/>
      <c r="R96" s="56"/>
    </row>
  </sheetData>
  <pageMargins left="0.70866141732283472" right="0.70866141732283472" top="0.74803149606299213" bottom="0.74803149606299213" header="0.31496062992125984" footer="0.31496062992125984"/>
  <pageSetup scale="54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43" zoomScale="80" zoomScaleNormal="80" workbookViewId="0">
      <selection activeCell="B56" sqref="B5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caja'!C9</f>
        <v>24 de octubre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caja'!C11</f>
        <v>Monex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9" t="s">
        <v>118</v>
      </c>
      <c r="D15" s="18"/>
      <c r="E15" s="18"/>
      <c r="F15" s="72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119</v>
      </c>
      <c r="D16" s="18"/>
      <c r="E16" s="18"/>
      <c r="F16" s="46">
        <f>2+F20+2</f>
        <v>44.2</v>
      </c>
      <c r="G16" s="73" t="s">
        <v>74</v>
      </c>
      <c r="H16" s="74">
        <f>2+H20+2</f>
        <v>50.5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86</v>
      </c>
      <c r="D17" s="18"/>
      <c r="E17" s="18"/>
      <c r="F17" s="72">
        <v>1</v>
      </c>
      <c r="G17" s="75" t="s">
        <v>75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120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121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122</v>
      </c>
      <c r="D20" s="18"/>
      <c r="E20" s="18"/>
      <c r="F20" s="46">
        <v>40.200000000000003</v>
      </c>
      <c r="G20" s="73" t="s">
        <v>74</v>
      </c>
      <c r="H20" s="74">
        <v>46.5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93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80" t="s">
        <v>123</v>
      </c>
      <c r="D23" s="5" t="s">
        <v>12</v>
      </c>
      <c r="E23" s="22" t="s">
        <v>124</v>
      </c>
      <c r="F23" s="1" t="s">
        <v>125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3">
        <v>61</v>
      </c>
      <c r="D25" s="22" t="s">
        <v>14</v>
      </c>
      <c r="E25" s="24">
        <v>90</v>
      </c>
      <c r="F25" s="25">
        <f>+C25</f>
        <v>61</v>
      </c>
      <c r="G25" s="26" t="s">
        <v>14</v>
      </c>
      <c r="H25" s="26">
        <f>+E25</f>
        <v>90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7">
        <f>+F16</f>
        <v>44.2</v>
      </c>
      <c r="D26" s="28" t="s">
        <v>14</v>
      </c>
      <c r="E26" s="27">
        <f>+H16</f>
        <v>50.5</v>
      </c>
      <c r="F26" s="29">
        <f>+E26</f>
        <v>50.5</v>
      </c>
      <c r="G26" s="29" t="s">
        <v>14</v>
      </c>
      <c r="H26" s="29">
        <f>+C26</f>
        <v>44.2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1"/>
      <c r="C27" s="32">
        <f>+C25/C26</f>
        <v>1.3800904977375565</v>
      </c>
      <c r="D27" s="33"/>
      <c r="E27" s="32">
        <f>+E25/E26</f>
        <v>1.7821782178217822</v>
      </c>
      <c r="F27" s="32">
        <f>+F25/F26</f>
        <v>1.2079207920792079</v>
      </c>
      <c r="G27" s="33"/>
      <c r="H27" s="32">
        <f>+H25/H26</f>
        <v>2.0361990950226243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4"/>
      <c r="C28" s="35"/>
      <c r="D28" s="36">
        <v>1</v>
      </c>
      <c r="E28" s="37"/>
      <c r="F28" s="38"/>
      <c r="G28" s="39">
        <v>2</v>
      </c>
      <c r="H28" s="40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19</v>
      </c>
      <c r="B30" s="25" t="s">
        <v>81</v>
      </c>
      <c r="D30" s="41" t="s">
        <v>20</v>
      </c>
      <c r="E30" s="42">
        <v>3.056</v>
      </c>
      <c r="G30" s="1" t="s">
        <v>21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22</v>
      </c>
      <c r="E31" s="42">
        <f>+H30*E30</f>
        <v>1.528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23</v>
      </c>
      <c r="E32" s="45">
        <f>+E30-E31</f>
        <v>1.528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27</v>
      </c>
      <c r="E34" s="47">
        <f>+E32</f>
        <v>1.528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28</v>
      </c>
      <c r="E35" s="47">
        <f>+E34*1.15</f>
        <v>1.7571999999999999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32</v>
      </c>
      <c r="C38" s="48">
        <v>2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36</v>
      </c>
      <c r="B40" s="5"/>
      <c r="C40" s="50">
        <f>+B48/F17</f>
        <v>140</v>
      </c>
      <c r="D40" s="24">
        <v>400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38</v>
      </c>
      <c r="C41" s="34">
        <f>+C40+D40</f>
        <v>540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40</v>
      </c>
      <c r="C42" s="34">
        <f>+C41/C38</f>
        <v>270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84</v>
      </c>
      <c r="C43" s="21">
        <f>+(C42*C38)*F17</f>
        <v>540</v>
      </c>
      <c r="F43" s="41" t="s">
        <v>42</v>
      </c>
      <c r="G43" s="23">
        <f>+C40/1000</f>
        <v>0.14000000000000001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43</v>
      </c>
      <c r="G44" s="48">
        <f>+C41</f>
        <v>540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44</v>
      </c>
      <c r="C46" s="25">
        <f>+C42*C38</f>
        <v>540</v>
      </c>
      <c r="F46" s="44"/>
      <c r="G46" s="30"/>
      <c r="H46" s="3"/>
      <c r="J46"/>
      <c r="K46"/>
      <c r="L46"/>
      <c r="M46"/>
      <c r="N46"/>
      <c r="O46"/>
      <c r="P46"/>
      <c r="Q46"/>
      <c r="R46"/>
    </row>
    <row r="47" spans="1:18" ht="15.75" x14ac:dyDescent="0.3">
      <c r="A47" s="3"/>
      <c r="B47" s="3"/>
      <c r="C47" s="3"/>
      <c r="D47" s="3"/>
      <c r="E47" s="3"/>
      <c r="H47" s="3"/>
      <c r="J47"/>
      <c r="R47"/>
    </row>
    <row r="48" spans="1:18" x14ac:dyDescent="0.3">
      <c r="A48" s="4" t="s">
        <v>69</v>
      </c>
      <c r="B48" s="21">
        <f>+'cartón caja'!B48</f>
        <v>140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 s="7"/>
      <c r="R48" s="7"/>
    </row>
    <row r="49" spans="1:22" x14ac:dyDescent="0.3">
      <c r="A49" s="53" t="s">
        <v>50</v>
      </c>
      <c r="B49" s="54"/>
      <c r="C49" s="3"/>
      <c r="D49" s="21">
        <v>4</v>
      </c>
      <c r="E49" s="21">
        <v>1</v>
      </c>
      <c r="F49" s="21" t="s">
        <v>51</v>
      </c>
      <c r="G49" s="30">
        <v>295</v>
      </c>
      <c r="H49" s="30">
        <f>+(D49*E49)*G49</f>
        <v>1180</v>
      </c>
      <c r="J49" s="7"/>
      <c r="R49" s="7"/>
    </row>
    <row r="50" spans="1:22" x14ac:dyDescent="0.3">
      <c r="A50" s="54" t="s">
        <v>52</v>
      </c>
      <c r="B50" s="55">
        <f>+E34*C42</f>
        <v>412.56</v>
      </c>
      <c r="C50" s="3"/>
      <c r="D50" s="21">
        <v>4</v>
      </c>
      <c r="E50" s="21">
        <v>1</v>
      </c>
      <c r="F50" s="21" t="s">
        <v>70</v>
      </c>
      <c r="G50" s="30">
        <v>140</v>
      </c>
      <c r="H50" s="30">
        <f>+(D50*E50)*G50</f>
        <v>560</v>
      </c>
      <c r="J50" s="7"/>
      <c r="R50" s="7"/>
    </row>
    <row r="51" spans="1:22" x14ac:dyDescent="0.3">
      <c r="A51" s="54" t="s">
        <v>10</v>
      </c>
      <c r="B51" s="55">
        <f>+H61</f>
        <v>2810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J51" s="7"/>
      <c r="R51" s="7"/>
    </row>
    <row r="52" spans="1:22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v>300</v>
      </c>
      <c r="H52" s="30">
        <f t="shared" ref="H52:H59" si="0">+G52*E52</f>
        <v>300</v>
      </c>
      <c r="I52" s="30">
        <f>+(B73/100)*2</f>
        <v>202.133724</v>
      </c>
      <c r="J52" s="7"/>
      <c r="R52" s="7"/>
    </row>
    <row r="53" spans="1:22" ht="16.5" x14ac:dyDescent="0.3">
      <c r="A53" s="54" t="s">
        <v>24</v>
      </c>
      <c r="B53" s="55">
        <v>700</v>
      </c>
      <c r="C53" s="3"/>
      <c r="D53" s="21">
        <v>0</v>
      </c>
      <c r="E53" s="21">
        <v>0</v>
      </c>
      <c r="F53" s="21" t="s">
        <v>104</v>
      </c>
      <c r="G53" s="30">
        <f>+E82</f>
        <v>934.9380000000001</v>
      </c>
      <c r="H53" s="30">
        <f t="shared" si="0"/>
        <v>0</v>
      </c>
      <c r="I53" s="56"/>
      <c r="J53" s="7"/>
      <c r="R53" s="7"/>
    </row>
    <row r="54" spans="1:22" x14ac:dyDescent="0.3">
      <c r="A54" s="57" t="s">
        <v>126</v>
      </c>
      <c r="B54" s="55">
        <f>+(F16*H16)*0.13</f>
        <v>290.17300000000006</v>
      </c>
      <c r="C54" s="3"/>
      <c r="D54" s="21">
        <v>1</v>
      </c>
      <c r="E54" s="21">
        <v>1</v>
      </c>
      <c r="F54" s="21" t="s">
        <v>71</v>
      </c>
      <c r="G54" s="30">
        <v>135</v>
      </c>
      <c r="H54" s="30">
        <f t="shared" si="0"/>
        <v>135</v>
      </c>
      <c r="J54" s="7"/>
      <c r="R54" s="7"/>
    </row>
    <row r="55" spans="1:22" x14ac:dyDescent="0.3">
      <c r="A55" s="57" t="s">
        <v>92</v>
      </c>
      <c r="B55" s="55">
        <v>0</v>
      </c>
      <c r="D55" s="21">
        <v>1</v>
      </c>
      <c r="E55" s="21">
        <v>1</v>
      </c>
      <c r="F55" s="21" t="s">
        <v>72</v>
      </c>
      <c r="G55" s="30">
        <v>135</v>
      </c>
      <c r="H55" s="30">
        <f t="shared" si="0"/>
        <v>135</v>
      </c>
      <c r="J55" s="7"/>
      <c r="K55" s="7"/>
      <c r="L55" s="7"/>
      <c r="M55" s="7"/>
      <c r="N55" s="7"/>
      <c r="O55" s="7"/>
      <c r="P55" s="7"/>
      <c r="Q55" s="7"/>
      <c r="R55" s="7"/>
    </row>
    <row r="56" spans="1:22" x14ac:dyDescent="0.3">
      <c r="A56" s="57" t="s">
        <v>91</v>
      </c>
      <c r="B56" s="55">
        <f>+((20*B48)*1.1)</f>
        <v>3080.0000000000005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</row>
    <row r="57" spans="1:22" ht="15.75" x14ac:dyDescent="0.3">
      <c r="A57" s="57"/>
      <c r="B57" s="57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3" t="s">
        <v>55</v>
      </c>
      <c r="B58" s="58">
        <f>SUM(B50:B57)</f>
        <v>7292.7330000000002</v>
      </c>
      <c r="C58" s="3"/>
      <c r="D58" s="21">
        <v>1</v>
      </c>
      <c r="E58" s="21">
        <v>1</v>
      </c>
      <c r="F58" s="3" t="s">
        <v>56</v>
      </c>
      <c r="G58" s="30">
        <f>+G78</f>
        <v>500</v>
      </c>
      <c r="H58" s="30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9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52.090949999999999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0" t="s">
        <v>58</v>
      </c>
      <c r="H61" s="30">
        <f>SUM(H49:H60)</f>
        <v>2810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2">
        <f>+B73/C40</f>
        <v>72.190615714285713</v>
      </c>
      <c r="G63" s="1" t="s">
        <v>61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3" t="s">
        <v>64</v>
      </c>
      <c r="B65" s="54"/>
      <c r="C65" s="3"/>
      <c r="D65" s="3">
        <f>+B73*C69</f>
        <v>0</v>
      </c>
      <c r="E65" s="3"/>
      <c r="F65" s="3"/>
      <c r="G65" s="5" t="s">
        <v>73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4" t="s">
        <v>52</v>
      </c>
      <c r="B66" s="55">
        <f>+E35*C42</f>
        <v>474.44399999999996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4" t="s">
        <v>10</v>
      </c>
      <c r="B67" s="55">
        <f>+H61*H62</f>
        <v>3933.9999999999995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4" t="str">
        <f>+A53</f>
        <v>Tabla de suaje</v>
      </c>
      <c r="B68" s="55">
        <f>+B53*H62</f>
        <v>979.99999999999989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4" t="str">
        <f>+A54</f>
        <v>Pruebas de color</v>
      </c>
      <c r="B69" s="55">
        <f>+B54*H62</f>
        <v>406.24220000000008</v>
      </c>
      <c r="C69" s="62"/>
      <c r="G69" s="63" t="s">
        <v>65</v>
      </c>
      <c r="H69" s="32">
        <f>+B60</f>
        <v>52.090949999999999</v>
      </c>
      <c r="I69" s="64">
        <f>+H69*B48</f>
        <v>7292.7330000000002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4" t="str">
        <f>+A55</f>
        <v>Imán</v>
      </c>
      <c r="B70" s="55">
        <f>+B55*H62</f>
        <v>0</v>
      </c>
      <c r="C70" s="62"/>
      <c r="G70" s="63" t="s">
        <v>66</v>
      </c>
      <c r="H70" s="32">
        <f>+C73</f>
        <v>72.190615714285713</v>
      </c>
      <c r="I70" s="64">
        <f>+H70*B48</f>
        <v>10106.6862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4" t="str">
        <f>+A56</f>
        <v>Encuadernación</v>
      </c>
      <c r="B71" s="55">
        <f>+B56*H62</f>
        <v>4312</v>
      </c>
      <c r="C71" s="65"/>
      <c r="G71" s="66" t="s">
        <v>67</v>
      </c>
      <c r="H71" s="67">
        <f>+H70-H69</f>
        <v>20.099665714285713</v>
      </c>
      <c r="I71" s="82">
        <f>+H71*B48</f>
        <v>2813.9531999999999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4"/>
      <c r="B72" s="55"/>
      <c r="C72" s="65"/>
      <c r="G72" s="68" t="s">
        <v>68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3" t="s">
        <v>55</v>
      </c>
      <c r="B73" s="58">
        <f>SUM(B65:B72)</f>
        <v>10106.6862</v>
      </c>
      <c r="C73" s="67">
        <f>+B73/B48</f>
        <v>72.190615714285713</v>
      </c>
      <c r="D73" s="5" t="s">
        <v>131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C75" s="77"/>
      <c r="D75" s="5"/>
    </row>
    <row r="76" spans="1:22" ht="16.5" thickBot="1" x14ac:dyDescent="0.35">
      <c r="A76" s="5" t="s">
        <v>109</v>
      </c>
      <c r="B76"/>
      <c r="C76"/>
      <c r="D76"/>
      <c r="E76"/>
      <c r="F76"/>
      <c r="G76"/>
    </row>
    <row r="77" spans="1:22" x14ac:dyDescent="0.3">
      <c r="A77" s="11" t="s">
        <v>97</v>
      </c>
      <c r="B77" s="12"/>
      <c r="C77" s="12"/>
      <c r="D77" s="12"/>
      <c r="E77" s="12"/>
      <c r="F77" s="12"/>
      <c r="G77" s="13"/>
    </row>
    <row r="78" spans="1:22" x14ac:dyDescent="0.3">
      <c r="A78" s="46">
        <f>+F16</f>
        <v>44.2</v>
      </c>
      <c r="B78" s="73">
        <f>+H16</f>
        <v>50.5</v>
      </c>
      <c r="C78" s="7" t="s">
        <v>96</v>
      </c>
      <c r="D78" s="73" t="s">
        <v>98</v>
      </c>
      <c r="E78" s="7" t="s">
        <v>99</v>
      </c>
      <c r="F78" s="87" t="s">
        <v>127</v>
      </c>
      <c r="G78" s="111">
        <v>500</v>
      </c>
    </row>
    <row r="79" spans="1:22" x14ac:dyDescent="0.3">
      <c r="A79" s="46">
        <f>0.442*0.505*C41</f>
        <v>120.5334</v>
      </c>
      <c r="B79" s="78">
        <v>3.9</v>
      </c>
      <c r="C79" s="78">
        <f>+A79*B79</f>
        <v>470.08026000000001</v>
      </c>
      <c r="D79" s="78">
        <v>0</v>
      </c>
      <c r="E79" s="78">
        <f>+C79+D79</f>
        <v>470.08026000000001</v>
      </c>
      <c r="F79" s="75" t="s">
        <v>100</v>
      </c>
      <c r="G79" s="8"/>
    </row>
    <row r="80" spans="1:22" x14ac:dyDescent="0.3">
      <c r="A80" s="6"/>
      <c r="B80" s="78"/>
      <c r="C80" s="78"/>
      <c r="D80" s="78"/>
      <c r="E80" s="78"/>
      <c r="F80" s="7"/>
      <c r="G80" s="8"/>
    </row>
    <row r="81" spans="1:18" x14ac:dyDescent="0.3">
      <c r="A81" s="46">
        <f>+A78</f>
        <v>44.2</v>
      </c>
      <c r="B81" s="73">
        <f>+B78</f>
        <v>50.5</v>
      </c>
      <c r="C81" s="7" t="s">
        <v>96</v>
      </c>
      <c r="D81" s="73" t="s">
        <v>98</v>
      </c>
      <c r="E81" s="7" t="s">
        <v>99</v>
      </c>
      <c r="F81" s="7" t="s">
        <v>101</v>
      </c>
      <c r="G81" s="8"/>
      <c r="J81" s="71"/>
    </row>
    <row r="82" spans="1:18" ht="15" thickBot="1" x14ac:dyDescent="0.35">
      <c r="A82" s="52">
        <f>0.28*0.325*C41</f>
        <v>49.140000000000008</v>
      </c>
      <c r="B82" s="112">
        <f>3.9*3</f>
        <v>11.7</v>
      </c>
      <c r="C82" s="112">
        <f>+A82*B82</f>
        <v>574.9380000000001</v>
      </c>
      <c r="D82" s="112">
        <v>360</v>
      </c>
      <c r="E82" s="112">
        <f>+C82+D82</f>
        <v>934.9380000000001</v>
      </c>
      <c r="F82" s="113" t="s">
        <v>102</v>
      </c>
      <c r="G82" s="16"/>
    </row>
    <row r="83" spans="1:18" x14ac:dyDescent="0.3">
      <c r="A83" s="7"/>
      <c r="B83" s="78"/>
      <c r="C83" s="78"/>
      <c r="D83" s="78"/>
      <c r="E83" s="78"/>
      <c r="F83" s="7"/>
      <c r="G83" s="7"/>
    </row>
    <row r="87" spans="1:18" ht="16.5" x14ac:dyDescent="0.3">
      <c r="J87" s="56"/>
      <c r="K87" s="56"/>
      <c r="L87" s="56"/>
      <c r="M87" s="56"/>
      <c r="N87" s="56"/>
      <c r="O87" s="56"/>
      <c r="P87" s="56"/>
      <c r="Q87" s="56"/>
      <c r="R87" s="56"/>
    </row>
    <row r="88" spans="1:18" ht="16.5" x14ac:dyDescent="0.3">
      <c r="J88" s="56"/>
      <c r="K88" s="56"/>
      <c r="L88" s="56"/>
      <c r="M88" s="56"/>
      <c r="N88" s="56"/>
      <c r="O88" s="56"/>
      <c r="P88" s="56"/>
      <c r="Q88" s="56"/>
      <c r="R88" s="56"/>
    </row>
    <row r="89" spans="1:18" ht="16.5" x14ac:dyDescent="0.3">
      <c r="J89" s="56"/>
      <c r="K89" s="56"/>
      <c r="L89" s="56"/>
      <c r="M89" s="56"/>
      <c r="N89" s="56"/>
      <c r="O89" s="56"/>
      <c r="P89" s="56"/>
      <c r="Q89" s="56"/>
      <c r="R89" s="56"/>
    </row>
    <row r="90" spans="1:18" ht="16.5" x14ac:dyDescent="0.3">
      <c r="J90" s="56"/>
      <c r="K90" s="56"/>
      <c r="L90" s="56"/>
      <c r="M90" s="56"/>
      <c r="N90" s="56"/>
      <c r="O90" s="56"/>
      <c r="P90" s="56"/>
      <c r="Q90" s="56"/>
      <c r="R90" s="56"/>
    </row>
    <row r="91" spans="1:18" ht="16.5" x14ac:dyDescent="0.3">
      <c r="J91" s="56"/>
      <c r="K91" s="56"/>
      <c r="L91" s="56"/>
      <c r="M91" s="56"/>
      <c r="N91" s="56"/>
      <c r="O91" s="56"/>
      <c r="P91" s="56"/>
      <c r="Q91" s="56"/>
      <c r="R91" s="56"/>
    </row>
    <row r="92" spans="1:18" ht="16.5" x14ac:dyDescent="0.3">
      <c r="J92" s="56"/>
      <c r="K92" s="56"/>
      <c r="L92" s="56"/>
      <c r="M92" s="56"/>
      <c r="N92" s="56"/>
      <c r="O92" s="56"/>
      <c r="P92" s="56"/>
      <c r="Q92" s="56"/>
      <c r="R92" s="56"/>
    </row>
    <row r="93" spans="1:18" ht="16.5" x14ac:dyDescent="0.3">
      <c r="J93" s="56"/>
      <c r="K93" s="56"/>
      <c r="L93" s="56"/>
      <c r="M93" s="56"/>
      <c r="N93" s="56"/>
      <c r="O93" s="56"/>
      <c r="P93" s="56"/>
      <c r="Q93" s="56"/>
      <c r="R93" s="56"/>
    </row>
    <row r="94" spans="1:18" ht="16.5" x14ac:dyDescent="0.3">
      <c r="J94" s="56"/>
      <c r="K94" s="56"/>
      <c r="L94" s="56"/>
      <c r="M94" s="56"/>
      <c r="N94" s="56"/>
      <c r="O94" s="56"/>
      <c r="P94" s="56"/>
      <c r="Q94" s="56"/>
      <c r="R94" s="56"/>
    </row>
    <row r="95" spans="1:18" ht="16.5" x14ac:dyDescent="0.3">
      <c r="J95" s="56"/>
      <c r="K95" s="56"/>
      <c r="L95" s="56"/>
      <c r="M95" s="56"/>
      <c r="N95" s="56"/>
      <c r="O95" s="56"/>
      <c r="P95" s="56"/>
      <c r="Q95" s="56"/>
      <c r="R95" s="56"/>
    </row>
    <row r="96" spans="1:18" ht="16.5" x14ac:dyDescent="0.3">
      <c r="J96" s="56"/>
      <c r="K96" s="56"/>
      <c r="L96" s="56"/>
      <c r="M96" s="56"/>
      <c r="N96" s="56"/>
      <c r="O96" s="56"/>
      <c r="P96" s="56"/>
      <c r="Q96" s="56"/>
      <c r="R96" s="56"/>
    </row>
  </sheetData>
  <pageMargins left="0.70866141732283472" right="0.70866141732283472" top="0.74803149606299213" bottom="0.74803149606299213" header="0.31496062992125984" footer="0.31496062992125984"/>
  <pageSetup scale="55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29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caja'!C9</f>
        <v>24 de octubre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caja'!C11</f>
        <v>Monex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9" t="s">
        <v>118</v>
      </c>
      <c r="D15" s="18"/>
      <c r="E15" s="18"/>
      <c r="F15" s="72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119</v>
      </c>
      <c r="D16" s="18"/>
      <c r="E16" s="18"/>
      <c r="F16" s="46">
        <f>+F20</f>
        <v>35.200000000000003</v>
      </c>
      <c r="G16" s="73" t="s">
        <v>74</v>
      </c>
      <c r="H16" s="74">
        <f>+H20</f>
        <v>35.299999999999997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7" t="s">
        <v>86</v>
      </c>
      <c r="D17" s="18"/>
      <c r="E17" s="18"/>
      <c r="F17" s="72">
        <v>1</v>
      </c>
      <c r="G17" s="75" t="s">
        <v>75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7" t="s">
        <v>120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121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122</v>
      </c>
      <c r="D20" s="18"/>
      <c r="E20" s="18"/>
      <c r="F20" s="46">
        <v>35.200000000000003</v>
      </c>
      <c r="G20" s="73" t="s">
        <v>74</v>
      </c>
      <c r="H20" s="74">
        <v>35.299999999999997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93</v>
      </c>
      <c r="D21" s="18"/>
      <c r="E21" s="18"/>
      <c r="F21" s="72">
        <v>1</v>
      </c>
      <c r="G21" s="75" t="s">
        <v>75</v>
      </c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80" t="s">
        <v>123</v>
      </c>
      <c r="D23" s="5" t="s">
        <v>12</v>
      </c>
      <c r="E23" s="22" t="s">
        <v>124</v>
      </c>
      <c r="F23" s="1" t="s">
        <v>125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3">
        <v>57</v>
      </c>
      <c r="D25" s="22" t="s">
        <v>14</v>
      </c>
      <c r="E25" s="24">
        <v>87</v>
      </c>
      <c r="F25" s="25">
        <f>+C25</f>
        <v>57</v>
      </c>
      <c r="G25" s="26" t="s">
        <v>14</v>
      </c>
      <c r="H25" s="26">
        <f>+E25</f>
        <v>87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7">
        <f>+F16</f>
        <v>35.200000000000003</v>
      </c>
      <c r="D26" s="28" t="s">
        <v>14</v>
      </c>
      <c r="E26" s="27">
        <f>+H16</f>
        <v>35.299999999999997</v>
      </c>
      <c r="F26" s="29">
        <f>+E26</f>
        <v>35.299999999999997</v>
      </c>
      <c r="G26" s="29" t="s">
        <v>14</v>
      </c>
      <c r="H26" s="29">
        <f>+C26</f>
        <v>35.200000000000003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1"/>
      <c r="C27" s="32">
        <f>+C25/C26</f>
        <v>1.6193181818181817</v>
      </c>
      <c r="D27" s="33"/>
      <c r="E27" s="32">
        <f>+E25/E26</f>
        <v>2.464589235127479</v>
      </c>
      <c r="F27" s="32">
        <f>+F25/F26</f>
        <v>1.6147308781869689</v>
      </c>
      <c r="G27" s="33"/>
      <c r="H27" s="32">
        <f>+H25/H26</f>
        <v>2.4715909090909087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4"/>
      <c r="C28" s="35"/>
      <c r="D28" s="36">
        <v>2</v>
      </c>
      <c r="E28" s="37"/>
      <c r="F28" s="38"/>
      <c r="G28" s="39">
        <v>2</v>
      </c>
      <c r="H28" s="40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19</v>
      </c>
      <c r="B30" s="25" t="s">
        <v>81</v>
      </c>
      <c r="D30" s="41" t="s">
        <v>20</v>
      </c>
      <c r="E30" s="42">
        <v>3.056</v>
      </c>
      <c r="G30" s="1" t="s">
        <v>21</v>
      </c>
      <c r="H30" s="4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22</v>
      </c>
      <c r="E31" s="42">
        <f>+H30*E30</f>
        <v>1.528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23</v>
      </c>
      <c r="E32" s="45">
        <f>+E30-E31</f>
        <v>1.528</v>
      </c>
      <c r="I32" s="30"/>
      <c r="J32"/>
      <c r="K32"/>
      <c r="L32"/>
      <c r="M32"/>
      <c r="N32"/>
      <c r="O32"/>
      <c r="P32"/>
      <c r="Q32"/>
      <c r="R32"/>
    </row>
    <row r="33" spans="1:18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J33"/>
      <c r="K33"/>
      <c r="L33"/>
      <c r="M33"/>
      <c r="N33"/>
      <c r="O33"/>
      <c r="P33"/>
      <c r="Q33"/>
      <c r="R33"/>
    </row>
    <row r="34" spans="1:18" ht="15.75" x14ac:dyDescent="0.3">
      <c r="D34" s="41" t="s">
        <v>27</v>
      </c>
      <c r="E34" s="47">
        <f>+E32</f>
        <v>1.528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1" t="s">
        <v>28</v>
      </c>
      <c r="E35" s="47">
        <f>+E34*1.15</f>
        <v>1.7571999999999999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32</v>
      </c>
      <c r="C38" s="48">
        <v>2</v>
      </c>
      <c r="D38" s="49" t="s">
        <v>33</v>
      </c>
      <c r="E38" s="14"/>
      <c r="F38" s="15" t="s">
        <v>34</v>
      </c>
      <c r="G38" s="15"/>
      <c r="H38" s="16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21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36</v>
      </c>
      <c r="B40" s="5"/>
      <c r="C40" s="50">
        <f>+B48/F17</f>
        <v>140</v>
      </c>
      <c r="D40" s="24">
        <v>400</v>
      </c>
      <c r="F40" s="44" t="s">
        <v>37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38</v>
      </c>
      <c r="C41" s="34">
        <f>+C40+D40</f>
        <v>540</v>
      </c>
      <c r="F41" s="44" t="s">
        <v>39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40</v>
      </c>
      <c r="C42" s="34">
        <f>+C41/C38</f>
        <v>270</v>
      </c>
      <c r="F42" s="44" t="s">
        <v>41</v>
      </c>
      <c r="G42" s="23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84</v>
      </c>
      <c r="C43" s="21">
        <f>+(C42*C38)*F17</f>
        <v>540</v>
      </c>
      <c r="F43" s="41" t="s">
        <v>42</v>
      </c>
      <c r="G43" s="23">
        <f>+C40/1000</f>
        <v>0.14000000000000001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1"/>
      <c r="F44" s="44" t="s">
        <v>43</v>
      </c>
      <c r="G44" s="48">
        <f>+C41</f>
        <v>540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44</v>
      </c>
      <c r="C46" s="25">
        <f>+C42*C38</f>
        <v>540</v>
      </c>
      <c r="F46" s="44"/>
      <c r="G46" s="30"/>
      <c r="H46" s="3"/>
      <c r="J46"/>
      <c r="K46"/>
      <c r="L46"/>
      <c r="M46"/>
      <c r="N46"/>
      <c r="O46"/>
      <c r="P46"/>
      <c r="Q46"/>
      <c r="R46"/>
    </row>
    <row r="47" spans="1:18" ht="15.75" x14ac:dyDescent="0.3">
      <c r="A47" s="3"/>
      <c r="B47" s="3"/>
      <c r="C47" s="3"/>
      <c r="D47" s="3"/>
      <c r="E47" s="3"/>
      <c r="H47" s="3"/>
      <c r="J47"/>
      <c r="R47"/>
    </row>
    <row r="48" spans="1:18" x14ac:dyDescent="0.3">
      <c r="A48" s="4" t="s">
        <v>69</v>
      </c>
      <c r="B48" s="21">
        <f>+'cartón caja'!B48</f>
        <v>140</v>
      </c>
      <c r="C48" s="21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J48" s="7"/>
      <c r="R48" s="7"/>
    </row>
    <row r="49" spans="1:23" x14ac:dyDescent="0.3">
      <c r="A49" s="53" t="s">
        <v>50</v>
      </c>
      <c r="B49" s="54"/>
      <c r="C49" s="3"/>
      <c r="D49" s="21">
        <v>4</v>
      </c>
      <c r="E49" s="21">
        <v>1</v>
      </c>
      <c r="F49" s="21" t="s">
        <v>51</v>
      </c>
      <c r="G49" s="30">
        <v>295</v>
      </c>
      <c r="H49" s="30">
        <f>+(D49*E49)*G49</f>
        <v>1180</v>
      </c>
      <c r="J49" s="7"/>
      <c r="R49" s="7"/>
    </row>
    <row r="50" spans="1:23" x14ac:dyDescent="0.3">
      <c r="A50" s="54" t="s">
        <v>52</v>
      </c>
      <c r="B50" s="55">
        <f>+E34*C42</f>
        <v>412.56</v>
      </c>
      <c r="C50" s="3"/>
      <c r="D50" s="21">
        <v>4</v>
      </c>
      <c r="E50" s="21">
        <v>1</v>
      </c>
      <c r="F50" s="21" t="s">
        <v>70</v>
      </c>
      <c r="G50" s="30">
        <v>140</v>
      </c>
      <c r="H50" s="30">
        <f>+(D50*E50)*G50</f>
        <v>560</v>
      </c>
      <c r="J50" s="7"/>
      <c r="R50" s="7"/>
    </row>
    <row r="51" spans="1:23" x14ac:dyDescent="0.3">
      <c r="A51" s="54" t="s">
        <v>10</v>
      </c>
      <c r="B51" s="55">
        <f>+H61</f>
        <v>2540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J51" s="7"/>
      <c r="R51" s="7"/>
    </row>
    <row r="52" spans="1:23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v>300</v>
      </c>
      <c r="H52" s="30">
        <f t="shared" ref="H52:H59" si="0">+G52*E52</f>
        <v>300</v>
      </c>
      <c r="I52" s="30">
        <f>+(B73/100)*2</f>
        <v>80.608879999999999</v>
      </c>
      <c r="J52" s="7"/>
      <c r="R52" s="7"/>
    </row>
    <row r="53" spans="1:23" ht="16.5" x14ac:dyDescent="0.3">
      <c r="A53" s="54" t="s">
        <v>24</v>
      </c>
      <c r="B53" s="55">
        <v>0</v>
      </c>
      <c r="C53" s="3"/>
      <c r="D53" s="21">
        <v>0</v>
      </c>
      <c r="E53" s="21">
        <v>0</v>
      </c>
      <c r="F53" s="21" t="s">
        <v>104</v>
      </c>
      <c r="G53" s="30">
        <f>+E82</f>
        <v>934.9380000000001</v>
      </c>
      <c r="H53" s="30">
        <f t="shared" si="0"/>
        <v>0</v>
      </c>
      <c r="I53" s="56"/>
      <c r="J53" s="7"/>
      <c r="R53" s="7"/>
    </row>
    <row r="54" spans="1:23" x14ac:dyDescent="0.3">
      <c r="A54" s="57" t="s">
        <v>89</v>
      </c>
      <c r="B54" s="55">
        <v>0</v>
      </c>
      <c r="C54" s="3"/>
      <c r="D54" s="21">
        <v>0</v>
      </c>
      <c r="E54" s="21">
        <v>0</v>
      </c>
      <c r="F54" s="21" t="s">
        <v>72</v>
      </c>
      <c r="G54" s="30">
        <v>130</v>
      </c>
      <c r="H54" s="30">
        <f t="shared" si="0"/>
        <v>0</v>
      </c>
      <c r="J54" s="7"/>
      <c r="R54" s="7"/>
    </row>
    <row r="55" spans="1:23" x14ac:dyDescent="0.3">
      <c r="A55" s="57" t="s">
        <v>92</v>
      </c>
      <c r="B55" s="55">
        <v>0</v>
      </c>
      <c r="D55" s="21">
        <v>0</v>
      </c>
      <c r="E55" s="21">
        <v>0</v>
      </c>
      <c r="F55" s="21" t="s">
        <v>90</v>
      </c>
      <c r="G55" s="30">
        <v>120</v>
      </c>
      <c r="H55" s="30">
        <f>+G55*E55</f>
        <v>0</v>
      </c>
      <c r="J55" s="7"/>
      <c r="R55" s="7"/>
    </row>
    <row r="56" spans="1:23" ht="15.75" x14ac:dyDescent="0.3">
      <c r="A56" s="57" t="s">
        <v>91</v>
      </c>
      <c r="B56" s="55">
        <v>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7"/>
      <c r="B57" s="57"/>
      <c r="D57" s="21">
        <v>0</v>
      </c>
      <c r="E57" s="21">
        <v>0</v>
      </c>
      <c r="F57" s="21" t="s">
        <v>54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3" t="s">
        <v>55</v>
      </c>
      <c r="B58" s="58">
        <f>SUM(B50:B57)</f>
        <v>2952.56</v>
      </c>
      <c r="C58" s="3"/>
      <c r="D58" s="21">
        <v>1</v>
      </c>
      <c r="E58" s="21">
        <v>1</v>
      </c>
      <c r="F58" s="3" t="s">
        <v>56</v>
      </c>
      <c r="G58" s="30">
        <f>+G78</f>
        <v>500</v>
      </c>
      <c r="H58" s="30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9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21.089714285714287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0" t="s">
        <v>58</v>
      </c>
      <c r="H61" s="30">
        <f>SUM(H49:H60)</f>
        <v>2540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2">
        <f>+B73/C40</f>
        <v>28.788885714285716</v>
      </c>
      <c r="G63" s="1" t="s">
        <v>61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5" t="s">
        <v>63</v>
      </c>
      <c r="D64" s="3"/>
      <c r="E64" s="3"/>
      <c r="F64" s="3"/>
      <c r="G64" s="1" t="s">
        <v>61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3" t="s">
        <v>64</v>
      </c>
      <c r="B65" s="54"/>
      <c r="C65" s="3"/>
      <c r="D65" s="3">
        <f>+B73*C69</f>
        <v>0</v>
      </c>
      <c r="E65" s="3"/>
      <c r="F65" s="3"/>
      <c r="G65" s="5" t="s">
        <v>73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4" t="s">
        <v>52</v>
      </c>
      <c r="B66" s="55">
        <f>+E35*C42</f>
        <v>474.44399999999996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4" t="s">
        <v>10</v>
      </c>
      <c r="B67" s="55">
        <f>+H61*H62</f>
        <v>3556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4" t="str">
        <f>+A53</f>
        <v>Tabla de suaje</v>
      </c>
      <c r="B68" s="55">
        <f>+B53*H62</f>
        <v>0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4" t="str">
        <f>+A54</f>
        <v>Placas HS</v>
      </c>
      <c r="B69" s="55">
        <f>+B54*H62</f>
        <v>0</v>
      </c>
      <c r="C69" s="62"/>
      <c r="G69" s="63" t="s">
        <v>65</v>
      </c>
      <c r="H69" s="32">
        <f>+B60</f>
        <v>21.089714285714287</v>
      </c>
      <c r="I69" s="64">
        <f>+H69*B48</f>
        <v>2952.56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4" t="str">
        <f>+A55</f>
        <v>Imán</v>
      </c>
      <c r="B70" s="55">
        <f>+B55*H62</f>
        <v>0</v>
      </c>
      <c r="C70" s="62"/>
      <c r="G70" s="63" t="s">
        <v>66</v>
      </c>
      <c r="H70" s="32">
        <f>+C73</f>
        <v>28.788885714285716</v>
      </c>
      <c r="I70" s="64">
        <f>+H70*B48</f>
        <v>4030.444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4" t="str">
        <f>+A56</f>
        <v>Encuadernación</v>
      </c>
      <c r="B71" s="55">
        <f>+B56*H62</f>
        <v>0</v>
      </c>
      <c r="C71" s="65"/>
      <c r="G71" s="66" t="s">
        <v>67</v>
      </c>
      <c r="H71" s="67">
        <f>+H70-H69</f>
        <v>7.6991714285714288</v>
      </c>
      <c r="I71" s="82">
        <f>+H71*B48</f>
        <v>1077.884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4"/>
      <c r="B72" s="55"/>
      <c r="C72" s="65"/>
      <c r="G72" s="68" t="s">
        <v>68</v>
      </c>
      <c r="H72" s="43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 t="s">
        <v>55</v>
      </c>
      <c r="B73" s="58">
        <f>SUM(B65:B72)</f>
        <v>4030.444</v>
      </c>
      <c r="C73" s="67">
        <f>+B73/B48</f>
        <v>28.788885714285716</v>
      </c>
      <c r="D73" s="5" t="s">
        <v>105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C75" s="77"/>
      <c r="D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6.5" thickBot="1" x14ac:dyDescent="0.35">
      <c r="A76" s="5" t="s">
        <v>109</v>
      </c>
      <c r="B76"/>
      <c r="C76"/>
      <c r="D76"/>
      <c r="E76"/>
      <c r="F76"/>
      <c r="G76"/>
    </row>
    <row r="77" spans="1:23" x14ac:dyDescent="0.3">
      <c r="A77" s="11" t="s">
        <v>97</v>
      </c>
      <c r="B77" s="12"/>
      <c r="C77" s="12"/>
      <c r="D77" s="12"/>
      <c r="E77" s="12"/>
      <c r="F77" s="12"/>
      <c r="G77" s="13"/>
    </row>
    <row r="78" spans="1:23" x14ac:dyDescent="0.3">
      <c r="A78" s="46">
        <f>+F16</f>
        <v>35.200000000000003</v>
      </c>
      <c r="B78" s="73">
        <f>+H16</f>
        <v>35.299999999999997</v>
      </c>
      <c r="C78" s="7" t="s">
        <v>96</v>
      </c>
      <c r="D78" s="73" t="s">
        <v>98</v>
      </c>
      <c r="E78" s="7" t="s">
        <v>99</v>
      </c>
      <c r="F78" s="87" t="s">
        <v>127</v>
      </c>
      <c r="G78" s="111">
        <v>500</v>
      </c>
    </row>
    <row r="79" spans="1:23" x14ac:dyDescent="0.3">
      <c r="A79" s="46">
        <f>0.352*0.353*C41</f>
        <v>67.09823999999999</v>
      </c>
      <c r="B79" s="78">
        <v>3.9</v>
      </c>
      <c r="C79" s="78">
        <f>+A79*B79</f>
        <v>261.68313599999993</v>
      </c>
      <c r="D79" s="78">
        <v>0</v>
      </c>
      <c r="E79" s="78">
        <f>+C79+D79</f>
        <v>261.68313599999993</v>
      </c>
      <c r="F79" s="75" t="s">
        <v>100</v>
      </c>
      <c r="G79" s="8"/>
    </row>
    <row r="80" spans="1:23" x14ac:dyDescent="0.3">
      <c r="A80" s="6"/>
      <c r="B80" s="78"/>
      <c r="C80" s="78"/>
      <c r="D80" s="78"/>
      <c r="E80" s="78"/>
      <c r="F80" s="7"/>
      <c r="G80" s="8"/>
    </row>
    <row r="81" spans="1:18" x14ac:dyDescent="0.3">
      <c r="A81" s="46">
        <f>+A78</f>
        <v>35.200000000000003</v>
      </c>
      <c r="B81" s="73">
        <f>+B78</f>
        <v>35.299999999999997</v>
      </c>
      <c r="C81" s="7" t="s">
        <v>96</v>
      </c>
      <c r="D81" s="73" t="s">
        <v>98</v>
      </c>
      <c r="E81" s="7" t="s">
        <v>99</v>
      </c>
      <c r="F81" s="7" t="s">
        <v>101</v>
      </c>
      <c r="G81" s="8"/>
      <c r="J81" s="71"/>
    </row>
    <row r="82" spans="1:18" x14ac:dyDescent="0.3">
      <c r="A82" s="46">
        <f>0.28*0.325*C41</f>
        <v>49.140000000000008</v>
      </c>
      <c r="B82" s="78">
        <f>3.9*3</f>
        <v>11.7</v>
      </c>
      <c r="C82" s="78">
        <f>+A82*B82</f>
        <v>574.9380000000001</v>
      </c>
      <c r="D82" s="78">
        <v>360</v>
      </c>
      <c r="E82" s="78">
        <f>+C82+D82</f>
        <v>934.9380000000001</v>
      </c>
      <c r="F82" s="75" t="s">
        <v>102</v>
      </c>
      <c r="G82" s="8"/>
    </row>
    <row r="83" spans="1:18" ht="15" thickBot="1" x14ac:dyDescent="0.35">
      <c r="A83" s="14"/>
      <c r="B83" s="112"/>
      <c r="C83" s="112"/>
      <c r="D83" s="112"/>
      <c r="E83" s="112"/>
      <c r="F83" s="15"/>
      <c r="G83" s="16"/>
    </row>
    <row r="84" spans="1:18" x14ac:dyDescent="0.3">
      <c r="A84" s="7"/>
      <c r="B84" s="7"/>
      <c r="C84" s="7"/>
      <c r="D84" s="7"/>
      <c r="E84" s="7"/>
      <c r="F84" s="7"/>
      <c r="G84" s="7"/>
    </row>
    <row r="87" spans="1:18" ht="16.5" x14ac:dyDescent="0.3">
      <c r="J87" s="56"/>
      <c r="K87" s="56"/>
      <c r="L87" s="56"/>
      <c r="M87" s="56"/>
      <c r="N87" s="56"/>
      <c r="O87" s="56"/>
      <c r="P87" s="56"/>
      <c r="Q87" s="56"/>
      <c r="R87" s="56"/>
    </row>
    <row r="88" spans="1:18" ht="16.5" x14ac:dyDescent="0.3">
      <c r="J88" s="56"/>
      <c r="K88" s="56"/>
      <c r="L88" s="56"/>
      <c r="M88" s="56"/>
      <c r="N88" s="56"/>
      <c r="O88" s="56"/>
      <c r="P88" s="56"/>
      <c r="Q88" s="56"/>
      <c r="R88" s="56"/>
    </row>
    <row r="89" spans="1:18" ht="16.5" x14ac:dyDescent="0.3">
      <c r="J89" s="56"/>
      <c r="K89" s="56"/>
      <c r="L89" s="56"/>
      <c r="M89" s="56"/>
      <c r="N89" s="56"/>
      <c r="O89" s="56"/>
      <c r="P89" s="56"/>
      <c r="Q89" s="56"/>
      <c r="R89" s="56"/>
    </row>
    <row r="90" spans="1:18" ht="16.5" x14ac:dyDescent="0.3">
      <c r="J90" s="56"/>
      <c r="K90" s="56"/>
      <c r="L90" s="56"/>
      <c r="M90" s="56"/>
      <c r="N90" s="56"/>
      <c r="O90" s="56"/>
      <c r="P90" s="56"/>
      <c r="Q90" s="56"/>
      <c r="R90" s="56"/>
    </row>
    <row r="91" spans="1:18" ht="16.5" x14ac:dyDescent="0.3">
      <c r="J91" s="56"/>
      <c r="K91" s="56"/>
      <c r="L91" s="56"/>
      <c r="M91" s="56"/>
      <c r="N91" s="56"/>
      <c r="O91" s="56"/>
      <c r="P91" s="56"/>
      <c r="Q91" s="56"/>
      <c r="R91" s="56"/>
    </row>
    <row r="92" spans="1:18" ht="16.5" x14ac:dyDescent="0.3">
      <c r="J92" s="56"/>
      <c r="K92" s="56"/>
      <c r="L92" s="56"/>
      <c r="M92" s="56"/>
      <c r="N92" s="56"/>
      <c r="O92" s="56"/>
      <c r="P92" s="56"/>
      <c r="Q92" s="56"/>
      <c r="R92" s="56"/>
    </row>
    <row r="93" spans="1:18" ht="16.5" x14ac:dyDescent="0.3">
      <c r="J93" s="56"/>
      <c r="K93" s="56"/>
      <c r="L93" s="56"/>
      <c r="M93" s="56"/>
      <c r="N93" s="56"/>
      <c r="O93" s="56"/>
      <c r="P93" s="56"/>
      <c r="Q93" s="56"/>
      <c r="R93" s="56"/>
    </row>
    <row r="94" spans="1:18" ht="16.5" x14ac:dyDescent="0.3">
      <c r="J94" s="56"/>
      <c r="K94" s="56"/>
      <c r="L94" s="56"/>
      <c r="M94" s="56"/>
      <c r="N94" s="56"/>
      <c r="O94" s="56"/>
      <c r="P94" s="56"/>
      <c r="Q94" s="56"/>
      <c r="R94" s="56"/>
    </row>
    <row r="95" spans="1:18" ht="16.5" x14ac:dyDescent="0.3">
      <c r="J95" s="56"/>
      <c r="K95" s="56"/>
      <c r="L95" s="56"/>
      <c r="M95" s="56"/>
      <c r="N95" s="56"/>
      <c r="O95" s="56"/>
      <c r="P95" s="56"/>
      <c r="Q95" s="56"/>
      <c r="R95" s="56"/>
    </row>
    <row r="96" spans="1:18" ht="16.5" x14ac:dyDescent="0.3">
      <c r="J96" s="56"/>
      <c r="K96" s="56"/>
      <c r="L96" s="56"/>
      <c r="M96" s="56"/>
      <c r="N96" s="56"/>
      <c r="O96" s="56"/>
      <c r="P96" s="56"/>
      <c r="Q96" s="56"/>
      <c r="R96" s="56"/>
    </row>
  </sheetData>
  <pageMargins left="0.70866141732283472" right="0.70866141732283472" top="0.74803149606299213" bottom="0.74803149606299213" header="0.31496062992125984" footer="0.31496062992125984"/>
  <pageSetup scale="54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abSelected="1" zoomScale="80" zoomScaleNormal="80" workbookViewId="0">
      <selection activeCell="A21" sqref="A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6" style="1" customWidth="1"/>
    <col min="4" max="4" width="11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140625" style="1" customWidth="1"/>
    <col min="13" max="13" width="14.140625" style="1" customWidth="1"/>
    <col min="14" max="14" width="11.42578125" style="1"/>
    <col min="15" max="15" width="13.710937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Q3"/>
      <c r="R3"/>
      <c r="S3" s="3"/>
      <c r="T3" s="3"/>
      <c r="U3" s="3"/>
    </row>
    <row r="4" spans="1:21" ht="15.75" x14ac:dyDescent="0.3">
      <c r="Q4"/>
      <c r="R4"/>
    </row>
    <row r="5" spans="1:21" ht="15.75" x14ac:dyDescent="0.3">
      <c r="A5" s="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Q6"/>
      <c r="R6"/>
    </row>
    <row r="7" spans="1:21" ht="15.75" x14ac:dyDescent="0.3">
      <c r="Q7"/>
      <c r="R7"/>
    </row>
    <row r="8" spans="1:21" ht="15.75" x14ac:dyDescent="0.3">
      <c r="Q8"/>
      <c r="R8"/>
    </row>
    <row r="9" spans="1:21" s="5" customFormat="1" ht="15.75" x14ac:dyDescent="0.3">
      <c r="A9" s="5" t="s">
        <v>5</v>
      </c>
      <c r="C9" s="5" t="str">
        <f>+'cartón caja'!C9</f>
        <v>24 de octubre de 2016.</v>
      </c>
      <c r="H9" s="5" t="s">
        <v>6</v>
      </c>
      <c r="Q9"/>
      <c r="R9"/>
      <c r="S9" s="1"/>
      <c r="T9" s="1"/>
      <c r="U9" s="1"/>
    </row>
    <row r="10" spans="1:21" ht="15.75" x14ac:dyDescent="0.3">
      <c r="Q10"/>
      <c r="R10"/>
    </row>
    <row r="11" spans="1:21" ht="16.5" thickBot="1" x14ac:dyDescent="0.35">
      <c r="A11" s="5" t="s">
        <v>7</v>
      </c>
      <c r="C11" s="1" t="str">
        <f>+'cartón caja'!C11</f>
        <v>Monex</v>
      </c>
      <c r="F11" s="5" t="s">
        <v>0</v>
      </c>
      <c r="Q11"/>
      <c r="R11"/>
    </row>
    <row r="12" spans="1:21" ht="15.75" x14ac:dyDescent="0.3">
      <c r="A12" s="5"/>
      <c r="F12" s="11"/>
      <c r="G12" s="12"/>
      <c r="H12" s="13"/>
      <c r="Q12"/>
      <c r="R12"/>
    </row>
    <row r="13" spans="1:21" ht="15.75" x14ac:dyDescent="0.3">
      <c r="A13" s="5" t="s">
        <v>8</v>
      </c>
      <c r="F13" s="6"/>
      <c r="G13" s="7"/>
      <c r="H13" s="8"/>
      <c r="Q13"/>
      <c r="R13"/>
    </row>
    <row r="14" spans="1:21" ht="15.75" x14ac:dyDescent="0.3">
      <c r="A14" s="5"/>
      <c r="F14" s="6"/>
      <c r="G14" s="7"/>
      <c r="H14" s="8"/>
      <c r="Q14"/>
      <c r="R14"/>
    </row>
    <row r="15" spans="1:21" ht="15.75" x14ac:dyDescent="0.3">
      <c r="A15" s="5" t="s">
        <v>9</v>
      </c>
      <c r="C15" s="19" t="s">
        <v>118</v>
      </c>
      <c r="D15" s="18"/>
      <c r="E15" s="18"/>
      <c r="F15" s="72" t="s">
        <v>4</v>
      </c>
      <c r="G15" s="7"/>
      <c r="H15" s="8"/>
      <c r="Q15"/>
      <c r="R15"/>
    </row>
    <row r="16" spans="1:21" ht="15.75" x14ac:dyDescent="0.3">
      <c r="C16" s="17" t="s">
        <v>119</v>
      </c>
      <c r="D16" s="18"/>
      <c r="E16" s="18"/>
      <c r="F16" s="46">
        <f>2+F20+2</f>
        <v>44.2</v>
      </c>
      <c r="G16" s="73" t="s">
        <v>74</v>
      </c>
      <c r="H16" s="74">
        <f>2+H20+2</f>
        <v>43.8</v>
      </c>
      <c r="Q16"/>
      <c r="R16"/>
    </row>
    <row r="17" spans="1:19" ht="15.75" x14ac:dyDescent="0.3">
      <c r="C17" s="17" t="s">
        <v>86</v>
      </c>
      <c r="D17" s="18"/>
      <c r="E17" s="18"/>
      <c r="F17" s="72">
        <v>1</v>
      </c>
      <c r="G17" s="75" t="s">
        <v>75</v>
      </c>
      <c r="H17" s="8"/>
      <c r="Q17"/>
      <c r="R17"/>
    </row>
    <row r="18" spans="1:19" x14ac:dyDescent="0.3">
      <c r="C18" s="17" t="s">
        <v>120</v>
      </c>
      <c r="D18" s="18"/>
      <c r="E18" s="18"/>
      <c r="F18" s="6"/>
      <c r="G18" s="7"/>
      <c r="H18" s="8"/>
    </row>
    <row r="19" spans="1:19" x14ac:dyDescent="0.3">
      <c r="C19" s="17" t="s">
        <v>121</v>
      </c>
      <c r="D19" s="18"/>
      <c r="E19" s="18"/>
      <c r="F19" s="6"/>
      <c r="G19" s="7"/>
      <c r="H19" s="8"/>
    </row>
    <row r="20" spans="1:19" ht="15.75" x14ac:dyDescent="0.3">
      <c r="C20" s="18" t="s">
        <v>122</v>
      </c>
      <c r="D20" s="18"/>
      <c r="E20" s="18"/>
      <c r="F20" s="46">
        <v>40.200000000000003</v>
      </c>
      <c r="G20" s="73" t="s">
        <v>74</v>
      </c>
      <c r="H20" s="74">
        <v>39.799999999999997</v>
      </c>
      <c r="Q20"/>
      <c r="R20"/>
      <c r="S20"/>
    </row>
    <row r="21" spans="1:19" ht="15.75" x14ac:dyDescent="0.3">
      <c r="C21" s="18" t="s">
        <v>93</v>
      </c>
      <c r="D21" s="18"/>
      <c r="E21" s="18"/>
      <c r="F21" s="6"/>
      <c r="G21" s="7"/>
      <c r="H21" s="8"/>
      <c r="Q21"/>
      <c r="R21"/>
      <c r="S21"/>
    </row>
    <row r="22" spans="1:19" ht="16.5" thickBot="1" x14ac:dyDescent="0.35">
      <c r="C22" s="18"/>
      <c r="D22" s="18"/>
      <c r="E22" s="18"/>
      <c r="F22" s="14"/>
      <c r="G22" s="15"/>
      <c r="H22" s="16"/>
      <c r="Q22"/>
      <c r="R22"/>
      <c r="S22"/>
    </row>
    <row r="23" spans="1:19" ht="15.75" x14ac:dyDescent="0.3">
      <c r="A23" s="4" t="s">
        <v>11</v>
      </c>
      <c r="C23" s="88" t="s">
        <v>123</v>
      </c>
      <c r="D23" s="5" t="s">
        <v>12</v>
      </c>
      <c r="E23" s="22" t="s">
        <v>124</v>
      </c>
      <c r="F23" s="1" t="s">
        <v>125</v>
      </c>
      <c r="Q23"/>
      <c r="R23"/>
      <c r="S23"/>
    </row>
    <row r="24" spans="1:19" ht="15.75" x14ac:dyDescent="0.3">
      <c r="Q24"/>
      <c r="R24"/>
      <c r="S24"/>
    </row>
    <row r="25" spans="1:19" ht="15.75" x14ac:dyDescent="0.3">
      <c r="A25" s="4" t="s">
        <v>13</v>
      </c>
      <c r="C25" s="23">
        <v>61</v>
      </c>
      <c r="D25" s="22" t="s">
        <v>14</v>
      </c>
      <c r="E25" s="24">
        <v>90</v>
      </c>
      <c r="F25" s="25">
        <f>+C25</f>
        <v>61</v>
      </c>
      <c r="G25" s="26" t="s">
        <v>14</v>
      </c>
      <c r="H25" s="26">
        <f>+E25</f>
        <v>90</v>
      </c>
      <c r="Q25"/>
      <c r="R25"/>
      <c r="S25"/>
    </row>
    <row r="26" spans="1:19" ht="15.75" x14ac:dyDescent="0.3">
      <c r="A26" s="4" t="s">
        <v>15</v>
      </c>
      <c r="B26" s="3"/>
      <c r="C26" s="27">
        <f>+F16</f>
        <v>44.2</v>
      </c>
      <c r="D26" s="28" t="s">
        <v>14</v>
      </c>
      <c r="E26" s="27">
        <f>+H16</f>
        <v>43.8</v>
      </c>
      <c r="F26" s="29">
        <f>+E26</f>
        <v>43.8</v>
      </c>
      <c r="G26" s="29" t="s">
        <v>14</v>
      </c>
      <c r="H26" s="29">
        <f>+C26</f>
        <v>44.2</v>
      </c>
      <c r="I26" s="30"/>
      <c r="Q26"/>
      <c r="R26"/>
      <c r="S26"/>
    </row>
    <row r="27" spans="1:19" ht="16.5" thickBot="1" x14ac:dyDescent="0.35">
      <c r="A27" s="3" t="s">
        <v>16</v>
      </c>
      <c r="B27" s="31"/>
      <c r="C27" s="32">
        <f>+C25/C26</f>
        <v>1.3800904977375565</v>
      </c>
      <c r="D27" s="33"/>
      <c r="E27" s="32">
        <f>+E25/E26</f>
        <v>2.0547945205479454</v>
      </c>
      <c r="F27" s="32">
        <f>+F25/F26</f>
        <v>1.3926940639269407</v>
      </c>
      <c r="G27" s="33"/>
      <c r="H27" s="32">
        <f>+H25/H26</f>
        <v>2.0361990950226243</v>
      </c>
      <c r="I27" s="30"/>
      <c r="Q27"/>
      <c r="R27"/>
      <c r="S27"/>
    </row>
    <row r="28" spans="1:19" ht="16.5" thickBot="1" x14ac:dyDescent="0.35">
      <c r="A28" s="3" t="s">
        <v>17</v>
      </c>
      <c r="B28" s="34"/>
      <c r="C28" s="35"/>
      <c r="D28" s="36">
        <v>2</v>
      </c>
      <c r="E28" s="37"/>
      <c r="F28" s="38"/>
      <c r="G28" s="39">
        <v>2</v>
      </c>
      <c r="H28" s="40" t="s">
        <v>18</v>
      </c>
      <c r="Q28"/>
      <c r="R28"/>
      <c r="S28"/>
    </row>
    <row r="29" spans="1:19" ht="15.75" x14ac:dyDescent="0.3">
      <c r="A29" s="3"/>
      <c r="B29" s="21"/>
      <c r="C29" s="30"/>
      <c r="G29" s="41"/>
      <c r="H29" s="30"/>
      <c r="Q29"/>
      <c r="R29"/>
      <c r="S29"/>
    </row>
    <row r="30" spans="1:19" ht="15.75" x14ac:dyDescent="0.3">
      <c r="A30" s="25" t="s">
        <v>19</v>
      </c>
      <c r="B30" s="25" t="s">
        <v>81</v>
      </c>
      <c r="D30" s="41" t="s">
        <v>20</v>
      </c>
      <c r="E30" s="42">
        <v>3.056</v>
      </c>
      <c r="G30" s="1" t="s">
        <v>21</v>
      </c>
      <c r="H30" s="43">
        <v>0.5</v>
      </c>
      <c r="Q30"/>
      <c r="R30"/>
      <c r="S30"/>
    </row>
    <row r="31" spans="1:19" ht="15.75" x14ac:dyDescent="0.3">
      <c r="A31" s="3"/>
      <c r="B31" s="3"/>
      <c r="C31" s="3"/>
      <c r="D31" s="44" t="s">
        <v>22</v>
      </c>
      <c r="E31" s="42">
        <f>+H30*E30</f>
        <v>1.528</v>
      </c>
      <c r="H31" s="43"/>
      <c r="I31" s="30"/>
      <c r="Q31"/>
      <c r="R31"/>
      <c r="S31"/>
    </row>
    <row r="32" spans="1:19" ht="15.75" x14ac:dyDescent="0.3">
      <c r="D32" s="44" t="s">
        <v>23</v>
      </c>
      <c r="E32" s="45">
        <f>+E30-E31</f>
        <v>1.528</v>
      </c>
      <c r="I32" s="30"/>
      <c r="Q32"/>
      <c r="R32"/>
      <c r="S32"/>
    </row>
    <row r="33" spans="1:19" ht="15.75" x14ac:dyDescent="0.3">
      <c r="E33" s="21" t="s">
        <v>25</v>
      </c>
      <c r="F33" s="21" t="s">
        <v>26</v>
      </c>
      <c r="G33" s="21" t="s">
        <v>26</v>
      </c>
      <c r="H33" s="21" t="s">
        <v>26</v>
      </c>
      <c r="I33" s="30"/>
      <c r="Q33"/>
      <c r="R33"/>
      <c r="S33"/>
    </row>
    <row r="34" spans="1:19" ht="15.75" x14ac:dyDescent="0.3">
      <c r="D34" s="41" t="s">
        <v>27</v>
      </c>
      <c r="E34" s="47">
        <f>+E32</f>
        <v>1.528</v>
      </c>
      <c r="F34" s="47">
        <v>0</v>
      </c>
      <c r="G34" s="47">
        <v>0</v>
      </c>
      <c r="H34" s="47">
        <v>0</v>
      </c>
      <c r="Q34"/>
      <c r="R34"/>
      <c r="S34"/>
    </row>
    <row r="35" spans="1:19" ht="15.75" x14ac:dyDescent="0.3">
      <c r="D35" s="41" t="s">
        <v>28</v>
      </c>
      <c r="E35" s="47">
        <f>+E34*1.15</f>
        <v>1.7571999999999999</v>
      </c>
      <c r="F35" s="47">
        <v>0</v>
      </c>
      <c r="G35" s="47">
        <v>0</v>
      </c>
      <c r="H35" s="47">
        <v>0</v>
      </c>
      <c r="Q35"/>
      <c r="R35"/>
      <c r="S35"/>
    </row>
    <row r="36" spans="1:19" ht="16.5" thickBot="1" x14ac:dyDescent="0.35">
      <c r="A36" s="3"/>
      <c r="G36" s="41"/>
      <c r="Q36"/>
      <c r="R36"/>
      <c r="S36"/>
    </row>
    <row r="37" spans="1:19" ht="15.75" x14ac:dyDescent="0.3">
      <c r="A37" s="3"/>
      <c r="B37" s="21"/>
      <c r="C37" s="30"/>
      <c r="E37" s="11" t="s">
        <v>30</v>
      </c>
      <c r="F37" s="12" t="s">
        <v>31</v>
      </c>
      <c r="G37" s="12"/>
      <c r="H37" s="13"/>
      <c r="Q37"/>
      <c r="R37"/>
      <c r="S37"/>
    </row>
    <row r="38" spans="1:19" ht="16.5" thickBot="1" x14ac:dyDescent="0.35">
      <c r="A38" s="4" t="s">
        <v>32</v>
      </c>
      <c r="C38" s="48">
        <v>2</v>
      </c>
      <c r="D38" s="49" t="s">
        <v>33</v>
      </c>
      <c r="E38" s="14"/>
      <c r="F38" s="15" t="s">
        <v>34</v>
      </c>
      <c r="G38" s="15"/>
      <c r="H38" s="16"/>
      <c r="Q38"/>
      <c r="R38"/>
      <c r="S38"/>
    </row>
    <row r="39" spans="1:19" ht="15.75" x14ac:dyDescent="0.3">
      <c r="A39" s="4"/>
      <c r="C39" s="21"/>
      <c r="D39" s="1" t="s">
        <v>35</v>
      </c>
      <c r="E39" s="3"/>
      <c r="F39" s="3"/>
      <c r="Q39"/>
      <c r="R39"/>
      <c r="S39"/>
    </row>
    <row r="40" spans="1:19" ht="15.75" x14ac:dyDescent="0.3">
      <c r="A40" s="4" t="s">
        <v>36</v>
      </c>
      <c r="B40" s="5"/>
      <c r="C40" s="50">
        <f>+B48/F17</f>
        <v>140</v>
      </c>
      <c r="D40" s="24">
        <v>400</v>
      </c>
      <c r="F40" s="44" t="s">
        <v>37</v>
      </c>
      <c r="G40" s="23">
        <v>1</v>
      </c>
      <c r="H40" s="3"/>
      <c r="Q40"/>
      <c r="R40"/>
      <c r="S40"/>
    </row>
    <row r="41" spans="1:19" ht="15.75" x14ac:dyDescent="0.3">
      <c r="A41" s="4" t="s">
        <v>38</v>
      </c>
      <c r="C41" s="34">
        <f>+C40+D40</f>
        <v>540</v>
      </c>
      <c r="F41" s="44" t="s">
        <v>39</v>
      </c>
      <c r="G41" s="23">
        <v>2</v>
      </c>
      <c r="H41" s="3"/>
      <c r="Q41"/>
      <c r="R41"/>
      <c r="S41"/>
    </row>
    <row r="42" spans="1:19" ht="15.75" x14ac:dyDescent="0.3">
      <c r="A42" s="4" t="s">
        <v>40</v>
      </c>
      <c r="C42" s="34">
        <f>+C41/C38</f>
        <v>270</v>
      </c>
      <c r="F42" s="44" t="s">
        <v>41</v>
      </c>
      <c r="G42" s="23"/>
      <c r="H42" s="3"/>
      <c r="Q42"/>
      <c r="R42"/>
      <c r="S42"/>
    </row>
    <row r="43" spans="1:19" ht="15.75" x14ac:dyDescent="0.3">
      <c r="A43" s="4" t="s">
        <v>84</v>
      </c>
      <c r="C43" s="21">
        <f>+(C42*C38)*F17</f>
        <v>540</v>
      </c>
      <c r="F43" s="41" t="s">
        <v>42</v>
      </c>
      <c r="G43" s="23">
        <f>+C40/100</f>
        <v>1.4</v>
      </c>
      <c r="H43" s="3"/>
      <c r="Q43"/>
      <c r="R43"/>
      <c r="S43"/>
    </row>
    <row r="44" spans="1:19" x14ac:dyDescent="0.3">
      <c r="A44" s="4"/>
      <c r="C44" s="51"/>
      <c r="F44" s="44" t="s">
        <v>43</v>
      </c>
      <c r="G44" s="48">
        <f>+C41</f>
        <v>540</v>
      </c>
      <c r="H44" s="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Q45" s="7"/>
      <c r="R45" s="7"/>
    </row>
    <row r="46" spans="1:19" ht="15.75" x14ac:dyDescent="0.3">
      <c r="A46" s="4" t="s">
        <v>44</v>
      </c>
      <c r="C46" s="25">
        <f>+C42*C38</f>
        <v>540</v>
      </c>
      <c r="F46" s="44"/>
      <c r="G46" s="30"/>
      <c r="H46" s="3"/>
      <c r="Q46"/>
      <c r="R46"/>
    </row>
    <row r="47" spans="1:19" ht="15.75" x14ac:dyDescent="0.3">
      <c r="A47" s="3"/>
      <c r="B47" s="3"/>
      <c r="C47" s="3"/>
      <c r="D47" s="3"/>
      <c r="E47" s="3"/>
      <c r="H47" s="3"/>
      <c r="Q47"/>
      <c r="R47"/>
    </row>
    <row r="48" spans="1:19" ht="15.75" x14ac:dyDescent="0.3">
      <c r="A48" s="4" t="s">
        <v>69</v>
      </c>
      <c r="B48" s="21">
        <f>+'cartón caja'!B48</f>
        <v>140</v>
      </c>
      <c r="C48" s="3"/>
      <c r="D48" s="25" t="s">
        <v>45</v>
      </c>
      <c r="E48" s="25" t="s">
        <v>46</v>
      </c>
      <c r="F48" s="25" t="s">
        <v>47</v>
      </c>
      <c r="G48" s="25" t="s">
        <v>48</v>
      </c>
      <c r="H48" s="25" t="s">
        <v>49</v>
      </c>
      <c r="Q48"/>
      <c r="R48"/>
    </row>
    <row r="49" spans="1:21" ht="15.75" x14ac:dyDescent="0.3">
      <c r="A49" s="53" t="s">
        <v>50</v>
      </c>
      <c r="B49" s="54"/>
      <c r="C49" s="3"/>
      <c r="D49" s="21">
        <v>4</v>
      </c>
      <c r="E49" s="21">
        <v>1</v>
      </c>
      <c r="F49" s="21" t="s">
        <v>106</v>
      </c>
      <c r="G49" s="30">
        <v>295</v>
      </c>
      <c r="H49" s="30">
        <f>+(D49*E49)*G49</f>
        <v>1180</v>
      </c>
      <c r="Q49"/>
      <c r="R49"/>
    </row>
    <row r="50" spans="1:21" ht="15.75" x14ac:dyDescent="0.3">
      <c r="A50" s="54" t="s">
        <v>52</v>
      </c>
      <c r="B50" s="55">
        <f>+E34*C42</f>
        <v>412.56</v>
      </c>
      <c r="C50" s="3"/>
      <c r="D50" s="21">
        <v>4</v>
      </c>
      <c r="E50" s="21">
        <v>1</v>
      </c>
      <c r="F50" s="21" t="s">
        <v>70</v>
      </c>
      <c r="G50" s="30">
        <v>140</v>
      </c>
      <c r="H50" s="30">
        <f>+(D50*E50)*G50</f>
        <v>560</v>
      </c>
      <c r="Q50"/>
      <c r="R50"/>
    </row>
    <row r="51" spans="1:21" ht="15.75" x14ac:dyDescent="0.3">
      <c r="A51" s="54" t="s">
        <v>10</v>
      </c>
      <c r="B51" s="55">
        <f>+H68</f>
        <v>2810</v>
      </c>
      <c r="C51" s="3"/>
      <c r="D51" s="21">
        <v>0</v>
      </c>
      <c r="E51" s="21">
        <v>0</v>
      </c>
      <c r="F51" s="21" t="s">
        <v>76</v>
      </c>
      <c r="G51" s="30">
        <v>500</v>
      </c>
      <c r="H51" s="30">
        <f>+G51*E51*D51</f>
        <v>0</v>
      </c>
      <c r="Q51"/>
      <c r="R51"/>
    </row>
    <row r="52" spans="1:21" ht="15.75" x14ac:dyDescent="0.3">
      <c r="A52" s="54"/>
      <c r="B52" s="55"/>
      <c r="C52" s="3"/>
      <c r="D52" s="21">
        <v>1</v>
      </c>
      <c r="E52" s="21">
        <v>1</v>
      </c>
      <c r="F52" s="21" t="s">
        <v>94</v>
      </c>
      <c r="G52" s="30">
        <v>300</v>
      </c>
      <c r="H52" s="30">
        <f t="shared" ref="H52:H54" si="0">+G52*E52</f>
        <v>300</v>
      </c>
      <c r="I52" s="30">
        <f>+(B79/100)*2</f>
        <v>190.76087999999999</v>
      </c>
      <c r="Q52"/>
      <c r="R52"/>
    </row>
    <row r="53" spans="1:21" ht="16.5" x14ac:dyDescent="0.3">
      <c r="A53" s="54" t="s">
        <v>24</v>
      </c>
      <c r="B53" s="55">
        <v>400</v>
      </c>
      <c r="C53" s="3"/>
      <c r="D53" s="21">
        <v>1</v>
      </c>
      <c r="E53" s="21">
        <v>1</v>
      </c>
      <c r="F53" s="21" t="s">
        <v>71</v>
      </c>
      <c r="G53" s="30">
        <v>135</v>
      </c>
      <c r="H53" s="30">
        <f t="shared" si="0"/>
        <v>135</v>
      </c>
      <c r="I53" s="56"/>
      <c r="Q53"/>
      <c r="R53"/>
    </row>
    <row r="54" spans="1:21" ht="15.75" x14ac:dyDescent="0.3">
      <c r="A54" s="57" t="s">
        <v>92</v>
      </c>
      <c r="B54" s="55">
        <f>(6*B48)*1.1</f>
        <v>924.00000000000011</v>
      </c>
      <c r="C54" s="3"/>
      <c r="D54" s="21">
        <v>1</v>
      </c>
      <c r="E54" s="21">
        <v>1</v>
      </c>
      <c r="F54" s="21" t="s">
        <v>72</v>
      </c>
      <c r="G54" s="30">
        <v>135</v>
      </c>
      <c r="H54" s="30">
        <f t="shared" si="0"/>
        <v>135</v>
      </c>
      <c r="Q54"/>
      <c r="R54"/>
    </row>
    <row r="55" spans="1:21" ht="15.75" x14ac:dyDescent="0.3">
      <c r="A55" s="57" t="s">
        <v>91</v>
      </c>
      <c r="B55" s="55">
        <f>(10*B48)*1.1</f>
        <v>1540.0000000000002</v>
      </c>
      <c r="D55" s="21">
        <v>0</v>
      </c>
      <c r="E55" s="21">
        <v>0</v>
      </c>
      <c r="F55" s="21" t="s">
        <v>90</v>
      </c>
      <c r="G55" s="30">
        <v>200</v>
      </c>
      <c r="H55" s="30">
        <f>+G55*E55</f>
        <v>0</v>
      </c>
      <c r="I55"/>
      <c r="Q55"/>
      <c r="R55"/>
      <c r="S55"/>
    </row>
    <row r="56" spans="1:21" ht="15.75" x14ac:dyDescent="0.3">
      <c r="A56" s="57" t="s">
        <v>107</v>
      </c>
      <c r="B56" s="55">
        <v>400</v>
      </c>
      <c r="D56" s="21">
        <v>0</v>
      </c>
      <c r="E56" s="21">
        <v>0</v>
      </c>
      <c r="F56" s="21" t="s">
        <v>29</v>
      </c>
      <c r="G56" s="30">
        <v>1.5</v>
      </c>
      <c r="H56" s="30">
        <f>+G56*E56</f>
        <v>0</v>
      </c>
      <c r="I56"/>
      <c r="Q56"/>
      <c r="R56"/>
      <c r="S56"/>
    </row>
    <row r="57" spans="1:21" ht="15.75" x14ac:dyDescent="0.3">
      <c r="A57" s="57" t="s">
        <v>113</v>
      </c>
      <c r="B57" s="55">
        <v>400</v>
      </c>
      <c r="D57" s="21">
        <v>0</v>
      </c>
      <c r="E57" s="21">
        <v>0</v>
      </c>
      <c r="F57" s="21" t="s">
        <v>54</v>
      </c>
      <c r="G57" s="30">
        <v>1.5</v>
      </c>
      <c r="H57" s="30">
        <f t="shared" ref="H57:H58" si="1">+G57*E57</f>
        <v>0</v>
      </c>
      <c r="Q57"/>
      <c r="R57"/>
    </row>
    <row r="58" spans="1:21" ht="15.75" x14ac:dyDescent="0.3">
      <c r="A58" s="53" t="s">
        <v>55</v>
      </c>
      <c r="B58" s="58">
        <f>SUM(B50:B56)</f>
        <v>6486.56</v>
      </c>
      <c r="C58" s="3"/>
      <c r="D58" s="21">
        <v>1</v>
      </c>
      <c r="E58" s="21">
        <v>1</v>
      </c>
      <c r="F58" s="3" t="s">
        <v>56</v>
      </c>
      <c r="G58" s="30">
        <f>+G90</f>
        <v>500</v>
      </c>
      <c r="H58" s="30">
        <f t="shared" si="1"/>
        <v>500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59"/>
      <c r="C59" s="3"/>
      <c r="D59" s="21"/>
      <c r="E59" s="21"/>
      <c r="F59" s="3"/>
      <c r="G59" s="3"/>
      <c r="H59" s="30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A60" s="9"/>
      <c r="B60" s="32">
        <f>+B58/B48</f>
        <v>46.332571428571434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9"/>
      <c r="B61" s="32"/>
      <c r="C61" s="4"/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9"/>
      <c r="B62" s="32"/>
      <c r="C62" s="4"/>
      <c r="D62" s="3"/>
      <c r="E62" s="3"/>
      <c r="F62" s="3"/>
      <c r="G62" s="3"/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9"/>
      <c r="B63" s="32"/>
      <c r="C63" s="4"/>
      <c r="D63" s="3"/>
      <c r="E63" s="3"/>
      <c r="F63" s="3"/>
      <c r="G63" s="3"/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9"/>
      <c r="B64" s="32"/>
      <c r="C64" s="4"/>
      <c r="D64" s="3"/>
      <c r="E64" s="3"/>
      <c r="F64" s="3"/>
      <c r="G64" s="3"/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9"/>
      <c r="B65" s="32"/>
      <c r="C65" s="4"/>
      <c r="D65" s="3"/>
      <c r="E65" s="3"/>
      <c r="F65" s="3"/>
      <c r="G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3"/>
      <c r="B66" s="3"/>
      <c r="D66" s="3"/>
      <c r="E66" s="3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D67" s="3"/>
      <c r="E67" s="3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4" t="s">
        <v>60</v>
      </c>
      <c r="B68" s="3"/>
      <c r="C68" s="3"/>
      <c r="E68" s="32"/>
      <c r="F68" s="3"/>
      <c r="G68" s="60" t="s">
        <v>58</v>
      </c>
      <c r="H68" s="30">
        <f>SUM(H49:H60)</f>
        <v>2810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3"/>
      <c r="B69" s="4" t="s">
        <v>62</v>
      </c>
      <c r="C69" s="25" t="s">
        <v>63</v>
      </c>
      <c r="D69" s="3"/>
      <c r="E69" s="3"/>
      <c r="G69" s="5" t="s">
        <v>59</v>
      </c>
      <c r="H69" s="76">
        <v>1.4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3" t="s">
        <v>64</v>
      </c>
      <c r="B70" s="54"/>
      <c r="C70" s="3"/>
      <c r="D70" s="3"/>
      <c r="E70" s="3"/>
      <c r="G70" s="1" t="s">
        <v>61</v>
      </c>
      <c r="H70" s="61">
        <v>1.75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4" t="s">
        <v>52</v>
      </c>
      <c r="B71" s="55">
        <f>+E35*C42</f>
        <v>474.44399999999996</v>
      </c>
      <c r="C71" s="62"/>
      <c r="F71" s="3"/>
      <c r="G71" s="1" t="s">
        <v>61</v>
      </c>
      <c r="H71" s="61">
        <v>2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4" t="s">
        <v>10</v>
      </c>
      <c r="B72" s="55">
        <f>+H68*H69</f>
        <v>3933.9999999999995</v>
      </c>
      <c r="C72" s="62"/>
      <c r="F72" s="3"/>
      <c r="G72" s="5" t="s">
        <v>73</v>
      </c>
      <c r="H72" s="61">
        <v>2.5</v>
      </c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A73" s="54" t="str">
        <f>+A53</f>
        <v>Tabla de suaje</v>
      </c>
      <c r="B73" s="55">
        <f>+B53*H69</f>
        <v>560</v>
      </c>
      <c r="C73" s="62"/>
      <c r="J73"/>
      <c r="K73"/>
      <c r="L73"/>
      <c r="M73"/>
      <c r="N73"/>
      <c r="O73"/>
      <c r="P73"/>
      <c r="Q73"/>
      <c r="R73"/>
      <c r="S73"/>
      <c r="T73"/>
      <c r="U73"/>
    </row>
    <row r="74" spans="1:21" ht="15.75" x14ac:dyDescent="0.3">
      <c r="A74" s="54" t="str">
        <f>+A54</f>
        <v>Imán</v>
      </c>
      <c r="B74" s="55">
        <f>+B54*H69</f>
        <v>1293.6000000000001</v>
      </c>
      <c r="C74" s="62"/>
      <c r="G74" s="63" t="s">
        <v>65</v>
      </c>
      <c r="H74" s="32">
        <f>+B60</f>
        <v>46.332571428571434</v>
      </c>
      <c r="I74" s="64">
        <f>+H74*B48</f>
        <v>6486.56</v>
      </c>
      <c r="J74"/>
      <c r="K74"/>
      <c r="L74"/>
      <c r="M74"/>
      <c r="N74"/>
      <c r="O74"/>
      <c r="P74"/>
      <c r="Q74"/>
      <c r="R74"/>
      <c r="S74"/>
      <c r="T74"/>
      <c r="U74"/>
    </row>
    <row r="75" spans="1:21" ht="15.75" x14ac:dyDescent="0.3">
      <c r="A75" s="54" t="str">
        <f>+A55</f>
        <v>Encuadernación</v>
      </c>
      <c r="B75" s="55">
        <f>+B55*H69</f>
        <v>2156</v>
      </c>
      <c r="C75" s="65"/>
      <c r="G75" s="63" t="s">
        <v>66</v>
      </c>
      <c r="H75" s="32">
        <f>+C79</f>
        <v>68.128885714285715</v>
      </c>
      <c r="I75" s="64">
        <f>+H75*B48</f>
        <v>9538.0439999999999</v>
      </c>
      <c r="J75"/>
      <c r="K75"/>
      <c r="L75"/>
      <c r="M75"/>
      <c r="N75"/>
      <c r="O75"/>
      <c r="P75"/>
      <c r="Q75"/>
      <c r="R75"/>
      <c r="S75"/>
      <c r="T75"/>
      <c r="U75"/>
    </row>
    <row r="76" spans="1:21" ht="15.75" x14ac:dyDescent="0.3">
      <c r="A76" s="54"/>
      <c r="B76" s="55"/>
      <c r="C76" s="65"/>
      <c r="G76" s="66" t="s">
        <v>67</v>
      </c>
      <c r="H76" s="67">
        <f>+H75-H74</f>
        <v>21.796314285714281</v>
      </c>
      <c r="I76" s="82">
        <f>+H76*B48</f>
        <v>3051.4839999999995</v>
      </c>
      <c r="J76"/>
      <c r="K76"/>
      <c r="L76"/>
      <c r="M76"/>
      <c r="N76"/>
      <c r="O76"/>
      <c r="P76"/>
      <c r="Q76"/>
      <c r="R76"/>
      <c r="S76"/>
      <c r="T76"/>
      <c r="U76"/>
    </row>
    <row r="77" spans="1:21" ht="15.75" x14ac:dyDescent="0.3">
      <c r="A77" s="54" t="str">
        <f>+A56</f>
        <v>Empaque</v>
      </c>
      <c r="B77" s="55">
        <f>+B56*H69</f>
        <v>560</v>
      </c>
      <c r="C77" s="65"/>
      <c r="G77" s="91" t="s">
        <v>108</v>
      </c>
      <c r="H77" s="91"/>
      <c r="I77" s="85">
        <f>+(A85/100)*2.5</f>
        <v>861.49856783333325</v>
      </c>
      <c r="J77"/>
      <c r="K77"/>
      <c r="L77"/>
      <c r="M77"/>
      <c r="N77"/>
      <c r="O77"/>
      <c r="P77"/>
      <c r="Q77"/>
      <c r="R77"/>
      <c r="S77"/>
      <c r="T77"/>
      <c r="U77"/>
    </row>
    <row r="78" spans="1:21" ht="15.75" x14ac:dyDescent="0.3">
      <c r="A78" s="54" t="str">
        <f>+A57</f>
        <v>Envio</v>
      </c>
      <c r="B78" s="55">
        <f>+B57*H69</f>
        <v>560</v>
      </c>
      <c r="C78" s="67" t="s">
        <v>110</v>
      </c>
      <c r="D78" s="26"/>
      <c r="E78" s="26"/>
      <c r="F78" s="26" t="s">
        <v>65</v>
      </c>
      <c r="J78"/>
      <c r="K78"/>
      <c r="L78"/>
      <c r="M78"/>
      <c r="N78"/>
      <c r="O78"/>
      <c r="P78"/>
      <c r="Q78"/>
      <c r="R78"/>
      <c r="S78"/>
      <c r="T78"/>
      <c r="U78"/>
    </row>
    <row r="79" spans="1:21" ht="15.75" x14ac:dyDescent="0.3">
      <c r="A79" s="53" t="s">
        <v>55</v>
      </c>
      <c r="B79" s="58">
        <f>SUM(B70:B78)</f>
        <v>9538.0439999999999</v>
      </c>
      <c r="C79" s="67">
        <f>+B79/B48</f>
        <v>68.128885714285715</v>
      </c>
      <c r="D79" s="5" t="s">
        <v>132</v>
      </c>
      <c r="F79" s="77">
        <f>+B60</f>
        <v>46.332571428571434</v>
      </c>
      <c r="G79" s="7"/>
      <c r="J79"/>
      <c r="K79"/>
      <c r="L79"/>
      <c r="M79"/>
      <c r="N79"/>
      <c r="O79"/>
      <c r="P79"/>
      <c r="Q79"/>
      <c r="R79"/>
      <c r="S79"/>
      <c r="T79"/>
      <c r="U79"/>
    </row>
    <row r="80" spans="1:21" ht="15.75" x14ac:dyDescent="0.3">
      <c r="C80" s="77">
        <f>+'forro guarda'!C73</f>
        <v>28.788885714285716</v>
      </c>
      <c r="D80" s="5" t="str">
        <f>+'forro guarda'!D73</f>
        <v>forro guarda</v>
      </c>
      <c r="F80" s="77">
        <f>+'forro guarda'!B60</f>
        <v>21.089714285714287</v>
      </c>
      <c r="J80"/>
      <c r="K80"/>
      <c r="L80"/>
      <c r="M80"/>
      <c r="N80"/>
      <c r="O80"/>
      <c r="P80"/>
      <c r="Q80"/>
      <c r="R80"/>
    </row>
    <row r="81" spans="1:10" x14ac:dyDescent="0.3">
      <c r="C81" s="77">
        <f>+'forro caja EXT'!C73</f>
        <v>72.190615714285713</v>
      </c>
      <c r="D81" s="5" t="str">
        <f>+'forro caja EXT'!D73</f>
        <v>forro caja EXT</v>
      </c>
      <c r="E81" s="5"/>
      <c r="F81" s="77">
        <f>+'forro caja EXT'!B60</f>
        <v>52.090949999999999</v>
      </c>
    </row>
    <row r="82" spans="1:10" x14ac:dyDescent="0.3">
      <c r="A82" s="5"/>
      <c r="C82" s="77">
        <f>+'forro caja INT'!C73</f>
        <v>45.239697714285711</v>
      </c>
      <c r="D82" s="5" t="str">
        <f>+'forro caja INT'!D73</f>
        <v>forro caja INT</v>
      </c>
      <c r="E82" s="5"/>
      <c r="F82" s="77">
        <f>+'forro caja INT'!B60</f>
        <v>32.840294285714286</v>
      </c>
      <c r="J82" s="7"/>
    </row>
    <row r="83" spans="1:10" x14ac:dyDescent="0.3">
      <c r="B83" s="69"/>
      <c r="C83" s="77">
        <f>+'cartón cartera'!C72</f>
        <v>13.317745238095238</v>
      </c>
      <c r="D83" s="5" t="str">
        <f>+'cartón cartera'!D72</f>
        <v>cartón cartera</v>
      </c>
      <c r="E83" s="5"/>
      <c r="F83" s="77">
        <f>+'cartón cartera'!B60</f>
        <v>11.114809523809523</v>
      </c>
    </row>
    <row r="84" spans="1:10" x14ac:dyDescent="0.3">
      <c r="C84" s="79">
        <f>+'cartón caja'!C72</f>
        <v>18.476617857142859</v>
      </c>
      <c r="D84" s="5" t="str">
        <f>+'cartón caja'!D72</f>
        <v>cartón caja</v>
      </c>
      <c r="E84" s="5"/>
      <c r="F84" s="79">
        <f>+'cartón caja'!B60</f>
        <v>15.600785714285715</v>
      </c>
    </row>
    <row r="85" spans="1:10" ht="15.75" customHeight="1" x14ac:dyDescent="0.3">
      <c r="A85" s="90">
        <f>+C85*B48</f>
        <v>34459.94271333333</v>
      </c>
      <c r="B85" s="90"/>
      <c r="C85" s="81">
        <f>SUM(C79:C84)</f>
        <v>246.14244795238093</v>
      </c>
      <c r="D85" s="5" t="s">
        <v>95</v>
      </c>
      <c r="F85" s="83">
        <f>SUM(F79:F84)</f>
        <v>179.06912523809524</v>
      </c>
      <c r="G85" s="84">
        <f>+F85*B48</f>
        <v>25069.677533333335</v>
      </c>
      <c r="I85" s="89">
        <f>+A85-G85</f>
        <v>9390.2651799999949</v>
      </c>
      <c r="J85" s="89"/>
    </row>
    <row r="87" spans="1:10" x14ac:dyDescent="0.3">
      <c r="J87" s="71"/>
    </row>
    <row r="88" spans="1:10" ht="15" thickBot="1" x14ac:dyDescent="0.35">
      <c r="A88" s="5" t="s">
        <v>109</v>
      </c>
    </row>
    <row r="89" spans="1:10" x14ac:dyDescent="0.3">
      <c r="A89" s="11" t="s">
        <v>97</v>
      </c>
      <c r="B89" s="12"/>
      <c r="C89" s="12"/>
      <c r="D89" s="12"/>
      <c r="E89" s="12"/>
      <c r="F89" s="12"/>
      <c r="G89" s="13"/>
    </row>
    <row r="90" spans="1:10" x14ac:dyDescent="0.3">
      <c r="A90" s="46">
        <f>+F16</f>
        <v>44.2</v>
      </c>
      <c r="B90" s="73">
        <f>+H16</f>
        <v>43.8</v>
      </c>
      <c r="C90" s="7" t="s">
        <v>96</v>
      </c>
      <c r="D90" s="73" t="s">
        <v>98</v>
      </c>
      <c r="E90" s="7" t="s">
        <v>99</v>
      </c>
      <c r="F90" s="87" t="s">
        <v>127</v>
      </c>
      <c r="G90" s="111">
        <v>500</v>
      </c>
    </row>
    <row r="91" spans="1:10" x14ac:dyDescent="0.3">
      <c r="A91" s="46">
        <f>0.442*0.438*C41</f>
        <v>104.54183999999999</v>
      </c>
      <c r="B91" s="78">
        <v>3.9</v>
      </c>
      <c r="C91" s="78">
        <f>+A91*B91</f>
        <v>407.71317599999998</v>
      </c>
      <c r="D91" s="78">
        <v>0</v>
      </c>
      <c r="E91" s="78">
        <f>+C91+D91</f>
        <v>407.71317599999998</v>
      </c>
      <c r="F91" s="75" t="s">
        <v>100</v>
      </c>
      <c r="G91" s="8"/>
    </row>
    <row r="92" spans="1:10" x14ac:dyDescent="0.3">
      <c r="A92" s="6"/>
      <c r="B92" s="78"/>
      <c r="C92" s="78"/>
      <c r="D92" s="78"/>
      <c r="E92" s="78"/>
      <c r="F92" s="7"/>
      <c r="G92" s="8"/>
    </row>
    <row r="93" spans="1:10" x14ac:dyDescent="0.3">
      <c r="A93" s="46">
        <f>+A90</f>
        <v>44.2</v>
      </c>
      <c r="B93" s="73">
        <f>+B90</f>
        <v>43.8</v>
      </c>
      <c r="C93" s="7" t="s">
        <v>96</v>
      </c>
      <c r="D93" s="73" t="s">
        <v>98</v>
      </c>
      <c r="E93" s="7" t="s">
        <v>99</v>
      </c>
      <c r="F93" s="7" t="s">
        <v>101</v>
      </c>
      <c r="G93" s="8"/>
    </row>
    <row r="94" spans="1:10" x14ac:dyDescent="0.3">
      <c r="A94" s="46">
        <f>0.65*0.36*C41</f>
        <v>126.35999999999999</v>
      </c>
      <c r="B94" s="78">
        <v>2.5</v>
      </c>
      <c r="C94" s="78">
        <f>+A94*B94</f>
        <v>315.89999999999998</v>
      </c>
      <c r="D94" s="78">
        <v>360</v>
      </c>
      <c r="E94" s="78">
        <f>+C94+D94</f>
        <v>675.9</v>
      </c>
      <c r="F94" s="75" t="s">
        <v>102</v>
      </c>
      <c r="G94" s="8"/>
    </row>
    <row r="95" spans="1:10" ht="15" thickBot="1" x14ac:dyDescent="0.35">
      <c r="A95" s="14"/>
      <c r="B95" s="112"/>
      <c r="C95" s="112"/>
      <c r="D95" s="112"/>
      <c r="E95" s="112"/>
      <c r="F95" s="15"/>
      <c r="G95" s="16"/>
    </row>
    <row r="96" spans="1:10" ht="15.75" x14ac:dyDescent="0.3">
      <c r="A96"/>
      <c r="B96"/>
      <c r="C96"/>
      <c r="D96"/>
      <c r="E96"/>
      <c r="F96"/>
      <c r="G96"/>
    </row>
    <row r="98" spans="1:18" ht="16.5" thickBot="1" x14ac:dyDescent="0.35">
      <c r="A98"/>
      <c r="C98"/>
      <c r="D98"/>
      <c r="E98"/>
      <c r="F98"/>
      <c r="G98"/>
    </row>
    <row r="99" spans="1:18" ht="16.5" thickBot="1" x14ac:dyDescent="0.35">
      <c r="A99"/>
      <c r="B99" s="92"/>
      <c r="C99" s="93" t="s">
        <v>133</v>
      </c>
      <c r="D99" s="93" t="s">
        <v>134</v>
      </c>
      <c r="E99" s="93" t="s">
        <v>135</v>
      </c>
      <c r="F99" s="94" t="s">
        <v>136</v>
      </c>
      <c r="G99"/>
    </row>
    <row r="100" spans="1:18" ht="15.75" x14ac:dyDescent="0.3">
      <c r="A100"/>
      <c r="B100" s="95" t="str">
        <f>+D79</f>
        <v>forro cartera</v>
      </c>
      <c r="C100" s="100" t="str">
        <f>+CONCATENATE(C23, F23)</f>
        <v>Couche 150 gr.</v>
      </c>
      <c r="D100" s="96">
        <f>+E34</f>
        <v>1.528</v>
      </c>
      <c r="E100" s="97">
        <f>+'forro cartera final'!C42</f>
        <v>270</v>
      </c>
      <c r="F100" s="98">
        <f>+D100*E100</f>
        <v>412.56</v>
      </c>
      <c r="G100"/>
    </row>
    <row r="101" spans="1:18" ht="16.5" x14ac:dyDescent="0.3">
      <c r="A101"/>
      <c r="B101" s="99" t="str">
        <f>+D80</f>
        <v>forro guarda</v>
      </c>
      <c r="C101" s="100" t="str">
        <f>+C100</f>
        <v>Couche 150 gr.</v>
      </c>
      <c r="D101" s="101">
        <f>+D100</f>
        <v>1.528</v>
      </c>
      <c r="E101" s="102">
        <f>+'forro guarda'!C42</f>
        <v>270</v>
      </c>
      <c r="F101" s="103">
        <f>+F100</f>
        <v>412.56</v>
      </c>
      <c r="G101"/>
      <c r="J101" s="56"/>
      <c r="K101" s="56"/>
      <c r="L101" s="56"/>
      <c r="M101" s="56"/>
      <c r="N101" s="56"/>
      <c r="O101" s="56"/>
      <c r="P101" s="56"/>
      <c r="Q101" s="56"/>
      <c r="R101" s="56"/>
    </row>
    <row r="102" spans="1:18" ht="16.5" x14ac:dyDescent="0.3">
      <c r="A102"/>
      <c r="B102" s="99" t="str">
        <f>+D81</f>
        <v>forro caja EXT</v>
      </c>
      <c r="C102" s="100" t="str">
        <f>+C101</f>
        <v>Couche 150 gr.</v>
      </c>
      <c r="D102" s="101">
        <f>+'forro caja INT'!E34</f>
        <v>1.528</v>
      </c>
      <c r="E102" s="102">
        <f>+'forro caja INT'!C42</f>
        <v>270</v>
      </c>
      <c r="F102" s="103">
        <f>+F101</f>
        <v>412.56</v>
      </c>
      <c r="G102"/>
      <c r="J102" s="56"/>
      <c r="K102" s="56"/>
      <c r="L102" s="56"/>
      <c r="M102" s="56"/>
      <c r="N102" s="56"/>
      <c r="O102" s="56"/>
      <c r="P102" s="56"/>
      <c r="Q102" s="56"/>
      <c r="R102" s="56"/>
    </row>
    <row r="103" spans="1:18" ht="16.5" x14ac:dyDescent="0.3">
      <c r="A103"/>
      <c r="B103" s="99" t="str">
        <f>+D82</f>
        <v>forro caja INT</v>
      </c>
      <c r="C103" s="100" t="str">
        <f>+C102</f>
        <v>Couche 150 gr.</v>
      </c>
      <c r="D103" s="101">
        <f>+D102</f>
        <v>1.528</v>
      </c>
      <c r="E103" s="102">
        <f>+'forro caja EXT'!C42</f>
        <v>270</v>
      </c>
      <c r="F103" s="103">
        <f>+F102</f>
        <v>412.56</v>
      </c>
      <c r="G103"/>
      <c r="J103" s="56"/>
      <c r="K103" s="56"/>
      <c r="L103" s="56"/>
      <c r="M103" s="56"/>
      <c r="N103" s="56"/>
      <c r="O103" s="56"/>
      <c r="P103" s="56"/>
      <c r="Q103" s="56"/>
      <c r="R103" s="56"/>
    </row>
    <row r="104" spans="1:18" ht="16.5" x14ac:dyDescent="0.3">
      <c r="A104"/>
      <c r="B104" s="99" t="str">
        <f>+D83</f>
        <v>cartón cartera</v>
      </c>
      <c r="C104" s="100" t="s">
        <v>138</v>
      </c>
      <c r="D104" s="101">
        <f>+'cartón caja'!E30</f>
        <v>44.332000000000001</v>
      </c>
      <c r="E104" s="102">
        <f>+'cartón caja'!C42</f>
        <v>42.5</v>
      </c>
      <c r="F104" s="103">
        <f>+D104*E104</f>
        <v>1884.1100000000001</v>
      </c>
      <c r="G104"/>
      <c r="J104" s="56"/>
      <c r="K104" s="56"/>
      <c r="L104" s="56"/>
      <c r="M104" s="56"/>
      <c r="N104" s="56"/>
      <c r="O104" s="56"/>
      <c r="P104" s="56"/>
      <c r="Q104" s="56"/>
      <c r="R104" s="56"/>
    </row>
    <row r="105" spans="1:18" ht="16.5" x14ac:dyDescent="0.3">
      <c r="A105"/>
      <c r="B105" s="99" t="str">
        <f>+D84</f>
        <v>cartón caja</v>
      </c>
      <c r="C105" s="100" t="s">
        <v>138</v>
      </c>
      <c r="D105" s="101">
        <f>+D104</f>
        <v>44.332000000000001</v>
      </c>
      <c r="E105" s="102">
        <f>+'cartón cartera'!C42</f>
        <v>28.333333333333332</v>
      </c>
      <c r="F105" s="103">
        <f>+D105*E105</f>
        <v>1256.0733333333333</v>
      </c>
      <c r="G105"/>
      <c r="J105" s="56"/>
      <c r="K105" s="56"/>
      <c r="L105" s="56"/>
      <c r="M105" s="56"/>
      <c r="N105" s="56"/>
      <c r="O105" s="56"/>
      <c r="P105" s="56"/>
      <c r="Q105" s="56"/>
      <c r="R105" s="56"/>
    </row>
    <row r="106" spans="1:18" ht="16.5" x14ac:dyDescent="0.3">
      <c r="A106"/>
      <c r="B106" s="99" t="str">
        <f>+A54</f>
        <v>Imán</v>
      </c>
      <c r="C106" s="100" t="s">
        <v>137</v>
      </c>
      <c r="D106" s="101">
        <v>6</v>
      </c>
      <c r="E106" s="102">
        <v>145</v>
      </c>
      <c r="F106" s="103">
        <f>+D106*E106</f>
        <v>870</v>
      </c>
      <c r="G106"/>
      <c r="J106" s="56"/>
      <c r="K106" s="56"/>
      <c r="L106" s="56"/>
      <c r="M106" s="56"/>
      <c r="N106" s="56"/>
      <c r="O106" s="56"/>
      <c r="P106" s="56"/>
      <c r="Q106" s="56"/>
      <c r="R106" s="56"/>
    </row>
    <row r="107" spans="1:18" ht="16.5" x14ac:dyDescent="0.3">
      <c r="A107"/>
      <c r="B107" s="99" t="s">
        <v>139</v>
      </c>
      <c r="C107" s="104"/>
      <c r="D107" s="101">
        <f>+'forro caja EXT'!B53+'forro cartera final'!B53</f>
        <v>1100</v>
      </c>
      <c r="E107" s="102">
        <v>1</v>
      </c>
      <c r="F107" s="103">
        <f>+D107*E107</f>
        <v>1100</v>
      </c>
      <c r="G107"/>
      <c r="J107" s="56"/>
      <c r="K107" s="56"/>
      <c r="L107" s="56"/>
      <c r="M107" s="56"/>
      <c r="N107" s="56"/>
      <c r="O107" s="56"/>
      <c r="P107" s="56"/>
      <c r="Q107" s="56"/>
      <c r="R107" s="56"/>
    </row>
    <row r="108" spans="1:18" ht="16.5" x14ac:dyDescent="0.3">
      <c r="A108"/>
      <c r="B108" s="99" t="s">
        <v>140</v>
      </c>
      <c r="C108" s="100"/>
      <c r="D108" s="101">
        <f>+H49+'forro guarda'!H49+'forro caja EXT'!H49+'forro caja INT'!H49+'forro caja EXT'!B54</f>
        <v>5010.1729999999998</v>
      </c>
      <c r="E108" s="102">
        <v>1</v>
      </c>
      <c r="F108" s="103">
        <f>+D108*E108</f>
        <v>5010.1729999999998</v>
      </c>
      <c r="G108"/>
      <c r="J108" s="56"/>
      <c r="K108" s="56"/>
      <c r="L108" s="56"/>
      <c r="M108" s="56"/>
      <c r="N108" s="56"/>
      <c r="O108" s="56"/>
      <c r="P108" s="56"/>
      <c r="Q108" s="56"/>
      <c r="R108" s="56"/>
    </row>
    <row r="109" spans="1:18" ht="16.5" x14ac:dyDescent="0.3">
      <c r="A109"/>
      <c r="B109" s="99"/>
      <c r="C109" s="100"/>
      <c r="D109" s="101"/>
      <c r="E109" s="102"/>
      <c r="F109" s="103"/>
      <c r="G109"/>
      <c r="J109" s="56"/>
      <c r="K109" s="56"/>
      <c r="L109" s="56"/>
      <c r="M109" s="56"/>
      <c r="N109" s="56"/>
      <c r="O109" s="56"/>
      <c r="P109" s="56"/>
      <c r="Q109" s="56"/>
      <c r="R109" s="56"/>
    </row>
    <row r="110" spans="1:18" ht="17.25" thickBot="1" x14ac:dyDescent="0.35">
      <c r="A110"/>
      <c r="B110" s="105"/>
      <c r="C110" s="106"/>
      <c r="D110" s="106"/>
      <c r="E110" s="107"/>
      <c r="F110" s="108"/>
      <c r="G110"/>
      <c r="J110" s="56"/>
      <c r="K110" s="56"/>
      <c r="L110" s="56"/>
      <c r="M110" s="56"/>
      <c r="N110" s="56"/>
      <c r="O110" s="56"/>
      <c r="P110" s="56"/>
      <c r="Q110" s="56"/>
      <c r="R110" s="56"/>
    </row>
    <row r="111" spans="1:18" ht="16.5" thickBot="1" x14ac:dyDescent="0.35">
      <c r="A111"/>
      <c r="B111"/>
      <c r="C111"/>
      <c r="D111"/>
      <c r="E111" s="109" t="s">
        <v>136</v>
      </c>
      <c r="F111" s="110">
        <f>SUM(F100:F110)</f>
        <v>11770.596333333335</v>
      </c>
      <c r="G111"/>
    </row>
    <row r="112" spans="1:18" ht="15.75" x14ac:dyDescent="0.3">
      <c r="A112"/>
      <c r="B112"/>
      <c r="C112"/>
      <c r="D112"/>
      <c r="E112"/>
      <c r="F112"/>
      <c r="G112"/>
    </row>
    <row r="113" spans="1:7" ht="15.75" x14ac:dyDescent="0.3">
      <c r="A113"/>
      <c r="B113"/>
      <c r="C113"/>
      <c r="D113"/>
      <c r="E113"/>
      <c r="F113"/>
      <c r="G113"/>
    </row>
    <row r="114" spans="1:7" ht="15.75" x14ac:dyDescent="0.3">
      <c r="A114"/>
      <c r="B114"/>
      <c r="C114"/>
      <c r="D114"/>
      <c r="E114"/>
      <c r="F114"/>
      <c r="G114"/>
    </row>
    <row r="115" spans="1:7" ht="15.75" x14ac:dyDescent="0.3">
      <c r="A115"/>
      <c r="B115"/>
      <c r="C115"/>
      <c r="D115"/>
      <c r="E115"/>
      <c r="F115"/>
      <c r="G115"/>
    </row>
    <row r="116" spans="1:7" ht="15.75" x14ac:dyDescent="0.3">
      <c r="A116"/>
      <c r="B116"/>
      <c r="C116"/>
      <c r="D116"/>
      <c r="E116"/>
      <c r="F116"/>
      <c r="G116"/>
    </row>
    <row r="117" spans="1:7" ht="15.75" x14ac:dyDescent="0.3">
      <c r="A117"/>
      <c r="B117"/>
      <c r="C117"/>
      <c r="D117"/>
      <c r="E117"/>
      <c r="F117"/>
      <c r="G117"/>
    </row>
    <row r="118" spans="1:7" ht="15.75" x14ac:dyDescent="0.3">
      <c r="A118"/>
      <c r="B118"/>
      <c r="C118"/>
      <c r="D118"/>
      <c r="E118"/>
      <c r="F118"/>
      <c r="G118"/>
    </row>
    <row r="119" spans="1:7" ht="15.75" x14ac:dyDescent="0.3">
      <c r="A119"/>
      <c r="B119"/>
      <c r="C119"/>
      <c r="D119"/>
      <c r="E119"/>
      <c r="F119"/>
      <c r="G119"/>
    </row>
    <row r="120" spans="1:7" ht="15.75" x14ac:dyDescent="0.3">
      <c r="A120"/>
      <c r="B120"/>
      <c r="C120"/>
      <c r="D120"/>
      <c r="E120"/>
      <c r="F120"/>
      <c r="G120"/>
    </row>
    <row r="121" spans="1:7" ht="15.75" x14ac:dyDescent="0.3">
      <c r="A121"/>
      <c r="B121"/>
      <c r="C121"/>
      <c r="D121"/>
      <c r="E121"/>
      <c r="F121"/>
      <c r="G121"/>
    </row>
    <row r="122" spans="1:7" ht="15.75" x14ac:dyDescent="0.3">
      <c r="A122"/>
      <c r="B122"/>
      <c r="C122"/>
      <c r="D122"/>
      <c r="E122"/>
      <c r="F122"/>
      <c r="G122"/>
    </row>
    <row r="123" spans="1:7" ht="15.75" x14ac:dyDescent="0.3">
      <c r="A123"/>
      <c r="B123"/>
      <c r="C123"/>
      <c r="D123"/>
      <c r="E123"/>
      <c r="F123"/>
      <c r="G123"/>
    </row>
    <row r="124" spans="1:7" ht="15.75" x14ac:dyDescent="0.3">
      <c r="A124"/>
      <c r="B124"/>
      <c r="C124"/>
      <c r="D124"/>
      <c r="E124"/>
      <c r="F124"/>
      <c r="G124"/>
    </row>
    <row r="125" spans="1:7" ht="15.75" x14ac:dyDescent="0.3">
      <c r="A125"/>
      <c r="B125"/>
      <c r="C125"/>
      <c r="D125"/>
      <c r="E125"/>
      <c r="F125"/>
      <c r="G125"/>
    </row>
    <row r="126" spans="1:7" ht="15.75" x14ac:dyDescent="0.3">
      <c r="A126"/>
      <c r="B126"/>
      <c r="C126"/>
      <c r="D126"/>
      <c r="E126"/>
      <c r="F126"/>
      <c r="G126"/>
    </row>
    <row r="127" spans="1:7" ht="15.75" x14ac:dyDescent="0.3">
      <c r="A127"/>
      <c r="B127"/>
      <c r="C127"/>
      <c r="D127"/>
      <c r="E127"/>
      <c r="F127"/>
      <c r="G127"/>
    </row>
    <row r="128" spans="1:7" ht="15.75" x14ac:dyDescent="0.3">
      <c r="A128"/>
      <c r="B128"/>
      <c r="C128"/>
      <c r="D128"/>
      <c r="E128"/>
      <c r="F128"/>
      <c r="G128"/>
    </row>
    <row r="129" spans="1:7" x14ac:dyDescent="0.3">
      <c r="D129" s="7"/>
      <c r="E129" s="10"/>
      <c r="F129" s="73"/>
      <c r="G129" s="73"/>
    </row>
    <row r="130" spans="1:7" x14ac:dyDescent="0.3">
      <c r="D130" s="7"/>
      <c r="E130" s="10"/>
      <c r="F130" s="73"/>
      <c r="G130" s="73"/>
    </row>
    <row r="131" spans="1:7" x14ac:dyDescent="0.3">
      <c r="D131" s="7"/>
      <c r="E131" s="10"/>
      <c r="F131" s="73"/>
      <c r="G131" s="73"/>
    </row>
    <row r="142" spans="1:7" ht="15.75" x14ac:dyDescent="0.3">
      <c r="A142"/>
      <c r="B142"/>
      <c r="C142"/>
      <c r="D142"/>
      <c r="E142"/>
      <c r="F142"/>
      <c r="G142"/>
    </row>
  </sheetData>
  <mergeCells count="3">
    <mergeCell ref="I85:J85"/>
    <mergeCell ref="A85:B85"/>
    <mergeCell ref="G77:H77"/>
  </mergeCells>
  <pageMargins left="0.70866141732283472" right="0.70866141732283472" top="0.74803149606299213" bottom="0.74803149606299213" header="0.31496062992125984" footer="0.31496062992125984"/>
  <pageSetup scale="69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cartón caja</vt:lpstr>
      <vt:lpstr>cartón cartera</vt:lpstr>
      <vt:lpstr>forro caja INT</vt:lpstr>
      <vt:lpstr>forro caja EXT</vt:lpstr>
      <vt:lpstr>forro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2016-11-14T19:17:44Z</cp:lastPrinted>
  <dcterms:created xsi:type="dcterms:W3CDTF">2013-03-04T22:24:31Z</dcterms:created>
  <dcterms:modified xsi:type="dcterms:W3CDTF">2016-11-14T19:19:10Z</dcterms:modified>
</cp:coreProperties>
</file>