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550" windowHeight="4035"/>
  </bookViews>
  <sheets>
    <sheet name="Eva Accesorios" sheetId="48" r:id="rId1"/>
    <sheet name="cartón cajón " sheetId="39" r:id="rId2"/>
    <sheet name="cartón cartera" sheetId="40" r:id="rId3"/>
    <sheet name="Envolvente cajón 1" sheetId="34" r:id="rId4"/>
    <sheet name="pompa + guarda cajón" sheetId="44" r:id="rId5"/>
    <sheet name="Forro EXT cartera" sheetId="45" r:id="rId6"/>
    <sheet name="Guarda cartera Eva Sencilla" sheetId="50" r:id="rId7"/>
  </sheets>
  <calcPr calcId="145621" concurrentCalc="0"/>
</workbook>
</file>

<file path=xl/calcChain.xml><?xml version="1.0" encoding="utf-8"?>
<calcChain xmlns="http://schemas.openxmlformats.org/spreadsheetml/2006/main">
  <c r="B48" i="48" l="1"/>
  <c r="C40" i="48"/>
  <c r="D40" i="48"/>
  <c r="C41" i="48"/>
  <c r="C42" i="48"/>
  <c r="B66" i="48"/>
  <c r="H54" i="48"/>
  <c r="H61" i="48"/>
  <c r="B67" i="48"/>
  <c r="B72" i="48"/>
  <c r="C72" i="48"/>
  <c r="C81" i="50"/>
  <c r="C40" i="39"/>
  <c r="C41" i="39"/>
  <c r="C42" i="39"/>
  <c r="B66" i="39"/>
  <c r="H52" i="39"/>
  <c r="H61" i="39"/>
  <c r="B67" i="39"/>
  <c r="B72" i="39"/>
  <c r="C72" i="39"/>
  <c r="C80" i="50"/>
  <c r="C40" i="40"/>
  <c r="C41" i="40"/>
  <c r="C42" i="40"/>
  <c r="B66" i="40"/>
  <c r="H52" i="40"/>
  <c r="H61" i="40"/>
  <c r="B67" i="40"/>
  <c r="B72" i="40"/>
  <c r="C72" i="40"/>
  <c r="C79" i="50"/>
  <c r="C42" i="34"/>
  <c r="C43" i="34"/>
  <c r="C44" i="34"/>
  <c r="B68" i="34"/>
  <c r="K52" i="34"/>
  <c r="M52" i="34"/>
  <c r="O52" i="34"/>
  <c r="G60" i="34"/>
  <c r="H60" i="34"/>
  <c r="H63" i="34"/>
  <c r="B69" i="34"/>
  <c r="B75" i="34"/>
  <c r="C75" i="34"/>
  <c r="C78" i="50"/>
  <c r="C42" i="44"/>
  <c r="C43" i="44"/>
  <c r="C44" i="44"/>
  <c r="B68" i="44"/>
  <c r="K52" i="44"/>
  <c r="M52" i="44"/>
  <c r="O52" i="44"/>
  <c r="G60" i="44"/>
  <c r="H60" i="44"/>
  <c r="H63" i="44"/>
  <c r="B69" i="44"/>
  <c r="B75" i="44"/>
  <c r="C75" i="44"/>
  <c r="C77" i="50"/>
  <c r="C42" i="45"/>
  <c r="C43" i="45"/>
  <c r="C44" i="45"/>
  <c r="B68" i="45"/>
  <c r="K52" i="45"/>
  <c r="M52" i="45"/>
  <c r="O52" i="45"/>
  <c r="G60" i="45"/>
  <c r="H60" i="45"/>
  <c r="H63" i="45"/>
  <c r="B69" i="45"/>
  <c r="B75" i="45"/>
  <c r="C75" i="45"/>
  <c r="C76" i="50"/>
  <c r="C42" i="50"/>
  <c r="C43" i="50"/>
  <c r="C44" i="50"/>
  <c r="B68" i="50"/>
  <c r="K52" i="50"/>
  <c r="M52" i="50"/>
  <c r="O52" i="50"/>
  <c r="G60" i="50"/>
  <c r="H60" i="50"/>
  <c r="H52" i="50"/>
  <c r="H63" i="50"/>
  <c r="B69" i="50"/>
  <c r="C55" i="50"/>
  <c r="B55" i="50"/>
  <c r="B70" i="50"/>
  <c r="B57" i="50"/>
  <c r="B72" i="50"/>
  <c r="B58" i="50"/>
  <c r="B73" i="50"/>
  <c r="B75" i="50"/>
  <c r="C75" i="50"/>
  <c r="C82" i="50"/>
  <c r="C83" i="50"/>
  <c r="I83" i="50"/>
  <c r="K84" i="50"/>
  <c r="B50" i="48"/>
  <c r="H52" i="48"/>
  <c r="B51" i="48"/>
  <c r="B58" i="48"/>
  <c r="B60" i="48"/>
  <c r="F81" i="50"/>
  <c r="D81" i="50"/>
  <c r="B50" i="39"/>
  <c r="B51" i="39"/>
  <c r="B58" i="39"/>
  <c r="B60" i="39"/>
  <c r="F80" i="50"/>
  <c r="D80" i="50"/>
  <c r="B50" i="40"/>
  <c r="B51" i="40"/>
  <c r="B58" i="40"/>
  <c r="B60" i="40"/>
  <c r="F79" i="50"/>
  <c r="D79" i="50"/>
  <c r="B52" i="34"/>
  <c r="H52" i="34"/>
  <c r="H54" i="34"/>
  <c r="H56" i="34"/>
  <c r="B53" i="34"/>
  <c r="B60" i="34"/>
  <c r="B62" i="34"/>
  <c r="F78" i="50"/>
  <c r="D78" i="50"/>
  <c r="B52" i="44"/>
  <c r="H52" i="44"/>
  <c r="H56" i="44"/>
  <c r="B53" i="44"/>
  <c r="B60" i="44"/>
  <c r="B62" i="44"/>
  <c r="F77" i="50"/>
  <c r="D77" i="50"/>
  <c r="B52" i="45"/>
  <c r="H52" i="45"/>
  <c r="H54" i="45"/>
  <c r="H56" i="45"/>
  <c r="B53" i="45"/>
  <c r="B60" i="45"/>
  <c r="B62" i="45"/>
  <c r="F76" i="50"/>
  <c r="D76" i="50"/>
  <c r="B72" i="45"/>
  <c r="B71" i="45"/>
  <c r="A73" i="50"/>
  <c r="A72" i="50"/>
  <c r="A71" i="50"/>
  <c r="A70" i="50"/>
  <c r="H61" i="50"/>
  <c r="H59" i="50"/>
  <c r="H58" i="50"/>
  <c r="H57" i="50"/>
  <c r="H56" i="50"/>
  <c r="B56" i="50"/>
  <c r="B71" i="50"/>
  <c r="H55" i="50"/>
  <c r="H54" i="50"/>
  <c r="H53" i="50"/>
  <c r="H51" i="50"/>
  <c r="E33" i="50"/>
  <c r="E34" i="50"/>
  <c r="E36" i="50"/>
  <c r="C28" i="50"/>
  <c r="H28" i="50"/>
  <c r="H27" i="50"/>
  <c r="H29" i="50"/>
  <c r="F27" i="50"/>
  <c r="H16" i="50"/>
  <c r="L51" i="50"/>
  <c r="L54" i="50"/>
  <c r="F16" i="50"/>
  <c r="K51" i="50"/>
  <c r="K54" i="50"/>
  <c r="E37" i="50"/>
  <c r="K55" i="50"/>
  <c r="M55" i="50"/>
  <c r="O55" i="50"/>
  <c r="G46" i="50"/>
  <c r="C29" i="50"/>
  <c r="G45" i="50"/>
  <c r="E28" i="50"/>
  <c r="B53" i="50"/>
  <c r="Q23" i="50"/>
  <c r="F28" i="50"/>
  <c r="F29" i="50"/>
  <c r="E29" i="50"/>
  <c r="C48" i="50"/>
  <c r="C45" i="50"/>
  <c r="B52" i="50"/>
  <c r="B60" i="50"/>
  <c r="B62" i="50"/>
  <c r="E65" i="50"/>
  <c r="I54" i="50"/>
  <c r="D67" i="50"/>
  <c r="F75" i="50"/>
  <c r="F82" i="50"/>
  <c r="F83" i="50"/>
  <c r="H71" i="50"/>
  <c r="I71" i="50"/>
  <c r="H72" i="50"/>
  <c r="H73" i="50"/>
  <c r="I73" i="50"/>
  <c r="I72" i="50"/>
  <c r="I80" i="50"/>
  <c r="J83" i="50"/>
  <c r="K83" i="50"/>
  <c r="K85" i="50"/>
  <c r="M82" i="50"/>
  <c r="C84" i="50"/>
  <c r="B70" i="48"/>
  <c r="A70" i="48"/>
  <c r="B69" i="48"/>
  <c r="A69" i="48"/>
  <c r="B68" i="48"/>
  <c r="A68" i="48"/>
  <c r="H59" i="48"/>
  <c r="H58" i="48"/>
  <c r="H57" i="48"/>
  <c r="H56" i="48"/>
  <c r="H55" i="48"/>
  <c r="H53" i="48"/>
  <c r="H51" i="48"/>
  <c r="H50" i="48"/>
  <c r="H49" i="48"/>
  <c r="E32" i="48"/>
  <c r="E34" i="48"/>
  <c r="E31" i="48"/>
  <c r="H26" i="48"/>
  <c r="E26" i="48"/>
  <c r="F26" i="48"/>
  <c r="C26" i="48"/>
  <c r="C27" i="48"/>
  <c r="H25" i="48"/>
  <c r="H27" i="48"/>
  <c r="F25" i="48"/>
  <c r="F27" i="48"/>
  <c r="E35" i="48"/>
  <c r="G43" i="48"/>
  <c r="Q21" i="48"/>
  <c r="E27" i="48"/>
  <c r="G44" i="48"/>
  <c r="C46" i="48"/>
  <c r="D65" i="48"/>
  <c r="I52" i="48"/>
  <c r="E63" i="48"/>
  <c r="H69" i="48"/>
  <c r="H68" i="48"/>
  <c r="H70" i="48"/>
  <c r="I70" i="48"/>
  <c r="I68" i="48"/>
  <c r="I69" i="48"/>
  <c r="F16" i="45"/>
  <c r="H16" i="45"/>
  <c r="H16" i="44"/>
  <c r="F16" i="44"/>
  <c r="C28" i="44"/>
  <c r="H28" i="44"/>
  <c r="E28" i="44"/>
  <c r="E29" i="44"/>
  <c r="H27" i="44"/>
  <c r="F27" i="44"/>
  <c r="H16" i="34"/>
  <c r="F16" i="34"/>
  <c r="F28" i="44"/>
  <c r="F29" i="44"/>
  <c r="H29" i="44"/>
  <c r="C29" i="44"/>
  <c r="L51" i="45"/>
  <c r="L54" i="45"/>
  <c r="C28" i="45"/>
  <c r="B73" i="45"/>
  <c r="A73" i="45"/>
  <c r="A72" i="45"/>
  <c r="A71" i="45"/>
  <c r="B70" i="45"/>
  <c r="A70" i="45"/>
  <c r="H61" i="45"/>
  <c r="H59" i="45"/>
  <c r="H58" i="45"/>
  <c r="H57" i="45"/>
  <c r="H55" i="45"/>
  <c r="H53" i="45"/>
  <c r="H51" i="45"/>
  <c r="E33" i="45"/>
  <c r="E34" i="45"/>
  <c r="E36" i="45"/>
  <c r="E28" i="45"/>
  <c r="F28" i="45"/>
  <c r="H27" i="45"/>
  <c r="F27" i="45"/>
  <c r="K51" i="44"/>
  <c r="K54" i="44"/>
  <c r="B73" i="44"/>
  <c r="A73" i="44"/>
  <c r="B72" i="44"/>
  <c r="A72" i="44"/>
  <c r="B71" i="44"/>
  <c r="A71" i="44"/>
  <c r="B70" i="44"/>
  <c r="A70" i="44"/>
  <c r="H61" i="44"/>
  <c r="H59" i="44"/>
  <c r="H58" i="44"/>
  <c r="H57" i="44"/>
  <c r="H55" i="44"/>
  <c r="H54" i="44"/>
  <c r="H53" i="44"/>
  <c r="H51" i="44"/>
  <c r="E33" i="44"/>
  <c r="E34" i="44"/>
  <c r="E36" i="44"/>
  <c r="L51" i="44"/>
  <c r="L54" i="44"/>
  <c r="F29" i="45"/>
  <c r="C29" i="45"/>
  <c r="H28" i="45"/>
  <c r="H29" i="45"/>
  <c r="G45" i="45"/>
  <c r="E37" i="45"/>
  <c r="E29" i="45"/>
  <c r="K51" i="45"/>
  <c r="K54" i="45"/>
  <c r="K55" i="44"/>
  <c r="M55" i="44"/>
  <c r="O55" i="44"/>
  <c r="G46" i="44"/>
  <c r="E37" i="44"/>
  <c r="G45" i="44"/>
  <c r="K55" i="45"/>
  <c r="M55" i="45"/>
  <c r="O55" i="45"/>
  <c r="G46" i="45"/>
  <c r="Q23" i="44"/>
  <c r="C52" i="44"/>
  <c r="C45" i="44"/>
  <c r="C48" i="44"/>
  <c r="C45" i="34"/>
  <c r="B73" i="34"/>
  <c r="L51" i="34"/>
  <c r="L54" i="34"/>
  <c r="K51" i="34"/>
  <c r="K54" i="34"/>
  <c r="C48" i="45"/>
  <c r="C45" i="45"/>
  <c r="Q23" i="45"/>
  <c r="H71" i="44"/>
  <c r="I71" i="44"/>
  <c r="I54" i="45"/>
  <c r="I54" i="44"/>
  <c r="H72" i="44"/>
  <c r="I72" i="44"/>
  <c r="H73" i="44"/>
  <c r="I73" i="44"/>
  <c r="H71" i="45"/>
  <c r="I71" i="45"/>
  <c r="H72" i="45"/>
  <c r="H73" i="45"/>
  <c r="I73" i="45"/>
  <c r="I72" i="45"/>
  <c r="G45" i="34"/>
  <c r="B70" i="34"/>
  <c r="E33" i="34"/>
  <c r="E34" i="34"/>
  <c r="E36" i="34"/>
  <c r="H51" i="34"/>
  <c r="G44" i="39"/>
  <c r="A70" i="34"/>
  <c r="E31" i="40"/>
  <c r="E32" i="40"/>
  <c r="E34" i="40"/>
  <c r="E35" i="40"/>
  <c r="H49" i="40"/>
  <c r="H50" i="40"/>
  <c r="H51" i="40"/>
  <c r="H53" i="40"/>
  <c r="H54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/>
  <c r="F25" i="40"/>
  <c r="E26" i="40"/>
  <c r="E27" i="40"/>
  <c r="E31" i="39"/>
  <c r="E32" i="39"/>
  <c r="E34" i="39"/>
  <c r="E35" i="39"/>
  <c r="H49" i="39"/>
  <c r="H50" i="39"/>
  <c r="H51" i="39"/>
  <c r="H53" i="39"/>
  <c r="H54" i="39"/>
  <c r="H55" i="39"/>
  <c r="H56" i="39"/>
  <c r="H57" i="39"/>
  <c r="H58" i="39"/>
  <c r="H59" i="39"/>
  <c r="B68" i="39"/>
  <c r="B69" i="39"/>
  <c r="B70" i="39"/>
  <c r="A70" i="39"/>
  <c r="A69" i="39"/>
  <c r="A68" i="39"/>
  <c r="H25" i="39"/>
  <c r="C26" i="39"/>
  <c r="C27" i="39"/>
  <c r="F25" i="39"/>
  <c r="E26" i="39"/>
  <c r="F26" i="39"/>
  <c r="H53" i="34"/>
  <c r="H55" i="34"/>
  <c r="H57" i="34"/>
  <c r="H58" i="34"/>
  <c r="H59" i="34"/>
  <c r="H61" i="34"/>
  <c r="B71" i="34"/>
  <c r="B72" i="34"/>
  <c r="A73" i="34"/>
  <c r="A72" i="34"/>
  <c r="A71" i="34"/>
  <c r="H27" i="34"/>
  <c r="C28" i="34"/>
  <c r="H28" i="34"/>
  <c r="F27" i="34"/>
  <c r="E28" i="34"/>
  <c r="E29" i="34"/>
  <c r="F27" i="39"/>
  <c r="H27" i="40"/>
  <c r="C27" i="40"/>
  <c r="E27" i="39"/>
  <c r="Q21" i="39"/>
  <c r="G43" i="39"/>
  <c r="G44" i="40"/>
  <c r="G43" i="40"/>
  <c r="C29" i="34"/>
  <c r="F26" i="40"/>
  <c r="F27" i="40"/>
  <c r="H26" i="39"/>
  <c r="H27" i="39"/>
  <c r="K55" i="34"/>
  <c r="M55" i="34"/>
  <c r="O55" i="34"/>
  <c r="G46" i="34"/>
  <c r="F28" i="34"/>
  <c r="F29" i="34"/>
  <c r="H29" i="34"/>
  <c r="E37" i="34"/>
  <c r="Q21" i="40"/>
  <c r="C48" i="34"/>
  <c r="C52" i="34"/>
  <c r="Q23" i="34"/>
  <c r="I52" i="40"/>
  <c r="C46" i="40"/>
  <c r="C46" i="39"/>
  <c r="I52" i="39"/>
  <c r="H68" i="39"/>
  <c r="I68" i="39"/>
  <c r="E63" i="40"/>
  <c r="D65" i="40"/>
  <c r="D65" i="39"/>
  <c r="E63" i="39"/>
  <c r="H71" i="34"/>
  <c r="I71" i="34"/>
  <c r="H68" i="40"/>
  <c r="I68" i="40"/>
  <c r="E65" i="34"/>
  <c r="I54" i="34"/>
  <c r="D67" i="34"/>
  <c r="H69" i="40"/>
  <c r="I69" i="40"/>
  <c r="H69" i="39"/>
  <c r="I69" i="39"/>
  <c r="H72" i="34"/>
  <c r="H73" i="34"/>
  <c r="I73" i="34"/>
  <c r="H70" i="40"/>
  <c r="I70" i="40"/>
  <c r="H70" i="39"/>
  <c r="I70" i="39"/>
  <c r="I72" i="34"/>
</calcChain>
</file>

<file path=xl/comments1.xml><?xml version="1.0" encoding="utf-8"?>
<comments xmlns="http://schemas.openxmlformats.org/spreadsheetml/2006/main">
  <authors>
    <author>Ventas-Empresarial</author>
  </authors>
  <commentList>
    <comment ref="B57" authorId="0">
      <text>
        <r>
          <rPr>
            <b/>
            <sz val="9"/>
            <color indexed="81"/>
            <rFont val="Tahoma"/>
            <family val="2"/>
          </rPr>
          <t>Ventas-Empresarial:</t>
        </r>
        <r>
          <rPr>
            <sz val="9"/>
            <color indexed="81"/>
            <rFont val="Tahoma"/>
            <family val="2"/>
          </rPr>
          <t xml:space="preserve">
500 pesos 25 mts 1400 bolitas con macho y hembra</t>
        </r>
      </text>
    </comment>
  </commentList>
</comments>
</file>

<file path=xl/sharedStrings.xml><?xml version="1.0" encoding="utf-8"?>
<sst xmlns="http://schemas.openxmlformats.org/spreadsheetml/2006/main" count="1346" uniqueCount="201">
  <si>
    <t>FICHA TECNICA</t>
  </si>
  <si>
    <t>Observaciones</t>
  </si>
  <si>
    <t>Parte 1</t>
  </si>
  <si>
    <t xml:space="preserve">Material </t>
  </si>
  <si>
    <t>Presupuesto</t>
  </si>
  <si>
    <t>Elabora</t>
  </si>
  <si>
    <t>Lourdes Velasco</t>
  </si>
  <si>
    <t>Color</t>
  </si>
  <si>
    <t xml:space="preserve">Tamaño final </t>
  </si>
  <si>
    <t>Tamaño extendido</t>
  </si>
  <si>
    <t xml:space="preserve">Ancho </t>
  </si>
  <si>
    <t>Fecha</t>
  </si>
  <si>
    <t>ODT</t>
  </si>
  <si>
    <t xml:space="preserve">Alto </t>
  </si>
  <si>
    <t xml:space="preserve">Largo </t>
  </si>
  <si>
    <t>Cliente</t>
  </si>
  <si>
    <t xml:space="preserve">Grafico </t>
  </si>
  <si>
    <t>Proyecto</t>
  </si>
  <si>
    <t>Descripción</t>
  </si>
  <si>
    <t xml:space="preserve">Frente </t>
  </si>
  <si>
    <t>Vuelta</t>
  </si>
  <si>
    <t>Impresión</t>
  </si>
  <si>
    <t xml:space="preserve">Formato de impresión </t>
  </si>
  <si>
    <t>Papel:</t>
  </si>
  <si>
    <t xml:space="preserve">Color </t>
  </si>
  <si>
    <t xml:space="preserve">Tamaños o paginas por pliego </t>
  </si>
  <si>
    <t xml:space="preserve">Tipo de impresión </t>
  </si>
  <si>
    <t>Serigrafía</t>
  </si>
  <si>
    <t>Medida pliego</t>
  </si>
  <si>
    <t xml:space="preserve">X </t>
  </si>
  <si>
    <t>Tintas</t>
  </si>
  <si>
    <t>1 tinta</t>
  </si>
  <si>
    <t>Tamaño Extendido</t>
  </si>
  <si>
    <t>Tiros a imprimir</t>
  </si>
  <si>
    <t xml:space="preserve">Salen por lado </t>
  </si>
  <si>
    <t>Cantidad pzas finales</t>
  </si>
  <si>
    <t xml:space="preserve">Tamaños por pliego </t>
  </si>
  <si>
    <t>* calculo manual</t>
  </si>
  <si>
    <t xml:space="preserve">Procesos adicionales </t>
  </si>
  <si>
    <t>Proveedor:</t>
  </si>
  <si>
    <t>Precio Lista</t>
  </si>
  <si>
    <t>Monto desc.</t>
  </si>
  <si>
    <t xml:space="preserve">Monto descuento </t>
  </si>
  <si>
    <t>Suaje</t>
  </si>
  <si>
    <t>Costo  a Historias en Papel</t>
  </si>
  <si>
    <t>Tabla de suaje</t>
  </si>
  <si>
    <t>Original</t>
  </si>
  <si>
    <t>Copia</t>
  </si>
  <si>
    <t xml:space="preserve">Grabado </t>
  </si>
  <si>
    <t>costo de compra</t>
  </si>
  <si>
    <t xml:space="preserve">Placa de grabado </t>
  </si>
  <si>
    <t>precio de venta</t>
  </si>
  <si>
    <t>Hot stamping</t>
  </si>
  <si>
    <t>Placa de Hot Stamping</t>
  </si>
  <si>
    <t>Nota p/offset</t>
  </si>
  <si>
    <t xml:space="preserve">500 piezas siempre de sobrante para correr, </t>
  </si>
  <si>
    <t>Barniz Máquina</t>
  </si>
  <si>
    <t>Tamaños por pliego</t>
  </si>
  <si>
    <t>* manual</t>
  </si>
  <si>
    <t xml:space="preserve">aun cuando sean menos de 100 tiros. </t>
  </si>
  <si>
    <t>Barniz uv mate plasta</t>
  </si>
  <si>
    <t>Para correr</t>
  </si>
  <si>
    <t>Barniz uv brillante plasta</t>
  </si>
  <si>
    <t xml:space="preserve">Tamaños requeridos </t>
  </si>
  <si>
    <t>Formato impresión</t>
  </si>
  <si>
    <t>Barniz uv mate registro</t>
  </si>
  <si>
    <t xml:space="preserve">Tamaños a correr </t>
  </si>
  <si>
    <t>Salen por tamaño</t>
  </si>
  <si>
    <t>Barniz uv brillante registro</t>
  </si>
  <si>
    <t>Pliegos Requeridos</t>
  </si>
  <si>
    <t>Cientos a imprimir</t>
  </si>
  <si>
    <t>Laminado frente</t>
  </si>
  <si>
    <t>Millares a imprimir</t>
  </si>
  <si>
    <t>laminado vuelta</t>
  </si>
  <si>
    <t>Cant. Pzas.</t>
  </si>
  <si>
    <t>Grapa a caballo</t>
  </si>
  <si>
    <t>Cocido</t>
  </si>
  <si>
    <t>Tamaños en Total</t>
  </si>
  <si>
    <t>Wire ´o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</si>
  <si>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</si>
  <si>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</si>
  <si>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</si>
  <si>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</si>
  <si>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</si>
  <si>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</si>
  <si>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</si>
  <si>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</si>
  <si>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</si>
  <si>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</si>
  <si>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</si>
  <si>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</si>
  <si>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</si>
  <si>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</si>
  <si>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</si>
  <si>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</si>
  <si>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</si>
  <si>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</si>
  <si>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</si>
  <si>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</si>
  <si>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</si>
  <si>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</si>
  <si>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</si>
  <si>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Tamaños o medidas necesarias</t>
  </si>
  <si>
    <t>Cantidad a comprar</t>
  </si>
  <si>
    <t>Precio</t>
  </si>
  <si>
    <t>Rollos necesarios</t>
  </si>
  <si>
    <t xml:space="preserve">Precio por </t>
  </si>
  <si>
    <t xml:space="preserve">rollo </t>
  </si>
  <si>
    <t xml:space="preserve">Precio por pza. </t>
  </si>
  <si>
    <t>Bolsa</t>
  </si>
  <si>
    <t>Precio por tamaño</t>
  </si>
  <si>
    <t>Costo</t>
  </si>
  <si>
    <t>Importe de la compra</t>
  </si>
  <si>
    <t>Precio final</t>
  </si>
  <si>
    <t>Utilidad</t>
  </si>
  <si>
    <t xml:space="preserve">Costo </t>
  </si>
  <si>
    <t>Ganancia %</t>
  </si>
  <si>
    <t xml:space="preserve">Precio 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</si>
  <si>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</si>
  <si>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</si>
  <si>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</si>
  <si>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</si>
  <si>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</si>
  <si>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</si>
  <si>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</si>
  <si>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</si>
  <si>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</si>
  <si>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</si>
  <si>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</si>
  <si>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</si>
  <si>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Imp Fte</t>
  </si>
  <si>
    <t>Imp Vta</t>
  </si>
  <si>
    <t>Cantidad de piezas a imp.</t>
  </si>
  <si>
    <t xml:space="preserve">Cajón </t>
  </si>
  <si>
    <t>cartoné</t>
  </si>
  <si>
    <t>Cartoné</t>
  </si>
  <si>
    <t>gris</t>
  </si>
  <si>
    <t>Couche</t>
  </si>
  <si>
    <t>Blanco</t>
  </si>
  <si>
    <t>LOZANO</t>
  </si>
  <si>
    <t>Placas HS</t>
  </si>
  <si>
    <t>Arreglo HS</t>
  </si>
  <si>
    <t>Encuadernación</t>
  </si>
  <si>
    <t>Imán</t>
  </si>
  <si>
    <t>Caja Almeja</t>
  </si>
  <si>
    <t xml:space="preserve">tapa con imán para cierre </t>
  </si>
  <si>
    <t>corte</t>
  </si>
  <si>
    <t>Tapa</t>
  </si>
  <si>
    <t>Area</t>
  </si>
  <si>
    <t>area + cantidad de hojas</t>
  </si>
  <si>
    <t>arreglo</t>
  </si>
  <si>
    <t>total a pagar</t>
  </si>
  <si>
    <t>minimo 500.00</t>
  </si>
  <si>
    <t xml:space="preserve">laminado mate </t>
  </si>
  <si>
    <t>minimo 1500.00</t>
  </si>
  <si>
    <t>uv brillante a registro</t>
  </si>
  <si>
    <t>cajón forrado en papel couche 150 grs.</t>
  </si>
  <si>
    <t>impreso a 4 X 0 tintas offset +</t>
  </si>
  <si>
    <t>PRM</t>
  </si>
  <si>
    <t>GH Mumm</t>
  </si>
  <si>
    <t>eva blanca</t>
  </si>
  <si>
    <t>Blanca</t>
  </si>
  <si>
    <t>250 jorge</t>
  </si>
  <si>
    <t>#4</t>
  </si>
  <si>
    <t>tamaño final 18.5 X 44.3 cm.</t>
  </si>
  <si>
    <t>Tabla suaje</t>
  </si>
  <si>
    <t>Suaje botella + copas</t>
  </si>
  <si>
    <t>LUMEN</t>
  </si>
  <si>
    <t>cartera  forrado en papel couche 150 grs.</t>
  </si>
  <si>
    <t>impreso a 1 X 0 tintas offset +</t>
  </si>
  <si>
    <t>150 gr</t>
  </si>
  <si>
    <t>por pliego</t>
  </si>
  <si>
    <t>tamaño</t>
  </si>
  <si>
    <t>Forro EXT cartera</t>
  </si>
  <si>
    <t>Envolvente EXT cajón</t>
  </si>
  <si>
    <t>Cartón Cartera</t>
  </si>
  <si>
    <t>cartón cajón</t>
  </si>
  <si>
    <t>Prueba de color</t>
  </si>
  <si>
    <t>Guarda Cartera</t>
  </si>
  <si>
    <t>Venta</t>
  </si>
  <si>
    <t>Dummy</t>
  </si>
  <si>
    <t>Empaque</t>
  </si>
  <si>
    <t>Comisiones</t>
  </si>
  <si>
    <t>Ganancia Bruta</t>
  </si>
  <si>
    <t>Lourdes</t>
  </si>
  <si>
    <t>Yaja + Asist</t>
  </si>
  <si>
    <t>TT Comisiones</t>
  </si>
  <si>
    <t>Final con comisiones</t>
  </si>
  <si>
    <t>x caja</t>
  </si>
  <si>
    <t>tamaño final 34.8 X 54.7 cm.</t>
  </si>
  <si>
    <t>tamaño final 18.5 X 27 X 8.15 cm.</t>
  </si>
  <si>
    <t>Adhesivo Couche</t>
  </si>
  <si>
    <t>Envolvente cajón 1</t>
  </si>
  <si>
    <t>laminado mate + banco en sulfatada para accesorios</t>
  </si>
  <si>
    <t xml:space="preserve">tamaño 18.5  X 27 </t>
  </si>
  <si>
    <t>Eva</t>
  </si>
  <si>
    <t>8 mm</t>
  </si>
  <si>
    <t>eva</t>
  </si>
  <si>
    <t>Velcro</t>
  </si>
  <si>
    <t>25 de julio de 2016.</t>
  </si>
  <si>
    <t xml:space="preserve">tapa con velcro para cierre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</si>
</sst>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"/>
    <numFmt numFmtId="165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2"/>
      <color rgb="FFFF000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5" borderId="22" applyNumberFormat="0" applyAlignment="0" applyProtection="0"/>
    <xf numFmtId="0" fontId="16" fillId="6" borderId="23" applyNumberFormat="0" applyAlignment="0" applyProtection="0"/>
    <xf numFmtId="0" fontId="17" fillId="7" borderId="0" applyNumberFormat="0" applyBorder="0" applyAlignment="0" applyProtection="0"/>
    <xf numFmtId="0" fontId="18" fillId="0" borderId="24" applyNumberFormat="0" applyFill="0" applyAlignment="0" applyProtection="0"/>
    <xf numFmtId="0" fontId="19" fillId="0" borderId="25" applyNumberFormat="0" applyFill="0" applyAlignment="0" applyProtection="0"/>
    <xf numFmtId="0" fontId="20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2" fillId="8" borderId="27" applyNumberFormat="0" applyFont="0" applyAlignment="0" applyProtection="0"/>
  </cellStyleXfs>
  <cellXfs count="13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4" fillId="0" borderId="0" xfId="0" applyFont="1" applyFill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Fill="1" applyBorder="1"/>
    <xf numFmtId="2" fontId="2" fillId="0" borderId="0" xfId="0" applyNumberFormat="1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2" fontId="2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5" fillId="0" borderId="0" xfId="1" applyFont="1" applyAlignment="1">
      <alignment horizontal="center"/>
    </xf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5" fillId="0" borderId="15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0" fontId="2" fillId="2" borderId="20" xfId="0" applyFont="1" applyFill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2" fontId="4" fillId="0" borderId="0" xfId="0" applyNumberFormat="1" applyFont="1" applyAlignment="1">
      <alignment horizontal="left"/>
    </xf>
    <xf numFmtId="2" fontId="2" fillId="2" borderId="20" xfId="0" applyNumberFormat="1" applyFont="1" applyFill="1" applyBorder="1" applyAlignment="1">
      <alignment horizontal="right"/>
    </xf>
    <xf numFmtId="165" fontId="2" fillId="2" borderId="2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6" fillId="0" borderId="20" xfId="0" applyFont="1" applyBorder="1" applyAlignment="1">
      <alignment horizontal="right"/>
    </xf>
    <xf numFmtId="2" fontId="2" fillId="0" borderId="0" xfId="0" applyNumberFormat="1" applyFont="1" applyAlignment="1">
      <alignment horizontal="left"/>
    </xf>
    <xf numFmtId="0" fontId="2" fillId="0" borderId="20" xfId="0" applyFont="1" applyBorder="1" applyAlignment="1">
      <alignment horizontal="center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left"/>
    </xf>
    <xf numFmtId="0" fontId="13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Fill="1" applyAlignment="1">
      <alignment horizontal="center"/>
    </xf>
    <xf numFmtId="0" fontId="6" fillId="0" borderId="0" xfId="0" applyFont="1" applyFill="1"/>
    <xf numFmtId="2" fontId="12" fillId="0" borderId="0" xfId="0" applyNumberFormat="1" applyFont="1" applyAlignment="1"/>
    <xf numFmtId="1" fontId="12" fillId="2" borderId="10" xfId="0" applyNumberFormat="1" applyFont="1" applyFill="1" applyBorder="1" applyAlignment="1">
      <alignment horizontal="center"/>
    </xf>
    <xf numFmtId="164" fontId="12" fillId="0" borderId="0" xfId="0" applyNumberFormat="1" applyFont="1" applyAlignment="1"/>
    <xf numFmtId="0" fontId="12" fillId="0" borderId="0" xfId="0" applyFont="1" applyAlignment="1"/>
    <xf numFmtId="0" fontId="12" fillId="2" borderId="10" xfId="0" applyFont="1" applyFill="1" applyBorder="1" applyAlignment="1">
      <alignment horizontal="center"/>
    </xf>
    <xf numFmtId="44" fontId="6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2" fontId="8" fillId="0" borderId="9" xfId="0" applyNumberFormat="1" applyFont="1" applyBorder="1" applyAlignment="1">
      <alignment horizontal="center"/>
    </xf>
    <xf numFmtId="44" fontId="2" fillId="0" borderId="0" xfId="1" applyFont="1"/>
    <xf numFmtId="44" fontId="2" fillId="0" borderId="0" xfId="0" applyNumberFormat="1" applyFont="1"/>
    <xf numFmtId="44" fontId="13" fillId="0" borderId="0" xfId="1" applyFont="1"/>
    <xf numFmtId="44" fontId="6" fillId="0" borderId="0" xfId="0" applyNumberFormat="1" applyFont="1"/>
    <xf numFmtId="2" fontId="6" fillId="9" borderId="0" xfId="0" applyNumberFormat="1" applyFont="1" applyFill="1" applyAlignment="1">
      <alignment horizontal="center"/>
    </xf>
    <xf numFmtId="0" fontId="6" fillId="9" borderId="0" xfId="0" applyFont="1" applyFill="1"/>
    <xf numFmtId="0" fontId="2" fillId="9" borderId="0" xfId="0" applyFont="1" applyFill="1"/>
    <xf numFmtId="44" fontId="6" fillId="9" borderId="0" xfId="1" applyFont="1" applyFill="1"/>
    <xf numFmtId="2" fontId="6" fillId="0" borderId="0" xfId="0" applyNumberFormat="1" applyFont="1"/>
    <xf numFmtId="0" fontId="6" fillId="0" borderId="15" xfId="0" applyFont="1" applyBorder="1"/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990850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abSelected="1" topLeftCell="A23" zoomScale="80" zoomScaleNormal="80" workbookViewId="0">
      <selection activeCell="F30" sqref="F3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.71093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199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158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C13" s="1" t="s">
        <v>159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166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194</v>
      </c>
      <c r="D16" s="25"/>
      <c r="E16" s="25"/>
      <c r="F16" s="62">
        <v>18.5</v>
      </c>
      <c r="G16" s="102" t="s">
        <v>123</v>
      </c>
      <c r="H16" s="103">
        <v>27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160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4100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195</v>
      </c>
      <c r="D23" s="5" t="s">
        <v>24</v>
      </c>
      <c r="E23" s="31" t="s">
        <v>161</v>
      </c>
      <c r="F23" s="1" t="s">
        <v>196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150</v>
      </c>
      <c r="D25" s="31" t="s">
        <v>29</v>
      </c>
      <c r="E25" s="33">
        <v>300</v>
      </c>
      <c r="F25" s="34">
        <f>+C25</f>
        <v>150</v>
      </c>
      <c r="G25" s="35" t="s">
        <v>29</v>
      </c>
      <c r="H25" s="35">
        <f>+E25</f>
        <v>300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18.5</v>
      </c>
      <c r="D26" s="37" t="s">
        <v>29</v>
      </c>
      <c r="E26" s="36">
        <f>+H16</f>
        <v>27</v>
      </c>
      <c r="F26" s="38">
        <f>+E26</f>
        <v>27</v>
      </c>
      <c r="G26" s="38" t="s">
        <v>29</v>
      </c>
      <c r="H26" s="38">
        <f>+C26</f>
        <v>18.5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8.1081081081081088</v>
      </c>
      <c r="D27" s="42"/>
      <c r="E27" s="41">
        <f>+E25/E26</f>
        <v>11.111111111111111</v>
      </c>
      <c r="F27" s="41">
        <f>+F25/F26</f>
        <v>5.5555555555555554</v>
      </c>
      <c r="G27" s="42"/>
      <c r="H27" s="41">
        <f>+H25/H26</f>
        <v>16.216216216216218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117">
        <v>88</v>
      </c>
      <c r="E28" s="118"/>
      <c r="F28" s="119"/>
      <c r="G28" s="120">
        <v>80</v>
      </c>
      <c r="H28" s="116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/>
      <c r="D30" s="50" t="s">
        <v>40</v>
      </c>
      <c r="E30" s="51">
        <v>250</v>
      </c>
      <c r="F30" s="1" t="s">
        <v>162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250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250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300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80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17500</v>
      </c>
      <c r="D40" s="33">
        <f>+B48*0.01</f>
        <v>175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17675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220.9375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17.5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17675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17675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+C48*5</f>
        <v>17500</v>
      </c>
      <c r="C48" s="30">
        <v>3500</v>
      </c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130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55234.375</v>
      </c>
      <c r="C50" s="3"/>
      <c r="D50" s="30">
        <v>0</v>
      </c>
      <c r="E50" s="30">
        <v>0</v>
      </c>
      <c r="F50" s="30" t="s">
        <v>131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4100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146</v>
      </c>
      <c r="G52" s="39">
        <v>1500</v>
      </c>
      <c r="H52" s="39">
        <f t="shared" ref="H52:H59" si="0">+G52*E52</f>
        <v>1500</v>
      </c>
      <c r="I52" s="39">
        <f>+B72/100</f>
        <v>727.8125</v>
      </c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165</v>
      </c>
      <c r="B53" s="75">
        <v>900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19</v>
      </c>
      <c r="F54" s="30" t="s">
        <v>121</v>
      </c>
      <c r="G54" s="39">
        <v>130</v>
      </c>
      <c r="H54" s="39">
        <f t="shared" si="0"/>
        <v>2470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60234.375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+B58/C48</f>
        <v>17.209821428571427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4100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1.3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4.1589285714285715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66281.25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5330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suaje</v>
      </c>
      <c r="B68" s="75">
        <f>+B53*H62</f>
        <v>1170</v>
      </c>
      <c r="C68" s="87"/>
      <c r="G68" s="90" t="s">
        <v>111</v>
      </c>
      <c r="H68" s="41">
        <f>+B60</f>
        <v>17.209821428571427</v>
      </c>
      <c r="I68" s="91">
        <f>+H68*C48</f>
        <v>60234.374999999993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20.794642857142858</v>
      </c>
      <c r="I69" s="91">
        <f>+H69*C48</f>
        <v>72781.25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3.5848214285714306</v>
      </c>
      <c r="I70" s="121">
        <f>+H70*C48</f>
        <v>12546.875000000007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72781.25</v>
      </c>
      <c r="C72" s="96">
        <f>+B72/C48</f>
        <v>20.794642857142858</v>
      </c>
      <c r="D72" s="5" t="s">
        <v>197</v>
      </c>
    </row>
    <row r="73" spans="1:21" x14ac:dyDescent="0.3">
      <c r="C73" s="114"/>
      <c r="D73" s="115"/>
      <c r="E73" s="115"/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42" zoomScale="80" zoomScaleNormal="80" workbookViewId="0">
      <selection activeCell="G73" sqref="G7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4.5703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199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158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C13" s="1" t="s">
        <v>159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133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189</v>
      </c>
      <c r="D16" s="25"/>
      <c r="E16" s="25"/>
      <c r="F16" s="62">
        <v>30.5</v>
      </c>
      <c r="G16" s="102" t="s">
        <v>123</v>
      </c>
      <c r="H16" s="103">
        <v>39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134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600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135</v>
      </c>
      <c r="D23" s="5" t="s">
        <v>24</v>
      </c>
      <c r="E23" s="31" t="s">
        <v>136</v>
      </c>
      <c r="F23" s="1" t="s">
        <v>163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30.5</v>
      </c>
      <c r="D26" s="37" t="s">
        <v>29</v>
      </c>
      <c r="E26" s="36">
        <f>+H16</f>
        <v>39</v>
      </c>
      <c r="F26" s="38">
        <f>+E26</f>
        <v>39</v>
      </c>
      <c r="G26" s="38" t="s">
        <v>29</v>
      </c>
      <c r="H26" s="38">
        <f>+C26</f>
        <v>30.5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2.9508196721311477</v>
      </c>
      <c r="D27" s="42"/>
      <c r="E27" s="41">
        <f>+E25/E26</f>
        <v>3.3333333333333335</v>
      </c>
      <c r="F27" s="41">
        <f>+F25/F26</f>
        <v>2.3076923076923075</v>
      </c>
      <c r="G27" s="42"/>
      <c r="H27" s="41">
        <f>+H25/H26</f>
        <v>4.2622950819672134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6</v>
      </c>
      <c r="E28" s="46"/>
      <c r="F28" s="47"/>
      <c r="G28" s="48">
        <v>8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167</v>
      </c>
      <c r="D30" s="50" t="s">
        <v>40</v>
      </c>
      <c r="E30" s="51">
        <v>35.975000000000001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35.975000000000001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35.975000000000001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</f>
        <v>39.572500000000005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6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3500</v>
      </c>
      <c r="D40" s="33">
        <v>250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3750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625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3.5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3750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3750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v>3500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130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22484.375</v>
      </c>
      <c r="C50" s="3"/>
      <c r="D50" s="30">
        <v>0</v>
      </c>
      <c r="E50" s="30">
        <v>0</v>
      </c>
      <c r="F50" s="30" t="s">
        <v>131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600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146</v>
      </c>
      <c r="G52" s="39">
        <v>600</v>
      </c>
      <c r="H52" s="39">
        <f t="shared" ref="H52:H59" si="0">+G52*E52</f>
        <v>600</v>
      </c>
      <c r="I52" s="39">
        <f>+B72/100</f>
        <v>255.12812500000004</v>
      </c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0</v>
      </c>
      <c r="E53" s="30">
        <v>0</v>
      </c>
      <c r="F53" s="30" t="s">
        <v>120</v>
      </c>
      <c r="G53" s="39">
        <v>130</v>
      </c>
      <c r="H53" s="39">
        <f t="shared" si="0"/>
        <v>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0</v>
      </c>
      <c r="E54" s="30">
        <v>0</v>
      </c>
      <c r="F54" s="30" t="s">
        <v>121</v>
      </c>
      <c r="G54" s="39">
        <v>130</v>
      </c>
      <c r="H54" s="39">
        <f t="shared" si="0"/>
        <v>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23084.375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6.5955357142857141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600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1.3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7.2893750000000006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24732.812500000004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780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6.5955357142857141</v>
      </c>
      <c r="I68" s="91">
        <f>+H68*B48</f>
        <v>23084.375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7.2893750000000006</v>
      </c>
      <c r="I69" s="91">
        <f>+H69*B48</f>
        <v>25512.812500000004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0.69383928571428655</v>
      </c>
      <c r="I70" s="121">
        <f>+H70*B48</f>
        <v>2428.4375000000027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25512.812500000004</v>
      </c>
      <c r="C72" s="96">
        <f>+B72/B48</f>
        <v>7.2893750000000006</v>
      </c>
      <c r="D72" s="5" t="s">
        <v>176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36" zoomScale="80" zoomScaleNormal="80" workbookViewId="0">
      <selection activeCell="G53" sqref="G5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5.285156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199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158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C13" s="1" t="s">
        <v>159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147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164</v>
      </c>
      <c r="D16" s="25"/>
      <c r="E16" s="25"/>
      <c r="F16" s="62">
        <v>18.5</v>
      </c>
      <c r="G16" s="102" t="s">
        <v>123</v>
      </c>
      <c r="H16" s="103">
        <v>44.3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134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1000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135</v>
      </c>
      <c r="D23" s="5" t="s">
        <v>24</v>
      </c>
      <c r="E23" s="31" t="s">
        <v>136</v>
      </c>
      <c r="F23" s="1" t="s">
        <v>163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18.5</v>
      </c>
      <c r="D26" s="37" t="s">
        <v>29</v>
      </c>
      <c r="E26" s="36">
        <f>+H16</f>
        <v>44.3</v>
      </c>
      <c r="F26" s="38">
        <f>+E26</f>
        <v>44.3</v>
      </c>
      <c r="G26" s="38" t="s">
        <v>29</v>
      </c>
      <c r="H26" s="38">
        <f>+C26</f>
        <v>18.5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4.8648648648648649</v>
      </c>
      <c r="D27" s="42"/>
      <c r="E27" s="41">
        <f>+E25/E26</f>
        <v>2.9345372460496617</v>
      </c>
      <c r="F27" s="41">
        <f>+F25/F26</f>
        <v>2.0316027088036117</v>
      </c>
      <c r="G27" s="42"/>
      <c r="H27" s="41">
        <f>+H25/H26</f>
        <v>7.0270270270270272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8</v>
      </c>
      <c r="E28" s="46"/>
      <c r="F28" s="47"/>
      <c r="G28" s="48">
        <v>14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167</v>
      </c>
      <c r="D30" s="50" t="s">
        <v>40</v>
      </c>
      <c r="E30" s="51">
        <v>35.975000000000001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35.975000000000001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35.975000000000001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+E34*1.1</f>
        <v>39.572500000000005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14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3500</v>
      </c>
      <c r="D40" s="33">
        <v>250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3750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267.85714285714283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3.5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3750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3749.9999999999995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v>3500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130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9636.1607142857138</v>
      </c>
      <c r="C50" s="3"/>
      <c r="D50" s="30">
        <v>0</v>
      </c>
      <c r="E50" s="30">
        <v>0</v>
      </c>
      <c r="F50" s="30" t="s">
        <v>131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1000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x14ac:dyDescent="0.3">
      <c r="A52" s="74"/>
      <c r="B52" s="75"/>
      <c r="C52" s="3"/>
      <c r="D52" s="30">
        <v>1</v>
      </c>
      <c r="E52" s="30">
        <v>1</v>
      </c>
      <c r="F52" s="30" t="s">
        <v>146</v>
      </c>
      <c r="G52" s="39">
        <v>1000</v>
      </c>
      <c r="H52" s="39">
        <f t="shared" ref="H52" si="0">+G52*E52</f>
        <v>1000</v>
      </c>
      <c r="I52" s="39">
        <f>+B72/100</f>
        <v>118.99776785714286</v>
      </c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0</v>
      </c>
      <c r="E53" s="30">
        <v>0</v>
      </c>
      <c r="F53" s="30" t="s">
        <v>120</v>
      </c>
      <c r="G53" s="39">
        <v>130</v>
      </c>
      <c r="H53" s="39">
        <f t="shared" ref="H53:H59" si="1">+G53*E53</f>
        <v>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0</v>
      </c>
      <c r="E54" s="30">
        <v>0</v>
      </c>
      <c r="F54" s="30" t="s">
        <v>121</v>
      </c>
      <c r="G54" s="39">
        <v>130</v>
      </c>
      <c r="H54" s="39">
        <f t="shared" si="1"/>
        <v>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1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1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1"/>
        <v>0</v>
      </c>
      <c r="J57" s="5" t="s">
        <v>89</v>
      </c>
    </row>
    <row r="58" spans="1:21" x14ac:dyDescent="0.3">
      <c r="A58" s="73" t="s">
        <v>90</v>
      </c>
      <c r="B58" s="78">
        <f>SUM(B50:B57)</f>
        <v>10636.160714285714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1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1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3.0389030612244898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1000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1.3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3.3999362244897959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10599.776785714286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1300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3.0389030612244898</v>
      </c>
      <c r="I68" s="91">
        <f>+H68*B48</f>
        <v>10636.160714285714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3.3999362244897959</v>
      </c>
      <c r="I69" s="91">
        <f>+H69*B48</f>
        <v>11899.776785714286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0.3610331632653061</v>
      </c>
      <c r="I70" s="121">
        <f>+H70*B48</f>
        <v>1263.6160714285713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11899.776785714286</v>
      </c>
      <c r="C72" s="96">
        <f>+B72/B48</f>
        <v>3.3999362244897959</v>
      </c>
      <c r="D72" s="5" t="s">
        <v>175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8"/>
  <sheetViews>
    <sheetView topLeftCell="A41" zoomScale="80" zoomScaleNormal="80" workbookViewId="0">
      <selection activeCell="D42" sqref="D4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4.285156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12.5703125" style="1" customWidth="1"/>
    <col min="16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199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158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C13" s="1" t="s">
        <v>159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144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190</v>
      </c>
      <c r="D16" s="25"/>
      <c r="E16" s="25"/>
      <c r="F16" s="62">
        <f>0+F21+0</f>
        <v>51</v>
      </c>
      <c r="G16" s="102" t="s">
        <v>123</v>
      </c>
      <c r="H16" s="103">
        <f>0+H21+0</f>
        <v>66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134</v>
      </c>
      <c r="D17" s="25"/>
      <c r="E17" s="25"/>
      <c r="F17" s="101">
        <v>2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156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169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x14ac:dyDescent="0.3">
      <c r="C20" s="24" t="s">
        <v>168</v>
      </c>
      <c r="D20" s="25"/>
      <c r="E20" s="25"/>
      <c r="F20" s="11"/>
      <c r="G20" s="12"/>
      <c r="H20" s="13"/>
      <c r="J20" s="11"/>
      <c r="K20" s="12"/>
      <c r="L20" s="12"/>
      <c r="M20" s="12"/>
      <c r="N20" s="12"/>
      <c r="O20" s="12"/>
      <c r="P20" s="12"/>
      <c r="Q20" s="12"/>
      <c r="R20" s="13"/>
    </row>
    <row r="21" spans="1:18" x14ac:dyDescent="0.3">
      <c r="C21" s="24" t="s">
        <v>157</v>
      </c>
      <c r="D21" s="25"/>
      <c r="E21" s="25"/>
      <c r="F21" s="62">
        <v>51</v>
      </c>
      <c r="G21" s="102" t="s">
        <v>123</v>
      </c>
      <c r="H21" s="103">
        <v>66</v>
      </c>
      <c r="J21" s="11"/>
      <c r="K21" s="12"/>
      <c r="L21" s="12"/>
      <c r="M21" s="12"/>
      <c r="N21" s="12"/>
      <c r="O21" s="12"/>
      <c r="P21" s="12"/>
      <c r="Q21" s="12"/>
      <c r="R21" s="13"/>
    </row>
    <row r="22" spans="1:18" ht="15" thickBot="1" x14ac:dyDescent="0.35">
      <c r="C22" s="27" t="s">
        <v>193</v>
      </c>
      <c r="D22" s="25"/>
      <c r="E22" s="25"/>
      <c r="F22" s="11"/>
      <c r="G22" s="12"/>
      <c r="H22" s="13"/>
      <c r="J22" s="21"/>
      <c r="K22" s="22"/>
      <c r="L22" s="22"/>
      <c r="M22" s="22"/>
      <c r="N22" s="22"/>
      <c r="O22" s="22"/>
      <c r="P22" s="22"/>
      <c r="Q22" s="22"/>
      <c r="R22" s="23"/>
    </row>
    <row r="23" spans="1:18" x14ac:dyDescent="0.3">
      <c r="C23" s="25" t="s">
        <v>145</v>
      </c>
      <c r="D23" s="25"/>
      <c r="E23" s="25"/>
      <c r="F23" s="11"/>
      <c r="G23" s="12"/>
      <c r="H23" s="13"/>
      <c r="N23" s="5" t="s">
        <v>19</v>
      </c>
      <c r="O23" s="5" t="s">
        <v>20</v>
      </c>
      <c r="Q23" s="28">
        <f>+H63</f>
        <v>4413.665</v>
      </c>
    </row>
    <row r="24" spans="1:18" ht="15" thickBot="1" x14ac:dyDescent="0.35">
      <c r="C24" s="25"/>
      <c r="D24" s="25"/>
      <c r="E24" s="25"/>
      <c r="F24" s="21"/>
      <c r="G24" s="22"/>
      <c r="H24" s="23"/>
      <c r="J24" s="29" t="s">
        <v>21</v>
      </c>
      <c r="K24" s="1" t="s">
        <v>22</v>
      </c>
    </row>
    <row r="25" spans="1:18" x14ac:dyDescent="0.3">
      <c r="A25" s="4" t="s">
        <v>23</v>
      </c>
      <c r="C25" s="113" t="s">
        <v>191</v>
      </c>
      <c r="D25" s="5" t="s">
        <v>24</v>
      </c>
      <c r="E25" s="31" t="s">
        <v>138</v>
      </c>
      <c r="K25" s="1" t="s">
        <v>25</v>
      </c>
    </row>
    <row r="26" spans="1:18" x14ac:dyDescent="0.3">
      <c r="K26" s="1" t="s">
        <v>26</v>
      </c>
      <c r="N26" s="1" t="s">
        <v>27</v>
      </c>
    </row>
    <row r="27" spans="1:18" x14ac:dyDescent="0.3">
      <c r="A27" s="4" t="s">
        <v>28</v>
      </c>
      <c r="C27" s="32">
        <v>51</v>
      </c>
      <c r="D27" s="31" t="s">
        <v>29</v>
      </c>
      <c r="E27" s="33">
        <v>66</v>
      </c>
      <c r="F27" s="34">
        <f>+C27</f>
        <v>51</v>
      </c>
      <c r="G27" s="35" t="s">
        <v>29</v>
      </c>
      <c r="H27" s="35">
        <f>+E27</f>
        <v>66</v>
      </c>
      <c r="K27" s="1" t="s">
        <v>30</v>
      </c>
      <c r="N27" s="1" t="s">
        <v>31</v>
      </c>
    </row>
    <row r="28" spans="1:18" x14ac:dyDescent="0.3">
      <c r="A28" s="4" t="s">
        <v>32</v>
      </c>
      <c r="B28" s="3"/>
      <c r="C28" s="36">
        <f>+F16</f>
        <v>51</v>
      </c>
      <c r="D28" s="37" t="s">
        <v>29</v>
      </c>
      <c r="E28" s="36">
        <f>+H16</f>
        <v>66</v>
      </c>
      <c r="F28" s="38">
        <f>+E28</f>
        <v>66</v>
      </c>
      <c r="G28" s="38" t="s">
        <v>29</v>
      </c>
      <c r="H28" s="38">
        <f>+C28</f>
        <v>51</v>
      </c>
      <c r="I28" s="39"/>
      <c r="K28" s="1" t="s">
        <v>33</v>
      </c>
      <c r="N28" s="1">
        <v>250</v>
      </c>
    </row>
    <row r="29" spans="1:18" ht="15" thickBot="1" x14ac:dyDescent="0.35">
      <c r="A29" s="3" t="s">
        <v>34</v>
      </c>
      <c r="B29" s="40"/>
      <c r="C29" s="41">
        <f>+C27/C28</f>
        <v>1</v>
      </c>
      <c r="D29" s="42"/>
      <c r="E29" s="41">
        <f>+E27/E28</f>
        <v>1</v>
      </c>
      <c r="F29" s="41">
        <f>+F27/F28</f>
        <v>0.77272727272727271</v>
      </c>
      <c r="G29" s="42"/>
      <c r="H29" s="41">
        <f>+H27/H28</f>
        <v>1.2941176470588236</v>
      </c>
      <c r="I29" s="39"/>
      <c r="K29" s="1" t="s">
        <v>35</v>
      </c>
      <c r="N29" s="1">
        <v>250</v>
      </c>
    </row>
    <row r="30" spans="1:18" ht="15" thickBot="1" x14ac:dyDescent="0.35">
      <c r="A30" s="3" t="s">
        <v>36</v>
      </c>
      <c r="B30" s="43"/>
      <c r="C30" s="44"/>
      <c r="D30" s="45">
        <v>1</v>
      </c>
      <c r="E30" s="46"/>
      <c r="F30" s="47"/>
      <c r="G30" s="48">
        <v>0</v>
      </c>
      <c r="H30" s="49" t="s">
        <v>37</v>
      </c>
    </row>
    <row r="31" spans="1:18" x14ac:dyDescent="0.3">
      <c r="A31" s="3"/>
      <c r="B31" s="30"/>
      <c r="C31" s="39"/>
      <c r="G31" s="50"/>
      <c r="H31" s="39"/>
      <c r="J31" s="29" t="s">
        <v>38</v>
      </c>
    </row>
    <row r="32" spans="1:18" ht="15" thickBot="1" x14ac:dyDescent="0.35">
      <c r="A32" s="34" t="s">
        <v>39</v>
      </c>
      <c r="B32" s="34" t="s">
        <v>139</v>
      </c>
      <c r="D32" s="50" t="s">
        <v>40</v>
      </c>
      <c r="E32" s="51">
        <v>9.26</v>
      </c>
      <c r="G32" s="1" t="s">
        <v>41</v>
      </c>
      <c r="H32" s="52">
        <v>0.5</v>
      </c>
      <c r="J32" s="29"/>
      <c r="M32" s="31">
        <v>1</v>
      </c>
      <c r="N32" s="31">
        <v>2</v>
      </c>
      <c r="O32" s="31">
        <v>3</v>
      </c>
      <c r="P32" s="1" t="s">
        <v>1</v>
      </c>
    </row>
    <row r="33" spans="1:18" x14ac:dyDescent="0.3">
      <c r="A33" s="3"/>
      <c r="B33" s="3"/>
      <c r="C33" s="3"/>
      <c r="D33" s="53" t="s">
        <v>42</v>
      </c>
      <c r="E33" s="51">
        <f>+H32*E32</f>
        <v>4.63</v>
      </c>
      <c r="H33" s="52"/>
      <c r="I33" s="39"/>
      <c r="K33" s="1" t="s">
        <v>43</v>
      </c>
      <c r="M33" s="54"/>
      <c r="N33" s="55"/>
      <c r="O33" s="56"/>
      <c r="P33" s="57"/>
      <c r="Q33" s="19"/>
      <c r="R33" s="20"/>
    </row>
    <row r="34" spans="1:18" x14ac:dyDescent="0.3">
      <c r="D34" s="53" t="s">
        <v>44</v>
      </c>
      <c r="E34" s="58">
        <f>+E32-E33</f>
        <v>4.63</v>
      </c>
      <c r="I34" s="39"/>
      <c r="K34" s="1" t="s">
        <v>45</v>
      </c>
      <c r="M34" s="59"/>
      <c r="N34" s="60"/>
      <c r="O34" s="61"/>
      <c r="P34" s="62"/>
      <c r="Q34" s="12"/>
      <c r="R34" s="13"/>
    </row>
    <row r="35" spans="1:18" x14ac:dyDescent="0.3">
      <c r="E35" s="30" t="s">
        <v>46</v>
      </c>
      <c r="F35" s="30" t="s">
        <v>47</v>
      </c>
      <c r="G35" s="30" t="s">
        <v>47</v>
      </c>
      <c r="H35" s="30" t="s">
        <v>47</v>
      </c>
      <c r="I35" s="39"/>
      <c r="K35" s="1" t="s">
        <v>48</v>
      </c>
      <c r="M35" s="59"/>
      <c r="N35" s="63"/>
      <c r="O35" s="61"/>
      <c r="P35" s="62"/>
      <c r="Q35" s="12"/>
      <c r="R35" s="13"/>
    </row>
    <row r="36" spans="1:18" x14ac:dyDescent="0.3">
      <c r="D36" s="50" t="s">
        <v>49</v>
      </c>
      <c r="E36" s="64">
        <f>+E34</f>
        <v>4.63</v>
      </c>
      <c r="F36" s="64">
        <v>0</v>
      </c>
      <c r="G36" s="64">
        <v>0</v>
      </c>
      <c r="H36" s="64">
        <v>0</v>
      </c>
      <c r="K36" s="1" t="s">
        <v>50</v>
      </c>
      <c r="M36" s="59"/>
      <c r="N36" s="63"/>
      <c r="O36" s="61"/>
      <c r="P36" s="62"/>
      <c r="Q36" s="12"/>
      <c r="R36" s="13"/>
    </row>
    <row r="37" spans="1:18" x14ac:dyDescent="0.3">
      <c r="D37" s="50" t="s">
        <v>51</v>
      </c>
      <c r="E37" s="64">
        <f>+E36*1.2</f>
        <v>5.556</v>
      </c>
      <c r="F37" s="64">
        <v>0</v>
      </c>
      <c r="G37" s="64">
        <v>0</v>
      </c>
      <c r="H37" s="64">
        <v>0</v>
      </c>
      <c r="K37" s="1" t="s">
        <v>52</v>
      </c>
      <c r="M37" s="59"/>
      <c r="N37" s="63"/>
      <c r="O37" s="61"/>
      <c r="P37" s="62"/>
      <c r="Q37" s="12"/>
      <c r="R37" s="13"/>
    </row>
    <row r="38" spans="1:18" ht="15" thickBot="1" x14ac:dyDescent="0.35">
      <c r="A38" s="3"/>
      <c r="G38" s="50"/>
      <c r="K38" s="1" t="s">
        <v>53</v>
      </c>
      <c r="M38" s="59"/>
      <c r="N38" s="63"/>
      <c r="O38" s="61"/>
      <c r="P38" s="62"/>
      <c r="Q38" s="12"/>
      <c r="R38" s="13"/>
    </row>
    <row r="39" spans="1:18" x14ac:dyDescent="0.3">
      <c r="A39" s="3"/>
      <c r="B39" s="30"/>
      <c r="C39" s="39"/>
      <c r="E39" s="18" t="s">
        <v>54</v>
      </c>
      <c r="F39" s="19" t="s">
        <v>55</v>
      </c>
      <c r="G39" s="19"/>
      <c r="H39" s="20"/>
      <c r="K39" s="1" t="s">
        <v>56</v>
      </c>
      <c r="M39" s="59"/>
      <c r="N39" s="63"/>
      <c r="O39" s="61"/>
      <c r="P39" s="62"/>
      <c r="Q39" s="12"/>
      <c r="R39" s="13"/>
    </row>
    <row r="40" spans="1:18" ht="15" thickBot="1" x14ac:dyDescent="0.35">
      <c r="A40" s="4" t="s">
        <v>57</v>
      </c>
      <c r="C40" s="65">
        <v>1</v>
      </c>
      <c r="D40" s="66" t="s">
        <v>58</v>
      </c>
      <c r="E40" s="21"/>
      <c r="F40" s="22" t="s">
        <v>59</v>
      </c>
      <c r="G40" s="22"/>
      <c r="H40" s="23"/>
      <c r="K40" s="1" t="s">
        <v>60</v>
      </c>
      <c r="M40" s="59"/>
      <c r="N40" s="63"/>
      <c r="O40" s="61"/>
      <c r="P40" s="62"/>
      <c r="Q40" s="12"/>
      <c r="R40" s="13"/>
    </row>
    <row r="41" spans="1:18" x14ac:dyDescent="0.3">
      <c r="A41" s="4"/>
      <c r="C41" s="30"/>
      <c r="D41" s="1" t="s">
        <v>61</v>
      </c>
      <c r="E41" s="3"/>
      <c r="F41" s="3"/>
      <c r="K41" s="1" t="s">
        <v>62</v>
      </c>
      <c r="M41" s="59"/>
      <c r="N41" s="63"/>
      <c r="O41" s="61"/>
      <c r="P41" s="62"/>
      <c r="Q41" s="12"/>
      <c r="R41" s="13"/>
    </row>
    <row r="42" spans="1:18" x14ac:dyDescent="0.3">
      <c r="A42" s="4" t="s">
        <v>63</v>
      </c>
      <c r="B42" s="5"/>
      <c r="C42" s="67">
        <f>+B50/F17</f>
        <v>1750</v>
      </c>
      <c r="D42" s="33">
        <v>500</v>
      </c>
      <c r="F42" s="53" t="s">
        <v>64</v>
      </c>
      <c r="G42" s="32">
        <v>1</v>
      </c>
      <c r="H42" s="3"/>
      <c r="K42" s="1" t="s">
        <v>65</v>
      </c>
      <c r="M42" s="59"/>
      <c r="N42" s="63"/>
      <c r="O42" s="61"/>
      <c r="P42" s="62"/>
      <c r="Q42" s="12"/>
      <c r="R42" s="13"/>
    </row>
    <row r="43" spans="1:18" x14ac:dyDescent="0.3">
      <c r="A43" s="4" t="s">
        <v>66</v>
      </c>
      <c r="C43" s="43">
        <f>+C42+D42</f>
        <v>2250</v>
      </c>
      <c r="F43" s="53" t="s">
        <v>67</v>
      </c>
      <c r="G43" s="32">
        <v>2</v>
      </c>
      <c r="H43" s="3"/>
      <c r="K43" s="1" t="s">
        <v>68</v>
      </c>
      <c r="M43" s="59"/>
      <c r="N43" s="63"/>
      <c r="O43" s="61"/>
      <c r="P43" s="62"/>
      <c r="Q43" s="12"/>
      <c r="R43" s="13"/>
    </row>
    <row r="44" spans="1:18" x14ac:dyDescent="0.3">
      <c r="A44" s="4" t="s">
        <v>69</v>
      </c>
      <c r="C44" s="43">
        <f>+C43/C40</f>
        <v>2250</v>
      </c>
      <c r="F44" s="53" t="s">
        <v>70</v>
      </c>
      <c r="G44" s="32"/>
      <c r="H44" s="3"/>
      <c r="K44" s="1" t="s">
        <v>71</v>
      </c>
      <c r="M44" s="59"/>
      <c r="N44" s="63"/>
      <c r="O44" s="61"/>
      <c r="P44" s="62"/>
      <c r="Q44" s="12"/>
      <c r="R44" s="13"/>
    </row>
    <row r="45" spans="1:18" x14ac:dyDescent="0.3">
      <c r="A45" s="4" t="s">
        <v>132</v>
      </c>
      <c r="C45" s="30">
        <f>+(C44*C40)*F17</f>
        <v>4500</v>
      </c>
      <c r="F45" s="50" t="s">
        <v>72</v>
      </c>
      <c r="G45" s="32">
        <f>+C42/1000</f>
        <v>1.75</v>
      </c>
      <c r="H45" s="3"/>
      <c r="K45" s="1" t="s">
        <v>73</v>
      </c>
      <c r="M45" s="59"/>
      <c r="N45" s="63"/>
      <c r="O45" s="61"/>
      <c r="P45" s="62"/>
      <c r="Q45" s="12"/>
      <c r="R45" s="13"/>
    </row>
    <row r="46" spans="1:18" x14ac:dyDescent="0.3">
      <c r="A46" s="4"/>
      <c r="C46" s="68"/>
      <c r="F46" s="53" t="s">
        <v>74</v>
      </c>
      <c r="G46" s="65">
        <f>+C43</f>
        <v>2250</v>
      </c>
      <c r="H46" s="3"/>
      <c r="K46" s="1" t="s">
        <v>75</v>
      </c>
      <c r="M46" s="59"/>
      <c r="N46" s="63"/>
      <c r="O46" s="61"/>
      <c r="P46" s="62"/>
      <c r="Q46" s="12"/>
      <c r="R46" s="13"/>
    </row>
    <row r="47" spans="1:18" x14ac:dyDescent="0.3">
      <c r="A47" s="4"/>
      <c r="C47" s="30"/>
      <c r="E47" s="53"/>
      <c r="F47" s="53"/>
      <c r="G47" s="39"/>
      <c r="I47" s="3"/>
      <c r="K47" s="1" t="s">
        <v>76</v>
      </c>
      <c r="M47" s="59"/>
      <c r="N47" s="63"/>
      <c r="O47" s="61"/>
      <c r="P47" s="62"/>
      <c r="Q47" s="12"/>
      <c r="R47" s="13"/>
    </row>
    <row r="48" spans="1:18" ht="15" thickBot="1" x14ac:dyDescent="0.35">
      <c r="A48" s="4" t="s">
        <v>77</v>
      </c>
      <c r="C48" s="34">
        <f>+C44*C40</f>
        <v>2250</v>
      </c>
      <c r="F48" s="53"/>
      <c r="G48" s="39"/>
      <c r="H48" s="3"/>
      <c r="K48" s="1" t="s">
        <v>78</v>
      </c>
      <c r="M48" s="69"/>
      <c r="N48" s="70"/>
      <c r="O48" s="71"/>
      <c r="P48" s="72"/>
      <c r="Q48" s="22"/>
      <c r="R48" s="23"/>
    </row>
    <row r="49" spans="1:21" ht="15" thickBot="1" x14ac:dyDescent="0.35">
      <c r="A49" s="3"/>
      <c r="B49" s="3"/>
      <c r="C49" s="3"/>
      <c r="D49" s="3"/>
      <c r="E49" s="3"/>
      <c r="H49" s="3"/>
      <c r="J49" s="5" t="s">
        <v>16</v>
      </c>
    </row>
    <row r="50" spans="1:21" x14ac:dyDescent="0.3">
      <c r="A50" s="4" t="s">
        <v>118</v>
      </c>
      <c r="B50" s="30">
        <v>3500</v>
      </c>
      <c r="C50" s="3"/>
      <c r="D50" s="34" t="s">
        <v>79</v>
      </c>
      <c r="E50" s="34" t="s">
        <v>80</v>
      </c>
      <c r="F50" s="34" t="s">
        <v>81</v>
      </c>
      <c r="G50" s="34" t="s">
        <v>82</v>
      </c>
      <c r="H50" s="34" t="s">
        <v>83</v>
      </c>
      <c r="J50" s="18"/>
      <c r="K50" s="19" t="s">
        <v>149</v>
      </c>
      <c r="L50" s="19"/>
      <c r="M50" s="19"/>
      <c r="N50" s="19"/>
      <c r="O50" s="19"/>
      <c r="P50" s="19"/>
      <c r="Q50" s="19"/>
      <c r="R50" s="20"/>
    </row>
    <row r="51" spans="1:21" x14ac:dyDescent="0.3">
      <c r="A51" s="73" t="s">
        <v>84</v>
      </c>
      <c r="B51" s="74"/>
      <c r="C51" s="3"/>
      <c r="D51" s="30">
        <v>1</v>
      </c>
      <c r="E51" s="30">
        <v>1</v>
      </c>
      <c r="F51" s="30" t="s">
        <v>85</v>
      </c>
      <c r="G51" s="39">
        <v>295</v>
      </c>
      <c r="H51" s="39">
        <f>+(D51*E51)*G51</f>
        <v>295</v>
      </c>
      <c r="J51" s="11"/>
      <c r="K51" s="102">
        <f>+F16</f>
        <v>51</v>
      </c>
      <c r="L51" s="102">
        <f>+H16</f>
        <v>66</v>
      </c>
      <c r="M51" s="12" t="s">
        <v>148</v>
      </c>
      <c r="N51" s="102" t="s">
        <v>150</v>
      </c>
      <c r="O51" s="12" t="s">
        <v>151</v>
      </c>
      <c r="P51" s="12" t="s">
        <v>152</v>
      </c>
      <c r="Q51" s="12"/>
      <c r="R51" s="13"/>
    </row>
    <row r="52" spans="1:21" x14ac:dyDescent="0.3">
      <c r="A52" s="74" t="s">
        <v>86</v>
      </c>
      <c r="B52" s="75">
        <f>+E36*C44</f>
        <v>10417.5</v>
      </c>
      <c r="C52" s="3">
        <f>+B52/2</f>
        <v>5208.75</v>
      </c>
      <c r="D52" s="30">
        <v>1</v>
      </c>
      <c r="E52" s="30">
        <v>4</v>
      </c>
      <c r="F52" s="30" t="s">
        <v>119</v>
      </c>
      <c r="G52" s="39">
        <v>140</v>
      </c>
      <c r="H52" s="39">
        <f>+(D52*E52)*G52</f>
        <v>560</v>
      </c>
      <c r="J52" s="11"/>
      <c r="K52" s="102">
        <f>0.51*0.66*C43</f>
        <v>757.35</v>
      </c>
      <c r="L52" s="111">
        <v>3.9</v>
      </c>
      <c r="M52" s="111">
        <f>+K52*L52</f>
        <v>2953.665</v>
      </c>
      <c r="N52" s="111">
        <v>0</v>
      </c>
      <c r="O52" s="111">
        <f>+M52+N52</f>
        <v>2953.665</v>
      </c>
      <c r="P52" s="104" t="s">
        <v>153</v>
      </c>
      <c r="Q52" s="12"/>
      <c r="R52" s="13"/>
    </row>
    <row r="53" spans="1:21" x14ac:dyDescent="0.3">
      <c r="A53" s="74" t="s">
        <v>21</v>
      </c>
      <c r="B53" s="75">
        <f>+H63</f>
        <v>4413.665</v>
      </c>
      <c r="C53" s="3"/>
      <c r="D53" s="30">
        <v>0</v>
      </c>
      <c r="E53" s="30">
        <v>0</v>
      </c>
      <c r="F53" s="30" t="s">
        <v>125</v>
      </c>
      <c r="G53" s="39">
        <v>500</v>
      </c>
      <c r="H53" s="39">
        <f>+G53*E53*D53</f>
        <v>0</v>
      </c>
      <c r="J53" s="11"/>
      <c r="K53" s="12"/>
      <c r="L53" s="111"/>
      <c r="M53" s="111"/>
      <c r="N53" s="111"/>
      <c r="O53" s="111"/>
      <c r="P53" s="12"/>
      <c r="Q53" s="12"/>
      <c r="R53" s="13"/>
    </row>
    <row r="54" spans="1:21" x14ac:dyDescent="0.3">
      <c r="A54" s="74"/>
      <c r="B54" s="75"/>
      <c r="C54" s="3"/>
      <c r="D54" s="30">
        <v>1</v>
      </c>
      <c r="E54" s="30">
        <v>1</v>
      </c>
      <c r="F54" s="30" t="s">
        <v>146</v>
      </c>
      <c r="G54" s="39">
        <v>200</v>
      </c>
      <c r="H54" s="39">
        <f t="shared" ref="H54:H61" si="0">+G54*E54</f>
        <v>200</v>
      </c>
      <c r="I54" s="39">
        <f>+B75/100</f>
        <v>203.60131000000001</v>
      </c>
      <c r="J54" s="11"/>
      <c r="K54" s="102">
        <f>+K51</f>
        <v>51</v>
      </c>
      <c r="L54" s="102">
        <f>+L51</f>
        <v>66</v>
      </c>
      <c r="M54" s="12" t="s">
        <v>148</v>
      </c>
      <c r="N54" s="102" t="s">
        <v>150</v>
      </c>
      <c r="O54" s="12" t="s">
        <v>151</v>
      </c>
      <c r="P54" s="12" t="s">
        <v>154</v>
      </c>
      <c r="Q54" s="12"/>
      <c r="R54" s="13"/>
    </row>
    <row r="55" spans="1:21" ht="16.5" x14ac:dyDescent="0.3">
      <c r="A55" s="74" t="s">
        <v>45</v>
      </c>
      <c r="B55" s="75">
        <v>1200</v>
      </c>
      <c r="C55" s="3"/>
      <c r="D55" s="30">
        <v>1</v>
      </c>
      <c r="E55" s="30">
        <v>1</v>
      </c>
      <c r="F55" s="30" t="s">
        <v>120</v>
      </c>
      <c r="G55" s="39">
        <v>135</v>
      </c>
      <c r="H55" s="39">
        <f t="shared" si="0"/>
        <v>135</v>
      </c>
      <c r="I55" s="76"/>
      <c r="J55" s="11"/>
      <c r="K55" s="102">
        <f>0.65*0.36*C43</f>
        <v>526.5</v>
      </c>
      <c r="L55" s="111">
        <v>2.5</v>
      </c>
      <c r="M55" s="111">
        <f>+K55*L55</f>
        <v>1316.25</v>
      </c>
      <c r="N55" s="111">
        <v>360</v>
      </c>
      <c r="O55" s="111">
        <f>+M55+N55</f>
        <v>1676.25</v>
      </c>
      <c r="P55" s="104" t="s">
        <v>155</v>
      </c>
      <c r="Q55" s="12"/>
      <c r="R55" s="13"/>
    </row>
    <row r="56" spans="1:21" x14ac:dyDescent="0.3">
      <c r="A56" s="77" t="s">
        <v>140</v>
      </c>
      <c r="B56" s="75">
        <v>0</v>
      </c>
      <c r="C56" s="3"/>
      <c r="D56" s="30">
        <v>2</v>
      </c>
      <c r="E56" s="30">
        <v>2</v>
      </c>
      <c r="F56" s="30" t="s">
        <v>121</v>
      </c>
      <c r="G56" s="39">
        <v>135</v>
      </c>
      <c r="H56" s="39">
        <f t="shared" si="0"/>
        <v>270</v>
      </c>
      <c r="J56" s="11"/>
      <c r="K56" s="12"/>
      <c r="L56" s="111"/>
      <c r="M56" s="111"/>
      <c r="N56" s="111"/>
      <c r="O56" s="111"/>
      <c r="P56" s="12"/>
      <c r="Q56" s="12"/>
      <c r="R56" s="13"/>
    </row>
    <row r="57" spans="1:21" ht="15" thickBot="1" x14ac:dyDescent="0.35">
      <c r="A57" s="77" t="s">
        <v>143</v>
      </c>
      <c r="B57" s="75">
        <v>0</v>
      </c>
      <c r="D57" s="30">
        <v>0</v>
      </c>
      <c r="E57" s="30">
        <v>0</v>
      </c>
      <c r="F57" s="30" t="s">
        <v>141</v>
      </c>
      <c r="G57" s="39">
        <v>120</v>
      </c>
      <c r="H57" s="39">
        <f>+G57*E57</f>
        <v>0</v>
      </c>
      <c r="J57" s="21"/>
      <c r="K57" s="22"/>
      <c r="L57" s="22"/>
      <c r="M57" s="22"/>
      <c r="N57" s="22"/>
      <c r="O57" s="22"/>
      <c r="P57" s="22"/>
      <c r="Q57" s="22"/>
      <c r="R57" s="23"/>
    </row>
    <row r="58" spans="1:21" x14ac:dyDescent="0.3">
      <c r="A58" s="77" t="s">
        <v>142</v>
      </c>
      <c r="B58" s="75">
        <v>0</v>
      </c>
      <c r="D58" s="30">
        <v>0</v>
      </c>
      <c r="E58" s="30">
        <v>0</v>
      </c>
      <c r="F58" s="30" t="s">
        <v>52</v>
      </c>
      <c r="G58" s="39">
        <v>1.5</v>
      </c>
      <c r="H58" s="39">
        <f>+G58*E58</f>
        <v>0</v>
      </c>
    </row>
    <row r="59" spans="1:21" x14ac:dyDescent="0.3">
      <c r="A59" s="77"/>
      <c r="B59" s="77"/>
      <c r="D59" s="30">
        <v>0</v>
      </c>
      <c r="E59" s="30">
        <v>0</v>
      </c>
      <c r="F59" s="30" t="s">
        <v>88</v>
      </c>
      <c r="G59" s="39">
        <v>1.5</v>
      </c>
      <c r="H59" s="39">
        <f t="shared" si="0"/>
        <v>0</v>
      </c>
      <c r="J59" s="5" t="s">
        <v>89</v>
      </c>
    </row>
    <row r="60" spans="1:21" x14ac:dyDescent="0.3">
      <c r="A60" s="73" t="s">
        <v>90</v>
      </c>
      <c r="B60" s="78">
        <f>SUM(B52:B59)</f>
        <v>16031.165000000001</v>
      </c>
      <c r="C60" s="3"/>
      <c r="D60" s="30">
        <v>1</v>
      </c>
      <c r="E60" s="30">
        <v>1</v>
      </c>
      <c r="F60" s="3" t="s">
        <v>91</v>
      </c>
      <c r="G60" s="39">
        <f>+O52</f>
        <v>2953.665</v>
      </c>
      <c r="H60" s="39">
        <f t="shared" si="0"/>
        <v>2953.665</v>
      </c>
      <c r="L60" s="5"/>
    </row>
    <row r="61" spans="1:21" x14ac:dyDescent="0.3">
      <c r="A61" s="16"/>
      <c r="B61" s="79"/>
      <c r="C61" s="3"/>
      <c r="D61" s="30"/>
      <c r="E61" s="30"/>
      <c r="F61" s="3"/>
      <c r="G61" s="3"/>
      <c r="H61" s="39">
        <f t="shared" si="0"/>
        <v>0</v>
      </c>
      <c r="J61" s="1" t="s">
        <v>92</v>
      </c>
      <c r="L61" s="80"/>
      <c r="M61" s="81"/>
      <c r="N61" s="1" t="s">
        <v>92</v>
      </c>
      <c r="P61" s="80"/>
      <c r="Q61" s="81"/>
      <c r="R61" s="1" t="s">
        <v>92</v>
      </c>
      <c r="T61" s="80"/>
      <c r="U61" s="81"/>
    </row>
    <row r="62" spans="1:21" x14ac:dyDescent="0.3">
      <c r="A62" s="16"/>
      <c r="B62" s="41">
        <f>+B60/B50</f>
        <v>4.5803328571428574</v>
      </c>
      <c r="C62" s="4" t="s">
        <v>93</v>
      </c>
      <c r="D62" s="3"/>
      <c r="E62" s="3"/>
      <c r="F62" s="3"/>
      <c r="G62" s="3"/>
      <c r="J62" s="1" t="s">
        <v>3</v>
      </c>
      <c r="L62" s="80"/>
      <c r="M62" s="81"/>
      <c r="N62" s="1" t="s">
        <v>3</v>
      </c>
      <c r="P62" s="80"/>
      <c r="Q62" s="81"/>
      <c r="R62" s="1" t="s">
        <v>3</v>
      </c>
      <c r="T62" s="80"/>
      <c r="U62" s="81"/>
    </row>
    <row r="63" spans="1:21" x14ac:dyDescent="0.3">
      <c r="A63" s="3"/>
      <c r="B63" s="3"/>
      <c r="D63" s="3"/>
      <c r="E63" s="3"/>
      <c r="F63" s="3"/>
      <c r="G63" s="82" t="s">
        <v>94</v>
      </c>
      <c r="H63" s="39">
        <f>SUM(H51:H62)</f>
        <v>4413.665</v>
      </c>
      <c r="J63" s="1" t="s">
        <v>24</v>
      </c>
      <c r="L63" s="80"/>
      <c r="M63" s="81"/>
      <c r="N63" s="1" t="s">
        <v>24</v>
      </c>
      <c r="P63" s="80"/>
      <c r="Q63" s="81"/>
      <c r="R63" s="1" t="s">
        <v>24</v>
      </c>
      <c r="T63" s="80"/>
      <c r="U63" s="81"/>
    </row>
    <row r="64" spans="1:21" x14ac:dyDescent="0.3">
      <c r="D64" s="3"/>
      <c r="E64" s="3"/>
      <c r="G64" s="5" t="s">
        <v>95</v>
      </c>
      <c r="H64" s="109">
        <v>1.4</v>
      </c>
      <c r="J64" s="1" t="s">
        <v>96</v>
      </c>
      <c r="L64" s="84"/>
      <c r="M64" s="81"/>
      <c r="N64" s="1" t="s">
        <v>96</v>
      </c>
      <c r="P64" s="80"/>
      <c r="Q64" s="81"/>
      <c r="R64" s="1" t="s">
        <v>96</v>
      </c>
      <c r="T64" s="80"/>
      <c r="U64" s="81"/>
    </row>
    <row r="65" spans="1:21" x14ac:dyDescent="0.3">
      <c r="A65" s="4" t="s">
        <v>97</v>
      </c>
      <c r="B65" s="3"/>
      <c r="C65" s="3"/>
      <c r="E65" s="41">
        <f>+B75/C42</f>
        <v>11.634360571428573</v>
      </c>
      <c r="G65" s="1" t="s">
        <v>98</v>
      </c>
      <c r="H65" s="83">
        <v>1.75</v>
      </c>
      <c r="J65" s="1" t="s">
        <v>99</v>
      </c>
      <c r="K65" s="66" t="s">
        <v>58</v>
      </c>
      <c r="L65" s="85"/>
      <c r="M65" s="81"/>
      <c r="N65" s="1" t="s">
        <v>99</v>
      </c>
      <c r="P65" s="80"/>
      <c r="Q65" s="81"/>
      <c r="R65" s="1" t="s">
        <v>99</v>
      </c>
      <c r="T65" s="80"/>
      <c r="U65" s="81"/>
    </row>
    <row r="66" spans="1:21" x14ac:dyDescent="0.3">
      <c r="A66" s="3"/>
      <c r="B66" s="4" t="s">
        <v>100</v>
      </c>
      <c r="C66" s="34" t="s">
        <v>101</v>
      </c>
      <c r="D66" s="3"/>
      <c r="E66" s="3"/>
      <c r="F66" s="3"/>
      <c r="G66" s="1" t="s">
        <v>98</v>
      </c>
      <c r="H66" s="83">
        <v>2</v>
      </c>
      <c r="J66" s="1" t="s">
        <v>102</v>
      </c>
      <c r="L66" s="86"/>
      <c r="M66" s="81"/>
      <c r="N66" s="1" t="s">
        <v>103</v>
      </c>
      <c r="P66" s="80"/>
      <c r="Q66" s="81"/>
      <c r="R66" s="1" t="s">
        <v>103</v>
      </c>
      <c r="T66" s="80"/>
      <c r="U66" s="81"/>
    </row>
    <row r="67" spans="1:21" x14ac:dyDescent="0.3">
      <c r="A67" s="73" t="s">
        <v>104</v>
      </c>
      <c r="B67" s="74"/>
      <c r="C67" s="3"/>
      <c r="D67" s="3">
        <f>+B75*C71</f>
        <v>0</v>
      </c>
      <c r="E67" s="3"/>
      <c r="F67" s="3"/>
      <c r="G67" s="5" t="s">
        <v>122</v>
      </c>
      <c r="H67" s="83">
        <v>2.5</v>
      </c>
      <c r="J67" s="1" t="s">
        <v>105</v>
      </c>
      <c r="L67" s="86"/>
      <c r="M67" s="81"/>
      <c r="P67" s="80"/>
      <c r="Q67" s="81"/>
      <c r="T67" s="80"/>
      <c r="U67" s="81"/>
    </row>
    <row r="68" spans="1:21" x14ac:dyDescent="0.3">
      <c r="A68" s="74" t="s">
        <v>86</v>
      </c>
      <c r="B68" s="75">
        <f>+E37*C44</f>
        <v>12501</v>
      </c>
      <c r="C68" s="87"/>
      <c r="J68" s="1" t="s">
        <v>106</v>
      </c>
      <c r="K68" s="25" t="s">
        <v>107</v>
      </c>
      <c r="L68" s="88"/>
      <c r="M68" s="81"/>
      <c r="N68" s="1" t="s">
        <v>108</v>
      </c>
      <c r="P68" s="80"/>
      <c r="Q68" s="81"/>
      <c r="R68" s="1" t="s">
        <v>108</v>
      </c>
      <c r="T68" s="80"/>
      <c r="U68" s="81"/>
    </row>
    <row r="69" spans="1:21" x14ac:dyDescent="0.3">
      <c r="A69" s="74" t="s">
        <v>21</v>
      </c>
      <c r="B69" s="75">
        <f>+H63*H64</f>
        <v>6179.1309999999994</v>
      </c>
      <c r="C69" s="87"/>
      <c r="J69" s="1" t="s">
        <v>106</v>
      </c>
      <c r="K69" s="25" t="s">
        <v>109</v>
      </c>
      <c r="L69" s="89"/>
      <c r="M69" s="81"/>
      <c r="N69" s="1" t="s">
        <v>110</v>
      </c>
      <c r="P69" s="80"/>
      <c r="Q69" s="81"/>
      <c r="R69" s="1" t="s">
        <v>110</v>
      </c>
      <c r="T69" s="80"/>
      <c r="U69" s="81"/>
    </row>
    <row r="70" spans="1:21" x14ac:dyDescent="0.3">
      <c r="A70" s="74" t="str">
        <f>+A55</f>
        <v>Tabla de suaje</v>
      </c>
      <c r="B70" s="75">
        <f>+B55*H64</f>
        <v>1680</v>
      </c>
      <c r="C70" s="87"/>
      <c r="K70" s="25"/>
      <c r="L70" s="89"/>
      <c r="M70" s="81"/>
      <c r="P70" s="80"/>
      <c r="Q70" s="81"/>
      <c r="T70" s="80"/>
      <c r="U70" s="81"/>
    </row>
    <row r="71" spans="1:21" x14ac:dyDescent="0.3">
      <c r="A71" s="74" t="str">
        <f>+A56</f>
        <v>Placas HS</v>
      </c>
      <c r="B71" s="75">
        <f>+B56*H64</f>
        <v>0</v>
      </c>
      <c r="C71" s="87"/>
      <c r="G71" s="90" t="s">
        <v>111</v>
      </c>
      <c r="H71" s="41">
        <f>+B62</f>
        <v>4.5803328571428574</v>
      </c>
      <c r="I71" s="91">
        <f>+H71*C48</f>
        <v>10305.748928571429</v>
      </c>
      <c r="J71" s="1" t="s">
        <v>112</v>
      </c>
      <c r="L71" s="92"/>
      <c r="M71" s="81"/>
      <c r="N71" s="1" t="s">
        <v>112</v>
      </c>
      <c r="P71" s="80"/>
      <c r="Q71" s="81"/>
      <c r="R71" s="1" t="s">
        <v>112</v>
      </c>
      <c r="T71" s="80"/>
      <c r="U71" s="81"/>
    </row>
    <row r="72" spans="1:21" x14ac:dyDescent="0.3">
      <c r="A72" s="74" t="str">
        <f>+A57</f>
        <v>Imán</v>
      </c>
      <c r="B72" s="75">
        <f>+B57*H64</f>
        <v>0</v>
      </c>
      <c r="C72" s="87"/>
      <c r="G72" s="90" t="s">
        <v>113</v>
      </c>
      <c r="H72" s="41">
        <f>+C75</f>
        <v>5.8171802857142865</v>
      </c>
      <c r="I72" s="91">
        <f>+H72*C48</f>
        <v>13088.655642857144</v>
      </c>
      <c r="L72" s="94"/>
      <c r="M72" s="81"/>
      <c r="P72" s="80"/>
      <c r="Q72" s="81"/>
      <c r="T72" s="80"/>
      <c r="U72" s="81"/>
    </row>
    <row r="73" spans="1:21" ht="15" thickBot="1" x14ac:dyDescent="0.35">
      <c r="A73" s="74" t="str">
        <f>+A58</f>
        <v>Encuadernación</v>
      </c>
      <c r="B73" s="75">
        <f>+B58*1.2</f>
        <v>0</v>
      </c>
      <c r="C73" s="93"/>
      <c r="G73" s="95" t="s">
        <v>114</v>
      </c>
      <c r="H73" s="96">
        <f>+H72-H71</f>
        <v>1.236847428571429</v>
      </c>
      <c r="I73" s="121">
        <f>+H73*C48</f>
        <v>2782.9067142857152</v>
      </c>
      <c r="J73" s="1" t="s">
        <v>115</v>
      </c>
      <c r="L73" s="80"/>
      <c r="M73" s="81"/>
      <c r="N73" s="1" t="s">
        <v>115</v>
      </c>
      <c r="P73" s="80"/>
      <c r="Q73" s="81"/>
      <c r="R73" s="1" t="s">
        <v>115</v>
      </c>
      <c r="T73" s="80"/>
      <c r="U73" s="81"/>
    </row>
    <row r="74" spans="1:21" ht="15" thickBot="1" x14ac:dyDescent="0.35">
      <c r="A74" s="74"/>
      <c r="B74" s="75"/>
      <c r="C74" s="93"/>
      <c r="G74" s="97" t="s">
        <v>116</v>
      </c>
      <c r="H74" s="52"/>
      <c r="J74" s="1" t="s">
        <v>117</v>
      </c>
      <c r="L74" s="80"/>
      <c r="M74" s="81"/>
      <c r="N74" s="1" t="s">
        <v>117</v>
      </c>
      <c r="P74" s="80"/>
      <c r="Q74" s="81"/>
      <c r="R74" s="1" t="s">
        <v>117</v>
      </c>
      <c r="T74" s="80"/>
      <c r="U74" s="81"/>
    </row>
    <row r="75" spans="1:21" x14ac:dyDescent="0.3">
      <c r="A75" s="73" t="s">
        <v>90</v>
      </c>
      <c r="B75" s="78">
        <f>SUM(B67:B74)</f>
        <v>20360.131000000001</v>
      </c>
      <c r="C75" s="96">
        <f>+B75/B50</f>
        <v>5.8171802857142865</v>
      </c>
      <c r="D75" s="5" t="s">
        <v>192</v>
      </c>
    </row>
    <row r="76" spans="1:21" x14ac:dyDescent="0.3">
      <c r="C76" s="110"/>
      <c r="D76" s="5"/>
    </row>
    <row r="77" spans="1:21" x14ac:dyDescent="0.3">
      <c r="C77" s="110"/>
      <c r="D77" s="5"/>
    </row>
    <row r="78" spans="1:21" x14ac:dyDescent="0.3">
      <c r="A78" s="5"/>
      <c r="C78" s="91"/>
      <c r="D78" s="5"/>
    </row>
    <row r="79" spans="1:21" x14ac:dyDescent="0.3">
      <c r="B79" s="98"/>
      <c r="C79" s="99"/>
    </row>
    <row r="83" spans="10:18" x14ac:dyDescent="0.3">
      <c r="J83" s="100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  <row r="97" spans="10:18" ht="16.5" x14ac:dyDescent="0.3">
      <c r="J97" s="76"/>
      <c r="K97" s="76"/>
      <c r="L97" s="76"/>
      <c r="M97" s="76"/>
      <c r="N97" s="76"/>
      <c r="O97" s="76"/>
      <c r="P97" s="76"/>
      <c r="Q97" s="76"/>
      <c r="R97" s="76"/>
    </row>
    <row r="98" spans="10:18" ht="16.5" x14ac:dyDescent="0.3">
      <c r="J98" s="76"/>
      <c r="K98" s="76"/>
      <c r="L98" s="76"/>
      <c r="M98" s="76"/>
      <c r="N98" s="76"/>
      <c r="O98" s="76"/>
      <c r="P98" s="76"/>
      <c r="Q98" s="76"/>
      <c r="R98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8"/>
  <sheetViews>
    <sheetView topLeftCell="A44" zoomScale="80" zoomScaleNormal="80" workbookViewId="0">
      <selection activeCell="A54" sqref="A5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4.285156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12.5703125" style="1" customWidth="1"/>
    <col min="16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199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158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C13" s="1" t="s">
        <v>159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144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190</v>
      </c>
      <c r="D16" s="25"/>
      <c r="E16" s="25"/>
      <c r="F16" s="62">
        <f>2+F21+2</f>
        <v>40</v>
      </c>
      <c r="G16" s="102" t="s">
        <v>123</v>
      </c>
      <c r="H16" s="103">
        <f>2+H21+2</f>
        <v>31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134</v>
      </c>
      <c r="D17" s="25"/>
      <c r="E17" s="25"/>
      <c r="F17" s="101">
        <v>2</v>
      </c>
      <c r="G17" s="104" t="s">
        <v>171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156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169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x14ac:dyDescent="0.3">
      <c r="C20" s="24" t="s">
        <v>168</v>
      </c>
      <c r="D20" s="25"/>
      <c r="E20" s="25"/>
      <c r="F20" s="11"/>
      <c r="G20" s="12"/>
      <c r="H20" s="13"/>
      <c r="J20" s="11"/>
      <c r="K20" s="12"/>
      <c r="L20" s="12"/>
      <c r="M20" s="12"/>
      <c r="N20" s="12"/>
      <c r="O20" s="12"/>
      <c r="P20" s="12"/>
      <c r="Q20" s="12"/>
      <c r="R20" s="13"/>
    </row>
    <row r="21" spans="1:18" x14ac:dyDescent="0.3">
      <c r="C21" s="24" t="s">
        <v>157</v>
      </c>
      <c r="D21" s="25"/>
      <c r="E21" s="25"/>
      <c r="F21" s="62">
        <v>36</v>
      </c>
      <c r="G21" s="102" t="s">
        <v>123</v>
      </c>
      <c r="H21" s="103">
        <v>27</v>
      </c>
      <c r="J21" s="11"/>
      <c r="K21" s="12"/>
      <c r="L21" s="12"/>
      <c r="M21" s="12"/>
      <c r="N21" s="12"/>
      <c r="O21" s="12"/>
      <c r="P21" s="12"/>
      <c r="Q21" s="12"/>
      <c r="R21" s="13"/>
    </row>
    <row r="22" spans="1:18" ht="15" thickBot="1" x14ac:dyDescent="0.35">
      <c r="C22" s="27" t="s">
        <v>193</v>
      </c>
      <c r="D22" s="25"/>
      <c r="E22" s="25"/>
      <c r="F22" s="101">
        <v>1</v>
      </c>
      <c r="G22" s="104" t="s">
        <v>172</v>
      </c>
      <c r="H22" s="13"/>
      <c r="J22" s="21"/>
      <c r="K22" s="22"/>
      <c r="L22" s="22"/>
      <c r="M22" s="22"/>
      <c r="N22" s="22"/>
      <c r="O22" s="22"/>
      <c r="P22" s="22"/>
      <c r="Q22" s="22"/>
      <c r="R22" s="23"/>
    </row>
    <row r="23" spans="1:18" x14ac:dyDescent="0.3">
      <c r="C23" s="25" t="s">
        <v>145</v>
      </c>
      <c r="D23" s="25"/>
      <c r="E23" s="25"/>
      <c r="F23" s="11"/>
      <c r="G23" s="12"/>
      <c r="H23" s="13"/>
      <c r="N23" s="5" t="s">
        <v>19</v>
      </c>
      <c r="O23" s="5" t="s">
        <v>20</v>
      </c>
      <c r="Q23" s="28">
        <f>+H63</f>
        <v>2638.1</v>
      </c>
    </row>
    <row r="24" spans="1:18" ht="15" thickBot="1" x14ac:dyDescent="0.35">
      <c r="C24" s="25"/>
      <c r="D24" s="25"/>
      <c r="E24" s="25"/>
      <c r="F24" s="21"/>
      <c r="G24" s="22"/>
      <c r="H24" s="23"/>
      <c r="J24" s="29" t="s">
        <v>21</v>
      </c>
      <c r="K24" s="1" t="s">
        <v>22</v>
      </c>
    </row>
    <row r="25" spans="1:18" x14ac:dyDescent="0.3">
      <c r="A25" s="4" t="s">
        <v>23</v>
      </c>
      <c r="C25" s="113" t="s">
        <v>191</v>
      </c>
      <c r="D25" s="5" t="s">
        <v>24</v>
      </c>
      <c r="E25" s="31" t="s">
        <v>138</v>
      </c>
      <c r="K25" s="1" t="s">
        <v>25</v>
      </c>
    </row>
    <row r="26" spans="1:18" x14ac:dyDescent="0.3">
      <c r="K26" s="1" t="s">
        <v>26</v>
      </c>
      <c r="N26" s="1" t="s">
        <v>27</v>
      </c>
    </row>
    <row r="27" spans="1:18" x14ac:dyDescent="0.3">
      <c r="A27" s="4" t="s">
        <v>28</v>
      </c>
      <c r="C27" s="32">
        <v>51</v>
      </c>
      <c r="D27" s="31" t="s">
        <v>29</v>
      </c>
      <c r="E27" s="33">
        <v>66</v>
      </c>
      <c r="F27" s="34">
        <f>+C27</f>
        <v>51</v>
      </c>
      <c r="G27" s="35" t="s">
        <v>29</v>
      </c>
      <c r="H27" s="35">
        <f>+E27</f>
        <v>66</v>
      </c>
      <c r="K27" s="1" t="s">
        <v>30</v>
      </c>
      <c r="N27" s="1" t="s">
        <v>31</v>
      </c>
    </row>
    <row r="28" spans="1:18" x14ac:dyDescent="0.3">
      <c r="A28" s="4" t="s">
        <v>32</v>
      </c>
      <c r="B28" s="3"/>
      <c r="C28" s="36">
        <f>+F16</f>
        <v>40</v>
      </c>
      <c r="D28" s="37" t="s">
        <v>29</v>
      </c>
      <c r="E28" s="36">
        <f>+H16</f>
        <v>31</v>
      </c>
      <c r="F28" s="38">
        <f>+E28</f>
        <v>31</v>
      </c>
      <c r="G28" s="38" t="s">
        <v>29</v>
      </c>
      <c r="H28" s="38">
        <f>+C28</f>
        <v>40</v>
      </c>
      <c r="I28" s="39"/>
      <c r="K28" s="1" t="s">
        <v>33</v>
      </c>
      <c r="N28" s="1">
        <v>250</v>
      </c>
    </row>
    <row r="29" spans="1:18" ht="15" thickBot="1" x14ac:dyDescent="0.35">
      <c r="A29" s="3" t="s">
        <v>34</v>
      </c>
      <c r="B29" s="40"/>
      <c r="C29" s="41">
        <f>+C27/C28</f>
        <v>1.2749999999999999</v>
      </c>
      <c r="D29" s="42"/>
      <c r="E29" s="41">
        <f>+E27/E28</f>
        <v>2.129032258064516</v>
      </c>
      <c r="F29" s="41">
        <f>+F27/F28</f>
        <v>1.6451612903225807</v>
      </c>
      <c r="G29" s="42"/>
      <c r="H29" s="41">
        <f>+H27/H28</f>
        <v>1.65</v>
      </c>
      <c r="I29" s="39"/>
      <c r="K29" s="1" t="s">
        <v>35</v>
      </c>
      <c r="N29" s="1">
        <v>250</v>
      </c>
    </row>
    <row r="30" spans="1:18" ht="15" thickBot="1" x14ac:dyDescent="0.35">
      <c r="A30" s="3" t="s">
        <v>36</v>
      </c>
      <c r="B30" s="43"/>
      <c r="C30" s="44"/>
      <c r="D30" s="45">
        <v>2</v>
      </c>
      <c r="E30" s="46"/>
      <c r="F30" s="47"/>
      <c r="G30" s="48">
        <v>1</v>
      </c>
      <c r="H30" s="49" t="s">
        <v>37</v>
      </c>
    </row>
    <row r="31" spans="1:18" x14ac:dyDescent="0.3">
      <c r="A31" s="3"/>
      <c r="B31" s="30"/>
      <c r="C31" s="39"/>
      <c r="G31" s="50"/>
      <c r="H31" s="39"/>
      <c r="J31" s="29" t="s">
        <v>38</v>
      </c>
    </row>
    <row r="32" spans="1:18" ht="15" thickBot="1" x14ac:dyDescent="0.35">
      <c r="A32" s="34" t="s">
        <v>39</v>
      </c>
      <c r="B32" s="34" t="s">
        <v>139</v>
      </c>
      <c r="D32" s="50" t="s">
        <v>40</v>
      </c>
      <c r="E32" s="51">
        <v>9.26</v>
      </c>
      <c r="G32" s="1" t="s">
        <v>41</v>
      </c>
      <c r="H32" s="52">
        <v>0.5</v>
      </c>
      <c r="J32" s="29"/>
      <c r="M32" s="31">
        <v>1</v>
      </c>
      <c r="N32" s="31">
        <v>2</v>
      </c>
      <c r="O32" s="31">
        <v>3</v>
      </c>
      <c r="P32" s="1" t="s">
        <v>1</v>
      </c>
    </row>
    <row r="33" spans="1:18" x14ac:dyDescent="0.3">
      <c r="A33" s="3"/>
      <c r="B33" s="3"/>
      <c r="C33" s="3"/>
      <c r="D33" s="53" t="s">
        <v>42</v>
      </c>
      <c r="E33" s="51">
        <f>+H32*E32</f>
        <v>4.63</v>
      </c>
      <c r="H33" s="52"/>
      <c r="I33" s="39"/>
      <c r="K33" s="1" t="s">
        <v>43</v>
      </c>
      <c r="M33" s="54"/>
      <c r="N33" s="55"/>
      <c r="O33" s="56"/>
      <c r="P33" s="57"/>
      <c r="Q33" s="19"/>
      <c r="R33" s="20"/>
    </row>
    <row r="34" spans="1:18" x14ac:dyDescent="0.3">
      <c r="D34" s="53" t="s">
        <v>44</v>
      </c>
      <c r="E34" s="58">
        <f>+E32-E33</f>
        <v>4.63</v>
      </c>
      <c r="I34" s="39"/>
      <c r="K34" s="1" t="s">
        <v>45</v>
      </c>
      <c r="M34" s="59"/>
      <c r="N34" s="60"/>
      <c r="O34" s="61"/>
      <c r="P34" s="62"/>
      <c r="Q34" s="12"/>
      <c r="R34" s="13"/>
    </row>
    <row r="35" spans="1:18" x14ac:dyDescent="0.3">
      <c r="E35" s="30" t="s">
        <v>46</v>
      </c>
      <c r="F35" s="30" t="s">
        <v>47</v>
      </c>
      <c r="G35" s="30" t="s">
        <v>47</v>
      </c>
      <c r="H35" s="30" t="s">
        <v>47</v>
      </c>
      <c r="I35" s="39"/>
      <c r="K35" s="1" t="s">
        <v>48</v>
      </c>
      <c r="M35" s="59"/>
      <c r="N35" s="63"/>
      <c r="O35" s="61"/>
      <c r="P35" s="62"/>
      <c r="Q35" s="12"/>
      <c r="R35" s="13"/>
    </row>
    <row r="36" spans="1:18" x14ac:dyDescent="0.3">
      <c r="D36" s="50" t="s">
        <v>49</v>
      </c>
      <c r="E36" s="64">
        <f>+E34</f>
        <v>4.63</v>
      </c>
      <c r="F36" s="64">
        <v>0</v>
      </c>
      <c r="G36" s="64">
        <v>0</v>
      </c>
      <c r="H36" s="64">
        <v>0</v>
      </c>
      <c r="K36" s="1" t="s">
        <v>50</v>
      </c>
      <c r="M36" s="59"/>
      <c r="N36" s="63"/>
      <c r="O36" s="61"/>
      <c r="P36" s="62"/>
      <c r="Q36" s="12"/>
      <c r="R36" s="13"/>
    </row>
    <row r="37" spans="1:18" x14ac:dyDescent="0.3">
      <c r="D37" s="50" t="s">
        <v>51</v>
      </c>
      <c r="E37" s="64">
        <f>+E36*1.2</f>
        <v>5.556</v>
      </c>
      <c r="F37" s="64">
        <v>0</v>
      </c>
      <c r="G37" s="64">
        <v>0</v>
      </c>
      <c r="H37" s="64">
        <v>0</v>
      </c>
      <c r="K37" s="1" t="s">
        <v>52</v>
      </c>
      <c r="M37" s="59"/>
      <c r="N37" s="63"/>
      <c r="O37" s="61"/>
      <c r="P37" s="62"/>
      <c r="Q37" s="12"/>
      <c r="R37" s="13"/>
    </row>
    <row r="38" spans="1:18" ht="15" thickBot="1" x14ac:dyDescent="0.35">
      <c r="A38" s="3"/>
      <c r="G38" s="50"/>
      <c r="K38" s="1" t="s">
        <v>53</v>
      </c>
      <c r="M38" s="59"/>
      <c r="N38" s="63"/>
      <c r="O38" s="61"/>
      <c r="P38" s="62"/>
      <c r="Q38" s="12"/>
      <c r="R38" s="13"/>
    </row>
    <row r="39" spans="1:18" x14ac:dyDescent="0.3">
      <c r="A39" s="3"/>
      <c r="B39" s="30"/>
      <c r="C39" s="39"/>
      <c r="E39" s="18" t="s">
        <v>54</v>
      </c>
      <c r="F39" s="19" t="s">
        <v>55</v>
      </c>
      <c r="G39" s="19"/>
      <c r="H39" s="20"/>
      <c r="K39" s="1" t="s">
        <v>56</v>
      </c>
      <c r="M39" s="59"/>
      <c r="N39" s="63"/>
      <c r="O39" s="61"/>
      <c r="P39" s="62"/>
      <c r="Q39" s="12"/>
      <c r="R39" s="13"/>
    </row>
    <row r="40" spans="1:18" ht="15" thickBot="1" x14ac:dyDescent="0.35">
      <c r="A40" s="4" t="s">
        <v>57</v>
      </c>
      <c r="C40" s="65">
        <v>2</v>
      </c>
      <c r="D40" s="66" t="s">
        <v>58</v>
      </c>
      <c r="E40" s="21"/>
      <c r="F40" s="22" t="s">
        <v>59</v>
      </c>
      <c r="G40" s="22"/>
      <c r="H40" s="23"/>
      <c r="K40" s="1" t="s">
        <v>60</v>
      </c>
      <c r="M40" s="59"/>
      <c r="N40" s="63"/>
      <c r="O40" s="61"/>
      <c r="P40" s="62"/>
      <c r="Q40" s="12"/>
      <c r="R40" s="13"/>
    </row>
    <row r="41" spans="1:18" x14ac:dyDescent="0.3">
      <c r="A41" s="4"/>
      <c r="C41" s="30"/>
      <c r="D41" s="1" t="s">
        <v>61</v>
      </c>
      <c r="E41" s="3"/>
      <c r="F41" s="3"/>
      <c r="K41" s="1" t="s">
        <v>62</v>
      </c>
      <c r="M41" s="59"/>
      <c r="N41" s="63"/>
      <c r="O41" s="61"/>
      <c r="P41" s="62"/>
      <c r="Q41" s="12"/>
      <c r="R41" s="13"/>
    </row>
    <row r="42" spans="1:18" x14ac:dyDescent="0.3">
      <c r="A42" s="4" t="s">
        <v>63</v>
      </c>
      <c r="B42" s="5"/>
      <c r="C42" s="67">
        <f>+B50/F17</f>
        <v>1750</v>
      </c>
      <c r="D42" s="33">
        <v>500</v>
      </c>
      <c r="F42" s="53" t="s">
        <v>64</v>
      </c>
      <c r="G42" s="32">
        <v>1</v>
      </c>
      <c r="H42" s="3"/>
      <c r="K42" s="1" t="s">
        <v>65</v>
      </c>
      <c r="M42" s="59"/>
      <c r="N42" s="63"/>
      <c r="O42" s="61"/>
      <c r="P42" s="62"/>
      <c r="Q42" s="12"/>
      <c r="R42" s="13"/>
    </row>
    <row r="43" spans="1:18" x14ac:dyDescent="0.3">
      <c r="A43" s="4" t="s">
        <v>66</v>
      </c>
      <c r="C43" s="43">
        <f>+C42+D42</f>
        <v>2250</v>
      </c>
      <c r="F43" s="53" t="s">
        <v>67</v>
      </c>
      <c r="G43" s="32">
        <v>2</v>
      </c>
      <c r="H43" s="3"/>
      <c r="K43" s="1" t="s">
        <v>68</v>
      </c>
      <c r="M43" s="59"/>
      <c r="N43" s="63"/>
      <c r="O43" s="61"/>
      <c r="P43" s="62"/>
      <c r="Q43" s="12"/>
      <c r="R43" s="13"/>
    </row>
    <row r="44" spans="1:18" x14ac:dyDescent="0.3">
      <c r="A44" s="4" t="s">
        <v>69</v>
      </c>
      <c r="C44" s="43">
        <f>+C43/C40</f>
        <v>1125</v>
      </c>
      <c r="F44" s="53" t="s">
        <v>70</v>
      </c>
      <c r="G44" s="32"/>
      <c r="H44" s="3"/>
      <c r="K44" s="1" t="s">
        <v>71</v>
      </c>
      <c r="M44" s="59"/>
      <c r="N44" s="63"/>
      <c r="O44" s="61"/>
      <c r="P44" s="62"/>
      <c r="Q44" s="12"/>
      <c r="R44" s="13"/>
    </row>
    <row r="45" spans="1:18" x14ac:dyDescent="0.3">
      <c r="A45" s="4" t="s">
        <v>132</v>
      </c>
      <c r="C45" s="30">
        <f>+(C44*C40)*F17</f>
        <v>4500</v>
      </c>
      <c r="F45" s="50" t="s">
        <v>72</v>
      </c>
      <c r="G45" s="32">
        <f>+C42/1000</f>
        <v>1.75</v>
      </c>
      <c r="H45" s="3"/>
      <c r="K45" s="1" t="s">
        <v>73</v>
      </c>
      <c r="M45" s="59"/>
      <c r="N45" s="63"/>
      <c r="O45" s="61"/>
      <c r="P45" s="62"/>
      <c r="Q45" s="12"/>
      <c r="R45" s="13"/>
    </row>
    <row r="46" spans="1:18" x14ac:dyDescent="0.3">
      <c r="A46" s="4"/>
      <c r="C46" s="68"/>
      <c r="F46" s="53" t="s">
        <v>74</v>
      </c>
      <c r="G46" s="65">
        <f>+C43</f>
        <v>2250</v>
      </c>
      <c r="H46" s="3"/>
      <c r="K46" s="1" t="s">
        <v>75</v>
      </c>
      <c r="M46" s="59"/>
      <c r="N46" s="63"/>
      <c r="O46" s="61"/>
      <c r="P46" s="62"/>
      <c r="Q46" s="12"/>
      <c r="R46" s="13"/>
    </row>
    <row r="47" spans="1:18" x14ac:dyDescent="0.3">
      <c r="A47" s="4"/>
      <c r="C47" s="30"/>
      <c r="E47" s="53"/>
      <c r="F47" s="53"/>
      <c r="G47" s="39"/>
      <c r="I47" s="3"/>
      <c r="K47" s="1" t="s">
        <v>76</v>
      </c>
      <c r="M47" s="59"/>
      <c r="N47" s="63"/>
      <c r="O47" s="61"/>
      <c r="P47" s="62"/>
      <c r="Q47" s="12"/>
      <c r="R47" s="13"/>
    </row>
    <row r="48" spans="1:18" ht="15" thickBot="1" x14ac:dyDescent="0.35">
      <c r="A48" s="4" t="s">
        <v>77</v>
      </c>
      <c r="C48" s="34">
        <f>+C44*C40</f>
        <v>2250</v>
      </c>
      <c r="F48" s="53"/>
      <c r="G48" s="39"/>
      <c r="H48" s="3"/>
      <c r="K48" s="1" t="s">
        <v>78</v>
      </c>
      <c r="M48" s="69"/>
      <c r="N48" s="70"/>
      <c r="O48" s="71"/>
      <c r="P48" s="72"/>
      <c r="Q48" s="22"/>
      <c r="R48" s="23"/>
    </row>
    <row r="49" spans="1:21" ht="15" thickBot="1" x14ac:dyDescent="0.35">
      <c r="A49" s="3"/>
      <c r="B49" s="3"/>
      <c r="C49" s="3"/>
      <c r="D49" s="3"/>
      <c r="E49" s="3"/>
      <c r="H49" s="3"/>
      <c r="J49" s="5" t="s">
        <v>16</v>
      </c>
    </row>
    <row r="50" spans="1:21" x14ac:dyDescent="0.3">
      <c r="A50" s="4" t="s">
        <v>118</v>
      </c>
      <c r="B50" s="30">
        <v>3500</v>
      </c>
      <c r="C50" s="30"/>
      <c r="D50" s="34" t="s">
        <v>79</v>
      </c>
      <c r="E50" s="34" t="s">
        <v>80</v>
      </c>
      <c r="F50" s="34" t="s">
        <v>81</v>
      </c>
      <c r="G50" s="34" t="s">
        <v>82</v>
      </c>
      <c r="H50" s="34" t="s">
        <v>83</v>
      </c>
      <c r="J50" s="18"/>
      <c r="K50" s="19" t="s">
        <v>149</v>
      </c>
      <c r="L50" s="19"/>
      <c r="M50" s="19"/>
      <c r="N50" s="19"/>
      <c r="O50" s="19"/>
      <c r="P50" s="19"/>
      <c r="Q50" s="19"/>
      <c r="R50" s="20"/>
    </row>
    <row r="51" spans="1:21" x14ac:dyDescent="0.3">
      <c r="A51" s="73" t="s">
        <v>84</v>
      </c>
      <c r="B51" s="74"/>
      <c r="C51" s="3"/>
      <c r="D51" s="30">
        <v>1</v>
      </c>
      <c r="E51" s="30">
        <v>1</v>
      </c>
      <c r="F51" s="30" t="s">
        <v>85</v>
      </c>
      <c r="G51" s="39">
        <v>295</v>
      </c>
      <c r="H51" s="39">
        <f>+(D51*E51)*G51</f>
        <v>295</v>
      </c>
      <c r="J51" s="11"/>
      <c r="K51" s="102">
        <f>+F16</f>
        <v>40</v>
      </c>
      <c r="L51" s="102">
        <f>+H16</f>
        <v>31</v>
      </c>
      <c r="M51" s="12" t="s">
        <v>148</v>
      </c>
      <c r="N51" s="102" t="s">
        <v>150</v>
      </c>
      <c r="O51" s="12" t="s">
        <v>151</v>
      </c>
      <c r="P51" s="12" t="s">
        <v>152</v>
      </c>
      <c r="Q51" s="12"/>
      <c r="R51" s="13"/>
    </row>
    <row r="52" spans="1:21" x14ac:dyDescent="0.3">
      <c r="A52" s="74" t="s">
        <v>86</v>
      </c>
      <c r="B52" s="75">
        <f>+E36*C44</f>
        <v>5208.75</v>
      </c>
      <c r="C52" s="3">
        <f>+B52/2</f>
        <v>2604.375</v>
      </c>
      <c r="D52" s="30">
        <v>1</v>
      </c>
      <c r="E52" s="30">
        <v>2</v>
      </c>
      <c r="F52" s="30" t="s">
        <v>119</v>
      </c>
      <c r="G52" s="39">
        <v>140</v>
      </c>
      <c r="H52" s="39">
        <f>+(D52*E52)*G52</f>
        <v>280</v>
      </c>
      <c r="J52" s="11"/>
      <c r="K52" s="102">
        <f>0.4*0.31*C43</f>
        <v>279</v>
      </c>
      <c r="L52" s="111">
        <v>3.9</v>
      </c>
      <c r="M52" s="111">
        <f>+K52*L52</f>
        <v>1088.0999999999999</v>
      </c>
      <c r="N52" s="111">
        <v>0</v>
      </c>
      <c r="O52" s="111">
        <f>+M52+N52</f>
        <v>1088.0999999999999</v>
      </c>
      <c r="P52" s="104" t="s">
        <v>153</v>
      </c>
      <c r="Q52" s="12"/>
      <c r="R52" s="13"/>
    </row>
    <row r="53" spans="1:21" x14ac:dyDescent="0.3">
      <c r="A53" s="74" t="s">
        <v>21</v>
      </c>
      <c r="B53" s="75">
        <f>+H63</f>
        <v>2638.1</v>
      </c>
      <c r="C53" s="3"/>
      <c r="D53" s="30">
        <v>0</v>
      </c>
      <c r="E53" s="30">
        <v>0</v>
      </c>
      <c r="F53" s="30" t="s">
        <v>125</v>
      </c>
      <c r="G53" s="39">
        <v>500</v>
      </c>
      <c r="H53" s="39">
        <f>+G53*E53*D53</f>
        <v>0</v>
      </c>
      <c r="J53" s="11"/>
      <c r="K53" s="12"/>
      <c r="L53" s="111"/>
      <c r="M53" s="111"/>
      <c r="N53" s="111"/>
      <c r="O53" s="111"/>
      <c r="P53" s="12"/>
      <c r="Q53" s="12"/>
      <c r="R53" s="13"/>
    </row>
    <row r="54" spans="1:21" x14ac:dyDescent="0.3">
      <c r="A54" s="74"/>
      <c r="B54" s="75"/>
      <c r="C54" s="3"/>
      <c r="D54" s="30">
        <v>1</v>
      </c>
      <c r="E54" s="30">
        <v>1</v>
      </c>
      <c r="F54" s="30" t="s">
        <v>146</v>
      </c>
      <c r="G54" s="39">
        <v>300</v>
      </c>
      <c r="H54" s="39">
        <f t="shared" ref="H54:H61" si="0">+G54*E54</f>
        <v>300</v>
      </c>
      <c r="I54" s="39">
        <f>+B75/100</f>
        <v>116.2384</v>
      </c>
      <c r="J54" s="11"/>
      <c r="K54" s="102">
        <f>+K51</f>
        <v>40</v>
      </c>
      <c r="L54" s="102">
        <f>+L51</f>
        <v>31</v>
      </c>
      <c r="M54" s="12" t="s">
        <v>148</v>
      </c>
      <c r="N54" s="102" t="s">
        <v>150</v>
      </c>
      <c r="O54" s="12" t="s">
        <v>151</v>
      </c>
      <c r="P54" s="12" t="s">
        <v>154</v>
      </c>
      <c r="Q54" s="12"/>
      <c r="R54" s="13"/>
    </row>
    <row r="55" spans="1:21" ht="16.5" x14ac:dyDescent="0.3">
      <c r="A55" s="74" t="s">
        <v>45</v>
      </c>
      <c r="B55" s="75">
        <v>1200</v>
      </c>
      <c r="C55" s="3"/>
      <c r="D55" s="30">
        <v>1</v>
      </c>
      <c r="E55" s="30">
        <v>1</v>
      </c>
      <c r="F55" s="30" t="s">
        <v>120</v>
      </c>
      <c r="G55" s="39">
        <v>135</v>
      </c>
      <c r="H55" s="39">
        <f t="shared" si="0"/>
        <v>135</v>
      </c>
      <c r="I55" s="76"/>
      <c r="J55" s="11"/>
      <c r="K55" s="102">
        <f>0.65*0.36*C43</f>
        <v>526.5</v>
      </c>
      <c r="L55" s="111">
        <v>2.5</v>
      </c>
      <c r="M55" s="111">
        <f>+K55*L55</f>
        <v>1316.25</v>
      </c>
      <c r="N55" s="111">
        <v>360</v>
      </c>
      <c r="O55" s="111">
        <f>+M55+N55</f>
        <v>1676.25</v>
      </c>
      <c r="P55" s="104" t="s">
        <v>155</v>
      </c>
      <c r="Q55" s="12"/>
      <c r="R55" s="13"/>
    </row>
    <row r="56" spans="1:21" x14ac:dyDescent="0.3">
      <c r="A56" s="77" t="s">
        <v>140</v>
      </c>
      <c r="B56" s="75">
        <v>0</v>
      </c>
      <c r="C56" s="3"/>
      <c r="D56" s="30">
        <v>1</v>
      </c>
      <c r="E56" s="30">
        <v>4</v>
      </c>
      <c r="F56" s="30" t="s">
        <v>121</v>
      </c>
      <c r="G56" s="39">
        <v>135</v>
      </c>
      <c r="H56" s="39">
        <f t="shared" si="0"/>
        <v>540</v>
      </c>
      <c r="J56" s="11"/>
      <c r="K56" s="12"/>
      <c r="L56" s="111"/>
      <c r="M56" s="111"/>
      <c r="N56" s="111"/>
      <c r="O56" s="111"/>
      <c r="P56" s="12"/>
      <c r="Q56" s="12"/>
      <c r="R56" s="13"/>
    </row>
    <row r="57" spans="1:21" ht="15" thickBot="1" x14ac:dyDescent="0.35">
      <c r="A57" s="77" t="s">
        <v>143</v>
      </c>
      <c r="B57" s="75">
        <v>0</v>
      </c>
      <c r="D57" s="30">
        <v>0</v>
      </c>
      <c r="E57" s="30">
        <v>0</v>
      </c>
      <c r="F57" s="30" t="s">
        <v>141</v>
      </c>
      <c r="G57" s="39">
        <v>120</v>
      </c>
      <c r="H57" s="39">
        <f>+G57*E57</f>
        <v>0</v>
      </c>
      <c r="J57" s="21"/>
      <c r="K57" s="22"/>
      <c r="L57" s="22"/>
      <c r="M57" s="22"/>
      <c r="N57" s="22"/>
      <c r="O57" s="22"/>
      <c r="P57" s="22"/>
      <c r="Q57" s="22"/>
      <c r="R57" s="23"/>
    </row>
    <row r="58" spans="1:21" x14ac:dyDescent="0.3">
      <c r="A58" s="77" t="s">
        <v>142</v>
      </c>
      <c r="B58" s="75">
        <v>0</v>
      </c>
      <c r="D58" s="30">
        <v>0</v>
      </c>
      <c r="E58" s="30">
        <v>0</v>
      </c>
      <c r="F58" s="30" t="s">
        <v>52</v>
      </c>
      <c r="G58" s="39">
        <v>1.5</v>
      </c>
      <c r="H58" s="39">
        <f>+G58*E58</f>
        <v>0</v>
      </c>
    </row>
    <row r="59" spans="1:21" x14ac:dyDescent="0.3">
      <c r="A59" s="77"/>
      <c r="B59" s="77"/>
      <c r="D59" s="30">
        <v>0</v>
      </c>
      <c r="E59" s="30">
        <v>0</v>
      </c>
      <c r="F59" s="30" t="s">
        <v>88</v>
      </c>
      <c r="G59" s="39">
        <v>1.5</v>
      </c>
      <c r="H59" s="39">
        <f t="shared" si="0"/>
        <v>0</v>
      </c>
      <c r="J59" s="5" t="s">
        <v>89</v>
      </c>
    </row>
    <row r="60" spans="1:21" x14ac:dyDescent="0.3">
      <c r="A60" s="73" t="s">
        <v>90</v>
      </c>
      <c r="B60" s="78">
        <f>SUM(B52:B59)</f>
        <v>9046.85</v>
      </c>
      <c r="C60" s="3"/>
      <c r="D60" s="30">
        <v>1</v>
      </c>
      <c r="E60" s="30">
        <v>1</v>
      </c>
      <c r="F60" s="3" t="s">
        <v>91</v>
      </c>
      <c r="G60" s="39">
        <f>+O52</f>
        <v>1088.0999999999999</v>
      </c>
      <c r="H60" s="39">
        <f t="shared" si="0"/>
        <v>1088.0999999999999</v>
      </c>
      <c r="L60" s="5"/>
    </row>
    <row r="61" spans="1:21" x14ac:dyDescent="0.3">
      <c r="A61" s="16"/>
      <c r="B61" s="79"/>
      <c r="C61" s="3"/>
      <c r="D61" s="30"/>
      <c r="E61" s="30"/>
      <c r="F61" s="3"/>
      <c r="G61" s="3"/>
      <c r="H61" s="39">
        <f t="shared" si="0"/>
        <v>0</v>
      </c>
      <c r="J61" s="1" t="s">
        <v>92</v>
      </c>
      <c r="L61" s="80"/>
      <c r="M61" s="81"/>
      <c r="N61" s="1" t="s">
        <v>92</v>
      </c>
      <c r="P61" s="80"/>
      <c r="Q61" s="81"/>
      <c r="R61" s="1" t="s">
        <v>92</v>
      </c>
      <c r="T61" s="80"/>
      <c r="U61" s="81"/>
    </row>
    <row r="62" spans="1:21" x14ac:dyDescent="0.3">
      <c r="A62" s="16"/>
      <c r="B62" s="41">
        <f>+B60/B50</f>
        <v>2.5848142857142857</v>
      </c>
      <c r="C62" s="4" t="s">
        <v>93</v>
      </c>
      <c r="D62" s="3"/>
      <c r="E62" s="3"/>
      <c r="F62" s="3"/>
      <c r="G62" s="3"/>
      <c r="J62" s="1" t="s">
        <v>3</v>
      </c>
      <c r="L62" s="80"/>
      <c r="M62" s="81"/>
      <c r="N62" s="1" t="s">
        <v>3</v>
      </c>
      <c r="P62" s="80"/>
      <c r="Q62" s="81"/>
      <c r="R62" s="1" t="s">
        <v>3</v>
      </c>
      <c r="T62" s="80"/>
      <c r="U62" s="81"/>
    </row>
    <row r="63" spans="1:21" x14ac:dyDescent="0.3">
      <c r="A63" s="3"/>
      <c r="B63" s="3"/>
      <c r="D63" s="3"/>
      <c r="E63" s="3"/>
      <c r="F63" s="3"/>
      <c r="G63" s="82" t="s">
        <v>94</v>
      </c>
      <c r="H63" s="39">
        <f>SUM(H51:H62)</f>
        <v>2638.1</v>
      </c>
      <c r="J63" s="1" t="s">
        <v>24</v>
      </c>
      <c r="L63" s="80"/>
      <c r="M63" s="81"/>
      <c r="N63" s="1" t="s">
        <v>24</v>
      </c>
      <c r="P63" s="80"/>
      <c r="Q63" s="81"/>
      <c r="R63" s="1" t="s">
        <v>24</v>
      </c>
      <c r="T63" s="80"/>
      <c r="U63" s="81"/>
    </row>
    <row r="64" spans="1:21" x14ac:dyDescent="0.3">
      <c r="D64" s="3"/>
      <c r="E64" s="3"/>
      <c r="G64" s="5" t="s">
        <v>95</v>
      </c>
      <c r="H64" s="109">
        <v>1.4</v>
      </c>
      <c r="J64" s="1" t="s">
        <v>96</v>
      </c>
      <c r="L64" s="84"/>
      <c r="M64" s="81"/>
      <c r="N64" s="1" t="s">
        <v>96</v>
      </c>
      <c r="P64" s="80"/>
      <c r="Q64" s="81"/>
      <c r="R64" s="1" t="s">
        <v>96</v>
      </c>
      <c r="T64" s="80"/>
      <c r="U64" s="81"/>
    </row>
    <row r="65" spans="1:21" x14ac:dyDescent="0.3">
      <c r="A65" s="4" t="s">
        <v>97</v>
      </c>
      <c r="B65" s="3"/>
      <c r="C65" s="3"/>
      <c r="E65" s="41"/>
      <c r="G65" s="1" t="s">
        <v>98</v>
      </c>
      <c r="H65" s="83">
        <v>1.75</v>
      </c>
      <c r="J65" s="1" t="s">
        <v>99</v>
      </c>
      <c r="K65" s="66" t="s">
        <v>58</v>
      </c>
      <c r="L65" s="85"/>
      <c r="M65" s="81"/>
      <c r="N65" s="1" t="s">
        <v>99</v>
      </c>
      <c r="P65" s="80"/>
      <c r="Q65" s="81"/>
      <c r="R65" s="1" t="s">
        <v>99</v>
      </c>
      <c r="T65" s="80"/>
      <c r="U65" s="81"/>
    </row>
    <row r="66" spans="1:21" x14ac:dyDescent="0.3">
      <c r="A66" s="3"/>
      <c r="B66" s="4" t="s">
        <v>100</v>
      </c>
      <c r="C66" s="34" t="s">
        <v>101</v>
      </c>
      <c r="D66" s="3"/>
      <c r="E66" s="3"/>
      <c r="F66" s="3"/>
      <c r="G66" s="1" t="s">
        <v>98</v>
      </c>
      <c r="H66" s="83">
        <v>2</v>
      </c>
      <c r="J66" s="1" t="s">
        <v>102</v>
      </c>
      <c r="L66" s="86"/>
      <c r="M66" s="81"/>
      <c r="N66" s="1" t="s">
        <v>103</v>
      </c>
      <c r="P66" s="80"/>
      <c r="Q66" s="81"/>
      <c r="R66" s="1" t="s">
        <v>103</v>
      </c>
      <c r="T66" s="80"/>
      <c r="U66" s="81"/>
    </row>
    <row r="67" spans="1:21" x14ac:dyDescent="0.3">
      <c r="A67" s="73" t="s">
        <v>104</v>
      </c>
      <c r="B67" s="74"/>
      <c r="C67" s="3"/>
      <c r="D67" s="3"/>
      <c r="E67" s="3"/>
      <c r="F67" s="3"/>
      <c r="G67" s="5" t="s">
        <v>122</v>
      </c>
      <c r="H67" s="83">
        <v>2.5</v>
      </c>
      <c r="J67" s="1" t="s">
        <v>105</v>
      </c>
      <c r="L67" s="86"/>
      <c r="M67" s="81"/>
      <c r="P67" s="80"/>
      <c r="Q67" s="81"/>
      <c r="T67" s="80"/>
      <c r="U67" s="81"/>
    </row>
    <row r="68" spans="1:21" x14ac:dyDescent="0.3">
      <c r="A68" s="74" t="s">
        <v>86</v>
      </c>
      <c r="B68" s="75">
        <f>+E37*C44</f>
        <v>6250.5</v>
      </c>
      <c r="C68" s="87"/>
      <c r="J68" s="1" t="s">
        <v>106</v>
      </c>
      <c r="K68" s="25" t="s">
        <v>107</v>
      </c>
      <c r="L68" s="88"/>
      <c r="M68" s="81"/>
      <c r="N68" s="1" t="s">
        <v>108</v>
      </c>
      <c r="P68" s="80"/>
      <c r="Q68" s="81"/>
      <c r="R68" s="1" t="s">
        <v>108</v>
      </c>
      <c r="T68" s="80"/>
      <c r="U68" s="81"/>
    </row>
    <row r="69" spans="1:21" x14ac:dyDescent="0.3">
      <c r="A69" s="74" t="s">
        <v>21</v>
      </c>
      <c r="B69" s="75">
        <f>+H63*H64</f>
        <v>3693.3399999999997</v>
      </c>
      <c r="C69" s="87"/>
      <c r="J69" s="1" t="s">
        <v>106</v>
      </c>
      <c r="K69" s="25" t="s">
        <v>109</v>
      </c>
      <c r="L69" s="89"/>
      <c r="M69" s="81"/>
      <c r="N69" s="1" t="s">
        <v>110</v>
      </c>
      <c r="P69" s="80"/>
      <c r="Q69" s="81"/>
      <c r="R69" s="1" t="s">
        <v>110</v>
      </c>
      <c r="T69" s="80"/>
      <c r="U69" s="81"/>
    </row>
    <row r="70" spans="1:21" x14ac:dyDescent="0.3">
      <c r="A70" s="74" t="str">
        <f>+A55</f>
        <v>Tabla de suaje</v>
      </c>
      <c r="B70" s="75">
        <f>+B55*H64</f>
        <v>1680</v>
      </c>
      <c r="C70" s="87"/>
      <c r="K70" s="25"/>
      <c r="L70" s="89"/>
      <c r="M70" s="81"/>
      <c r="P70" s="80"/>
      <c r="Q70" s="81"/>
      <c r="T70" s="80"/>
      <c r="U70" s="81"/>
    </row>
    <row r="71" spans="1:21" x14ac:dyDescent="0.3">
      <c r="A71" s="74" t="str">
        <f>+A56</f>
        <v>Placas HS</v>
      </c>
      <c r="B71" s="75">
        <f>+B56*H64</f>
        <v>0</v>
      </c>
      <c r="C71" s="87"/>
      <c r="G71" s="90" t="s">
        <v>111</v>
      </c>
      <c r="H71" s="41">
        <f>+B62</f>
        <v>2.5848142857142857</v>
      </c>
      <c r="I71" s="91">
        <f>+H71*B50</f>
        <v>9046.85</v>
      </c>
      <c r="J71" s="1" t="s">
        <v>112</v>
      </c>
      <c r="L71" s="92"/>
      <c r="M71" s="81"/>
      <c r="N71" s="1" t="s">
        <v>112</v>
      </c>
      <c r="P71" s="80"/>
      <c r="Q71" s="81"/>
      <c r="R71" s="1" t="s">
        <v>112</v>
      </c>
      <c r="T71" s="80"/>
      <c r="U71" s="81"/>
    </row>
    <row r="72" spans="1:21" x14ac:dyDescent="0.3">
      <c r="A72" s="74" t="str">
        <f>+A57</f>
        <v>Imán</v>
      </c>
      <c r="B72" s="75">
        <f>+B57*H64</f>
        <v>0</v>
      </c>
      <c r="C72" s="87"/>
      <c r="G72" s="90" t="s">
        <v>113</v>
      </c>
      <c r="H72" s="41">
        <f>+C75</f>
        <v>3.321097142857143</v>
      </c>
      <c r="I72" s="91">
        <f>+H72*B50</f>
        <v>11623.84</v>
      </c>
      <c r="L72" s="94"/>
      <c r="M72" s="81"/>
      <c r="P72" s="80"/>
      <c r="Q72" s="81"/>
      <c r="T72" s="80"/>
      <c r="U72" s="81"/>
    </row>
    <row r="73" spans="1:21" ht="15" thickBot="1" x14ac:dyDescent="0.35">
      <c r="A73" s="74" t="str">
        <f>+A58</f>
        <v>Encuadernación</v>
      </c>
      <c r="B73" s="75">
        <f>+B58*1.2</f>
        <v>0</v>
      </c>
      <c r="C73" s="93"/>
      <c r="G73" s="95" t="s">
        <v>114</v>
      </c>
      <c r="H73" s="96">
        <f>+H72-H71</f>
        <v>0.73628285714285724</v>
      </c>
      <c r="I73" s="121">
        <f>+H73*B50</f>
        <v>2576.9900000000002</v>
      </c>
      <c r="J73" s="1" t="s">
        <v>115</v>
      </c>
      <c r="L73" s="80"/>
      <c r="M73" s="81"/>
      <c r="N73" s="1" t="s">
        <v>115</v>
      </c>
      <c r="P73" s="80"/>
      <c r="Q73" s="81"/>
      <c r="R73" s="1" t="s">
        <v>115</v>
      </c>
      <c r="T73" s="80"/>
      <c r="U73" s="81"/>
    </row>
    <row r="74" spans="1:21" ht="15" thickBot="1" x14ac:dyDescent="0.35">
      <c r="A74" s="74"/>
      <c r="B74" s="75"/>
      <c r="C74" s="93"/>
      <c r="G74" s="97" t="s">
        <v>116</v>
      </c>
      <c r="H74" s="52"/>
      <c r="J74" s="1" t="s">
        <v>117</v>
      </c>
      <c r="L74" s="80"/>
      <c r="M74" s="81"/>
      <c r="N74" s="1" t="s">
        <v>117</v>
      </c>
      <c r="P74" s="80"/>
      <c r="Q74" s="81"/>
      <c r="R74" s="1" t="s">
        <v>117</v>
      </c>
      <c r="T74" s="80"/>
      <c r="U74" s="81"/>
    </row>
    <row r="75" spans="1:21" x14ac:dyDescent="0.3">
      <c r="A75" s="73" t="s">
        <v>90</v>
      </c>
      <c r="B75" s="78">
        <f>SUM(B67:B74)</f>
        <v>11623.84</v>
      </c>
      <c r="C75" s="96">
        <f>+B75/B50</f>
        <v>3.321097142857143</v>
      </c>
      <c r="D75" s="5" t="s">
        <v>174</v>
      </c>
    </row>
    <row r="76" spans="1:21" x14ac:dyDescent="0.3">
      <c r="C76" s="110"/>
      <c r="D76" s="5"/>
    </row>
    <row r="77" spans="1:21" x14ac:dyDescent="0.3">
      <c r="C77" s="110"/>
      <c r="D77" s="5"/>
    </row>
    <row r="78" spans="1:21" x14ac:dyDescent="0.3">
      <c r="A78" s="5"/>
      <c r="C78" s="91"/>
      <c r="D78" s="5"/>
    </row>
    <row r="79" spans="1:21" x14ac:dyDescent="0.3">
      <c r="B79" s="98"/>
      <c r="C79" s="99"/>
    </row>
    <row r="83" spans="10:18" x14ac:dyDescent="0.3">
      <c r="J83" s="100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  <row r="97" spans="10:18" ht="16.5" x14ac:dyDescent="0.3">
      <c r="J97" s="76"/>
      <c r="K97" s="76"/>
      <c r="L97" s="76"/>
      <c r="M97" s="76"/>
      <c r="N97" s="76"/>
      <c r="O97" s="76"/>
      <c r="P97" s="76"/>
      <c r="Q97" s="76"/>
      <c r="R97" s="76"/>
    </row>
    <row r="98" spans="10:18" ht="16.5" x14ac:dyDescent="0.3">
      <c r="J98" s="76"/>
      <c r="K98" s="76"/>
      <c r="L98" s="76"/>
      <c r="M98" s="76"/>
      <c r="N98" s="76"/>
      <c r="O98" s="76"/>
      <c r="P98" s="76"/>
      <c r="Q98" s="76"/>
      <c r="R98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8"/>
  <sheetViews>
    <sheetView topLeftCell="A46" zoomScale="80" zoomScaleNormal="80" workbookViewId="0">
      <selection activeCell="F77" sqref="F7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4.285156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12.5703125" style="1" customWidth="1"/>
    <col min="16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199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158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C13" s="1" t="s">
        <v>159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144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190</v>
      </c>
      <c r="D16" s="25"/>
      <c r="E16" s="25"/>
      <c r="F16" s="62">
        <f>(1.5+F21+1.5)*2</f>
        <v>50</v>
      </c>
      <c r="G16" s="102" t="s">
        <v>123</v>
      </c>
      <c r="H16" s="103">
        <f>1.5+H21+1.5</f>
        <v>50.3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134</v>
      </c>
      <c r="D17" s="25"/>
      <c r="E17" s="25"/>
      <c r="F17" s="101">
        <v>2</v>
      </c>
      <c r="G17" s="104" t="s">
        <v>171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156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169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x14ac:dyDescent="0.3">
      <c r="C20" s="24" t="s">
        <v>168</v>
      </c>
      <c r="D20" s="25"/>
      <c r="E20" s="25"/>
      <c r="F20" s="11"/>
      <c r="G20" s="12"/>
      <c r="H20" s="13"/>
      <c r="J20" s="11"/>
      <c r="K20" s="12"/>
      <c r="L20" s="12"/>
      <c r="M20" s="12"/>
      <c r="N20" s="12"/>
      <c r="O20" s="12"/>
      <c r="P20" s="12"/>
      <c r="Q20" s="12"/>
      <c r="R20" s="13"/>
    </row>
    <row r="21" spans="1:18" x14ac:dyDescent="0.3">
      <c r="C21" s="24" t="s">
        <v>157</v>
      </c>
      <c r="D21" s="25"/>
      <c r="E21" s="25"/>
      <c r="F21" s="62">
        <v>22</v>
      </c>
      <c r="G21" s="102" t="s">
        <v>123</v>
      </c>
      <c r="H21" s="103">
        <v>47.3</v>
      </c>
      <c r="J21" s="11"/>
      <c r="K21" s="12"/>
      <c r="L21" s="12"/>
      <c r="M21" s="12"/>
      <c r="N21" s="12"/>
      <c r="O21" s="12"/>
      <c r="P21" s="12"/>
      <c r="Q21" s="12"/>
      <c r="R21" s="13"/>
    </row>
    <row r="22" spans="1:18" ht="15" thickBot="1" x14ac:dyDescent="0.35">
      <c r="C22" s="27" t="s">
        <v>193</v>
      </c>
      <c r="D22" s="25"/>
      <c r="E22" s="25"/>
      <c r="F22" s="101">
        <v>1</v>
      </c>
      <c r="G22" s="104" t="s">
        <v>172</v>
      </c>
      <c r="H22" s="13"/>
      <c r="J22" s="21"/>
      <c r="K22" s="22"/>
      <c r="L22" s="22"/>
      <c r="M22" s="22"/>
      <c r="N22" s="22"/>
      <c r="O22" s="22"/>
      <c r="P22" s="22"/>
      <c r="Q22" s="22"/>
      <c r="R22" s="23"/>
    </row>
    <row r="23" spans="1:18" x14ac:dyDescent="0.3">
      <c r="C23" s="25" t="s">
        <v>145</v>
      </c>
      <c r="D23" s="25"/>
      <c r="E23" s="25"/>
      <c r="F23" s="11"/>
      <c r="G23" s="12"/>
      <c r="H23" s="13"/>
      <c r="N23" s="5" t="s">
        <v>19</v>
      </c>
      <c r="O23" s="5" t="s">
        <v>20</v>
      </c>
      <c r="Q23" s="28">
        <f>+H63</f>
        <v>5381.9125000000004</v>
      </c>
    </row>
    <row r="24" spans="1:18" ht="15" thickBot="1" x14ac:dyDescent="0.35">
      <c r="C24" s="25"/>
      <c r="D24" s="25"/>
      <c r="E24" s="25"/>
      <c r="F24" s="21"/>
      <c r="G24" s="22"/>
      <c r="H24" s="23"/>
      <c r="J24" s="29" t="s">
        <v>21</v>
      </c>
      <c r="K24" s="1" t="s">
        <v>22</v>
      </c>
    </row>
    <row r="25" spans="1:18" x14ac:dyDescent="0.3">
      <c r="A25" s="4" t="s">
        <v>23</v>
      </c>
      <c r="C25" s="113" t="s">
        <v>137</v>
      </c>
      <c r="D25" s="5" t="s">
        <v>24</v>
      </c>
      <c r="E25" s="31" t="s">
        <v>138</v>
      </c>
      <c r="F25" s="1" t="s">
        <v>170</v>
      </c>
      <c r="K25" s="1" t="s">
        <v>25</v>
      </c>
    </row>
    <row r="26" spans="1:18" x14ac:dyDescent="0.3">
      <c r="K26" s="1" t="s">
        <v>26</v>
      </c>
      <c r="N26" s="1" t="s">
        <v>27</v>
      </c>
    </row>
    <row r="27" spans="1:18" x14ac:dyDescent="0.3">
      <c r="A27" s="4" t="s">
        <v>28</v>
      </c>
      <c r="C27" s="32">
        <v>72</v>
      </c>
      <c r="D27" s="31" t="s">
        <v>29</v>
      </c>
      <c r="E27" s="33">
        <v>102</v>
      </c>
      <c r="F27" s="34">
        <f>+C27</f>
        <v>72</v>
      </c>
      <c r="G27" s="35" t="s">
        <v>29</v>
      </c>
      <c r="H27" s="35">
        <f>+E27</f>
        <v>102</v>
      </c>
      <c r="K27" s="1" t="s">
        <v>30</v>
      </c>
      <c r="N27" s="1" t="s">
        <v>31</v>
      </c>
    </row>
    <row r="28" spans="1:18" x14ac:dyDescent="0.3">
      <c r="A28" s="4" t="s">
        <v>32</v>
      </c>
      <c r="B28" s="3"/>
      <c r="C28" s="36">
        <f>+F16</f>
        <v>50</v>
      </c>
      <c r="D28" s="37" t="s">
        <v>29</v>
      </c>
      <c r="E28" s="36">
        <f>+H16</f>
        <v>50.3</v>
      </c>
      <c r="F28" s="38">
        <f>+E28</f>
        <v>50.3</v>
      </c>
      <c r="G28" s="38" t="s">
        <v>29</v>
      </c>
      <c r="H28" s="38">
        <f>+C28</f>
        <v>50</v>
      </c>
      <c r="I28" s="39"/>
      <c r="K28" s="1" t="s">
        <v>33</v>
      </c>
      <c r="N28" s="1">
        <v>250</v>
      </c>
    </row>
    <row r="29" spans="1:18" ht="15" thickBot="1" x14ac:dyDescent="0.35">
      <c r="A29" s="3" t="s">
        <v>34</v>
      </c>
      <c r="B29" s="40"/>
      <c r="C29" s="41">
        <f>+C27/C28</f>
        <v>1.44</v>
      </c>
      <c r="D29" s="42"/>
      <c r="E29" s="41">
        <f>+E27/E28</f>
        <v>2.0278330019880717</v>
      </c>
      <c r="F29" s="41">
        <f>+F27/F28</f>
        <v>1.4314115308151094</v>
      </c>
      <c r="G29" s="42"/>
      <c r="H29" s="41">
        <f>+H27/H28</f>
        <v>2.04</v>
      </c>
      <c r="I29" s="39"/>
      <c r="K29" s="1" t="s">
        <v>35</v>
      </c>
      <c r="N29" s="1">
        <v>250</v>
      </c>
    </row>
    <row r="30" spans="1:18" ht="15" thickBot="1" x14ac:dyDescent="0.35">
      <c r="A30" s="3" t="s">
        <v>36</v>
      </c>
      <c r="B30" s="43"/>
      <c r="C30" s="44"/>
      <c r="D30" s="45">
        <v>2</v>
      </c>
      <c r="E30" s="46"/>
      <c r="F30" s="47"/>
      <c r="G30" s="48">
        <v>2</v>
      </c>
      <c r="H30" s="49" t="s">
        <v>37</v>
      </c>
    </row>
    <row r="31" spans="1:18" x14ac:dyDescent="0.3">
      <c r="A31" s="3"/>
      <c r="B31" s="30"/>
      <c r="C31" s="39"/>
      <c r="G31" s="50"/>
      <c r="H31" s="39"/>
      <c r="J31" s="29" t="s">
        <v>38</v>
      </c>
    </row>
    <row r="32" spans="1:18" ht="15" thickBot="1" x14ac:dyDescent="0.35">
      <c r="A32" s="34" t="s">
        <v>39</v>
      </c>
      <c r="B32" s="34" t="s">
        <v>139</v>
      </c>
      <c r="D32" s="50" t="s">
        <v>40</v>
      </c>
      <c r="E32" s="51">
        <v>4.1520000000000001</v>
      </c>
      <c r="G32" s="1" t="s">
        <v>41</v>
      </c>
      <c r="H32" s="52">
        <v>0.5</v>
      </c>
      <c r="J32" s="29"/>
      <c r="M32" s="31">
        <v>1</v>
      </c>
      <c r="N32" s="31">
        <v>2</v>
      </c>
      <c r="O32" s="31">
        <v>3</v>
      </c>
      <c r="P32" s="1" t="s">
        <v>1</v>
      </c>
    </row>
    <row r="33" spans="1:18" x14ac:dyDescent="0.3">
      <c r="A33" s="3"/>
      <c r="B33" s="3"/>
      <c r="C33" s="3"/>
      <c r="D33" s="53" t="s">
        <v>42</v>
      </c>
      <c r="E33" s="51">
        <f>+H32*E32</f>
        <v>2.0760000000000001</v>
      </c>
      <c r="H33" s="52"/>
      <c r="I33" s="39"/>
      <c r="K33" s="1" t="s">
        <v>43</v>
      </c>
      <c r="M33" s="54"/>
      <c r="N33" s="55"/>
      <c r="O33" s="56"/>
      <c r="P33" s="57"/>
      <c r="Q33" s="19"/>
      <c r="R33" s="20"/>
    </row>
    <row r="34" spans="1:18" x14ac:dyDescent="0.3">
      <c r="D34" s="53" t="s">
        <v>44</v>
      </c>
      <c r="E34" s="58">
        <f>+E32-E33</f>
        <v>2.0760000000000001</v>
      </c>
      <c r="I34" s="39"/>
      <c r="K34" s="1" t="s">
        <v>45</v>
      </c>
      <c r="M34" s="59"/>
      <c r="N34" s="60"/>
      <c r="O34" s="61"/>
      <c r="P34" s="62"/>
      <c r="Q34" s="12"/>
      <c r="R34" s="13"/>
    </row>
    <row r="35" spans="1:18" x14ac:dyDescent="0.3">
      <c r="E35" s="30" t="s">
        <v>46</v>
      </c>
      <c r="F35" s="30" t="s">
        <v>47</v>
      </c>
      <c r="G35" s="30" t="s">
        <v>47</v>
      </c>
      <c r="H35" s="30" t="s">
        <v>47</v>
      </c>
      <c r="I35" s="39"/>
      <c r="K35" s="1" t="s">
        <v>48</v>
      </c>
      <c r="M35" s="59"/>
      <c r="N35" s="63"/>
      <c r="O35" s="61"/>
      <c r="P35" s="62"/>
      <c r="Q35" s="12"/>
      <c r="R35" s="13"/>
    </row>
    <row r="36" spans="1:18" x14ac:dyDescent="0.3">
      <c r="D36" s="50" t="s">
        <v>49</v>
      </c>
      <c r="E36" s="64">
        <f>+E34</f>
        <v>2.0760000000000001</v>
      </c>
      <c r="F36" s="64">
        <v>0</v>
      </c>
      <c r="G36" s="64">
        <v>0</v>
      </c>
      <c r="H36" s="64">
        <v>0</v>
      </c>
      <c r="K36" s="1" t="s">
        <v>50</v>
      </c>
      <c r="M36" s="59"/>
      <c r="N36" s="63"/>
      <c r="O36" s="61"/>
      <c r="P36" s="62"/>
      <c r="Q36" s="12"/>
      <c r="R36" s="13"/>
    </row>
    <row r="37" spans="1:18" x14ac:dyDescent="0.3">
      <c r="D37" s="50" t="s">
        <v>51</v>
      </c>
      <c r="E37" s="64">
        <f>+E36*1.2</f>
        <v>2.4912000000000001</v>
      </c>
      <c r="F37" s="64">
        <v>0</v>
      </c>
      <c r="G37" s="64">
        <v>0</v>
      </c>
      <c r="H37" s="64">
        <v>0</v>
      </c>
      <c r="K37" s="1" t="s">
        <v>52</v>
      </c>
      <c r="M37" s="59"/>
      <c r="N37" s="63"/>
      <c r="O37" s="61"/>
      <c r="P37" s="62"/>
      <c r="Q37" s="12"/>
      <c r="R37" s="13"/>
    </row>
    <row r="38" spans="1:18" ht="15" thickBot="1" x14ac:dyDescent="0.35">
      <c r="A38" s="3"/>
      <c r="G38" s="50"/>
      <c r="K38" s="1" t="s">
        <v>53</v>
      </c>
      <c r="M38" s="59"/>
      <c r="N38" s="63"/>
      <c r="O38" s="61"/>
      <c r="P38" s="62"/>
      <c r="Q38" s="12"/>
      <c r="R38" s="13"/>
    </row>
    <row r="39" spans="1:18" x14ac:dyDescent="0.3">
      <c r="A39" s="3"/>
      <c r="B39" s="30"/>
      <c r="C39" s="39"/>
      <c r="E39" s="18" t="s">
        <v>54</v>
      </c>
      <c r="F39" s="19" t="s">
        <v>55</v>
      </c>
      <c r="G39" s="19"/>
      <c r="H39" s="20"/>
      <c r="K39" s="1" t="s">
        <v>56</v>
      </c>
      <c r="M39" s="59"/>
      <c r="N39" s="63"/>
      <c r="O39" s="61"/>
      <c r="P39" s="62"/>
      <c r="Q39" s="12"/>
      <c r="R39" s="13"/>
    </row>
    <row r="40" spans="1:18" ht="15" thickBot="1" x14ac:dyDescent="0.35">
      <c r="A40" s="4" t="s">
        <v>57</v>
      </c>
      <c r="C40" s="65">
        <v>2</v>
      </c>
      <c r="D40" s="66" t="s">
        <v>58</v>
      </c>
      <c r="E40" s="21"/>
      <c r="F40" s="22" t="s">
        <v>59</v>
      </c>
      <c r="G40" s="22"/>
      <c r="H40" s="23"/>
      <c r="K40" s="1" t="s">
        <v>60</v>
      </c>
      <c r="M40" s="59"/>
      <c r="N40" s="63"/>
      <c r="O40" s="61"/>
      <c r="P40" s="62"/>
      <c r="Q40" s="12"/>
      <c r="R40" s="13"/>
    </row>
    <row r="41" spans="1:18" x14ac:dyDescent="0.3">
      <c r="A41" s="4"/>
      <c r="C41" s="30"/>
      <c r="D41" s="1" t="s">
        <v>61</v>
      </c>
      <c r="E41" s="3"/>
      <c r="F41" s="3"/>
      <c r="K41" s="1" t="s">
        <v>62</v>
      </c>
      <c r="M41" s="59"/>
      <c r="N41" s="63"/>
      <c r="O41" s="61"/>
      <c r="P41" s="62"/>
      <c r="Q41" s="12"/>
      <c r="R41" s="13"/>
    </row>
    <row r="42" spans="1:18" x14ac:dyDescent="0.3">
      <c r="A42" s="4" t="s">
        <v>63</v>
      </c>
      <c r="B42" s="5"/>
      <c r="C42" s="67">
        <f>+B50/F17</f>
        <v>1750</v>
      </c>
      <c r="D42" s="33">
        <v>500</v>
      </c>
      <c r="F42" s="53" t="s">
        <v>64</v>
      </c>
      <c r="G42" s="32">
        <v>1</v>
      </c>
      <c r="H42" s="3"/>
      <c r="K42" s="1" t="s">
        <v>65</v>
      </c>
      <c r="M42" s="59"/>
      <c r="N42" s="63"/>
      <c r="O42" s="61"/>
      <c r="P42" s="62"/>
      <c r="Q42" s="12"/>
      <c r="R42" s="13"/>
    </row>
    <row r="43" spans="1:18" x14ac:dyDescent="0.3">
      <c r="A43" s="4" t="s">
        <v>66</v>
      </c>
      <c r="C43" s="43">
        <f>+C42+D42</f>
        <v>2250</v>
      </c>
      <c r="F43" s="53" t="s">
        <v>67</v>
      </c>
      <c r="G43" s="32">
        <v>2</v>
      </c>
      <c r="H43" s="3"/>
      <c r="K43" s="1" t="s">
        <v>68</v>
      </c>
      <c r="M43" s="59"/>
      <c r="N43" s="63"/>
      <c r="O43" s="61"/>
      <c r="P43" s="62"/>
      <c r="Q43" s="12"/>
      <c r="R43" s="13"/>
    </row>
    <row r="44" spans="1:18" x14ac:dyDescent="0.3">
      <c r="A44" s="4" t="s">
        <v>69</v>
      </c>
      <c r="C44" s="43">
        <f>+C43/C40</f>
        <v>1125</v>
      </c>
      <c r="F44" s="53" t="s">
        <v>70</v>
      </c>
      <c r="G44" s="32"/>
      <c r="H44" s="3"/>
      <c r="K44" s="1" t="s">
        <v>71</v>
      </c>
      <c r="M44" s="59"/>
      <c r="N44" s="63"/>
      <c r="O44" s="61"/>
      <c r="P44" s="62"/>
      <c r="Q44" s="12"/>
      <c r="R44" s="13"/>
    </row>
    <row r="45" spans="1:18" x14ac:dyDescent="0.3">
      <c r="A45" s="4" t="s">
        <v>132</v>
      </c>
      <c r="C45" s="30">
        <f>+(C44*C40)*F17</f>
        <v>4500</v>
      </c>
      <c r="F45" s="50" t="s">
        <v>72</v>
      </c>
      <c r="G45" s="32">
        <f>+C42/1000</f>
        <v>1.75</v>
      </c>
      <c r="H45" s="3"/>
      <c r="K45" s="1" t="s">
        <v>73</v>
      </c>
      <c r="M45" s="59"/>
      <c r="N45" s="63"/>
      <c r="O45" s="61"/>
      <c r="P45" s="62"/>
      <c r="Q45" s="12"/>
      <c r="R45" s="13"/>
    </row>
    <row r="46" spans="1:18" x14ac:dyDescent="0.3">
      <c r="A46" s="4"/>
      <c r="C46" s="68"/>
      <c r="F46" s="53" t="s">
        <v>74</v>
      </c>
      <c r="G46" s="65">
        <f>+C43</f>
        <v>2250</v>
      </c>
      <c r="H46" s="3"/>
      <c r="K46" s="1" t="s">
        <v>75</v>
      </c>
      <c r="M46" s="59"/>
      <c r="N46" s="63"/>
      <c r="O46" s="61"/>
      <c r="P46" s="62"/>
      <c r="Q46" s="12"/>
      <c r="R46" s="13"/>
    </row>
    <row r="47" spans="1:18" x14ac:dyDescent="0.3">
      <c r="A47" s="4"/>
      <c r="C47" s="30"/>
      <c r="E47" s="53"/>
      <c r="F47" s="53"/>
      <c r="G47" s="39"/>
      <c r="I47" s="3"/>
      <c r="K47" s="1" t="s">
        <v>76</v>
      </c>
      <c r="M47" s="59"/>
      <c r="N47" s="63"/>
      <c r="O47" s="61"/>
      <c r="P47" s="62"/>
      <c r="Q47" s="12"/>
      <c r="R47" s="13"/>
    </row>
    <row r="48" spans="1:18" ht="15" thickBot="1" x14ac:dyDescent="0.35">
      <c r="A48" s="4" t="s">
        <v>77</v>
      </c>
      <c r="C48" s="34">
        <f>+C44*C40</f>
        <v>2250</v>
      </c>
      <c r="F48" s="53"/>
      <c r="G48" s="39"/>
      <c r="H48" s="3"/>
      <c r="K48" s="1" t="s">
        <v>78</v>
      </c>
      <c r="M48" s="69"/>
      <c r="N48" s="70"/>
      <c r="O48" s="71"/>
      <c r="P48" s="72"/>
      <c r="Q48" s="22"/>
      <c r="R48" s="23"/>
    </row>
    <row r="49" spans="1:21" ht="15" thickBot="1" x14ac:dyDescent="0.35">
      <c r="A49" s="3"/>
      <c r="B49" s="3"/>
      <c r="C49" s="3"/>
      <c r="D49" s="3"/>
      <c r="E49" s="3"/>
      <c r="H49" s="3"/>
      <c r="J49" s="5" t="s">
        <v>16</v>
      </c>
    </row>
    <row r="50" spans="1:21" x14ac:dyDescent="0.3">
      <c r="A50" s="4" t="s">
        <v>118</v>
      </c>
      <c r="B50" s="30">
        <v>3500</v>
      </c>
      <c r="C50" s="30"/>
      <c r="D50" s="34" t="s">
        <v>79</v>
      </c>
      <c r="E50" s="34" t="s">
        <v>80</v>
      </c>
      <c r="F50" s="34" t="s">
        <v>81</v>
      </c>
      <c r="G50" s="34" t="s">
        <v>82</v>
      </c>
      <c r="H50" s="34" t="s">
        <v>83</v>
      </c>
      <c r="J50" s="18"/>
      <c r="K50" s="19" t="s">
        <v>149</v>
      </c>
      <c r="L50" s="19"/>
      <c r="M50" s="19"/>
      <c r="N50" s="19"/>
      <c r="O50" s="19"/>
      <c r="P50" s="19"/>
      <c r="Q50" s="19"/>
      <c r="R50" s="20"/>
    </row>
    <row r="51" spans="1:21" x14ac:dyDescent="0.3">
      <c r="A51" s="73" t="s">
        <v>84</v>
      </c>
      <c r="B51" s="74"/>
      <c r="C51" s="3"/>
      <c r="D51" s="30">
        <v>4</v>
      </c>
      <c r="E51" s="30">
        <v>1</v>
      </c>
      <c r="F51" s="30" t="s">
        <v>85</v>
      </c>
      <c r="G51" s="39">
        <v>295</v>
      </c>
      <c r="H51" s="39">
        <f>+(D51*E51)*G51</f>
        <v>1180</v>
      </c>
      <c r="J51" s="11"/>
      <c r="K51" s="102">
        <f>+F16</f>
        <v>50</v>
      </c>
      <c r="L51" s="102">
        <f>+H16</f>
        <v>50.3</v>
      </c>
      <c r="M51" s="12" t="s">
        <v>148</v>
      </c>
      <c r="N51" s="102" t="s">
        <v>150</v>
      </c>
      <c r="O51" s="12" t="s">
        <v>151</v>
      </c>
      <c r="P51" s="12" t="s">
        <v>152</v>
      </c>
      <c r="Q51" s="12"/>
      <c r="R51" s="13"/>
    </row>
    <row r="52" spans="1:21" x14ac:dyDescent="0.3">
      <c r="A52" s="74" t="s">
        <v>86</v>
      </c>
      <c r="B52" s="75">
        <f>+E36*C44</f>
        <v>2335.5</v>
      </c>
      <c r="C52" s="3"/>
      <c r="D52" s="30">
        <v>4</v>
      </c>
      <c r="E52" s="30">
        <v>2</v>
      </c>
      <c r="F52" s="30" t="s">
        <v>119</v>
      </c>
      <c r="G52" s="39">
        <v>140</v>
      </c>
      <c r="H52" s="39">
        <f>+(D52*E52)*G52</f>
        <v>1120</v>
      </c>
      <c r="J52" s="11"/>
      <c r="K52" s="102">
        <f>0.5*0.503*C43</f>
        <v>565.875</v>
      </c>
      <c r="L52" s="111">
        <v>3.9</v>
      </c>
      <c r="M52" s="111">
        <f>+K52*L52</f>
        <v>2206.9124999999999</v>
      </c>
      <c r="N52" s="111">
        <v>0</v>
      </c>
      <c r="O52" s="111">
        <f>+M52+N52</f>
        <v>2206.9124999999999</v>
      </c>
      <c r="P52" s="104" t="s">
        <v>153</v>
      </c>
      <c r="Q52" s="12"/>
      <c r="R52" s="13"/>
    </row>
    <row r="53" spans="1:21" x14ac:dyDescent="0.3">
      <c r="A53" s="74" t="s">
        <v>21</v>
      </c>
      <c r="B53" s="75">
        <f>+H63</f>
        <v>5381.9125000000004</v>
      </c>
      <c r="C53" s="3"/>
      <c r="D53" s="30">
        <v>0</v>
      </c>
      <c r="E53" s="30">
        <v>0</v>
      </c>
      <c r="F53" s="30" t="s">
        <v>125</v>
      </c>
      <c r="G53" s="39">
        <v>500</v>
      </c>
      <c r="H53" s="39">
        <f>+G53*E53*D53</f>
        <v>0</v>
      </c>
      <c r="J53" s="11"/>
      <c r="K53" s="12"/>
      <c r="L53" s="111"/>
      <c r="M53" s="111"/>
      <c r="N53" s="111"/>
      <c r="O53" s="111"/>
      <c r="P53" s="12"/>
      <c r="Q53" s="12"/>
      <c r="R53" s="13"/>
    </row>
    <row r="54" spans="1:21" x14ac:dyDescent="0.3">
      <c r="A54" s="74"/>
      <c r="B54" s="75"/>
      <c r="C54" s="3"/>
      <c r="D54" s="30">
        <v>1</v>
      </c>
      <c r="E54" s="30">
        <v>1</v>
      </c>
      <c r="F54" s="30" t="s">
        <v>146</v>
      </c>
      <c r="G54" s="39">
        <v>200</v>
      </c>
      <c r="H54" s="39">
        <f t="shared" ref="H54:H61" si="0">+G54*E54</f>
        <v>200</v>
      </c>
      <c r="I54" s="39">
        <f>+B75/100</f>
        <v>141.172775</v>
      </c>
      <c r="J54" s="11"/>
      <c r="K54" s="102">
        <f>+K51</f>
        <v>50</v>
      </c>
      <c r="L54" s="102">
        <f>+L51</f>
        <v>50.3</v>
      </c>
      <c r="M54" s="12" t="s">
        <v>148</v>
      </c>
      <c r="N54" s="102" t="s">
        <v>150</v>
      </c>
      <c r="O54" s="12" t="s">
        <v>151</v>
      </c>
      <c r="P54" s="12" t="s">
        <v>154</v>
      </c>
      <c r="Q54" s="12"/>
      <c r="R54" s="13"/>
    </row>
    <row r="55" spans="1:21" ht="16.5" x14ac:dyDescent="0.3">
      <c r="A55" s="74" t="s">
        <v>45</v>
      </c>
      <c r="B55" s="75">
        <v>1200</v>
      </c>
      <c r="C55" s="3"/>
      <c r="D55" s="30">
        <v>1</v>
      </c>
      <c r="E55" s="30">
        <v>1</v>
      </c>
      <c r="F55" s="30" t="s">
        <v>120</v>
      </c>
      <c r="G55" s="39">
        <v>135</v>
      </c>
      <c r="H55" s="39">
        <f t="shared" si="0"/>
        <v>135</v>
      </c>
      <c r="I55" s="76"/>
      <c r="J55" s="11"/>
      <c r="K55" s="102">
        <f>0.65*0.36*C43</f>
        <v>526.5</v>
      </c>
      <c r="L55" s="111">
        <v>2.5</v>
      </c>
      <c r="M55" s="111">
        <f>+K55*L55</f>
        <v>1316.25</v>
      </c>
      <c r="N55" s="111">
        <v>360</v>
      </c>
      <c r="O55" s="111">
        <f>+M55+N55</f>
        <v>1676.25</v>
      </c>
      <c r="P55" s="104" t="s">
        <v>155</v>
      </c>
      <c r="Q55" s="12"/>
      <c r="R55" s="13"/>
    </row>
    <row r="56" spans="1:21" x14ac:dyDescent="0.3">
      <c r="A56" s="77" t="s">
        <v>177</v>
      </c>
      <c r="B56" s="75">
        <v>500</v>
      </c>
      <c r="C56" s="3"/>
      <c r="D56" s="30">
        <v>1</v>
      </c>
      <c r="E56" s="30">
        <v>4</v>
      </c>
      <c r="F56" s="30" t="s">
        <v>121</v>
      </c>
      <c r="G56" s="39">
        <v>135</v>
      </c>
      <c r="H56" s="39">
        <f t="shared" si="0"/>
        <v>540</v>
      </c>
      <c r="J56" s="11"/>
      <c r="K56" s="12"/>
      <c r="L56" s="111"/>
      <c r="M56" s="111"/>
      <c r="N56" s="111"/>
      <c r="O56" s="111"/>
      <c r="P56" s="12"/>
      <c r="Q56" s="12"/>
      <c r="R56" s="13"/>
    </row>
    <row r="57" spans="1:21" ht="15" thickBot="1" x14ac:dyDescent="0.35">
      <c r="A57" s="77" t="s">
        <v>180</v>
      </c>
      <c r="B57" s="75">
        <v>1000</v>
      </c>
      <c r="D57" s="30">
        <v>0</v>
      </c>
      <c r="E57" s="30">
        <v>0</v>
      </c>
      <c r="F57" s="30" t="s">
        <v>141</v>
      </c>
      <c r="G57" s="39">
        <v>120</v>
      </c>
      <c r="H57" s="39">
        <f>+G57*E57</f>
        <v>0</v>
      </c>
      <c r="J57" s="21"/>
      <c r="K57" s="22"/>
      <c r="L57" s="22"/>
      <c r="M57" s="22"/>
      <c r="N57" s="22"/>
      <c r="O57" s="22"/>
      <c r="P57" s="22"/>
      <c r="Q57" s="22"/>
      <c r="R57" s="23"/>
    </row>
    <row r="58" spans="1:21" x14ac:dyDescent="0.3">
      <c r="A58" s="77" t="s">
        <v>142</v>
      </c>
      <c r="B58" s="75">
        <v>0</v>
      </c>
      <c r="D58" s="30">
        <v>0</v>
      </c>
      <c r="E58" s="30">
        <v>0</v>
      </c>
      <c r="F58" s="30" t="s">
        <v>52</v>
      </c>
      <c r="G58" s="39">
        <v>1.5</v>
      </c>
      <c r="H58" s="39">
        <f>+G58*E58</f>
        <v>0</v>
      </c>
    </row>
    <row r="59" spans="1:21" x14ac:dyDescent="0.3">
      <c r="A59" s="77"/>
      <c r="B59" s="77"/>
      <c r="D59" s="30">
        <v>0</v>
      </c>
      <c r="E59" s="30">
        <v>0</v>
      </c>
      <c r="F59" s="30" t="s">
        <v>88</v>
      </c>
      <c r="G59" s="39">
        <v>1.5</v>
      </c>
      <c r="H59" s="39">
        <f t="shared" si="0"/>
        <v>0</v>
      </c>
      <c r="J59" s="5" t="s">
        <v>89</v>
      </c>
    </row>
    <row r="60" spans="1:21" x14ac:dyDescent="0.3">
      <c r="A60" s="73" t="s">
        <v>90</v>
      </c>
      <c r="B60" s="78">
        <f>SUM(B52:B59)</f>
        <v>10417.4125</v>
      </c>
      <c r="C60" s="3"/>
      <c r="D60" s="30">
        <v>1</v>
      </c>
      <c r="E60" s="30">
        <v>1</v>
      </c>
      <c r="F60" s="3" t="s">
        <v>91</v>
      </c>
      <c r="G60" s="39">
        <f>+O52</f>
        <v>2206.9124999999999</v>
      </c>
      <c r="H60" s="39">
        <f t="shared" si="0"/>
        <v>2206.9124999999999</v>
      </c>
      <c r="L60" s="5"/>
    </row>
    <row r="61" spans="1:21" x14ac:dyDescent="0.3">
      <c r="A61" s="16"/>
      <c r="B61" s="79"/>
      <c r="C61" s="3"/>
      <c r="D61" s="30"/>
      <c r="E61" s="30"/>
      <c r="F61" s="3"/>
      <c r="G61" s="3"/>
      <c r="H61" s="39">
        <f t="shared" si="0"/>
        <v>0</v>
      </c>
      <c r="J61" s="1" t="s">
        <v>92</v>
      </c>
      <c r="L61" s="80"/>
      <c r="M61" s="81"/>
      <c r="N61" s="1" t="s">
        <v>92</v>
      </c>
      <c r="P61" s="80"/>
      <c r="Q61" s="81"/>
      <c r="R61" s="1" t="s">
        <v>92</v>
      </c>
      <c r="T61" s="80"/>
      <c r="U61" s="81"/>
    </row>
    <row r="62" spans="1:21" x14ac:dyDescent="0.3">
      <c r="A62" s="16"/>
      <c r="B62" s="41">
        <f>+B60/B50</f>
        <v>2.9764035714285715</v>
      </c>
      <c r="C62" s="4" t="s">
        <v>93</v>
      </c>
      <c r="D62" s="3"/>
      <c r="E62" s="3"/>
      <c r="F62" s="3"/>
      <c r="G62" s="3"/>
      <c r="J62" s="1" t="s">
        <v>3</v>
      </c>
      <c r="L62" s="80"/>
      <c r="M62" s="81"/>
      <c r="N62" s="1" t="s">
        <v>3</v>
      </c>
      <c r="P62" s="80"/>
      <c r="Q62" s="81"/>
      <c r="R62" s="1" t="s">
        <v>3</v>
      </c>
      <c r="T62" s="80"/>
      <c r="U62" s="81"/>
    </row>
    <row r="63" spans="1:21" x14ac:dyDescent="0.3">
      <c r="A63" s="3"/>
      <c r="B63" s="3"/>
      <c r="D63" s="3"/>
      <c r="E63" s="3"/>
      <c r="F63" s="3"/>
      <c r="G63" s="82" t="s">
        <v>94</v>
      </c>
      <c r="H63" s="39">
        <f>SUM(H51:H62)</f>
        <v>5381.9125000000004</v>
      </c>
      <c r="J63" s="1" t="s">
        <v>24</v>
      </c>
      <c r="L63" s="80"/>
      <c r="M63" s="81"/>
      <c r="N63" s="1" t="s">
        <v>24</v>
      </c>
      <c r="P63" s="80"/>
      <c r="Q63" s="81"/>
      <c r="R63" s="1" t="s">
        <v>24</v>
      </c>
      <c r="T63" s="80"/>
      <c r="U63" s="81"/>
    </row>
    <row r="64" spans="1:21" x14ac:dyDescent="0.3">
      <c r="D64" s="3"/>
      <c r="E64" s="3"/>
      <c r="G64" s="5" t="s">
        <v>95</v>
      </c>
      <c r="H64" s="109">
        <v>1.4</v>
      </c>
      <c r="J64" s="1" t="s">
        <v>96</v>
      </c>
      <c r="L64" s="84"/>
      <c r="M64" s="81"/>
      <c r="N64" s="1" t="s">
        <v>96</v>
      </c>
      <c r="P64" s="80"/>
      <c r="Q64" s="81"/>
      <c r="R64" s="1" t="s">
        <v>96</v>
      </c>
      <c r="T64" s="80"/>
      <c r="U64" s="81"/>
    </row>
    <row r="65" spans="1:21" x14ac:dyDescent="0.3">
      <c r="A65" s="4" t="s">
        <v>97</v>
      </c>
      <c r="B65" s="3"/>
      <c r="C65" s="3"/>
      <c r="E65" s="41"/>
      <c r="G65" s="1" t="s">
        <v>98</v>
      </c>
      <c r="H65" s="83">
        <v>1.75</v>
      </c>
      <c r="J65" s="1" t="s">
        <v>99</v>
      </c>
      <c r="K65" s="66" t="s">
        <v>58</v>
      </c>
      <c r="L65" s="85"/>
      <c r="M65" s="81"/>
      <c r="N65" s="1" t="s">
        <v>99</v>
      </c>
      <c r="P65" s="80"/>
      <c r="Q65" s="81"/>
      <c r="R65" s="1" t="s">
        <v>99</v>
      </c>
      <c r="T65" s="80"/>
      <c r="U65" s="81"/>
    </row>
    <row r="66" spans="1:21" x14ac:dyDescent="0.3">
      <c r="A66" s="3"/>
      <c r="B66" s="4" t="s">
        <v>100</v>
      </c>
      <c r="C66" s="34" t="s">
        <v>101</v>
      </c>
      <c r="D66" s="3"/>
      <c r="E66" s="3"/>
      <c r="F66" s="3"/>
      <c r="G66" s="1" t="s">
        <v>98</v>
      </c>
      <c r="H66" s="83">
        <v>2</v>
      </c>
      <c r="J66" s="1" t="s">
        <v>102</v>
      </c>
      <c r="L66" s="86"/>
      <c r="M66" s="81"/>
      <c r="N66" s="1" t="s">
        <v>103</v>
      </c>
      <c r="P66" s="80"/>
      <c r="Q66" s="81"/>
      <c r="R66" s="1" t="s">
        <v>103</v>
      </c>
      <c r="T66" s="80"/>
      <c r="U66" s="81"/>
    </row>
    <row r="67" spans="1:21" x14ac:dyDescent="0.3">
      <c r="A67" s="73" t="s">
        <v>104</v>
      </c>
      <c r="B67" s="74"/>
      <c r="C67" s="3"/>
      <c r="D67" s="3"/>
      <c r="E67" s="3"/>
      <c r="F67" s="3"/>
      <c r="G67" s="5" t="s">
        <v>122</v>
      </c>
      <c r="H67" s="83">
        <v>2.5</v>
      </c>
      <c r="J67" s="1" t="s">
        <v>105</v>
      </c>
      <c r="L67" s="86"/>
      <c r="M67" s="81"/>
      <c r="P67" s="80"/>
      <c r="Q67" s="81"/>
      <c r="T67" s="80"/>
      <c r="U67" s="81"/>
    </row>
    <row r="68" spans="1:21" x14ac:dyDescent="0.3">
      <c r="A68" s="74" t="s">
        <v>86</v>
      </c>
      <c r="B68" s="75">
        <f>+E37*C44</f>
        <v>2802.6</v>
      </c>
      <c r="C68" s="87"/>
      <c r="J68" s="1" t="s">
        <v>106</v>
      </c>
      <c r="K68" s="25" t="s">
        <v>107</v>
      </c>
      <c r="L68" s="88"/>
      <c r="M68" s="81"/>
      <c r="N68" s="1" t="s">
        <v>108</v>
      </c>
      <c r="P68" s="80"/>
      <c r="Q68" s="81"/>
      <c r="R68" s="1" t="s">
        <v>108</v>
      </c>
      <c r="T68" s="80"/>
      <c r="U68" s="81"/>
    </row>
    <row r="69" spans="1:21" x14ac:dyDescent="0.3">
      <c r="A69" s="74" t="s">
        <v>21</v>
      </c>
      <c r="B69" s="75">
        <f>+H63*H64</f>
        <v>7534.6774999999998</v>
      </c>
      <c r="C69" s="87"/>
      <c r="J69" s="1" t="s">
        <v>106</v>
      </c>
      <c r="K69" s="25" t="s">
        <v>109</v>
      </c>
      <c r="L69" s="89"/>
      <c r="M69" s="81"/>
      <c r="N69" s="1" t="s">
        <v>110</v>
      </c>
      <c r="P69" s="80"/>
      <c r="Q69" s="81"/>
      <c r="R69" s="1" t="s">
        <v>110</v>
      </c>
      <c r="T69" s="80"/>
      <c r="U69" s="81"/>
    </row>
    <row r="70" spans="1:21" x14ac:dyDescent="0.3">
      <c r="A70" s="74" t="str">
        <f>+A55</f>
        <v>Tabla de suaje</v>
      </c>
      <c r="B70" s="75">
        <f>+B55*H64</f>
        <v>1680</v>
      </c>
      <c r="C70" s="87"/>
      <c r="K70" s="25"/>
      <c r="L70" s="89"/>
      <c r="M70" s="81"/>
      <c r="P70" s="80"/>
      <c r="Q70" s="81"/>
      <c r="T70" s="80"/>
      <c r="U70" s="81"/>
    </row>
    <row r="71" spans="1:21" x14ac:dyDescent="0.3">
      <c r="A71" s="74" t="str">
        <f>+A56</f>
        <v>Prueba de color</v>
      </c>
      <c r="B71" s="75">
        <f>+B56*H64</f>
        <v>700</v>
      </c>
      <c r="C71" s="87"/>
      <c r="G71" s="90" t="s">
        <v>111</v>
      </c>
      <c r="H71" s="41">
        <f>+B62</f>
        <v>2.9764035714285715</v>
      </c>
      <c r="I71" s="91">
        <f>+H71*C48</f>
        <v>6696.9080357142857</v>
      </c>
      <c r="J71" s="1" t="s">
        <v>112</v>
      </c>
      <c r="L71" s="92"/>
      <c r="M71" s="81"/>
      <c r="N71" s="1" t="s">
        <v>112</v>
      </c>
      <c r="P71" s="80"/>
      <c r="Q71" s="81"/>
      <c r="R71" s="1" t="s">
        <v>112</v>
      </c>
      <c r="T71" s="80"/>
      <c r="U71" s="81"/>
    </row>
    <row r="72" spans="1:21" x14ac:dyDescent="0.3">
      <c r="A72" s="74" t="str">
        <f>+A57</f>
        <v>Dummy</v>
      </c>
      <c r="B72" s="75">
        <f>+B57*H64</f>
        <v>1400</v>
      </c>
      <c r="C72" s="87"/>
      <c r="G72" s="90" t="s">
        <v>113</v>
      </c>
      <c r="H72" s="41">
        <f>+C75</f>
        <v>4.0335078571428573</v>
      </c>
      <c r="I72" s="91">
        <f>+H72*C48</f>
        <v>9075.3926785714284</v>
      </c>
      <c r="L72" s="94"/>
      <c r="M72" s="81"/>
      <c r="P72" s="80"/>
      <c r="Q72" s="81"/>
      <c r="T72" s="80"/>
      <c r="U72" s="81"/>
    </row>
    <row r="73" spans="1:21" ht="15" thickBot="1" x14ac:dyDescent="0.35">
      <c r="A73" s="74" t="str">
        <f>+A58</f>
        <v>Encuadernación</v>
      </c>
      <c r="B73" s="75">
        <f>+B58*1.2</f>
        <v>0</v>
      </c>
      <c r="C73" s="93"/>
      <c r="G73" s="95" t="s">
        <v>114</v>
      </c>
      <c r="H73" s="96">
        <f>+H72-H71</f>
        <v>1.0571042857142858</v>
      </c>
      <c r="I73" s="122">
        <f>+H73*C48</f>
        <v>2378.4846428571432</v>
      </c>
      <c r="J73" s="1" t="s">
        <v>115</v>
      </c>
      <c r="L73" s="80"/>
      <c r="M73" s="81"/>
      <c r="N73" s="1" t="s">
        <v>115</v>
      </c>
      <c r="P73" s="80"/>
      <c r="Q73" s="81"/>
      <c r="R73" s="1" t="s">
        <v>115</v>
      </c>
      <c r="T73" s="80"/>
      <c r="U73" s="81"/>
    </row>
    <row r="74" spans="1:21" ht="15" thickBot="1" x14ac:dyDescent="0.35">
      <c r="A74" s="74"/>
      <c r="B74" s="75"/>
      <c r="C74" s="93"/>
      <c r="G74" s="97" t="s">
        <v>116</v>
      </c>
      <c r="H74" s="52"/>
      <c r="J74" s="1" t="s">
        <v>117</v>
      </c>
      <c r="L74" s="80"/>
      <c r="M74" s="81"/>
      <c r="N74" s="1" t="s">
        <v>117</v>
      </c>
      <c r="P74" s="80"/>
      <c r="Q74" s="81"/>
      <c r="R74" s="1" t="s">
        <v>117</v>
      </c>
      <c r="T74" s="80"/>
      <c r="U74" s="81"/>
    </row>
    <row r="75" spans="1:21" x14ac:dyDescent="0.3">
      <c r="A75" s="73" t="s">
        <v>90</v>
      </c>
      <c r="B75" s="78">
        <f>SUM(B67:B74)</f>
        <v>14117.2775</v>
      </c>
      <c r="C75" s="96">
        <f>+B75/B50</f>
        <v>4.0335078571428573</v>
      </c>
      <c r="D75" s="5" t="s">
        <v>173</v>
      </c>
    </row>
    <row r="76" spans="1:21" x14ac:dyDescent="0.3">
      <c r="C76" s="110"/>
      <c r="D76" s="5"/>
    </row>
    <row r="77" spans="1:21" x14ac:dyDescent="0.3">
      <c r="C77" s="110"/>
      <c r="D77" s="5"/>
    </row>
    <row r="78" spans="1:21" x14ac:dyDescent="0.3">
      <c r="A78" s="5"/>
      <c r="C78" s="91"/>
      <c r="D78" s="5"/>
    </row>
    <row r="79" spans="1:21" x14ac:dyDescent="0.3">
      <c r="B79" s="98"/>
      <c r="C79" s="99"/>
    </row>
    <row r="83" spans="10:18" x14ac:dyDescent="0.3">
      <c r="J83" s="100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  <row r="97" spans="10:18" ht="16.5" x14ac:dyDescent="0.3">
      <c r="J97" s="76"/>
      <c r="K97" s="76"/>
      <c r="L97" s="76"/>
      <c r="M97" s="76"/>
      <c r="N97" s="76"/>
      <c r="O97" s="76"/>
      <c r="P97" s="76"/>
      <c r="Q97" s="76"/>
      <c r="R97" s="76"/>
    </row>
    <row r="98" spans="10:18" ht="16.5" x14ac:dyDescent="0.3">
      <c r="J98" s="76"/>
      <c r="K98" s="76"/>
      <c r="L98" s="76"/>
      <c r="M98" s="76"/>
      <c r="N98" s="76"/>
      <c r="O98" s="76"/>
      <c r="P98" s="76"/>
      <c r="Q98" s="76"/>
      <c r="R98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98"/>
  <sheetViews>
    <sheetView topLeftCell="A70" zoomScale="80" zoomScaleNormal="80" workbookViewId="0">
      <selection activeCell="C81" sqref="C8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4.28515625" style="1" bestFit="1" customWidth="1"/>
    <col min="4" max="4" width="9.7109375" style="1" customWidth="1"/>
    <col min="5" max="5" width="14.28515625" style="1" customWidth="1"/>
    <col min="6" max="6" width="15.28515625" style="1" customWidth="1"/>
    <col min="7" max="7" width="13.42578125" style="1" customWidth="1"/>
    <col min="8" max="8" width="10.42578125" style="1" customWidth="1"/>
    <col min="9" max="9" width="14.285156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12.5703125" style="1" customWidth="1"/>
    <col min="16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199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158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C13" s="1" t="s">
        <v>159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144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190</v>
      </c>
      <c r="D16" s="25"/>
      <c r="E16" s="25"/>
      <c r="F16" s="62">
        <f>(2+F21+2)*2</f>
        <v>50</v>
      </c>
      <c r="G16" s="102" t="s">
        <v>123</v>
      </c>
      <c r="H16" s="103">
        <f>2+H21+2</f>
        <v>50.3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134</v>
      </c>
      <c r="D17" s="25"/>
      <c r="E17" s="25"/>
      <c r="F17" s="101">
        <v>1</v>
      </c>
      <c r="G17" s="104" t="s">
        <v>171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156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169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x14ac:dyDescent="0.3">
      <c r="C20" s="24" t="s">
        <v>168</v>
      </c>
      <c r="D20" s="25"/>
      <c r="E20" s="25"/>
      <c r="F20" s="11"/>
      <c r="G20" s="12"/>
      <c r="H20" s="13"/>
      <c r="J20" s="11"/>
      <c r="K20" s="12"/>
      <c r="L20" s="12"/>
      <c r="M20" s="12"/>
      <c r="N20" s="12"/>
      <c r="O20" s="12"/>
      <c r="P20" s="12"/>
      <c r="Q20" s="12"/>
      <c r="R20" s="13"/>
    </row>
    <row r="21" spans="1:18" x14ac:dyDescent="0.3">
      <c r="C21" s="24" t="s">
        <v>157</v>
      </c>
      <c r="D21" s="25"/>
      <c r="E21" s="25"/>
      <c r="F21" s="62">
        <v>21</v>
      </c>
      <c r="G21" s="102" t="s">
        <v>123</v>
      </c>
      <c r="H21" s="103">
        <v>46.3</v>
      </c>
      <c r="J21" s="11"/>
      <c r="K21" s="12"/>
      <c r="L21" s="12"/>
      <c r="M21" s="12"/>
      <c r="N21" s="12"/>
      <c r="O21" s="12"/>
      <c r="P21" s="12"/>
      <c r="Q21" s="12"/>
      <c r="R21" s="13"/>
    </row>
    <row r="22" spans="1:18" ht="15" thickBot="1" x14ac:dyDescent="0.35">
      <c r="C22" s="27" t="s">
        <v>193</v>
      </c>
      <c r="D22" s="25"/>
      <c r="E22" s="25"/>
      <c r="F22" s="101">
        <v>1</v>
      </c>
      <c r="G22" s="104" t="s">
        <v>172</v>
      </c>
      <c r="H22" s="13"/>
      <c r="J22" s="21"/>
      <c r="K22" s="22"/>
      <c r="L22" s="22"/>
      <c r="M22" s="22"/>
      <c r="N22" s="22"/>
      <c r="O22" s="22"/>
      <c r="P22" s="22"/>
      <c r="Q22" s="22"/>
      <c r="R22" s="23"/>
    </row>
    <row r="23" spans="1:18" x14ac:dyDescent="0.3">
      <c r="C23" s="25" t="s">
        <v>200</v>
      </c>
      <c r="D23" s="25"/>
      <c r="E23" s="25"/>
      <c r="F23" s="11"/>
      <c r="G23" s="12"/>
      <c r="H23" s="13"/>
      <c r="N23" s="5" t="s">
        <v>19</v>
      </c>
      <c r="O23" s="5" t="s">
        <v>20</v>
      </c>
      <c r="Q23" s="28">
        <f>+H63</f>
        <v>6278.4</v>
      </c>
    </row>
    <row r="24" spans="1:18" ht="15" thickBot="1" x14ac:dyDescent="0.35">
      <c r="C24" s="25"/>
      <c r="D24" s="25"/>
      <c r="E24" s="25"/>
      <c r="F24" s="21"/>
      <c r="G24" s="22"/>
      <c r="H24" s="23"/>
      <c r="J24" s="29" t="s">
        <v>21</v>
      </c>
      <c r="K24" s="1" t="s">
        <v>22</v>
      </c>
    </row>
    <row r="25" spans="1:18" x14ac:dyDescent="0.3">
      <c r="A25" s="4" t="s">
        <v>23</v>
      </c>
      <c r="C25" s="113" t="s">
        <v>137</v>
      </c>
      <c r="D25" s="5" t="s">
        <v>24</v>
      </c>
      <c r="E25" s="31" t="s">
        <v>138</v>
      </c>
      <c r="F25" s="1" t="s">
        <v>170</v>
      </c>
      <c r="K25" s="1" t="s">
        <v>25</v>
      </c>
    </row>
    <row r="26" spans="1:18" x14ac:dyDescent="0.3">
      <c r="K26" s="1" t="s">
        <v>26</v>
      </c>
      <c r="N26" s="1" t="s">
        <v>27</v>
      </c>
    </row>
    <row r="27" spans="1:18" x14ac:dyDescent="0.3">
      <c r="A27" s="4" t="s">
        <v>28</v>
      </c>
      <c r="C27" s="32">
        <v>72</v>
      </c>
      <c r="D27" s="31" t="s">
        <v>29</v>
      </c>
      <c r="E27" s="33">
        <v>102</v>
      </c>
      <c r="F27" s="34">
        <f>+C27</f>
        <v>72</v>
      </c>
      <c r="G27" s="35" t="s">
        <v>29</v>
      </c>
      <c r="H27" s="35">
        <f>+E27</f>
        <v>102</v>
      </c>
      <c r="K27" s="1" t="s">
        <v>30</v>
      </c>
      <c r="N27" s="1" t="s">
        <v>31</v>
      </c>
    </row>
    <row r="28" spans="1:18" x14ac:dyDescent="0.3">
      <c r="A28" s="4" t="s">
        <v>32</v>
      </c>
      <c r="B28" s="3"/>
      <c r="C28" s="36">
        <f>+F16</f>
        <v>50</v>
      </c>
      <c r="D28" s="37" t="s">
        <v>29</v>
      </c>
      <c r="E28" s="36">
        <f>+H16</f>
        <v>50.3</v>
      </c>
      <c r="F28" s="38">
        <f>+E28</f>
        <v>50.3</v>
      </c>
      <c r="G28" s="38" t="s">
        <v>29</v>
      </c>
      <c r="H28" s="38">
        <f>+C28</f>
        <v>50</v>
      </c>
      <c r="I28" s="39"/>
      <c r="K28" s="1" t="s">
        <v>33</v>
      </c>
      <c r="N28" s="1">
        <v>250</v>
      </c>
    </row>
    <row r="29" spans="1:18" ht="15" thickBot="1" x14ac:dyDescent="0.35">
      <c r="A29" s="3" t="s">
        <v>34</v>
      </c>
      <c r="B29" s="40"/>
      <c r="C29" s="41">
        <f>+C27/C28</f>
        <v>1.44</v>
      </c>
      <c r="D29" s="42"/>
      <c r="E29" s="41">
        <f>+E27/E28</f>
        <v>2.0278330019880717</v>
      </c>
      <c r="F29" s="41">
        <f>+F27/F28</f>
        <v>1.4314115308151094</v>
      </c>
      <c r="G29" s="42"/>
      <c r="H29" s="41">
        <f>+H27/H28</f>
        <v>2.04</v>
      </c>
      <c r="I29" s="39"/>
      <c r="K29" s="1" t="s">
        <v>35</v>
      </c>
      <c r="N29" s="1">
        <v>250</v>
      </c>
    </row>
    <row r="30" spans="1:18" ht="15" thickBot="1" x14ac:dyDescent="0.35">
      <c r="A30" s="3" t="s">
        <v>36</v>
      </c>
      <c r="B30" s="43"/>
      <c r="C30" s="44"/>
      <c r="D30" s="45">
        <v>2</v>
      </c>
      <c r="E30" s="46"/>
      <c r="F30" s="47"/>
      <c r="G30" s="48">
        <v>2</v>
      </c>
      <c r="H30" s="49" t="s">
        <v>37</v>
      </c>
    </row>
    <row r="31" spans="1:18" x14ac:dyDescent="0.3">
      <c r="A31" s="3"/>
      <c r="B31" s="30"/>
      <c r="C31" s="39"/>
      <c r="G31" s="50"/>
      <c r="H31" s="39"/>
      <c r="J31" s="29" t="s">
        <v>38</v>
      </c>
    </row>
    <row r="32" spans="1:18" ht="15" thickBot="1" x14ac:dyDescent="0.35">
      <c r="A32" s="34" t="s">
        <v>39</v>
      </c>
      <c r="B32" s="34" t="s">
        <v>139</v>
      </c>
      <c r="D32" s="50" t="s">
        <v>40</v>
      </c>
      <c r="E32" s="51">
        <v>4.1520000000000001</v>
      </c>
      <c r="G32" s="1" t="s">
        <v>41</v>
      </c>
      <c r="H32" s="52">
        <v>0.5</v>
      </c>
      <c r="J32" s="29"/>
      <c r="M32" s="31">
        <v>1</v>
      </c>
      <c r="N32" s="31">
        <v>2</v>
      </c>
      <c r="O32" s="31">
        <v>3</v>
      </c>
      <c r="P32" s="1" t="s">
        <v>1</v>
      </c>
    </row>
    <row r="33" spans="1:18" x14ac:dyDescent="0.3">
      <c r="A33" s="3"/>
      <c r="B33" s="3"/>
      <c r="C33" s="3"/>
      <c r="D33" s="53" t="s">
        <v>42</v>
      </c>
      <c r="E33" s="51">
        <f>+H32*E32</f>
        <v>2.0760000000000001</v>
      </c>
      <c r="H33" s="52"/>
      <c r="I33" s="39"/>
      <c r="K33" s="1" t="s">
        <v>43</v>
      </c>
      <c r="M33" s="54"/>
      <c r="N33" s="55"/>
      <c r="O33" s="56"/>
      <c r="P33" s="57"/>
      <c r="Q33" s="19"/>
      <c r="R33" s="20"/>
    </row>
    <row r="34" spans="1:18" x14ac:dyDescent="0.3">
      <c r="D34" s="53" t="s">
        <v>44</v>
      </c>
      <c r="E34" s="58">
        <f>+E32-E33</f>
        <v>2.0760000000000001</v>
      </c>
      <c r="I34" s="39"/>
      <c r="K34" s="1" t="s">
        <v>45</v>
      </c>
      <c r="M34" s="59"/>
      <c r="N34" s="60"/>
      <c r="O34" s="61"/>
      <c r="P34" s="62"/>
      <c r="Q34" s="12"/>
      <c r="R34" s="13"/>
    </row>
    <row r="35" spans="1:18" x14ac:dyDescent="0.3">
      <c r="E35" s="30" t="s">
        <v>46</v>
      </c>
      <c r="F35" s="30" t="s">
        <v>47</v>
      </c>
      <c r="G35" s="30" t="s">
        <v>47</v>
      </c>
      <c r="H35" s="30" t="s">
        <v>47</v>
      </c>
      <c r="I35" s="39"/>
      <c r="K35" s="1" t="s">
        <v>48</v>
      </c>
      <c r="M35" s="59"/>
      <c r="N35" s="63"/>
      <c r="O35" s="61"/>
      <c r="P35" s="62"/>
      <c r="Q35" s="12"/>
      <c r="R35" s="13"/>
    </row>
    <row r="36" spans="1:18" x14ac:dyDescent="0.3">
      <c r="D36" s="50" t="s">
        <v>49</v>
      </c>
      <c r="E36" s="64">
        <f>+E34</f>
        <v>2.0760000000000001</v>
      </c>
      <c r="F36" s="64">
        <v>0</v>
      </c>
      <c r="G36" s="64">
        <v>0</v>
      </c>
      <c r="H36" s="64">
        <v>0</v>
      </c>
      <c r="K36" s="1" t="s">
        <v>50</v>
      </c>
      <c r="M36" s="59"/>
      <c r="N36" s="63"/>
      <c r="O36" s="61"/>
      <c r="P36" s="62"/>
      <c r="Q36" s="12"/>
      <c r="R36" s="13"/>
    </row>
    <row r="37" spans="1:18" x14ac:dyDescent="0.3">
      <c r="D37" s="50" t="s">
        <v>51</v>
      </c>
      <c r="E37" s="64">
        <f>+E36*1.2</f>
        <v>2.4912000000000001</v>
      </c>
      <c r="F37" s="64">
        <v>0</v>
      </c>
      <c r="G37" s="64">
        <v>0</v>
      </c>
      <c r="H37" s="64">
        <v>0</v>
      </c>
      <c r="K37" s="1" t="s">
        <v>52</v>
      </c>
      <c r="M37" s="59"/>
      <c r="N37" s="63"/>
      <c r="O37" s="61"/>
      <c r="P37" s="62"/>
      <c r="Q37" s="12"/>
      <c r="R37" s="13"/>
    </row>
    <row r="38" spans="1:18" ht="15" thickBot="1" x14ac:dyDescent="0.35">
      <c r="A38" s="3"/>
      <c r="G38" s="50"/>
      <c r="K38" s="1" t="s">
        <v>53</v>
      </c>
      <c r="M38" s="59"/>
      <c r="N38" s="63"/>
      <c r="O38" s="61"/>
      <c r="P38" s="62"/>
      <c r="Q38" s="12"/>
      <c r="R38" s="13"/>
    </row>
    <row r="39" spans="1:18" x14ac:dyDescent="0.3">
      <c r="A39" s="3"/>
      <c r="B39" s="30"/>
      <c r="C39" s="39"/>
      <c r="E39" s="18" t="s">
        <v>54</v>
      </c>
      <c r="F39" s="19" t="s">
        <v>55</v>
      </c>
      <c r="G39" s="19"/>
      <c r="H39" s="20"/>
      <c r="K39" s="1" t="s">
        <v>56</v>
      </c>
      <c r="M39" s="59"/>
      <c r="N39" s="63"/>
      <c r="O39" s="61"/>
      <c r="P39" s="62"/>
      <c r="Q39" s="12"/>
      <c r="R39" s="13"/>
    </row>
    <row r="40" spans="1:18" ht="15" thickBot="1" x14ac:dyDescent="0.35">
      <c r="A40" s="4" t="s">
        <v>57</v>
      </c>
      <c r="C40" s="65">
        <v>2</v>
      </c>
      <c r="D40" s="66" t="s">
        <v>58</v>
      </c>
      <c r="E40" s="21"/>
      <c r="F40" s="22" t="s">
        <v>59</v>
      </c>
      <c r="G40" s="22"/>
      <c r="H40" s="23"/>
      <c r="K40" s="1" t="s">
        <v>60</v>
      </c>
      <c r="M40" s="59"/>
      <c r="N40" s="63"/>
      <c r="O40" s="61"/>
      <c r="P40" s="62"/>
      <c r="Q40" s="12"/>
      <c r="R40" s="13"/>
    </row>
    <row r="41" spans="1:18" x14ac:dyDescent="0.3">
      <c r="A41" s="4"/>
      <c r="C41" s="30"/>
      <c r="D41" s="1" t="s">
        <v>61</v>
      </c>
      <c r="E41" s="3"/>
      <c r="F41" s="3"/>
      <c r="K41" s="1" t="s">
        <v>62</v>
      </c>
      <c r="M41" s="59"/>
      <c r="N41" s="63"/>
      <c r="O41" s="61"/>
      <c r="P41" s="62"/>
      <c r="Q41" s="12"/>
      <c r="R41" s="13"/>
    </row>
    <row r="42" spans="1:18" x14ac:dyDescent="0.3">
      <c r="A42" s="4" t="s">
        <v>63</v>
      </c>
      <c r="B42" s="5"/>
      <c r="C42" s="67">
        <f>+B50/F17</f>
        <v>3500</v>
      </c>
      <c r="D42" s="33">
        <v>500</v>
      </c>
      <c r="F42" s="53" t="s">
        <v>64</v>
      </c>
      <c r="G42" s="32">
        <v>1</v>
      </c>
      <c r="H42" s="3"/>
      <c r="K42" s="1" t="s">
        <v>65</v>
      </c>
      <c r="M42" s="59"/>
      <c r="N42" s="63"/>
      <c r="O42" s="61"/>
      <c r="P42" s="62"/>
      <c r="Q42" s="12"/>
      <c r="R42" s="13"/>
    </row>
    <row r="43" spans="1:18" x14ac:dyDescent="0.3">
      <c r="A43" s="4" t="s">
        <v>66</v>
      </c>
      <c r="C43" s="43">
        <f>+C42+D42</f>
        <v>4000</v>
      </c>
      <c r="F43" s="53" t="s">
        <v>67</v>
      </c>
      <c r="G43" s="32">
        <v>2</v>
      </c>
      <c r="H43" s="3"/>
      <c r="K43" s="1" t="s">
        <v>68</v>
      </c>
      <c r="M43" s="59"/>
      <c r="N43" s="63"/>
      <c r="O43" s="61"/>
      <c r="P43" s="62"/>
      <c r="Q43" s="12"/>
      <c r="R43" s="13"/>
    </row>
    <row r="44" spans="1:18" x14ac:dyDescent="0.3">
      <c r="A44" s="4" t="s">
        <v>69</v>
      </c>
      <c r="C44" s="43">
        <f>+C43/C40</f>
        <v>2000</v>
      </c>
      <c r="F44" s="53" t="s">
        <v>70</v>
      </c>
      <c r="G44" s="32"/>
      <c r="H44" s="3"/>
      <c r="K44" s="1" t="s">
        <v>71</v>
      </c>
      <c r="M44" s="59"/>
      <c r="N44" s="63"/>
      <c r="O44" s="61"/>
      <c r="P44" s="62"/>
      <c r="Q44" s="12"/>
      <c r="R44" s="13"/>
    </row>
    <row r="45" spans="1:18" x14ac:dyDescent="0.3">
      <c r="A45" s="4" t="s">
        <v>132</v>
      </c>
      <c r="C45" s="30">
        <f>+(C44*C40)*F17</f>
        <v>4000</v>
      </c>
      <c r="F45" s="50" t="s">
        <v>72</v>
      </c>
      <c r="G45" s="32">
        <f>+C42/1000</f>
        <v>3.5</v>
      </c>
      <c r="H45" s="3"/>
      <c r="K45" s="1" t="s">
        <v>73</v>
      </c>
      <c r="M45" s="59"/>
      <c r="N45" s="63"/>
      <c r="O45" s="61"/>
      <c r="P45" s="62"/>
      <c r="Q45" s="12"/>
      <c r="R45" s="13"/>
    </row>
    <row r="46" spans="1:18" x14ac:dyDescent="0.3">
      <c r="A46" s="4"/>
      <c r="C46" s="68"/>
      <c r="F46" s="53" t="s">
        <v>74</v>
      </c>
      <c r="G46" s="65">
        <f>+C43</f>
        <v>4000</v>
      </c>
      <c r="H46" s="3"/>
      <c r="K46" s="1" t="s">
        <v>75</v>
      </c>
      <c r="M46" s="59"/>
      <c r="N46" s="63"/>
      <c r="O46" s="61"/>
      <c r="P46" s="62"/>
      <c r="Q46" s="12"/>
      <c r="R46" s="13"/>
    </row>
    <row r="47" spans="1:18" x14ac:dyDescent="0.3">
      <c r="A47" s="4"/>
      <c r="C47" s="30"/>
      <c r="E47" s="53"/>
      <c r="F47" s="53"/>
      <c r="G47" s="39"/>
      <c r="I47" s="3"/>
      <c r="K47" s="1" t="s">
        <v>76</v>
      </c>
      <c r="M47" s="59"/>
      <c r="N47" s="63"/>
      <c r="O47" s="61"/>
      <c r="P47" s="62"/>
      <c r="Q47" s="12"/>
      <c r="R47" s="13"/>
    </row>
    <row r="48" spans="1:18" ht="15" thickBot="1" x14ac:dyDescent="0.35">
      <c r="A48" s="4" t="s">
        <v>77</v>
      </c>
      <c r="C48" s="34">
        <f>+C44*C40</f>
        <v>4000</v>
      </c>
      <c r="F48" s="53"/>
      <c r="G48" s="39"/>
      <c r="H48" s="3"/>
      <c r="K48" s="1" t="s">
        <v>78</v>
      </c>
      <c r="M48" s="69"/>
      <c r="N48" s="70"/>
      <c r="O48" s="71"/>
      <c r="P48" s="72"/>
      <c r="Q48" s="22"/>
      <c r="R48" s="23"/>
    </row>
    <row r="49" spans="1:21" ht="15" thickBot="1" x14ac:dyDescent="0.35">
      <c r="A49" s="3"/>
      <c r="B49" s="3"/>
      <c r="C49" s="3"/>
      <c r="D49" s="3"/>
      <c r="E49" s="3"/>
      <c r="H49" s="3"/>
      <c r="J49" s="5" t="s">
        <v>16</v>
      </c>
    </row>
    <row r="50" spans="1:21" x14ac:dyDescent="0.3">
      <c r="A50" s="4" t="s">
        <v>118</v>
      </c>
      <c r="B50" s="30">
        <v>3500</v>
      </c>
      <c r="C50" s="30"/>
      <c r="D50" s="34" t="s">
        <v>79</v>
      </c>
      <c r="E50" s="34" t="s">
        <v>80</v>
      </c>
      <c r="F50" s="34" t="s">
        <v>81</v>
      </c>
      <c r="G50" s="34" t="s">
        <v>82</v>
      </c>
      <c r="H50" s="34" t="s">
        <v>83</v>
      </c>
      <c r="J50" s="18"/>
      <c r="K50" s="19" t="s">
        <v>149</v>
      </c>
      <c r="L50" s="19"/>
      <c r="M50" s="19"/>
      <c r="N50" s="19"/>
      <c r="O50" s="19"/>
      <c r="P50" s="19"/>
      <c r="Q50" s="19"/>
      <c r="R50" s="20"/>
    </row>
    <row r="51" spans="1:21" x14ac:dyDescent="0.3">
      <c r="A51" s="73" t="s">
        <v>84</v>
      </c>
      <c r="B51" s="74"/>
      <c r="C51" s="3"/>
      <c r="D51" s="30">
        <v>1</v>
      </c>
      <c r="E51" s="30">
        <v>1</v>
      </c>
      <c r="F51" s="30" t="s">
        <v>85</v>
      </c>
      <c r="G51" s="39">
        <v>295</v>
      </c>
      <c r="H51" s="39">
        <f>+(D51*E51)*G51</f>
        <v>295</v>
      </c>
      <c r="J51" s="11"/>
      <c r="K51" s="102">
        <f>+F16</f>
        <v>50</v>
      </c>
      <c r="L51" s="102">
        <f>+H16</f>
        <v>50.3</v>
      </c>
      <c r="M51" s="12" t="s">
        <v>148</v>
      </c>
      <c r="N51" s="102" t="s">
        <v>150</v>
      </c>
      <c r="O51" s="12" t="s">
        <v>151</v>
      </c>
      <c r="P51" s="12" t="s">
        <v>152</v>
      </c>
      <c r="Q51" s="12"/>
      <c r="R51" s="13"/>
    </row>
    <row r="52" spans="1:21" x14ac:dyDescent="0.3">
      <c r="A52" s="74" t="s">
        <v>86</v>
      </c>
      <c r="B52" s="75">
        <f>+E36*C44</f>
        <v>4152</v>
      </c>
      <c r="C52" s="3"/>
      <c r="D52" s="30">
        <v>1</v>
      </c>
      <c r="E52" s="30">
        <v>4</v>
      </c>
      <c r="F52" s="30" t="s">
        <v>119</v>
      </c>
      <c r="G52" s="39">
        <v>140</v>
      </c>
      <c r="H52" s="39">
        <f>+(D52*E52)*G52</f>
        <v>560</v>
      </c>
      <c r="J52" s="11"/>
      <c r="K52" s="102">
        <f>0.5*0.503*C43</f>
        <v>1006</v>
      </c>
      <c r="L52" s="111">
        <v>3.9</v>
      </c>
      <c r="M52" s="111">
        <f>+K52*L52</f>
        <v>3923.4</v>
      </c>
      <c r="N52" s="111">
        <v>0</v>
      </c>
      <c r="O52" s="111">
        <f>+M52+N52</f>
        <v>3923.4</v>
      </c>
      <c r="P52" s="104" t="s">
        <v>153</v>
      </c>
      <c r="Q52" s="12"/>
      <c r="R52" s="13"/>
    </row>
    <row r="53" spans="1:21" x14ac:dyDescent="0.3">
      <c r="A53" s="74" t="s">
        <v>21</v>
      </c>
      <c r="B53" s="75">
        <f>+H63</f>
        <v>6278.4</v>
      </c>
      <c r="C53" s="3"/>
      <c r="D53" s="30">
        <v>0</v>
      </c>
      <c r="E53" s="30">
        <v>0</v>
      </c>
      <c r="F53" s="30" t="s">
        <v>125</v>
      </c>
      <c r="G53" s="39">
        <v>500</v>
      </c>
      <c r="H53" s="39">
        <f>+G53*E53*D53</f>
        <v>0</v>
      </c>
      <c r="J53" s="11"/>
      <c r="K53" s="12"/>
      <c r="L53" s="111"/>
      <c r="M53" s="111"/>
      <c r="N53" s="111"/>
      <c r="O53" s="111"/>
      <c r="P53" s="12"/>
      <c r="Q53" s="12"/>
      <c r="R53" s="13"/>
    </row>
    <row r="54" spans="1:21" x14ac:dyDescent="0.3">
      <c r="A54" s="74"/>
      <c r="B54" s="75"/>
      <c r="C54" s="3"/>
      <c r="D54" s="30">
        <v>1</v>
      </c>
      <c r="E54" s="30">
        <v>1</v>
      </c>
      <c r="F54" s="30" t="s">
        <v>146</v>
      </c>
      <c r="G54" s="39">
        <v>1500</v>
      </c>
      <c r="H54" s="39">
        <f t="shared" ref="H54:H61" si="0">+G54*E54</f>
        <v>1500</v>
      </c>
      <c r="I54" s="39">
        <f>+B75/100</f>
        <v>1989.2799333333335</v>
      </c>
      <c r="J54" s="11"/>
      <c r="K54" s="102">
        <f>+K51</f>
        <v>50</v>
      </c>
      <c r="L54" s="102">
        <f>+L51</f>
        <v>50.3</v>
      </c>
      <c r="M54" s="12" t="s">
        <v>148</v>
      </c>
      <c r="N54" s="102" t="s">
        <v>150</v>
      </c>
      <c r="O54" s="12" t="s">
        <v>151</v>
      </c>
      <c r="P54" s="12" t="s">
        <v>154</v>
      </c>
      <c r="Q54" s="12"/>
      <c r="R54" s="13"/>
    </row>
    <row r="55" spans="1:21" ht="16.5" x14ac:dyDescent="0.3">
      <c r="A55" s="74" t="s">
        <v>181</v>
      </c>
      <c r="B55" s="75">
        <f>+(C55*14.5)*1.1</f>
        <v>9304.1666666666679</v>
      </c>
      <c r="C55" s="30">
        <f>+B50/6</f>
        <v>583.33333333333337</v>
      </c>
      <c r="D55" s="30">
        <v>0</v>
      </c>
      <c r="E55" s="30">
        <v>0</v>
      </c>
      <c r="F55" s="30" t="s">
        <v>120</v>
      </c>
      <c r="G55" s="39">
        <v>135</v>
      </c>
      <c r="H55" s="39">
        <f t="shared" si="0"/>
        <v>0</v>
      </c>
      <c r="I55" s="76"/>
      <c r="J55" s="11"/>
      <c r="K55" s="102">
        <f>0.65*0.36*C43</f>
        <v>936</v>
      </c>
      <c r="L55" s="111">
        <v>2.5</v>
      </c>
      <c r="M55" s="111">
        <f>+K55*L55</f>
        <v>2340</v>
      </c>
      <c r="N55" s="111">
        <v>360</v>
      </c>
      <c r="O55" s="111">
        <f>+M55+N55</f>
        <v>2700</v>
      </c>
      <c r="P55" s="104" t="s">
        <v>155</v>
      </c>
      <c r="Q55" s="12"/>
      <c r="R55" s="13"/>
    </row>
    <row r="56" spans="1:21" x14ac:dyDescent="0.3">
      <c r="A56" s="77" t="s">
        <v>127</v>
      </c>
      <c r="B56" s="75">
        <f>1800*2</f>
        <v>3600</v>
      </c>
      <c r="C56" s="3"/>
      <c r="D56" s="30">
        <v>0</v>
      </c>
      <c r="E56" s="30">
        <v>0</v>
      </c>
      <c r="F56" s="30" t="s">
        <v>121</v>
      </c>
      <c r="G56" s="39">
        <v>135</v>
      </c>
      <c r="H56" s="39">
        <f t="shared" si="0"/>
        <v>0</v>
      </c>
      <c r="J56" s="11"/>
      <c r="K56" s="12"/>
      <c r="L56" s="111"/>
      <c r="M56" s="111"/>
      <c r="N56" s="111"/>
      <c r="O56" s="111"/>
      <c r="P56" s="12"/>
      <c r="Q56" s="12"/>
      <c r="R56" s="13"/>
    </row>
    <row r="57" spans="1:21" ht="15" thickBot="1" x14ac:dyDescent="0.35">
      <c r="A57" s="77" t="s">
        <v>198</v>
      </c>
      <c r="B57" s="75">
        <f>+(((0.5+0.5)*B50)*1.1)</f>
        <v>3850.0000000000005</v>
      </c>
      <c r="D57" s="30">
        <v>0</v>
      </c>
      <c r="E57" s="30">
        <v>0</v>
      </c>
      <c r="F57" s="30" t="s">
        <v>141</v>
      </c>
      <c r="G57" s="39">
        <v>120</v>
      </c>
      <c r="H57" s="39">
        <f>+G57*E57</f>
        <v>0</v>
      </c>
      <c r="J57" s="21"/>
      <c r="K57" s="22"/>
      <c r="L57" s="22"/>
      <c r="M57" s="22"/>
      <c r="N57" s="22"/>
      <c r="O57" s="22"/>
      <c r="P57" s="22"/>
      <c r="Q57" s="22"/>
      <c r="R57" s="23"/>
    </row>
    <row r="58" spans="1:21" x14ac:dyDescent="0.3">
      <c r="A58" s="135" t="s">
        <v>142</v>
      </c>
      <c r="B58" s="75">
        <f>((10+20)*B50)*1.1</f>
        <v>115500.00000000001</v>
      </c>
      <c r="D58" s="30">
        <v>0</v>
      </c>
      <c r="E58" s="30">
        <v>0</v>
      </c>
      <c r="F58" s="30" t="s">
        <v>52</v>
      </c>
      <c r="G58" s="39">
        <v>1.5</v>
      </c>
      <c r="H58" s="39">
        <f>+G58*E58</f>
        <v>0</v>
      </c>
    </row>
    <row r="59" spans="1:21" x14ac:dyDescent="0.3">
      <c r="A59" s="77"/>
      <c r="B59" s="77"/>
      <c r="D59" s="30">
        <v>0</v>
      </c>
      <c r="E59" s="30">
        <v>0</v>
      </c>
      <c r="F59" s="30" t="s">
        <v>88</v>
      </c>
      <c r="G59" s="39">
        <v>1.5</v>
      </c>
      <c r="H59" s="39">
        <f t="shared" si="0"/>
        <v>0</v>
      </c>
      <c r="J59" s="5" t="s">
        <v>89</v>
      </c>
    </row>
    <row r="60" spans="1:21" x14ac:dyDescent="0.3">
      <c r="A60" s="73" t="s">
        <v>90</v>
      </c>
      <c r="B60" s="78">
        <f>SUM(B52:B59)</f>
        <v>142684.56666666668</v>
      </c>
      <c r="C60" s="3"/>
      <c r="D60" s="30">
        <v>1</v>
      </c>
      <c r="E60" s="30">
        <v>1</v>
      </c>
      <c r="F60" s="3" t="s">
        <v>91</v>
      </c>
      <c r="G60" s="39">
        <f>+O52</f>
        <v>3923.4</v>
      </c>
      <c r="H60" s="39">
        <f t="shared" si="0"/>
        <v>3923.4</v>
      </c>
      <c r="L60" s="5"/>
    </row>
    <row r="61" spans="1:21" x14ac:dyDescent="0.3">
      <c r="A61" s="16"/>
      <c r="B61" s="79"/>
      <c r="C61" s="3"/>
      <c r="D61" s="30"/>
      <c r="E61" s="30"/>
      <c r="F61" s="3"/>
      <c r="G61" s="3"/>
      <c r="H61" s="39">
        <f t="shared" si="0"/>
        <v>0</v>
      </c>
      <c r="J61" s="1" t="s">
        <v>92</v>
      </c>
      <c r="L61" s="80"/>
      <c r="M61" s="81"/>
      <c r="N61" s="1" t="s">
        <v>92</v>
      </c>
      <c r="P61" s="80"/>
      <c r="Q61" s="81"/>
      <c r="R61" s="1" t="s">
        <v>92</v>
      </c>
      <c r="T61" s="80"/>
      <c r="U61" s="81"/>
    </row>
    <row r="62" spans="1:21" x14ac:dyDescent="0.3">
      <c r="A62" s="16"/>
      <c r="B62" s="41">
        <f>+B60/B50</f>
        <v>40.767019047619051</v>
      </c>
      <c r="C62" s="4" t="s">
        <v>93</v>
      </c>
      <c r="D62" s="3"/>
      <c r="E62" s="3"/>
      <c r="F62" s="3"/>
      <c r="G62" s="3"/>
      <c r="J62" s="1" t="s">
        <v>3</v>
      </c>
      <c r="L62" s="80"/>
      <c r="M62" s="81"/>
      <c r="N62" s="1" t="s">
        <v>3</v>
      </c>
      <c r="P62" s="80"/>
      <c r="Q62" s="81"/>
      <c r="R62" s="1" t="s">
        <v>3</v>
      </c>
      <c r="T62" s="80"/>
      <c r="U62" s="81"/>
    </row>
    <row r="63" spans="1:21" x14ac:dyDescent="0.3">
      <c r="A63" s="3"/>
      <c r="B63" s="3"/>
      <c r="D63" s="3"/>
      <c r="E63" s="3"/>
      <c r="F63" s="3"/>
      <c r="G63" s="82" t="s">
        <v>94</v>
      </c>
      <c r="H63" s="39">
        <f>SUM(H51:H62)</f>
        <v>6278.4</v>
      </c>
      <c r="J63" s="1" t="s">
        <v>24</v>
      </c>
      <c r="L63" s="80"/>
      <c r="M63" s="81"/>
      <c r="N63" s="1" t="s">
        <v>24</v>
      </c>
      <c r="P63" s="80"/>
      <c r="Q63" s="81"/>
      <c r="R63" s="1" t="s">
        <v>24</v>
      </c>
      <c r="T63" s="80"/>
      <c r="U63" s="81"/>
    </row>
    <row r="64" spans="1:21" x14ac:dyDescent="0.3">
      <c r="D64" s="3"/>
      <c r="E64" s="3"/>
      <c r="G64" s="5" t="s">
        <v>95</v>
      </c>
      <c r="H64" s="109">
        <v>1.4</v>
      </c>
      <c r="J64" s="1" t="s">
        <v>96</v>
      </c>
      <c r="L64" s="84"/>
      <c r="M64" s="81"/>
      <c r="N64" s="1" t="s">
        <v>96</v>
      </c>
      <c r="P64" s="80"/>
      <c r="Q64" s="81"/>
      <c r="R64" s="1" t="s">
        <v>96</v>
      </c>
      <c r="T64" s="80"/>
      <c r="U64" s="81"/>
    </row>
    <row r="65" spans="1:21" x14ac:dyDescent="0.3">
      <c r="A65" s="4" t="s">
        <v>97</v>
      </c>
      <c r="B65" s="3"/>
      <c r="C65" s="3"/>
      <c r="E65" s="41">
        <f>+B75/C42</f>
        <v>56.83656952380953</v>
      </c>
      <c r="G65" s="1" t="s">
        <v>98</v>
      </c>
      <c r="H65" s="83">
        <v>1.75</v>
      </c>
      <c r="J65" s="1" t="s">
        <v>99</v>
      </c>
      <c r="K65" s="66" t="s">
        <v>58</v>
      </c>
      <c r="L65" s="85"/>
      <c r="M65" s="81"/>
      <c r="N65" s="1" t="s">
        <v>99</v>
      </c>
      <c r="P65" s="80"/>
      <c r="Q65" s="81"/>
      <c r="R65" s="1" t="s">
        <v>99</v>
      </c>
      <c r="T65" s="80"/>
      <c r="U65" s="81"/>
    </row>
    <row r="66" spans="1:21" x14ac:dyDescent="0.3">
      <c r="A66" s="3"/>
      <c r="B66" s="4" t="s">
        <v>100</v>
      </c>
      <c r="C66" s="34" t="s">
        <v>101</v>
      </c>
      <c r="D66" s="3"/>
      <c r="E66" s="3"/>
      <c r="F66" s="3"/>
      <c r="G66" s="1" t="s">
        <v>98</v>
      </c>
      <c r="H66" s="83">
        <v>2</v>
      </c>
      <c r="J66" s="1" t="s">
        <v>102</v>
      </c>
      <c r="L66" s="86"/>
      <c r="M66" s="81"/>
      <c r="N66" s="1" t="s">
        <v>103</v>
      </c>
      <c r="P66" s="80"/>
      <c r="Q66" s="81"/>
      <c r="R66" s="1" t="s">
        <v>103</v>
      </c>
      <c r="T66" s="80"/>
      <c r="U66" s="81"/>
    </row>
    <row r="67" spans="1:21" x14ac:dyDescent="0.3">
      <c r="A67" s="73" t="s">
        <v>104</v>
      </c>
      <c r="B67" s="74"/>
      <c r="C67" s="3"/>
      <c r="D67" s="3">
        <f>+B75*C71</f>
        <v>0</v>
      </c>
      <c r="E67" s="3"/>
      <c r="F67" s="3"/>
      <c r="G67" s="5" t="s">
        <v>122</v>
      </c>
      <c r="H67" s="83">
        <v>2.5</v>
      </c>
      <c r="J67" s="1" t="s">
        <v>105</v>
      </c>
      <c r="L67" s="86"/>
      <c r="M67" s="81"/>
      <c r="P67" s="80"/>
      <c r="Q67" s="81"/>
      <c r="T67" s="80"/>
      <c r="U67" s="81"/>
    </row>
    <row r="68" spans="1:21" x14ac:dyDescent="0.3">
      <c r="A68" s="74" t="s">
        <v>86</v>
      </c>
      <c r="B68" s="75">
        <f>+E37*C44</f>
        <v>4982.4000000000005</v>
      </c>
      <c r="C68" s="87"/>
      <c r="J68" s="1" t="s">
        <v>106</v>
      </c>
      <c r="K68" s="25" t="s">
        <v>107</v>
      </c>
      <c r="L68" s="88"/>
      <c r="M68" s="81"/>
      <c r="N68" s="1" t="s">
        <v>108</v>
      </c>
      <c r="P68" s="80"/>
      <c r="Q68" s="81"/>
      <c r="R68" s="1" t="s">
        <v>108</v>
      </c>
      <c r="T68" s="80"/>
      <c r="U68" s="81"/>
    </row>
    <row r="69" spans="1:21" x14ac:dyDescent="0.3">
      <c r="A69" s="74" t="s">
        <v>21</v>
      </c>
      <c r="B69" s="75">
        <f>+H63*H64</f>
        <v>8789.7599999999984</v>
      </c>
      <c r="C69" s="87"/>
      <c r="J69" s="1" t="s">
        <v>106</v>
      </c>
      <c r="K69" s="25" t="s">
        <v>109</v>
      </c>
      <c r="L69" s="89"/>
      <c r="M69" s="81"/>
      <c r="N69" s="1" t="s">
        <v>110</v>
      </c>
      <c r="P69" s="80"/>
      <c r="Q69" s="81"/>
      <c r="R69" s="1" t="s">
        <v>110</v>
      </c>
      <c r="T69" s="80"/>
      <c r="U69" s="81"/>
    </row>
    <row r="70" spans="1:21" x14ac:dyDescent="0.3">
      <c r="A70" s="74" t="str">
        <f>+A55</f>
        <v>Empaque</v>
      </c>
      <c r="B70" s="75">
        <f>+B55*H64</f>
        <v>13025.833333333334</v>
      </c>
      <c r="C70" s="87"/>
      <c r="K70" s="25"/>
      <c r="L70" s="89"/>
      <c r="M70" s="81"/>
      <c r="P70" s="80"/>
      <c r="Q70" s="81"/>
      <c r="T70" s="80"/>
      <c r="U70" s="81"/>
    </row>
    <row r="71" spans="1:21" x14ac:dyDescent="0.3">
      <c r="A71" s="74" t="str">
        <f>+A56</f>
        <v>Mensajeria</v>
      </c>
      <c r="B71" s="75">
        <f>+B56*H64</f>
        <v>5040</v>
      </c>
      <c r="C71" s="87"/>
      <c r="G71" s="90" t="s">
        <v>111</v>
      </c>
      <c r="H71" s="41">
        <f>+B62</f>
        <v>40.767019047619051</v>
      </c>
      <c r="I71" s="91">
        <f>+H71*C48</f>
        <v>163068.07619047622</v>
      </c>
      <c r="J71" s="1" t="s">
        <v>112</v>
      </c>
      <c r="L71" s="92"/>
      <c r="M71" s="81"/>
      <c r="N71" s="1" t="s">
        <v>112</v>
      </c>
      <c r="P71" s="80"/>
      <c r="Q71" s="81"/>
      <c r="R71" s="1" t="s">
        <v>112</v>
      </c>
      <c r="T71" s="80"/>
      <c r="U71" s="81"/>
    </row>
    <row r="72" spans="1:21" x14ac:dyDescent="0.3">
      <c r="A72" s="74" t="str">
        <f>+A57</f>
        <v>Velcro</v>
      </c>
      <c r="B72" s="75">
        <f>+B57*H64</f>
        <v>5390</v>
      </c>
      <c r="C72" s="87"/>
      <c r="G72" s="90" t="s">
        <v>113</v>
      </c>
      <c r="H72" s="41">
        <f>+C75</f>
        <v>56.83656952380953</v>
      </c>
      <c r="I72" s="91">
        <f>+H72*C48</f>
        <v>227346.27809523811</v>
      </c>
      <c r="L72" s="94"/>
      <c r="M72" s="81"/>
      <c r="P72" s="80"/>
      <c r="Q72" s="81"/>
      <c r="T72" s="80"/>
      <c r="U72" s="81"/>
    </row>
    <row r="73" spans="1:21" ht="15" thickBot="1" x14ac:dyDescent="0.35">
      <c r="A73" s="74" t="str">
        <f>+A58</f>
        <v>Encuadernación</v>
      </c>
      <c r="B73" s="75">
        <f>+B58*H64</f>
        <v>161700</v>
      </c>
      <c r="C73" s="93"/>
      <c r="G73" s="95" t="s">
        <v>114</v>
      </c>
      <c r="H73" s="96">
        <f>+H72-H71</f>
        <v>16.069550476190479</v>
      </c>
      <c r="I73" s="122">
        <f>+H73*C48</f>
        <v>64278.201904761918</v>
      </c>
      <c r="J73" s="1" t="s">
        <v>115</v>
      </c>
      <c r="L73" s="80"/>
      <c r="M73" s="81"/>
      <c r="N73" s="1" t="s">
        <v>115</v>
      </c>
      <c r="P73" s="80"/>
      <c r="Q73" s="81"/>
      <c r="R73" s="1" t="s">
        <v>115</v>
      </c>
      <c r="T73" s="80"/>
      <c r="U73" s="81"/>
    </row>
    <row r="74" spans="1:21" ht="15" thickBot="1" x14ac:dyDescent="0.35">
      <c r="A74" s="74"/>
      <c r="B74" s="75"/>
      <c r="C74" s="93"/>
      <c r="F74" s="124" t="s">
        <v>111</v>
      </c>
      <c r="G74" s="97" t="s">
        <v>116</v>
      </c>
      <c r="H74" s="52"/>
      <c r="J74" s="1" t="s">
        <v>117</v>
      </c>
      <c r="L74" s="80"/>
      <c r="M74" s="81"/>
      <c r="N74" s="1" t="s">
        <v>117</v>
      </c>
      <c r="P74" s="80"/>
      <c r="Q74" s="81"/>
      <c r="R74" s="1" t="s">
        <v>117</v>
      </c>
      <c r="T74" s="80"/>
      <c r="U74" s="81"/>
    </row>
    <row r="75" spans="1:21" x14ac:dyDescent="0.3">
      <c r="A75" s="73" t="s">
        <v>90</v>
      </c>
      <c r="B75" s="78">
        <f>SUM(B67:B74)</f>
        <v>198927.99333333335</v>
      </c>
      <c r="C75" s="96">
        <f>+B75/B50</f>
        <v>56.83656952380953</v>
      </c>
      <c r="D75" s="5" t="s">
        <v>178</v>
      </c>
      <c r="F75" s="123">
        <f>+B62</f>
        <v>40.767019047619051</v>
      </c>
    </row>
    <row r="76" spans="1:21" x14ac:dyDescent="0.3">
      <c r="C76" s="91">
        <f>+'Forro EXT cartera'!C75</f>
        <v>4.0335078571428573</v>
      </c>
      <c r="D76" s="5" t="str">
        <f>+'Forro EXT cartera'!D75</f>
        <v>Forro EXT cartera</v>
      </c>
      <c r="F76" s="123">
        <f>+'Forro EXT cartera'!B62</f>
        <v>2.9764035714285715</v>
      </c>
    </row>
    <row r="77" spans="1:21" x14ac:dyDescent="0.3">
      <c r="C77" s="91">
        <f>+'pompa + guarda cajón'!C75</f>
        <v>3.321097142857143</v>
      </c>
      <c r="D77" s="5" t="str">
        <f>+'pompa + guarda cajón'!D75</f>
        <v>Envolvente EXT cajón</v>
      </c>
      <c r="F77" s="123">
        <f>+'pompa + guarda cajón'!B62</f>
        <v>2.5848142857142857</v>
      </c>
    </row>
    <row r="78" spans="1:21" x14ac:dyDescent="0.3">
      <c r="A78" s="5"/>
      <c r="C78" s="91">
        <f>+'Envolvente cajón 1'!C75</f>
        <v>5.8171802857142865</v>
      </c>
      <c r="D78" s="5" t="str">
        <f>+'Envolvente cajón 1'!D75</f>
        <v>Envolvente cajón 1</v>
      </c>
      <c r="F78" s="123">
        <f>+'Envolvente cajón 1'!B62</f>
        <v>4.5803328571428574</v>
      </c>
    </row>
    <row r="79" spans="1:21" x14ac:dyDescent="0.3">
      <c r="B79" s="98"/>
      <c r="C79" s="91">
        <f>+'cartón cartera'!C72</f>
        <v>3.3999362244897959</v>
      </c>
      <c r="D79" s="5" t="str">
        <f>+'cartón cartera'!D72</f>
        <v>Cartón Cartera</v>
      </c>
      <c r="F79" s="123">
        <f>+'cartón cartera'!B60</f>
        <v>3.0389030612244898</v>
      </c>
    </row>
    <row r="80" spans="1:21" x14ac:dyDescent="0.3">
      <c r="C80" s="91">
        <f>+'cartón cajón '!C72</f>
        <v>7.2893750000000006</v>
      </c>
      <c r="D80" s="5" t="str">
        <f>+'cartón cajón '!D72</f>
        <v>cartón cajón</v>
      </c>
      <c r="F80" s="123">
        <f>+'cartón cajón '!B60</f>
        <v>6.5955357142857141</v>
      </c>
      <c r="I80" s="127">
        <f>+C83-F83</f>
        <v>83088.17623809533</v>
      </c>
      <c r="J80" s="5" t="s">
        <v>183</v>
      </c>
    </row>
    <row r="81" spans="3:18" x14ac:dyDescent="0.3">
      <c r="C81" s="112">
        <f>+'Eva Accesorios'!C72</f>
        <v>20.794642857142858</v>
      </c>
      <c r="D81" s="134" t="str">
        <f>+'Eva Accesorios'!D72</f>
        <v>eva</v>
      </c>
      <c r="F81" s="125">
        <f>+'Eva Accesorios'!B60</f>
        <v>17.209821428571427</v>
      </c>
    </row>
    <row r="82" spans="3:18" x14ac:dyDescent="0.3">
      <c r="C82" s="96">
        <f>SUM(C75:C81)</f>
        <v>101.49230889115648</v>
      </c>
      <c r="D82" s="5" t="s">
        <v>179</v>
      </c>
      <c r="F82" s="98">
        <f>SUM(F75:F81)</f>
        <v>77.752829965986393</v>
      </c>
      <c r="K82" s="35" t="s">
        <v>182</v>
      </c>
      <c r="M82" s="133">
        <f>+K85/B50</f>
        <v>3.4733406953061228</v>
      </c>
      <c r="N82" s="131" t="s">
        <v>188</v>
      </c>
    </row>
    <row r="83" spans="3:18" x14ac:dyDescent="0.3">
      <c r="C83" s="126">
        <f>+B50*C82</f>
        <v>355223.08111904771</v>
      </c>
      <c r="F83" s="126">
        <f>+B50*F82</f>
        <v>272134.90488095238</v>
      </c>
      <c r="I83" s="126">
        <f>+C83/100</f>
        <v>3552.2308111904772</v>
      </c>
      <c r="J83" s="128">
        <f>+I83*2</f>
        <v>7104.4616223809544</v>
      </c>
      <c r="K83" s="128">
        <f>+J83+J84</f>
        <v>8604.4616223809535</v>
      </c>
      <c r="L83" s="127" t="s">
        <v>184</v>
      </c>
    </row>
    <row r="84" spans="3:18" x14ac:dyDescent="0.3">
      <c r="C84" s="130">
        <f>+C82+M82</f>
        <v>104.9656495864626</v>
      </c>
      <c r="D84" s="131" t="s">
        <v>187</v>
      </c>
      <c r="E84" s="132"/>
      <c r="J84" s="128">
        <v>1500</v>
      </c>
      <c r="K84" s="128">
        <f>+I83</f>
        <v>3552.2308111904772</v>
      </c>
      <c r="L84" s="1" t="s">
        <v>185</v>
      </c>
    </row>
    <row r="85" spans="3:18" x14ac:dyDescent="0.3">
      <c r="K85" s="129">
        <f>SUM(K83:K84)</f>
        <v>12156.69243357143</v>
      </c>
      <c r="L85" s="5" t="s">
        <v>186</v>
      </c>
    </row>
    <row r="89" spans="3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3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3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3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3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3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3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3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  <row r="97" spans="10:18" ht="16.5" x14ac:dyDescent="0.3">
      <c r="J97" s="76"/>
      <c r="K97" s="76"/>
      <c r="L97" s="76"/>
      <c r="M97" s="76"/>
      <c r="N97" s="76"/>
      <c r="O97" s="76"/>
      <c r="P97" s="76"/>
      <c r="Q97" s="76"/>
      <c r="R97" s="76"/>
    </row>
    <row r="98" spans="10:18" ht="16.5" x14ac:dyDescent="0.3">
      <c r="J98" s="76"/>
      <c r="K98" s="76"/>
      <c r="L98" s="76"/>
      <c r="M98" s="76"/>
      <c r="N98" s="76"/>
      <c r="O98" s="76"/>
      <c r="P98" s="76"/>
      <c r="Q98" s="76"/>
      <c r="R98" s="76"/>
    </row>
  </sheetData>
  <pageMargins left="0.70866141732283472" right="0.70866141732283472" top="0.74803149606299213" bottom="0.74803149606299213" header="0.31496062992125984" footer="0.31496062992125984"/>
  <pageSetup scale="42" orientation="landscape" r:id="rId1"/>
  <headerFooter>
    <oddFooter>&amp;A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Eva Accesorios</vt:lpstr>
      <vt:lpstr>cartón cajón </vt:lpstr>
      <vt:lpstr>cartón cartera</vt:lpstr>
      <vt:lpstr>Envolvente cajón 1</vt:lpstr>
      <vt:lpstr>pompa + guarda cajón</vt:lpstr>
      <vt:lpstr>Forro EXT cartera</vt:lpstr>
      <vt:lpstr>Guarda cartera Eva Sencilla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2016-07-25T17:48:05Z</cp:lastPrinted>
  <dcterms:created xsi:type="dcterms:W3CDTF">2013-03-04T22:24:31Z</dcterms:created>
  <dcterms:modified xsi:type="dcterms:W3CDTF">2016-10-03T20:52:52Z</dcterms:modified>
</cp:coreProperties>
</file>